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Documents\"/>
    </mc:Choice>
  </mc:AlternateContent>
  <xr:revisionPtr revIDLastSave="0" documentId="13_ncr:1_{1773CAAB-FA10-4372-9193-126B9221E684}" xr6:coauthVersionLast="47" xr6:coauthVersionMax="47" xr10:uidLastSave="{00000000-0000-0000-0000-000000000000}"/>
  <bookViews>
    <workbookView xWindow="-108" yWindow="-108" windowWidth="23256" windowHeight="12456" activeTab="5" xr2:uid="{59BCA302-8C25-4D14-81B0-359E9D45B62A}"/>
  </bookViews>
  <sheets>
    <sheet name="Drill Load Baselines" sheetId="1" r:id="rId1"/>
    <sheet name="Cyril Martynov" sheetId="2" r:id="rId2"/>
    <sheet name="Deebo Coleman" sheetId="3" r:id="rId3"/>
    <sheet name="Deivon Smith" sheetId="4" r:id="rId4"/>
    <sheet name="Freds Bagatskis" sheetId="5" r:id="rId5"/>
    <sheet name="Jalon Moore" sheetId="6" r:id="rId6"/>
    <sheet name="Ja'Von Franklin" sheetId="7" r:id="rId7"/>
    <sheet name="Jordan Meka" sheetId="8" r:id="rId8"/>
    <sheet name="Kyle Sturdivant" sheetId="9" r:id="rId9"/>
    <sheet name="Lance Terry" sheetId="10" r:id="rId10"/>
    <sheet name="Miles Kelly" sheetId="11" r:id="rId11"/>
    <sheet name="Rodney Howard" sheetId="12" r:id="rId12"/>
    <sheet name="Tristan Maxwel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6" l="1"/>
  <c r="W10" i="6" s="1"/>
  <c r="K35" i="1"/>
  <c r="J35" i="1"/>
  <c r="I35" i="1"/>
  <c r="F35" i="1"/>
  <c r="E35" i="1"/>
  <c r="D35" i="1"/>
  <c r="C35" i="1"/>
  <c r="H35" i="1" s="1"/>
  <c r="I34" i="1"/>
  <c r="G34" i="1"/>
  <c r="H34" i="1" s="1"/>
  <c r="F34" i="1"/>
  <c r="K34" i="1" s="1"/>
  <c r="E34" i="1"/>
  <c r="J34" i="1" s="1"/>
  <c r="D34" i="1"/>
  <c r="C34" i="1"/>
  <c r="G33" i="1"/>
  <c r="J33" i="1" s="1"/>
  <c r="F33" i="1"/>
  <c r="K33" i="1" s="1"/>
  <c r="E33" i="1"/>
  <c r="D33" i="1"/>
  <c r="C33" i="1"/>
  <c r="H33" i="1" s="1"/>
  <c r="J32" i="1"/>
  <c r="G32" i="1"/>
  <c r="F32" i="1"/>
  <c r="K32" i="1" s="1"/>
  <c r="E32" i="1"/>
  <c r="D32" i="1"/>
  <c r="I32" i="1" s="1"/>
  <c r="C32" i="1"/>
  <c r="H32" i="1" s="1"/>
  <c r="I31" i="1"/>
  <c r="G31" i="1"/>
  <c r="J31" i="1" s="1"/>
  <c r="F31" i="1"/>
  <c r="E31" i="1"/>
  <c r="D31" i="1"/>
  <c r="C31" i="1"/>
  <c r="H31" i="1" s="1"/>
  <c r="I30" i="1"/>
  <c r="G30" i="1"/>
  <c r="H30" i="1" s="1"/>
  <c r="F30" i="1"/>
  <c r="K30" i="1" s="1"/>
  <c r="E30" i="1"/>
  <c r="J30" i="1" s="1"/>
  <c r="D30" i="1"/>
  <c r="C30" i="1"/>
  <c r="I29" i="1"/>
  <c r="G29" i="1"/>
  <c r="J29" i="1" s="1"/>
  <c r="F29" i="1"/>
  <c r="K29" i="1" s="1"/>
  <c r="E29" i="1"/>
  <c r="D29" i="1"/>
  <c r="C29" i="1"/>
  <c r="H29" i="1" s="1"/>
  <c r="J28" i="1"/>
  <c r="G28" i="1"/>
  <c r="F28" i="1"/>
  <c r="K28" i="1" s="1"/>
  <c r="E28" i="1"/>
  <c r="D28" i="1"/>
  <c r="I28" i="1" s="1"/>
  <c r="C28" i="1"/>
  <c r="H28" i="1" s="1"/>
  <c r="I27" i="1"/>
  <c r="G27" i="1"/>
  <c r="J27" i="1" s="1"/>
  <c r="F27" i="1"/>
  <c r="E27" i="1"/>
  <c r="D27" i="1"/>
  <c r="C27" i="1"/>
  <c r="H27" i="1" s="1"/>
  <c r="I26" i="1"/>
  <c r="G26" i="1"/>
  <c r="H26" i="1" s="1"/>
  <c r="F26" i="1"/>
  <c r="K26" i="1" s="1"/>
  <c r="E26" i="1"/>
  <c r="J26" i="1" s="1"/>
  <c r="D26" i="1"/>
  <c r="C26" i="1"/>
  <c r="I25" i="1"/>
  <c r="G25" i="1"/>
  <c r="J25" i="1" s="1"/>
  <c r="F25" i="1"/>
  <c r="K25" i="1" s="1"/>
  <c r="E25" i="1"/>
  <c r="D25" i="1"/>
  <c r="C25" i="1"/>
  <c r="H25" i="1" s="1"/>
  <c r="J24" i="1"/>
  <c r="G24" i="1"/>
  <c r="F24" i="1"/>
  <c r="K24" i="1" s="1"/>
  <c r="E24" i="1"/>
  <c r="D24" i="1"/>
  <c r="I24" i="1" s="1"/>
  <c r="C24" i="1"/>
  <c r="H24" i="1" s="1"/>
  <c r="I23" i="1"/>
  <c r="G23" i="1"/>
  <c r="J23" i="1" s="1"/>
  <c r="F23" i="1"/>
  <c r="E23" i="1"/>
  <c r="D23" i="1"/>
  <c r="C23" i="1"/>
  <c r="H23" i="1" s="1"/>
  <c r="I22" i="1"/>
  <c r="G22" i="1"/>
  <c r="H22" i="1" s="1"/>
  <c r="F22" i="1"/>
  <c r="K22" i="1" s="1"/>
  <c r="E22" i="1"/>
  <c r="J22" i="1" s="1"/>
  <c r="D22" i="1"/>
  <c r="C22" i="1"/>
  <c r="I21" i="1"/>
  <c r="G21" i="1"/>
  <c r="J21" i="1" s="1"/>
  <c r="F21" i="1"/>
  <c r="K21" i="1" s="1"/>
  <c r="E21" i="1"/>
  <c r="D21" i="1"/>
  <c r="C21" i="1"/>
  <c r="H21" i="1" s="1"/>
  <c r="J20" i="1"/>
  <c r="G20" i="1"/>
  <c r="F20" i="1"/>
  <c r="K20" i="1" s="1"/>
  <c r="E20" i="1"/>
  <c r="D20" i="1"/>
  <c r="I20" i="1" s="1"/>
  <c r="C20" i="1"/>
  <c r="H20" i="1" s="1"/>
  <c r="I19" i="1"/>
  <c r="G19" i="1"/>
  <c r="J19" i="1" s="1"/>
  <c r="F19" i="1"/>
  <c r="E19" i="1"/>
  <c r="D19" i="1"/>
  <c r="C19" i="1"/>
  <c r="H19" i="1" s="1"/>
  <c r="I18" i="1"/>
  <c r="G18" i="1"/>
  <c r="F18" i="1"/>
  <c r="K18" i="1" s="1"/>
  <c r="E18" i="1"/>
  <c r="J18" i="1" s="1"/>
  <c r="D18" i="1"/>
  <c r="C18" i="1"/>
  <c r="H18" i="1" s="1"/>
  <c r="I17" i="1"/>
  <c r="G17" i="1"/>
  <c r="J17" i="1" s="1"/>
  <c r="F17" i="1"/>
  <c r="K17" i="1" s="1"/>
  <c r="E17" i="1"/>
  <c r="D17" i="1"/>
  <c r="C17" i="1"/>
  <c r="H17" i="1" s="1"/>
  <c r="J16" i="1"/>
  <c r="G16" i="1"/>
  <c r="F16" i="1"/>
  <c r="K16" i="1" s="1"/>
  <c r="E16" i="1"/>
  <c r="D16" i="1"/>
  <c r="I16" i="1" s="1"/>
  <c r="C16" i="1"/>
  <c r="H16" i="1" s="1"/>
  <c r="J15" i="1"/>
  <c r="I15" i="1"/>
  <c r="H15" i="1"/>
  <c r="F15" i="1"/>
  <c r="K15" i="1" s="1"/>
  <c r="E15" i="1"/>
  <c r="D15" i="1"/>
  <c r="C15" i="1"/>
  <c r="K14" i="1"/>
  <c r="J14" i="1"/>
  <c r="H14" i="1"/>
  <c r="F14" i="1"/>
  <c r="E14" i="1"/>
  <c r="D14" i="1"/>
  <c r="I14" i="1" s="1"/>
  <c r="C14" i="1"/>
  <c r="G13" i="1"/>
  <c r="K13" i="1" s="1"/>
  <c r="F13" i="1"/>
  <c r="E13" i="1"/>
  <c r="J13" i="1" s="1"/>
  <c r="D13" i="1"/>
  <c r="I13" i="1" s="1"/>
  <c r="C13" i="1"/>
  <c r="K12" i="1"/>
  <c r="J12" i="1"/>
  <c r="H12" i="1"/>
  <c r="G12" i="1"/>
  <c r="F12" i="1"/>
  <c r="E12" i="1"/>
  <c r="D12" i="1"/>
  <c r="I12" i="1" s="1"/>
  <c r="C12" i="1"/>
  <c r="J11" i="1"/>
  <c r="G11" i="1"/>
  <c r="H11" i="1" s="1"/>
  <c r="F11" i="1"/>
  <c r="K11" i="1" s="1"/>
  <c r="E11" i="1"/>
  <c r="D11" i="1"/>
  <c r="I11" i="1" s="1"/>
  <c r="C11" i="1"/>
  <c r="G10" i="1"/>
  <c r="K10" i="1" s="1"/>
  <c r="F10" i="1"/>
  <c r="E10" i="1"/>
  <c r="D10" i="1"/>
  <c r="I10" i="1" s="1"/>
  <c r="C10" i="1"/>
  <c r="H10" i="1" s="1"/>
  <c r="G9" i="1"/>
  <c r="K9" i="1" s="1"/>
  <c r="F9" i="1"/>
  <c r="E9" i="1"/>
  <c r="J9" i="1" s="1"/>
  <c r="D9" i="1"/>
  <c r="I9" i="1" s="1"/>
  <c r="C9" i="1"/>
  <c r="K8" i="1"/>
  <c r="J8" i="1"/>
  <c r="H8" i="1"/>
  <c r="G8" i="1"/>
  <c r="F8" i="1"/>
  <c r="E8" i="1"/>
  <c r="D8" i="1"/>
  <c r="I8" i="1" s="1"/>
  <c r="C8" i="1"/>
  <c r="J7" i="1"/>
  <c r="H7" i="1"/>
  <c r="F7" i="1"/>
  <c r="K7" i="1" s="1"/>
  <c r="E7" i="1"/>
  <c r="D7" i="1"/>
  <c r="I7" i="1" s="1"/>
  <c r="C7" i="1"/>
  <c r="I6" i="1"/>
  <c r="H6" i="1"/>
  <c r="F6" i="1"/>
  <c r="K6" i="1" s="1"/>
  <c r="E6" i="1"/>
  <c r="J6" i="1" s="1"/>
  <c r="D6" i="1"/>
  <c r="C6" i="1"/>
  <c r="K5" i="1"/>
  <c r="I5" i="1"/>
  <c r="G5" i="1"/>
  <c r="F5" i="1"/>
  <c r="E5" i="1"/>
  <c r="J5" i="1" s="1"/>
  <c r="D5" i="1"/>
  <c r="C5" i="1"/>
  <c r="H5" i="1" s="1"/>
  <c r="K4" i="1"/>
  <c r="I4" i="1"/>
  <c r="H4" i="1"/>
  <c r="F4" i="1"/>
  <c r="E4" i="1"/>
  <c r="J4" i="1" s="1"/>
  <c r="D4" i="1"/>
  <c r="C4" i="1"/>
  <c r="G3" i="1"/>
  <c r="K3" i="1" s="1"/>
  <c r="F3" i="1"/>
  <c r="E3" i="1"/>
  <c r="D3" i="1"/>
  <c r="I3" i="1" s="1"/>
  <c r="C3" i="1"/>
  <c r="H3" i="1" s="1"/>
  <c r="G2" i="1"/>
  <c r="K2" i="1" s="1"/>
  <c r="F2" i="1"/>
  <c r="E2" i="1"/>
  <c r="J2" i="1" s="1"/>
  <c r="D2" i="1"/>
  <c r="I2" i="1" s="1"/>
  <c r="C2" i="1"/>
  <c r="Y17" i="13"/>
  <c r="V17" i="13"/>
  <c r="Z17" i="13" s="1"/>
  <c r="U17" i="13"/>
  <c r="T17" i="13"/>
  <c r="X17" i="13" s="1"/>
  <c r="S17" i="13"/>
  <c r="W17" i="13" s="1"/>
  <c r="R17" i="13"/>
  <c r="Q17" i="13"/>
  <c r="P17" i="13"/>
  <c r="O17" i="13"/>
  <c r="M17" i="13"/>
  <c r="L17" i="13"/>
  <c r="K17" i="13"/>
  <c r="V16" i="13"/>
  <c r="Z16" i="13" s="1"/>
  <c r="U16" i="13"/>
  <c r="Y16" i="13" s="1"/>
  <c r="T16" i="13"/>
  <c r="X16" i="13" s="1"/>
  <c r="S16" i="13"/>
  <c r="W16" i="13" s="1"/>
  <c r="R16" i="13"/>
  <c r="Q16" i="13"/>
  <c r="P16" i="13"/>
  <c r="O16" i="13"/>
  <c r="M16" i="13"/>
  <c r="L16" i="13"/>
  <c r="K16" i="13"/>
  <c r="Y15" i="13"/>
  <c r="V15" i="13"/>
  <c r="Z15" i="13" s="1"/>
  <c r="U15" i="13"/>
  <c r="T15" i="13"/>
  <c r="X15" i="13" s="1"/>
  <c r="S15" i="13"/>
  <c r="W15" i="13" s="1"/>
  <c r="R15" i="13"/>
  <c r="Q15" i="13"/>
  <c r="P15" i="13"/>
  <c r="O15" i="13"/>
  <c r="M15" i="13"/>
  <c r="L15" i="13"/>
  <c r="K15" i="13"/>
  <c r="V14" i="13"/>
  <c r="Z14" i="13" s="1"/>
  <c r="U14" i="13"/>
  <c r="Y14" i="13" s="1"/>
  <c r="T14" i="13"/>
  <c r="X14" i="13" s="1"/>
  <c r="S14" i="13"/>
  <c r="W14" i="13" s="1"/>
  <c r="R14" i="13"/>
  <c r="Q14" i="13"/>
  <c r="P14" i="13"/>
  <c r="O14" i="13"/>
  <c r="M14" i="13"/>
  <c r="L14" i="13"/>
  <c r="K14" i="13"/>
  <c r="X13" i="13"/>
  <c r="V13" i="13"/>
  <c r="Z13" i="13" s="1"/>
  <c r="U13" i="13"/>
  <c r="Y13" i="13" s="1"/>
  <c r="T13" i="13"/>
  <c r="S13" i="13"/>
  <c r="W13" i="13" s="1"/>
  <c r="N13" i="13"/>
  <c r="O13" i="13" s="1"/>
  <c r="M13" i="13"/>
  <c r="L13" i="13"/>
  <c r="K13" i="13"/>
  <c r="W12" i="13"/>
  <c r="V12" i="13"/>
  <c r="Z12" i="13" s="1"/>
  <c r="U12" i="13"/>
  <c r="Y12" i="13" s="1"/>
  <c r="T12" i="13"/>
  <c r="X12" i="13" s="1"/>
  <c r="S12" i="13"/>
  <c r="R12" i="13"/>
  <c r="Q12" i="13"/>
  <c r="P12" i="13"/>
  <c r="O12" i="13"/>
  <c r="M12" i="13"/>
  <c r="L12" i="13"/>
  <c r="K12" i="13"/>
  <c r="Z11" i="13"/>
  <c r="W11" i="13"/>
  <c r="V11" i="13"/>
  <c r="U11" i="13"/>
  <c r="Y11" i="13" s="1"/>
  <c r="T11" i="13"/>
  <c r="X11" i="13" s="1"/>
  <c r="S11" i="13"/>
  <c r="R11" i="13"/>
  <c r="Q11" i="13"/>
  <c r="P11" i="13"/>
  <c r="O11" i="13"/>
  <c r="M11" i="13"/>
  <c r="L11" i="13"/>
  <c r="K11" i="13"/>
  <c r="R10" i="13"/>
  <c r="Q10" i="13"/>
  <c r="P10" i="13"/>
  <c r="O10" i="13"/>
  <c r="M10" i="13"/>
  <c r="L10" i="13"/>
  <c r="K10" i="13"/>
  <c r="V9" i="13"/>
  <c r="U9" i="13"/>
  <c r="T9" i="13"/>
  <c r="S9" i="13"/>
  <c r="N9" i="13"/>
  <c r="O9" i="13" s="1"/>
  <c r="M9" i="13"/>
  <c r="L9" i="13"/>
  <c r="K9" i="13"/>
  <c r="R8" i="13"/>
  <c r="Q8" i="13"/>
  <c r="P8" i="13"/>
  <c r="O8" i="13"/>
  <c r="M8" i="13"/>
  <c r="L8" i="13"/>
  <c r="K8" i="13"/>
  <c r="R7" i="13"/>
  <c r="Q7" i="13"/>
  <c r="P7" i="13"/>
  <c r="O7" i="13"/>
  <c r="M7" i="13"/>
  <c r="L7" i="13"/>
  <c r="K7" i="13"/>
  <c r="R6" i="13"/>
  <c r="Q6" i="13"/>
  <c r="P6" i="13"/>
  <c r="O6" i="13"/>
  <c r="M6" i="13"/>
  <c r="L6" i="13"/>
  <c r="K6" i="13"/>
  <c r="R5" i="13"/>
  <c r="Q5" i="13"/>
  <c r="P5" i="13"/>
  <c r="O5" i="13"/>
  <c r="M5" i="13"/>
  <c r="L5" i="13"/>
  <c r="K5" i="13"/>
  <c r="T4" i="13"/>
  <c r="S4" i="13"/>
  <c r="R4" i="13"/>
  <c r="Q4" i="13"/>
  <c r="P4" i="13"/>
  <c r="O4" i="13"/>
  <c r="M4" i="13"/>
  <c r="L4" i="13"/>
  <c r="K4" i="13"/>
  <c r="R3" i="13"/>
  <c r="Q3" i="13"/>
  <c r="P3" i="13"/>
  <c r="O3" i="13"/>
  <c r="M3" i="13"/>
  <c r="L3" i="13"/>
  <c r="K3" i="13"/>
  <c r="R2" i="13"/>
  <c r="Q2" i="13"/>
  <c r="P2" i="13"/>
  <c r="O2" i="13"/>
  <c r="M2" i="13"/>
  <c r="L2" i="13"/>
  <c r="K2" i="13"/>
  <c r="X21" i="12"/>
  <c r="V21" i="12"/>
  <c r="Z21" i="12" s="1"/>
  <c r="U21" i="12"/>
  <c r="Y21" i="12" s="1"/>
  <c r="T21" i="12"/>
  <c r="S21" i="12"/>
  <c r="W21" i="12" s="1"/>
  <c r="R21" i="12"/>
  <c r="Q21" i="12"/>
  <c r="P21" i="12"/>
  <c r="O21" i="12"/>
  <c r="M21" i="12"/>
  <c r="L21" i="12"/>
  <c r="K21" i="12"/>
  <c r="V20" i="12"/>
  <c r="Z20" i="12" s="1"/>
  <c r="U20" i="12"/>
  <c r="Y20" i="12" s="1"/>
  <c r="T20" i="12"/>
  <c r="X20" i="12" s="1"/>
  <c r="S20" i="12"/>
  <c r="W20" i="12" s="1"/>
  <c r="R20" i="12"/>
  <c r="Q20" i="12"/>
  <c r="P20" i="12"/>
  <c r="O20" i="12"/>
  <c r="M20" i="12"/>
  <c r="L20" i="12"/>
  <c r="K20" i="12"/>
  <c r="X19" i="12"/>
  <c r="W19" i="12"/>
  <c r="V19" i="12"/>
  <c r="Z19" i="12" s="1"/>
  <c r="U19" i="12"/>
  <c r="Y19" i="12" s="1"/>
  <c r="T19" i="12"/>
  <c r="S19" i="12"/>
  <c r="R19" i="12"/>
  <c r="Q19" i="12"/>
  <c r="P19" i="12"/>
  <c r="O19" i="12"/>
  <c r="M19" i="12"/>
  <c r="L19" i="12"/>
  <c r="K19" i="12"/>
  <c r="Z18" i="12"/>
  <c r="V18" i="12"/>
  <c r="U18" i="12"/>
  <c r="Y18" i="12" s="1"/>
  <c r="T18" i="12"/>
  <c r="X18" i="12" s="1"/>
  <c r="S18" i="12"/>
  <c r="W18" i="12" s="1"/>
  <c r="R18" i="12"/>
  <c r="Q18" i="12"/>
  <c r="P18" i="12"/>
  <c r="O18" i="12"/>
  <c r="M18" i="12"/>
  <c r="L18" i="12"/>
  <c r="K18" i="12"/>
  <c r="V17" i="12"/>
  <c r="Z17" i="12" s="1"/>
  <c r="U17" i="12"/>
  <c r="Y17" i="12" s="1"/>
  <c r="T17" i="12"/>
  <c r="X17" i="12" s="1"/>
  <c r="S17" i="12"/>
  <c r="W17" i="12" s="1"/>
  <c r="R17" i="12"/>
  <c r="Q17" i="12"/>
  <c r="P17" i="12"/>
  <c r="O17" i="12"/>
  <c r="M17" i="12"/>
  <c r="L17" i="12"/>
  <c r="K17" i="12"/>
  <c r="V16" i="12"/>
  <c r="Z16" i="12" s="1"/>
  <c r="U16" i="12"/>
  <c r="Y16" i="12" s="1"/>
  <c r="T16" i="12"/>
  <c r="X16" i="12" s="1"/>
  <c r="S16" i="12"/>
  <c r="W16" i="12" s="1"/>
  <c r="R16" i="12"/>
  <c r="Q16" i="12"/>
  <c r="P16" i="12"/>
  <c r="O16" i="12"/>
  <c r="M16" i="12"/>
  <c r="L16" i="12"/>
  <c r="K16" i="12"/>
  <c r="V15" i="12"/>
  <c r="Z15" i="12" s="1"/>
  <c r="U15" i="12"/>
  <c r="Y15" i="12" s="1"/>
  <c r="T15" i="12"/>
  <c r="X15" i="12" s="1"/>
  <c r="S15" i="12"/>
  <c r="W15" i="12" s="1"/>
  <c r="R15" i="12"/>
  <c r="Q15" i="12"/>
  <c r="P15" i="12"/>
  <c r="O15" i="12"/>
  <c r="M15" i="12"/>
  <c r="L15" i="12"/>
  <c r="K15" i="12"/>
  <c r="V14" i="12"/>
  <c r="Z14" i="12" s="1"/>
  <c r="U14" i="12"/>
  <c r="Y14" i="12" s="1"/>
  <c r="T14" i="12"/>
  <c r="X14" i="12" s="1"/>
  <c r="S14" i="12"/>
  <c r="W14" i="12" s="1"/>
  <c r="P14" i="12"/>
  <c r="N14" i="12"/>
  <c r="R14" i="12" s="1"/>
  <c r="M14" i="12"/>
  <c r="L14" i="12"/>
  <c r="K14" i="12"/>
  <c r="V13" i="12"/>
  <c r="Z13" i="12" s="1"/>
  <c r="U13" i="12"/>
  <c r="Y13" i="12" s="1"/>
  <c r="T13" i="12"/>
  <c r="X13" i="12" s="1"/>
  <c r="S13" i="12"/>
  <c r="W13" i="12" s="1"/>
  <c r="R13" i="12"/>
  <c r="Q13" i="12"/>
  <c r="P13" i="12"/>
  <c r="O13" i="12"/>
  <c r="M13" i="12"/>
  <c r="L13" i="12"/>
  <c r="K13" i="12"/>
  <c r="V12" i="12"/>
  <c r="Z12" i="12" s="1"/>
  <c r="U12" i="12"/>
  <c r="Y12" i="12" s="1"/>
  <c r="T12" i="12"/>
  <c r="X12" i="12" s="1"/>
  <c r="S12" i="12"/>
  <c r="W12" i="12" s="1"/>
  <c r="R12" i="12"/>
  <c r="Q12" i="12"/>
  <c r="P12" i="12"/>
  <c r="O12" i="12"/>
  <c r="M12" i="12"/>
  <c r="L12" i="12"/>
  <c r="K12" i="12"/>
  <c r="V11" i="12"/>
  <c r="Z11" i="12" s="1"/>
  <c r="U11" i="12"/>
  <c r="Y11" i="12" s="1"/>
  <c r="T11" i="12"/>
  <c r="X11" i="12" s="1"/>
  <c r="S11" i="12"/>
  <c r="W11" i="12" s="1"/>
  <c r="R11" i="12"/>
  <c r="Q11" i="12"/>
  <c r="P11" i="12"/>
  <c r="O11" i="12"/>
  <c r="M11" i="12"/>
  <c r="L11" i="12"/>
  <c r="K11" i="12"/>
  <c r="R10" i="12"/>
  <c r="Q10" i="12"/>
  <c r="P10" i="12"/>
  <c r="O10" i="12"/>
  <c r="M10" i="12"/>
  <c r="L10" i="12"/>
  <c r="K10" i="12"/>
  <c r="V9" i="12"/>
  <c r="U9" i="12"/>
  <c r="T9" i="12"/>
  <c r="S9" i="12"/>
  <c r="Q9" i="12"/>
  <c r="N9" i="12"/>
  <c r="O9" i="12" s="1"/>
  <c r="M9" i="12"/>
  <c r="L9" i="12"/>
  <c r="K9" i="12"/>
  <c r="R8" i="12"/>
  <c r="Q8" i="12"/>
  <c r="P8" i="12"/>
  <c r="O8" i="12"/>
  <c r="M8" i="12"/>
  <c r="L8" i="12"/>
  <c r="K8" i="12"/>
  <c r="R7" i="12"/>
  <c r="Q7" i="12"/>
  <c r="P7" i="12"/>
  <c r="O7" i="12"/>
  <c r="M7" i="12"/>
  <c r="L7" i="12"/>
  <c r="K7" i="12"/>
  <c r="R6" i="12"/>
  <c r="Q6" i="12"/>
  <c r="P6" i="12"/>
  <c r="O6" i="12"/>
  <c r="M6" i="12"/>
  <c r="L6" i="12"/>
  <c r="K6" i="12"/>
  <c r="R5" i="12"/>
  <c r="Q5" i="12"/>
  <c r="P5" i="12"/>
  <c r="O5" i="12"/>
  <c r="M5" i="12"/>
  <c r="L5" i="12"/>
  <c r="K5" i="12"/>
  <c r="T4" i="12"/>
  <c r="S4" i="12"/>
  <c r="R4" i="12"/>
  <c r="Q4" i="12"/>
  <c r="P4" i="12"/>
  <c r="O4" i="12"/>
  <c r="M4" i="12"/>
  <c r="L4" i="12"/>
  <c r="K4" i="12"/>
  <c r="R3" i="12"/>
  <c r="Q3" i="12"/>
  <c r="P3" i="12"/>
  <c r="O3" i="12"/>
  <c r="M3" i="12"/>
  <c r="L3" i="12"/>
  <c r="K3" i="12"/>
  <c r="R2" i="12"/>
  <c r="Q2" i="12"/>
  <c r="P2" i="12"/>
  <c r="O2" i="12"/>
  <c r="M2" i="12"/>
  <c r="L2" i="12"/>
  <c r="K2" i="12"/>
  <c r="Z19" i="11"/>
  <c r="V19" i="11"/>
  <c r="U19" i="11"/>
  <c r="Y19" i="11" s="1"/>
  <c r="T19" i="11"/>
  <c r="X19" i="11" s="1"/>
  <c r="S19" i="11"/>
  <c r="W19" i="11" s="1"/>
  <c r="R19" i="11"/>
  <c r="Q19" i="11"/>
  <c r="P19" i="11"/>
  <c r="O19" i="11"/>
  <c r="M19" i="11"/>
  <c r="L19" i="11"/>
  <c r="K19" i="11"/>
  <c r="V18" i="11"/>
  <c r="Z18" i="11" s="1"/>
  <c r="U18" i="11"/>
  <c r="Y18" i="11" s="1"/>
  <c r="T18" i="11"/>
  <c r="X18" i="11" s="1"/>
  <c r="S18" i="11"/>
  <c r="W18" i="11" s="1"/>
  <c r="R18" i="11"/>
  <c r="Q18" i="11"/>
  <c r="P18" i="11"/>
  <c r="O18" i="11"/>
  <c r="M18" i="11"/>
  <c r="L18" i="11"/>
  <c r="K18" i="11"/>
  <c r="V17" i="11"/>
  <c r="Z17" i="11" s="1"/>
  <c r="U17" i="11"/>
  <c r="Y17" i="11" s="1"/>
  <c r="T17" i="11"/>
  <c r="X17" i="11" s="1"/>
  <c r="S17" i="11"/>
  <c r="W17" i="11" s="1"/>
  <c r="R17" i="11"/>
  <c r="Q17" i="11"/>
  <c r="P17" i="11"/>
  <c r="O17" i="11"/>
  <c r="M17" i="11"/>
  <c r="L17" i="11"/>
  <c r="K17" i="11"/>
  <c r="Y16" i="11"/>
  <c r="V16" i="11"/>
  <c r="Z16" i="11" s="1"/>
  <c r="U16" i="11"/>
  <c r="T16" i="11"/>
  <c r="X16" i="11" s="1"/>
  <c r="S16" i="11"/>
  <c r="W16" i="11" s="1"/>
  <c r="R16" i="11"/>
  <c r="Q16" i="11"/>
  <c r="P16" i="11"/>
  <c r="O16" i="11"/>
  <c r="M16" i="11"/>
  <c r="L16" i="11"/>
  <c r="K16" i="11"/>
  <c r="Z15" i="11"/>
  <c r="Y15" i="11"/>
  <c r="V15" i="11"/>
  <c r="U15" i="11"/>
  <c r="T15" i="11"/>
  <c r="X15" i="11" s="1"/>
  <c r="S15" i="11"/>
  <c r="W15" i="11" s="1"/>
  <c r="R15" i="11"/>
  <c r="Q15" i="11"/>
  <c r="P15" i="11"/>
  <c r="O15" i="11"/>
  <c r="M15" i="11"/>
  <c r="L15" i="11"/>
  <c r="K15" i="11"/>
  <c r="V14" i="11"/>
  <c r="Z14" i="11" s="1"/>
  <c r="U14" i="11"/>
  <c r="Y14" i="11" s="1"/>
  <c r="T14" i="11"/>
  <c r="X14" i="11" s="1"/>
  <c r="S14" i="11"/>
  <c r="W14" i="11" s="1"/>
  <c r="N14" i="11"/>
  <c r="Q14" i="11" s="1"/>
  <c r="M14" i="11"/>
  <c r="L14" i="11"/>
  <c r="K14" i="11"/>
  <c r="Y13" i="11"/>
  <c r="V13" i="11"/>
  <c r="Z13" i="11" s="1"/>
  <c r="U13" i="11"/>
  <c r="T13" i="11"/>
  <c r="X13" i="11" s="1"/>
  <c r="S13" i="11"/>
  <c r="W13" i="11" s="1"/>
  <c r="R13" i="11"/>
  <c r="Q13" i="11"/>
  <c r="P13" i="11"/>
  <c r="O13" i="11"/>
  <c r="M13" i="11"/>
  <c r="L13" i="11"/>
  <c r="K13" i="11"/>
  <c r="V12" i="11"/>
  <c r="Z12" i="11" s="1"/>
  <c r="U12" i="11"/>
  <c r="Y12" i="11" s="1"/>
  <c r="T12" i="11"/>
  <c r="X12" i="11" s="1"/>
  <c r="S12" i="11"/>
  <c r="W12" i="11" s="1"/>
  <c r="N12" i="11"/>
  <c r="R12" i="11" s="1"/>
  <c r="M12" i="11"/>
  <c r="L12" i="11"/>
  <c r="K12" i="11"/>
  <c r="V11" i="11"/>
  <c r="Z11" i="11" s="1"/>
  <c r="U11" i="11"/>
  <c r="Y11" i="11" s="1"/>
  <c r="T11" i="11"/>
  <c r="X11" i="11" s="1"/>
  <c r="S11" i="11"/>
  <c r="W11" i="11" s="1"/>
  <c r="R11" i="11"/>
  <c r="Q11" i="11"/>
  <c r="P11" i="11"/>
  <c r="O11" i="11"/>
  <c r="M11" i="11"/>
  <c r="L11" i="11"/>
  <c r="K11" i="11"/>
  <c r="N10" i="11"/>
  <c r="R10" i="11" s="1"/>
  <c r="M10" i="11"/>
  <c r="L10" i="11"/>
  <c r="K10" i="11"/>
  <c r="V9" i="11"/>
  <c r="U9" i="11"/>
  <c r="T9" i="11"/>
  <c r="S9" i="11"/>
  <c r="N9" i="11"/>
  <c r="R9" i="11" s="1"/>
  <c r="M9" i="11"/>
  <c r="L9" i="11"/>
  <c r="K9" i="11"/>
  <c r="R8" i="11"/>
  <c r="Q8" i="11"/>
  <c r="P8" i="11"/>
  <c r="O8" i="11"/>
  <c r="M8" i="11"/>
  <c r="L8" i="11"/>
  <c r="K8" i="11"/>
  <c r="R7" i="11"/>
  <c r="Q7" i="11"/>
  <c r="P7" i="11"/>
  <c r="O7" i="11"/>
  <c r="M7" i="11"/>
  <c r="L7" i="11"/>
  <c r="K7" i="11"/>
  <c r="R6" i="11"/>
  <c r="Q6" i="11"/>
  <c r="P6" i="11"/>
  <c r="O6" i="11"/>
  <c r="M6" i="11"/>
  <c r="L6" i="11"/>
  <c r="K6" i="11"/>
  <c r="R5" i="11"/>
  <c r="Q5" i="11"/>
  <c r="P5" i="11"/>
  <c r="O5" i="11"/>
  <c r="M5" i="11"/>
  <c r="L5" i="11"/>
  <c r="K5" i="11"/>
  <c r="T4" i="11"/>
  <c r="S4" i="11"/>
  <c r="R4" i="11"/>
  <c r="Q4" i="11"/>
  <c r="P4" i="11"/>
  <c r="O4" i="11"/>
  <c r="M4" i="11"/>
  <c r="L4" i="11"/>
  <c r="K4" i="11"/>
  <c r="R3" i="11"/>
  <c r="Q3" i="11"/>
  <c r="P3" i="11"/>
  <c r="O3" i="11"/>
  <c r="M3" i="11"/>
  <c r="L3" i="11"/>
  <c r="K3" i="11"/>
  <c r="R2" i="11"/>
  <c r="Q2" i="11"/>
  <c r="P2" i="11"/>
  <c r="O2" i="11"/>
  <c r="M2" i="11"/>
  <c r="L2" i="11"/>
  <c r="K2" i="11"/>
  <c r="W22" i="10"/>
  <c r="V22" i="10"/>
  <c r="Z22" i="10" s="1"/>
  <c r="U22" i="10"/>
  <c r="Y22" i="10" s="1"/>
  <c r="T22" i="10"/>
  <c r="X22" i="10" s="1"/>
  <c r="S22" i="10"/>
  <c r="R22" i="10"/>
  <c r="Q22" i="10"/>
  <c r="P22" i="10"/>
  <c r="O22" i="10"/>
  <c r="M22" i="10"/>
  <c r="L22" i="10"/>
  <c r="K22" i="10"/>
  <c r="Z21" i="10"/>
  <c r="V21" i="10"/>
  <c r="U21" i="10"/>
  <c r="Y21" i="10" s="1"/>
  <c r="T21" i="10"/>
  <c r="X21" i="10" s="1"/>
  <c r="S21" i="10"/>
  <c r="W21" i="10" s="1"/>
  <c r="N21" i="10"/>
  <c r="Q21" i="10" s="1"/>
  <c r="M21" i="10"/>
  <c r="L21" i="10"/>
  <c r="K21" i="10"/>
  <c r="Z20" i="10"/>
  <c r="Y20" i="10"/>
  <c r="W20" i="10"/>
  <c r="V20" i="10"/>
  <c r="U20" i="10"/>
  <c r="T20" i="10"/>
  <c r="X20" i="10" s="1"/>
  <c r="S20" i="10"/>
  <c r="N20" i="10"/>
  <c r="Q20" i="10" s="1"/>
  <c r="M20" i="10"/>
  <c r="L20" i="10"/>
  <c r="K20" i="10"/>
  <c r="X19" i="10"/>
  <c r="V19" i="10"/>
  <c r="Z19" i="10" s="1"/>
  <c r="U19" i="10"/>
  <c r="Y19" i="10" s="1"/>
  <c r="T19" i="10"/>
  <c r="S19" i="10"/>
  <c r="W19" i="10" s="1"/>
  <c r="R19" i="10"/>
  <c r="Q19" i="10"/>
  <c r="P19" i="10"/>
  <c r="O19" i="10"/>
  <c r="M19" i="10"/>
  <c r="L19" i="10"/>
  <c r="K19" i="10"/>
  <c r="V18" i="10"/>
  <c r="Z18" i="10" s="1"/>
  <c r="U18" i="10"/>
  <c r="Y18" i="10" s="1"/>
  <c r="T18" i="10"/>
  <c r="X18" i="10" s="1"/>
  <c r="S18" i="10"/>
  <c r="W18" i="10" s="1"/>
  <c r="R18" i="10"/>
  <c r="Q18" i="10"/>
  <c r="P18" i="10"/>
  <c r="O18" i="10"/>
  <c r="M18" i="10"/>
  <c r="L18" i="10"/>
  <c r="K18" i="10"/>
  <c r="X17" i="10"/>
  <c r="V17" i="10"/>
  <c r="Z17" i="10" s="1"/>
  <c r="U17" i="10"/>
  <c r="Y17" i="10" s="1"/>
  <c r="T17" i="10"/>
  <c r="S17" i="10"/>
  <c r="W17" i="10" s="1"/>
  <c r="R17" i="10"/>
  <c r="Q17" i="10"/>
  <c r="P17" i="10"/>
  <c r="O17" i="10"/>
  <c r="M17" i="10"/>
  <c r="L17" i="10"/>
  <c r="K17" i="10"/>
  <c r="Y16" i="10"/>
  <c r="X16" i="10"/>
  <c r="V16" i="10"/>
  <c r="Z16" i="10" s="1"/>
  <c r="U16" i="10"/>
  <c r="T16" i="10"/>
  <c r="S16" i="10"/>
  <c r="W16" i="10" s="1"/>
  <c r="R16" i="10"/>
  <c r="Q16" i="10"/>
  <c r="P16" i="10"/>
  <c r="O16" i="10"/>
  <c r="M16" i="10"/>
  <c r="L16" i="10"/>
  <c r="K16" i="10"/>
  <c r="X15" i="10"/>
  <c r="V15" i="10"/>
  <c r="Z15" i="10" s="1"/>
  <c r="U15" i="10"/>
  <c r="Y15" i="10" s="1"/>
  <c r="T15" i="10"/>
  <c r="S15" i="10"/>
  <c r="W15" i="10" s="1"/>
  <c r="R15" i="10"/>
  <c r="Q15" i="10"/>
  <c r="P15" i="10"/>
  <c r="O15" i="10"/>
  <c r="M15" i="10"/>
  <c r="L15" i="10"/>
  <c r="K15" i="10"/>
  <c r="V14" i="10"/>
  <c r="Z14" i="10" s="1"/>
  <c r="U14" i="10"/>
  <c r="Y14" i="10" s="1"/>
  <c r="T14" i="10"/>
  <c r="X14" i="10" s="1"/>
  <c r="S14" i="10"/>
  <c r="W14" i="10" s="1"/>
  <c r="R14" i="10"/>
  <c r="Q14" i="10"/>
  <c r="P14" i="10"/>
  <c r="O14" i="10"/>
  <c r="N14" i="10"/>
  <c r="M14" i="10"/>
  <c r="L14" i="10"/>
  <c r="K14" i="10"/>
  <c r="V13" i="10"/>
  <c r="Z13" i="10" s="1"/>
  <c r="U13" i="10"/>
  <c r="Y13" i="10" s="1"/>
  <c r="T13" i="10"/>
  <c r="X13" i="10" s="1"/>
  <c r="S13" i="10"/>
  <c r="W13" i="10" s="1"/>
  <c r="R13" i="10"/>
  <c r="Q13" i="10"/>
  <c r="P13" i="10"/>
  <c r="O13" i="10"/>
  <c r="M13" i="10"/>
  <c r="L13" i="10"/>
  <c r="K13" i="10"/>
  <c r="V12" i="10"/>
  <c r="Z12" i="10" s="1"/>
  <c r="U12" i="10"/>
  <c r="Y12" i="10" s="1"/>
  <c r="T12" i="10"/>
  <c r="X12" i="10" s="1"/>
  <c r="S12" i="10"/>
  <c r="W12" i="10" s="1"/>
  <c r="N12" i="10"/>
  <c r="R12" i="10" s="1"/>
  <c r="M12" i="10"/>
  <c r="L12" i="10"/>
  <c r="K12" i="10"/>
  <c r="Z11" i="10"/>
  <c r="V11" i="10"/>
  <c r="U11" i="10"/>
  <c r="Y11" i="10" s="1"/>
  <c r="T11" i="10"/>
  <c r="X11" i="10" s="1"/>
  <c r="S11" i="10"/>
  <c r="W11" i="10" s="1"/>
  <c r="R11" i="10"/>
  <c r="Q11" i="10"/>
  <c r="P11" i="10"/>
  <c r="O11" i="10"/>
  <c r="M11" i="10"/>
  <c r="L11" i="10"/>
  <c r="K11" i="10"/>
  <c r="R10" i="10"/>
  <c r="Q10" i="10"/>
  <c r="P10" i="10"/>
  <c r="O10" i="10"/>
  <c r="M10" i="10"/>
  <c r="L10" i="10"/>
  <c r="K10" i="10"/>
  <c r="V9" i="10"/>
  <c r="U9" i="10"/>
  <c r="T9" i="10"/>
  <c r="S9" i="10"/>
  <c r="N9" i="10"/>
  <c r="Q9" i="10" s="1"/>
  <c r="M9" i="10"/>
  <c r="L9" i="10"/>
  <c r="K9" i="10"/>
  <c r="R8" i="10"/>
  <c r="Q8" i="10"/>
  <c r="P8" i="10"/>
  <c r="O8" i="10"/>
  <c r="M8" i="10"/>
  <c r="L8" i="10"/>
  <c r="K8" i="10"/>
  <c r="R7" i="10"/>
  <c r="Q7" i="10"/>
  <c r="P7" i="10"/>
  <c r="O7" i="10"/>
  <c r="M7" i="10"/>
  <c r="L7" i="10"/>
  <c r="K7" i="10"/>
  <c r="R6" i="10"/>
  <c r="Q6" i="10"/>
  <c r="P6" i="10"/>
  <c r="O6" i="10"/>
  <c r="M6" i="10"/>
  <c r="L6" i="10"/>
  <c r="K6" i="10"/>
  <c r="R5" i="10"/>
  <c r="Q5" i="10"/>
  <c r="P5" i="10"/>
  <c r="O5" i="10"/>
  <c r="M5" i="10"/>
  <c r="L5" i="10"/>
  <c r="K5" i="10"/>
  <c r="T4" i="10"/>
  <c r="S4" i="10"/>
  <c r="R4" i="10"/>
  <c r="Q4" i="10"/>
  <c r="P4" i="10"/>
  <c r="O4" i="10"/>
  <c r="M4" i="10"/>
  <c r="L4" i="10"/>
  <c r="K4" i="10"/>
  <c r="R3" i="10"/>
  <c r="Q3" i="10"/>
  <c r="P3" i="10"/>
  <c r="O3" i="10"/>
  <c r="M3" i="10"/>
  <c r="L3" i="10"/>
  <c r="K3" i="10"/>
  <c r="R2" i="10"/>
  <c r="Q2" i="10"/>
  <c r="P2" i="10"/>
  <c r="O2" i="10"/>
  <c r="M2" i="10"/>
  <c r="L2" i="10"/>
  <c r="K2" i="10"/>
  <c r="V20" i="9"/>
  <c r="Z20" i="9" s="1"/>
  <c r="U20" i="9"/>
  <c r="Y20" i="9" s="1"/>
  <c r="T20" i="9"/>
  <c r="X20" i="9" s="1"/>
  <c r="S20" i="9"/>
  <c r="W20" i="9" s="1"/>
  <c r="R20" i="9"/>
  <c r="Q20" i="9"/>
  <c r="P20" i="9"/>
  <c r="O20" i="9"/>
  <c r="M20" i="9"/>
  <c r="L20" i="9"/>
  <c r="K20" i="9"/>
  <c r="V19" i="9"/>
  <c r="Z19" i="9" s="1"/>
  <c r="U19" i="9"/>
  <c r="Y19" i="9" s="1"/>
  <c r="T19" i="9"/>
  <c r="X19" i="9" s="1"/>
  <c r="S19" i="9"/>
  <c r="W19" i="9" s="1"/>
  <c r="N19" i="9"/>
  <c r="Q19" i="9" s="1"/>
  <c r="M19" i="9"/>
  <c r="L19" i="9"/>
  <c r="K19" i="9"/>
  <c r="Z18" i="9"/>
  <c r="V18" i="9"/>
  <c r="U18" i="9"/>
  <c r="Y18" i="9" s="1"/>
  <c r="T18" i="9"/>
  <c r="X18" i="9" s="1"/>
  <c r="S18" i="9"/>
  <c r="W18" i="9" s="1"/>
  <c r="R18" i="9"/>
  <c r="Q18" i="9"/>
  <c r="P18" i="9"/>
  <c r="O18" i="9"/>
  <c r="M18" i="9"/>
  <c r="L18" i="9"/>
  <c r="K18" i="9"/>
  <c r="V17" i="9"/>
  <c r="Z17" i="9" s="1"/>
  <c r="U17" i="9"/>
  <c r="Y17" i="9" s="1"/>
  <c r="T17" i="9"/>
  <c r="X17" i="9" s="1"/>
  <c r="S17" i="9"/>
  <c r="W17" i="9" s="1"/>
  <c r="R17" i="9"/>
  <c r="Q17" i="9"/>
  <c r="P17" i="9"/>
  <c r="O17" i="9"/>
  <c r="M17" i="9"/>
  <c r="L17" i="9"/>
  <c r="K17" i="9"/>
  <c r="Y16" i="9"/>
  <c r="V16" i="9"/>
  <c r="Z16" i="9" s="1"/>
  <c r="U16" i="9"/>
  <c r="T16" i="9"/>
  <c r="X16" i="9" s="1"/>
  <c r="S16" i="9"/>
  <c r="W16" i="9" s="1"/>
  <c r="R16" i="9"/>
  <c r="Q16" i="9"/>
  <c r="P16" i="9"/>
  <c r="O16" i="9"/>
  <c r="M16" i="9"/>
  <c r="L16" i="9"/>
  <c r="K16" i="9"/>
  <c r="V15" i="9"/>
  <c r="Z15" i="9" s="1"/>
  <c r="U15" i="9"/>
  <c r="Y15" i="9" s="1"/>
  <c r="T15" i="9"/>
  <c r="X15" i="9" s="1"/>
  <c r="S15" i="9"/>
  <c r="W15" i="9" s="1"/>
  <c r="R15" i="9"/>
  <c r="Q15" i="9"/>
  <c r="P15" i="9"/>
  <c r="O15" i="9"/>
  <c r="M15" i="9"/>
  <c r="L15" i="9"/>
  <c r="K15" i="9"/>
  <c r="W14" i="9"/>
  <c r="V14" i="9"/>
  <c r="Z14" i="9" s="1"/>
  <c r="U14" i="9"/>
  <c r="Y14" i="9" s="1"/>
  <c r="T14" i="9"/>
  <c r="X14" i="9" s="1"/>
  <c r="S14" i="9"/>
  <c r="R14" i="9"/>
  <c r="Q14" i="9"/>
  <c r="P14" i="9"/>
  <c r="O14" i="9"/>
  <c r="M14" i="9"/>
  <c r="L14" i="9"/>
  <c r="K14" i="9"/>
  <c r="W13" i="9"/>
  <c r="V13" i="9"/>
  <c r="Z13" i="9" s="1"/>
  <c r="U13" i="9"/>
  <c r="Y13" i="9" s="1"/>
  <c r="T13" i="9"/>
  <c r="X13" i="9" s="1"/>
  <c r="S13" i="9"/>
  <c r="R13" i="9"/>
  <c r="Q13" i="9"/>
  <c r="P13" i="9"/>
  <c r="O13" i="9"/>
  <c r="M13" i="9"/>
  <c r="L13" i="9"/>
  <c r="K13" i="9"/>
  <c r="Z12" i="9"/>
  <c r="Y12" i="9"/>
  <c r="X12" i="9"/>
  <c r="V12" i="9"/>
  <c r="U12" i="9"/>
  <c r="T12" i="9"/>
  <c r="S12" i="9"/>
  <c r="W12" i="9" s="1"/>
  <c r="Q12" i="9"/>
  <c r="N12" i="9"/>
  <c r="O12" i="9" s="1"/>
  <c r="M12" i="9"/>
  <c r="L12" i="9"/>
  <c r="K12" i="9"/>
  <c r="X11" i="9"/>
  <c r="W11" i="9"/>
  <c r="V11" i="9"/>
  <c r="Z11" i="9" s="1"/>
  <c r="U11" i="9"/>
  <c r="Y11" i="9" s="1"/>
  <c r="T11" i="9"/>
  <c r="S11" i="9"/>
  <c r="R11" i="9"/>
  <c r="Q11" i="9"/>
  <c r="P11" i="9"/>
  <c r="O11" i="9"/>
  <c r="M11" i="9"/>
  <c r="L11" i="9"/>
  <c r="K11" i="9"/>
  <c r="Z10" i="9"/>
  <c r="Y10" i="9"/>
  <c r="X10" i="9"/>
  <c r="V10" i="9"/>
  <c r="U10" i="9"/>
  <c r="T10" i="9"/>
  <c r="S10" i="9"/>
  <c r="W10" i="9" s="1"/>
  <c r="N10" i="9"/>
  <c r="R10" i="9" s="1"/>
  <c r="M10" i="9"/>
  <c r="L10" i="9"/>
  <c r="K10" i="9"/>
  <c r="V9" i="9"/>
  <c r="U9" i="9"/>
  <c r="T9" i="9"/>
  <c r="S9" i="9"/>
  <c r="N9" i="9"/>
  <c r="R9" i="9" s="1"/>
  <c r="M9" i="9"/>
  <c r="L9" i="9"/>
  <c r="K9" i="9"/>
  <c r="R8" i="9"/>
  <c r="Q8" i="9"/>
  <c r="P8" i="9"/>
  <c r="O8" i="9"/>
  <c r="M8" i="9"/>
  <c r="L8" i="9"/>
  <c r="K8" i="9"/>
  <c r="R7" i="9"/>
  <c r="Q7" i="9"/>
  <c r="P7" i="9"/>
  <c r="O7" i="9"/>
  <c r="M7" i="9"/>
  <c r="L7" i="9"/>
  <c r="K7" i="9"/>
  <c r="R6" i="9"/>
  <c r="Q6" i="9"/>
  <c r="P6" i="9"/>
  <c r="O6" i="9"/>
  <c r="M6" i="9"/>
  <c r="L6" i="9"/>
  <c r="K6" i="9"/>
  <c r="R5" i="9"/>
  <c r="Q5" i="9"/>
  <c r="P5" i="9"/>
  <c r="O5" i="9"/>
  <c r="M5" i="9"/>
  <c r="L5" i="9"/>
  <c r="K5" i="9"/>
  <c r="T4" i="9"/>
  <c r="S4" i="9"/>
  <c r="R4" i="9"/>
  <c r="Q4" i="9"/>
  <c r="P4" i="9"/>
  <c r="O4" i="9"/>
  <c r="M4" i="9"/>
  <c r="L4" i="9"/>
  <c r="K4" i="9"/>
  <c r="R3" i="9"/>
  <c r="Q3" i="9"/>
  <c r="P3" i="9"/>
  <c r="O3" i="9"/>
  <c r="M3" i="9"/>
  <c r="L3" i="9"/>
  <c r="K3" i="9"/>
  <c r="R2" i="9"/>
  <c r="Q2" i="9"/>
  <c r="P2" i="9"/>
  <c r="O2" i="9"/>
  <c r="M2" i="9"/>
  <c r="L2" i="9"/>
  <c r="K2" i="9"/>
  <c r="V20" i="8"/>
  <c r="Z20" i="8" s="1"/>
  <c r="U20" i="8"/>
  <c r="Y20" i="8" s="1"/>
  <c r="T20" i="8"/>
  <c r="X20" i="8" s="1"/>
  <c r="S20" i="8"/>
  <c r="W20" i="8" s="1"/>
  <c r="R20" i="8"/>
  <c r="Q20" i="8"/>
  <c r="P20" i="8"/>
  <c r="O20" i="8"/>
  <c r="M20" i="8"/>
  <c r="L20" i="8"/>
  <c r="K20" i="8"/>
  <c r="Y19" i="8"/>
  <c r="V19" i="8"/>
  <c r="Z19" i="8" s="1"/>
  <c r="U19" i="8"/>
  <c r="T19" i="8"/>
  <c r="X19" i="8" s="1"/>
  <c r="S19" i="8"/>
  <c r="W19" i="8" s="1"/>
  <c r="R19" i="8"/>
  <c r="Q19" i="8"/>
  <c r="P19" i="8"/>
  <c r="O19" i="8"/>
  <c r="M19" i="8"/>
  <c r="L19" i="8"/>
  <c r="K19" i="8"/>
  <c r="V18" i="8"/>
  <c r="Z18" i="8" s="1"/>
  <c r="U18" i="8"/>
  <c r="Y18" i="8" s="1"/>
  <c r="T18" i="8"/>
  <c r="X18" i="8" s="1"/>
  <c r="S18" i="8"/>
  <c r="W18" i="8" s="1"/>
  <c r="R18" i="8"/>
  <c r="Q18" i="8"/>
  <c r="P18" i="8"/>
  <c r="O18" i="8"/>
  <c r="M18" i="8"/>
  <c r="L18" i="8"/>
  <c r="K18" i="8"/>
  <c r="V17" i="8"/>
  <c r="Z17" i="8" s="1"/>
  <c r="U17" i="8"/>
  <c r="Y17" i="8" s="1"/>
  <c r="T17" i="8"/>
  <c r="X17" i="8" s="1"/>
  <c r="S17" i="8"/>
  <c r="W17" i="8" s="1"/>
  <c r="R17" i="8"/>
  <c r="Q17" i="8"/>
  <c r="P17" i="8"/>
  <c r="O17" i="8"/>
  <c r="M17" i="8"/>
  <c r="L17" i="8"/>
  <c r="K17" i="8"/>
  <c r="V16" i="8"/>
  <c r="Z16" i="8" s="1"/>
  <c r="U16" i="8"/>
  <c r="Y16" i="8" s="1"/>
  <c r="T16" i="8"/>
  <c r="X16" i="8" s="1"/>
  <c r="S16" i="8"/>
  <c r="W16" i="8" s="1"/>
  <c r="R16" i="8"/>
  <c r="Q16" i="8"/>
  <c r="P16" i="8"/>
  <c r="O16" i="8"/>
  <c r="M16" i="8"/>
  <c r="L16" i="8"/>
  <c r="K16" i="8"/>
  <c r="V15" i="8"/>
  <c r="Z15" i="8" s="1"/>
  <c r="U15" i="8"/>
  <c r="Y15" i="8" s="1"/>
  <c r="T15" i="8"/>
  <c r="X15" i="8" s="1"/>
  <c r="S15" i="8"/>
  <c r="W15" i="8" s="1"/>
  <c r="R15" i="8"/>
  <c r="Q15" i="8"/>
  <c r="P15" i="8"/>
  <c r="O15" i="8"/>
  <c r="M15" i="8"/>
  <c r="L15" i="8"/>
  <c r="K15" i="8"/>
  <c r="V14" i="8"/>
  <c r="Z14" i="8" s="1"/>
  <c r="U14" i="8"/>
  <c r="Y14" i="8" s="1"/>
  <c r="T14" i="8"/>
  <c r="X14" i="8" s="1"/>
  <c r="S14" i="8"/>
  <c r="W14" i="8" s="1"/>
  <c r="R14" i="8"/>
  <c r="Q14" i="8"/>
  <c r="P14" i="8"/>
  <c r="O14" i="8"/>
  <c r="M14" i="8"/>
  <c r="L14" i="8"/>
  <c r="K14" i="8"/>
  <c r="V13" i="8"/>
  <c r="Z13" i="8" s="1"/>
  <c r="U13" i="8"/>
  <c r="Y13" i="8" s="1"/>
  <c r="T13" i="8"/>
  <c r="X13" i="8" s="1"/>
  <c r="S13" i="8"/>
  <c r="W13" i="8" s="1"/>
  <c r="R13" i="8"/>
  <c r="Q13" i="8"/>
  <c r="P13" i="8"/>
  <c r="O13" i="8"/>
  <c r="M13" i="8"/>
  <c r="L13" i="8"/>
  <c r="K13" i="8"/>
  <c r="W12" i="8"/>
  <c r="V12" i="8"/>
  <c r="Z12" i="8" s="1"/>
  <c r="U12" i="8"/>
  <c r="Y12" i="8" s="1"/>
  <c r="T12" i="8"/>
  <c r="X12" i="8" s="1"/>
  <c r="S12" i="8"/>
  <c r="P12" i="8"/>
  <c r="N12" i="8"/>
  <c r="R12" i="8" s="1"/>
  <c r="M12" i="8"/>
  <c r="L12" i="8"/>
  <c r="K12" i="8"/>
  <c r="W11" i="8"/>
  <c r="V11" i="8"/>
  <c r="Z11" i="8" s="1"/>
  <c r="U11" i="8"/>
  <c r="Y11" i="8" s="1"/>
  <c r="T11" i="8"/>
  <c r="X11" i="8" s="1"/>
  <c r="S11" i="8"/>
  <c r="R11" i="8"/>
  <c r="Q11" i="8"/>
  <c r="P11" i="8"/>
  <c r="O11" i="8"/>
  <c r="M11" i="8"/>
  <c r="L11" i="8"/>
  <c r="K11" i="8"/>
  <c r="W10" i="8"/>
  <c r="V10" i="8"/>
  <c r="Z10" i="8" s="1"/>
  <c r="U10" i="8"/>
  <c r="Y10" i="8" s="1"/>
  <c r="T10" i="8"/>
  <c r="X10" i="8" s="1"/>
  <c r="S10" i="8"/>
  <c r="R10" i="8"/>
  <c r="Q10" i="8"/>
  <c r="P10" i="8"/>
  <c r="O10" i="8"/>
  <c r="M10" i="8"/>
  <c r="L10" i="8"/>
  <c r="K10" i="8"/>
  <c r="R9" i="8"/>
  <c r="Q9" i="8"/>
  <c r="P9" i="8"/>
  <c r="O9" i="8"/>
  <c r="M9" i="8"/>
  <c r="L9" i="8"/>
  <c r="K9" i="8"/>
  <c r="V8" i="8"/>
  <c r="U8" i="8"/>
  <c r="T8" i="8"/>
  <c r="S8" i="8"/>
  <c r="N8" i="8"/>
  <c r="O8" i="8" s="1"/>
  <c r="M8" i="8"/>
  <c r="L8" i="8"/>
  <c r="K8" i="8"/>
  <c r="R7" i="8"/>
  <c r="Q7" i="8"/>
  <c r="P7" i="8"/>
  <c r="O7" i="8"/>
  <c r="M7" i="8"/>
  <c r="L7" i="8"/>
  <c r="K7" i="8"/>
  <c r="R6" i="8"/>
  <c r="Q6" i="8"/>
  <c r="P6" i="8"/>
  <c r="O6" i="8"/>
  <c r="M6" i="8"/>
  <c r="L6" i="8"/>
  <c r="K6" i="8"/>
  <c r="R5" i="8"/>
  <c r="Q5" i="8"/>
  <c r="P5" i="8"/>
  <c r="O5" i="8"/>
  <c r="M5" i="8"/>
  <c r="L5" i="8"/>
  <c r="K5" i="8"/>
  <c r="T4" i="8"/>
  <c r="S4" i="8"/>
  <c r="R4" i="8"/>
  <c r="Q4" i="8"/>
  <c r="P4" i="8"/>
  <c r="O4" i="8"/>
  <c r="M4" i="8"/>
  <c r="L4" i="8"/>
  <c r="K4" i="8"/>
  <c r="R3" i="8"/>
  <c r="Q3" i="8"/>
  <c r="P3" i="8"/>
  <c r="O3" i="8"/>
  <c r="M3" i="8"/>
  <c r="L3" i="8"/>
  <c r="K3" i="8"/>
  <c r="R2" i="8"/>
  <c r="Q2" i="8"/>
  <c r="P2" i="8"/>
  <c r="O2" i="8"/>
  <c r="M2" i="8"/>
  <c r="L2" i="8"/>
  <c r="K2" i="8"/>
  <c r="V20" i="7"/>
  <c r="Z20" i="7" s="1"/>
  <c r="U20" i="7"/>
  <c r="Y20" i="7" s="1"/>
  <c r="T20" i="7"/>
  <c r="X20" i="7" s="1"/>
  <c r="S20" i="7"/>
  <c r="W20" i="7" s="1"/>
  <c r="R20" i="7"/>
  <c r="Q20" i="7"/>
  <c r="P20" i="7"/>
  <c r="O20" i="7"/>
  <c r="M20" i="7"/>
  <c r="L20" i="7"/>
  <c r="K20" i="7"/>
  <c r="V19" i="7"/>
  <c r="Z19" i="7" s="1"/>
  <c r="U19" i="7"/>
  <c r="Y19" i="7" s="1"/>
  <c r="T19" i="7"/>
  <c r="X19" i="7" s="1"/>
  <c r="S19" i="7"/>
  <c r="W19" i="7" s="1"/>
  <c r="R19" i="7"/>
  <c r="Q19" i="7"/>
  <c r="P19" i="7"/>
  <c r="O19" i="7"/>
  <c r="M19" i="7"/>
  <c r="L19" i="7"/>
  <c r="K19" i="7"/>
  <c r="X18" i="7"/>
  <c r="W18" i="7"/>
  <c r="V18" i="7"/>
  <c r="Z18" i="7" s="1"/>
  <c r="U18" i="7"/>
  <c r="Y18" i="7" s="1"/>
  <c r="T18" i="7"/>
  <c r="S18" i="7"/>
  <c r="R18" i="7"/>
  <c r="Q18" i="7"/>
  <c r="P18" i="7"/>
  <c r="O18" i="7"/>
  <c r="M18" i="7"/>
  <c r="L18" i="7"/>
  <c r="K18" i="7"/>
  <c r="Z17" i="7"/>
  <c r="Y17" i="7"/>
  <c r="V17" i="7"/>
  <c r="U17" i="7"/>
  <c r="T17" i="7"/>
  <c r="X17" i="7" s="1"/>
  <c r="S17" i="7"/>
  <c r="W17" i="7" s="1"/>
  <c r="R17" i="7"/>
  <c r="Q17" i="7"/>
  <c r="P17" i="7"/>
  <c r="O17" i="7"/>
  <c r="M17" i="7"/>
  <c r="L17" i="7"/>
  <c r="K17" i="7"/>
  <c r="Y16" i="7"/>
  <c r="V16" i="7"/>
  <c r="Z16" i="7" s="1"/>
  <c r="U16" i="7"/>
  <c r="T16" i="7"/>
  <c r="X16" i="7" s="1"/>
  <c r="S16" i="7"/>
  <c r="W16" i="7" s="1"/>
  <c r="R16" i="7"/>
  <c r="Q16" i="7"/>
  <c r="P16" i="7"/>
  <c r="O16" i="7"/>
  <c r="M16" i="7"/>
  <c r="L16" i="7"/>
  <c r="K16" i="7"/>
  <c r="Y15" i="7"/>
  <c r="V15" i="7"/>
  <c r="Z15" i="7" s="1"/>
  <c r="U15" i="7"/>
  <c r="T15" i="7"/>
  <c r="X15" i="7" s="1"/>
  <c r="S15" i="7"/>
  <c r="W15" i="7" s="1"/>
  <c r="R15" i="7"/>
  <c r="Q15" i="7"/>
  <c r="P15" i="7"/>
  <c r="O15" i="7"/>
  <c r="M15" i="7"/>
  <c r="L15" i="7"/>
  <c r="K15" i="7"/>
  <c r="V14" i="7"/>
  <c r="Z14" i="7" s="1"/>
  <c r="U14" i="7"/>
  <c r="Y14" i="7" s="1"/>
  <c r="T14" i="7"/>
  <c r="X14" i="7" s="1"/>
  <c r="S14" i="7"/>
  <c r="W14" i="7" s="1"/>
  <c r="N14" i="7"/>
  <c r="O14" i="7" s="1"/>
  <c r="M14" i="7"/>
  <c r="L14" i="7"/>
  <c r="K14" i="7"/>
  <c r="V13" i="7"/>
  <c r="Z13" i="7" s="1"/>
  <c r="U13" i="7"/>
  <c r="Y13" i="7" s="1"/>
  <c r="T13" i="7"/>
  <c r="X13" i="7" s="1"/>
  <c r="S13" i="7"/>
  <c r="W13" i="7" s="1"/>
  <c r="R13" i="7"/>
  <c r="Q13" i="7"/>
  <c r="P13" i="7"/>
  <c r="O13" i="7"/>
  <c r="M13" i="7"/>
  <c r="L13" i="7"/>
  <c r="K13" i="7"/>
  <c r="Z12" i="7"/>
  <c r="Y12" i="7"/>
  <c r="W12" i="7"/>
  <c r="V12" i="7"/>
  <c r="U12" i="7"/>
  <c r="T12" i="7"/>
  <c r="X12" i="7" s="1"/>
  <c r="S12" i="7"/>
  <c r="R12" i="7"/>
  <c r="N12" i="7"/>
  <c r="O12" i="7" s="1"/>
  <c r="M12" i="7"/>
  <c r="L12" i="7"/>
  <c r="K12" i="7"/>
  <c r="X11" i="7"/>
  <c r="W11" i="7"/>
  <c r="V11" i="7"/>
  <c r="Z11" i="7" s="1"/>
  <c r="U11" i="7"/>
  <c r="Y11" i="7" s="1"/>
  <c r="T11" i="7"/>
  <c r="S11" i="7"/>
  <c r="R11" i="7"/>
  <c r="Q11" i="7"/>
  <c r="P11" i="7"/>
  <c r="O11" i="7"/>
  <c r="M11" i="7"/>
  <c r="L11" i="7"/>
  <c r="K11" i="7"/>
  <c r="R10" i="7"/>
  <c r="Q10" i="7"/>
  <c r="P10" i="7"/>
  <c r="O10" i="7"/>
  <c r="M10" i="7"/>
  <c r="L10" i="7"/>
  <c r="K10" i="7"/>
  <c r="V9" i="7"/>
  <c r="U9" i="7"/>
  <c r="T9" i="7"/>
  <c r="S9" i="7"/>
  <c r="R9" i="7"/>
  <c r="Q9" i="7"/>
  <c r="P9" i="7"/>
  <c r="O9" i="7"/>
  <c r="N9" i="7"/>
  <c r="M9" i="7"/>
  <c r="L9" i="7"/>
  <c r="K9" i="7"/>
  <c r="R8" i="7"/>
  <c r="Q8" i="7"/>
  <c r="P8" i="7"/>
  <c r="O8" i="7"/>
  <c r="M8" i="7"/>
  <c r="L8" i="7"/>
  <c r="K8" i="7"/>
  <c r="R7" i="7"/>
  <c r="Q7" i="7"/>
  <c r="P7" i="7"/>
  <c r="O7" i="7"/>
  <c r="M7" i="7"/>
  <c r="L7" i="7"/>
  <c r="K7" i="7"/>
  <c r="R6" i="7"/>
  <c r="Q6" i="7"/>
  <c r="P6" i="7"/>
  <c r="O6" i="7"/>
  <c r="M6" i="7"/>
  <c r="L6" i="7"/>
  <c r="K6" i="7"/>
  <c r="R5" i="7"/>
  <c r="Q5" i="7"/>
  <c r="P5" i="7"/>
  <c r="O5" i="7"/>
  <c r="M5" i="7"/>
  <c r="L5" i="7"/>
  <c r="K5" i="7"/>
  <c r="T4" i="7"/>
  <c r="S4" i="7"/>
  <c r="R4" i="7"/>
  <c r="Q4" i="7"/>
  <c r="P4" i="7"/>
  <c r="O4" i="7"/>
  <c r="M4" i="7"/>
  <c r="L4" i="7"/>
  <c r="K4" i="7"/>
  <c r="R3" i="7"/>
  <c r="Q3" i="7"/>
  <c r="P3" i="7"/>
  <c r="O3" i="7"/>
  <c r="M3" i="7"/>
  <c r="L3" i="7"/>
  <c r="K3" i="7"/>
  <c r="R2" i="7"/>
  <c r="Q2" i="7"/>
  <c r="P2" i="7"/>
  <c r="O2" i="7"/>
  <c r="M2" i="7"/>
  <c r="L2" i="7"/>
  <c r="K2" i="7"/>
  <c r="V20" i="6"/>
  <c r="Z20" i="6" s="1"/>
  <c r="U20" i="6"/>
  <c r="Y20" i="6" s="1"/>
  <c r="T20" i="6"/>
  <c r="X20" i="6" s="1"/>
  <c r="S20" i="6"/>
  <c r="W20" i="6" s="1"/>
  <c r="R20" i="6"/>
  <c r="Q20" i="6"/>
  <c r="P20" i="6"/>
  <c r="O20" i="6"/>
  <c r="M20" i="6"/>
  <c r="L20" i="6"/>
  <c r="K20" i="6"/>
  <c r="V19" i="6"/>
  <c r="Z19" i="6" s="1"/>
  <c r="U19" i="6"/>
  <c r="Y19" i="6" s="1"/>
  <c r="T19" i="6"/>
  <c r="X19" i="6" s="1"/>
  <c r="S19" i="6"/>
  <c r="W19" i="6" s="1"/>
  <c r="N19" i="6"/>
  <c r="Q19" i="6" s="1"/>
  <c r="M19" i="6"/>
  <c r="L19" i="6"/>
  <c r="K19" i="6"/>
  <c r="V18" i="6"/>
  <c r="Z18" i="6" s="1"/>
  <c r="U18" i="6"/>
  <c r="Y18" i="6" s="1"/>
  <c r="T18" i="6"/>
  <c r="X18" i="6" s="1"/>
  <c r="S18" i="6"/>
  <c r="W18" i="6" s="1"/>
  <c r="N18" i="6"/>
  <c r="R18" i="6" s="1"/>
  <c r="M18" i="6"/>
  <c r="L18" i="6"/>
  <c r="K18" i="6"/>
  <c r="X17" i="6"/>
  <c r="V17" i="6"/>
  <c r="Z17" i="6" s="1"/>
  <c r="U17" i="6"/>
  <c r="Y17" i="6" s="1"/>
  <c r="T17" i="6"/>
  <c r="S17" i="6"/>
  <c r="W17" i="6" s="1"/>
  <c r="R17" i="6"/>
  <c r="Q17" i="6"/>
  <c r="P17" i="6"/>
  <c r="O17" i="6"/>
  <c r="M17" i="6"/>
  <c r="L17" i="6"/>
  <c r="K17" i="6"/>
  <c r="V16" i="6"/>
  <c r="Z16" i="6" s="1"/>
  <c r="U16" i="6"/>
  <c r="Y16" i="6" s="1"/>
  <c r="T16" i="6"/>
  <c r="X16" i="6" s="1"/>
  <c r="S16" i="6"/>
  <c r="W16" i="6" s="1"/>
  <c r="R16" i="6"/>
  <c r="Q16" i="6"/>
  <c r="P16" i="6"/>
  <c r="O16" i="6"/>
  <c r="M16" i="6"/>
  <c r="L16" i="6"/>
  <c r="K16" i="6"/>
  <c r="Z15" i="6"/>
  <c r="V15" i="6"/>
  <c r="U15" i="6"/>
  <c r="Y15" i="6" s="1"/>
  <c r="T15" i="6"/>
  <c r="X15" i="6" s="1"/>
  <c r="S15" i="6"/>
  <c r="W15" i="6" s="1"/>
  <c r="R15" i="6"/>
  <c r="Q15" i="6"/>
  <c r="P15" i="6"/>
  <c r="O15" i="6"/>
  <c r="M15" i="6"/>
  <c r="L15" i="6"/>
  <c r="K15" i="6"/>
  <c r="V14" i="6"/>
  <c r="Z14" i="6" s="1"/>
  <c r="U14" i="6"/>
  <c r="Y14" i="6" s="1"/>
  <c r="T14" i="6"/>
  <c r="X14" i="6" s="1"/>
  <c r="S14" i="6"/>
  <c r="W14" i="6" s="1"/>
  <c r="R14" i="6"/>
  <c r="Q14" i="6"/>
  <c r="P14" i="6"/>
  <c r="O14" i="6"/>
  <c r="M14" i="6"/>
  <c r="L14" i="6"/>
  <c r="K14" i="6"/>
  <c r="V13" i="6"/>
  <c r="Z13" i="6" s="1"/>
  <c r="U13" i="6"/>
  <c r="Y13" i="6" s="1"/>
  <c r="T13" i="6"/>
  <c r="X13" i="6" s="1"/>
  <c r="S13" i="6"/>
  <c r="W13" i="6" s="1"/>
  <c r="R13" i="6"/>
  <c r="Q13" i="6"/>
  <c r="P13" i="6"/>
  <c r="O13" i="6"/>
  <c r="M13" i="6"/>
  <c r="L13" i="6"/>
  <c r="K13" i="6"/>
  <c r="V12" i="6"/>
  <c r="Z12" i="6" s="1"/>
  <c r="U12" i="6"/>
  <c r="Y12" i="6" s="1"/>
  <c r="T12" i="6"/>
  <c r="X12" i="6" s="1"/>
  <c r="S12" i="6"/>
  <c r="W12" i="6" s="1"/>
  <c r="R12" i="6"/>
  <c r="O12" i="6"/>
  <c r="N12" i="6"/>
  <c r="P12" i="6" s="1"/>
  <c r="M12" i="6"/>
  <c r="L12" i="6"/>
  <c r="K12" i="6"/>
  <c r="V11" i="6"/>
  <c r="Z11" i="6" s="1"/>
  <c r="U11" i="6"/>
  <c r="Y11" i="6" s="1"/>
  <c r="T11" i="6"/>
  <c r="X11" i="6" s="1"/>
  <c r="S11" i="6"/>
  <c r="W11" i="6" s="1"/>
  <c r="R11" i="6"/>
  <c r="Q11" i="6"/>
  <c r="P11" i="6"/>
  <c r="O11" i="6"/>
  <c r="M11" i="6"/>
  <c r="L11" i="6"/>
  <c r="K11" i="6"/>
  <c r="V10" i="6"/>
  <c r="Z10" i="6" s="1"/>
  <c r="U10" i="6"/>
  <c r="Y10" i="6" s="1"/>
  <c r="T10" i="6"/>
  <c r="X10" i="6" s="1"/>
  <c r="R10" i="6"/>
  <c r="N10" i="6"/>
  <c r="Q10" i="6" s="1"/>
  <c r="M10" i="6"/>
  <c r="L10" i="6"/>
  <c r="K10" i="6"/>
  <c r="V9" i="6"/>
  <c r="U9" i="6"/>
  <c r="T9" i="6"/>
  <c r="S9" i="6"/>
  <c r="R9" i="6"/>
  <c r="N9" i="6"/>
  <c r="Q9" i="6" s="1"/>
  <c r="M9" i="6"/>
  <c r="L9" i="6"/>
  <c r="K9" i="6"/>
  <c r="R8" i="6"/>
  <c r="Q8" i="6"/>
  <c r="P8" i="6"/>
  <c r="O8" i="6"/>
  <c r="M8" i="6"/>
  <c r="L8" i="6"/>
  <c r="K8" i="6"/>
  <c r="R7" i="6"/>
  <c r="Q7" i="6"/>
  <c r="P7" i="6"/>
  <c r="O7" i="6"/>
  <c r="M7" i="6"/>
  <c r="L7" i="6"/>
  <c r="K7" i="6"/>
  <c r="R6" i="6"/>
  <c r="Q6" i="6"/>
  <c r="P6" i="6"/>
  <c r="O6" i="6"/>
  <c r="M6" i="6"/>
  <c r="L6" i="6"/>
  <c r="K6" i="6"/>
  <c r="R5" i="6"/>
  <c r="Q5" i="6"/>
  <c r="P5" i="6"/>
  <c r="O5" i="6"/>
  <c r="M5" i="6"/>
  <c r="L5" i="6"/>
  <c r="K5" i="6"/>
  <c r="T4" i="6"/>
  <c r="S4" i="6"/>
  <c r="R4" i="6"/>
  <c r="Q4" i="6"/>
  <c r="P4" i="6"/>
  <c r="O4" i="6"/>
  <c r="M4" i="6"/>
  <c r="L4" i="6"/>
  <c r="K4" i="6"/>
  <c r="R3" i="6"/>
  <c r="Q3" i="6"/>
  <c r="P3" i="6"/>
  <c r="O3" i="6"/>
  <c r="M3" i="6"/>
  <c r="L3" i="6"/>
  <c r="K3" i="6"/>
  <c r="R2" i="6"/>
  <c r="Q2" i="6"/>
  <c r="P2" i="6"/>
  <c r="O2" i="6"/>
  <c r="M2" i="6"/>
  <c r="L2" i="6"/>
  <c r="K2" i="6"/>
  <c r="V19" i="5"/>
  <c r="Z19" i="5" s="1"/>
  <c r="U19" i="5"/>
  <c r="Y19" i="5" s="1"/>
  <c r="T19" i="5"/>
  <c r="X19" i="5" s="1"/>
  <c r="S19" i="5"/>
  <c r="W19" i="5" s="1"/>
  <c r="R19" i="5"/>
  <c r="Q19" i="5"/>
  <c r="P19" i="5"/>
  <c r="O19" i="5"/>
  <c r="M19" i="5"/>
  <c r="L19" i="5"/>
  <c r="K19" i="5"/>
  <c r="V18" i="5"/>
  <c r="Z18" i="5" s="1"/>
  <c r="U18" i="5"/>
  <c r="Y18" i="5" s="1"/>
  <c r="T18" i="5"/>
  <c r="X18" i="5" s="1"/>
  <c r="S18" i="5"/>
  <c r="W18" i="5" s="1"/>
  <c r="N18" i="5"/>
  <c r="Q18" i="5" s="1"/>
  <c r="M18" i="5"/>
  <c r="L18" i="5"/>
  <c r="K18" i="5"/>
  <c r="Y17" i="5"/>
  <c r="X17" i="5"/>
  <c r="W17" i="5"/>
  <c r="V17" i="5"/>
  <c r="Z17" i="5" s="1"/>
  <c r="U17" i="5"/>
  <c r="T17" i="5"/>
  <c r="S17" i="5"/>
  <c r="N17" i="5"/>
  <c r="R17" i="5" s="1"/>
  <c r="M17" i="5"/>
  <c r="L17" i="5"/>
  <c r="K17" i="5"/>
  <c r="V16" i="5"/>
  <c r="Z16" i="5" s="1"/>
  <c r="U16" i="5"/>
  <c r="Y16" i="5" s="1"/>
  <c r="T16" i="5"/>
  <c r="X16" i="5" s="1"/>
  <c r="S16" i="5"/>
  <c r="W16" i="5" s="1"/>
  <c r="R16" i="5"/>
  <c r="Q16" i="5"/>
  <c r="P16" i="5"/>
  <c r="O16" i="5"/>
  <c r="M16" i="5"/>
  <c r="L16" i="5"/>
  <c r="K16" i="5"/>
  <c r="V15" i="5"/>
  <c r="Z15" i="5" s="1"/>
  <c r="U15" i="5"/>
  <c r="Y15" i="5" s="1"/>
  <c r="T15" i="5"/>
  <c r="X15" i="5" s="1"/>
  <c r="S15" i="5"/>
  <c r="W15" i="5" s="1"/>
  <c r="R15" i="5"/>
  <c r="Q15" i="5"/>
  <c r="P15" i="5"/>
  <c r="O15" i="5"/>
  <c r="M15" i="5"/>
  <c r="L15" i="5"/>
  <c r="K15" i="5"/>
  <c r="V14" i="5"/>
  <c r="Z14" i="5" s="1"/>
  <c r="U14" i="5"/>
  <c r="Y14" i="5" s="1"/>
  <c r="T14" i="5"/>
  <c r="X14" i="5" s="1"/>
  <c r="S14" i="5"/>
  <c r="W14" i="5" s="1"/>
  <c r="R14" i="5"/>
  <c r="Q14" i="5"/>
  <c r="P14" i="5"/>
  <c r="O14" i="5"/>
  <c r="M14" i="5"/>
  <c r="L14" i="5"/>
  <c r="K14" i="5"/>
  <c r="Y13" i="5"/>
  <c r="X13" i="5"/>
  <c r="W13" i="5"/>
  <c r="V13" i="5"/>
  <c r="Z13" i="5" s="1"/>
  <c r="U13" i="5"/>
  <c r="T13" i="5"/>
  <c r="S13" i="5"/>
  <c r="R13" i="5"/>
  <c r="Q13" i="5"/>
  <c r="P13" i="5"/>
  <c r="O13" i="5"/>
  <c r="M13" i="5"/>
  <c r="L13" i="5"/>
  <c r="K13" i="5"/>
  <c r="V12" i="5"/>
  <c r="Z12" i="5" s="1"/>
  <c r="U12" i="5"/>
  <c r="Y12" i="5" s="1"/>
  <c r="T12" i="5"/>
  <c r="X12" i="5" s="1"/>
  <c r="S12" i="5"/>
  <c r="W12" i="5" s="1"/>
  <c r="R12" i="5"/>
  <c r="Q12" i="5"/>
  <c r="P12" i="5"/>
  <c r="O12" i="5"/>
  <c r="M12" i="5"/>
  <c r="L12" i="5"/>
  <c r="K12" i="5"/>
  <c r="V11" i="5"/>
  <c r="Z11" i="5" s="1"/>
  <c r="U11" i="5"/>
  <c r="Y11" i="5" s="1"/>
  <c r="T11" i="5"/>
  <c r="X11" i="5" s="1"/>
  <c r="S11" i="5"/>
  <c r="W11" i="5" s="1"/>
  <c r="R11" i="5"/>
  <c r="Q11" i="5"/>
  <c r="P11" i="5"/>
  <c r="N11" i="5"/>
  <c r="O11" i="5" s="1"/>
  <c r="M11" i="5"/>
  <c r="L11" i="5"/>
  <c r="K11" i="5"/>
  <c r="Y10" i="5"/>
  <c r="X10" i="5"/>
  <c r="W10" i="5"/>
  <c r="V10" i="5"/>
  <c r="Z10" i="5" s="1"/>
  <c r="U10" i="5"/>
  <c r="T10" i="5"/>
  <c r="S10" i="5"/>
  <c r="R10" i="5"/>
  <c r="Q10" i="5"/>
  <c r="P10" i="5"/>
  <c r="O10" i="5"/>
  <c r="M10" i="5"/>
  <c r="L10" i="5"/>
  <c r="K10" i="5"/>
  <c r="Z9" i="5"/>
  <c r="Y9" i="5"/>
  <c r="V9" i="5"/>
  <c r="U9" i="5"/>
  <c r="T9" i="5"/>
  <c r="X9" i="5" s="1"/>
  <c r="S9" i="5"/>
  <c r="W9" i="5" s="1"/>
  <c r="R9" i="5"/>
  <c r="Q9" i="5"/>
  <c r="P9" i="5"/>
  <c r="O9" i="5"/>
  <c r="M9" i="5"/>
  <c r="L9" i="5"/>
  <c r="K9" i="5"/>
  <c r="Y8" i="5"/>
  <c r="V8" i="5"/>
  <c r="Z8" i="5" s="1"/>
  <c r="U8" i="5"/>
  <c r="T8" i="5"/>
  <c r="X8" i="5" s="1"/>
  <c r="S8" i="5"/>
  <c r="W8" i="5" s="1"/>
  <c r="R8" i="5"/>
  <c r="Q8" i="5"/>
  <c r="P8" i="5"/>
  <c r="O8" i="5"/>
  <c r="M8" i="5"/>
  <c r="L8" i="5"/>
  <c r="K8" i="5"/>
  <c r="R7" i="5"/>
  <c r="Q7" i="5"/>
  <c r="P7" i="5"/>
  <c r="O7" i="5"/>
  <c r="M7" i="5"/>
  <c r="L7" i="5"/>
  <c r="K7" i="5"/>
  <c r="V6" i="5"/>
  <c r="U6" i="5"/>
  <c r="T6" i="5"/>
  <c r="S6" i="5"/>
  <c r="N6" i="5"/>
  <c r="R6" i="5" s="1"/>
  <c r="M6" i="5"/>
  <c r="L6" i="5"/>
  <c r="K6" i="5"/>
  <c r="R5" i="5"/>
  <c r="Q5" i="5"/>
  <c r="P5" i="5"/>
  <c r="O5" i="5"/>
  <c r="M5" i="5"/>
  <c r="L5" i="5"/>
  <c r="K5" i="5"/>
  <c r="R4" i="5"/>
  <c r="Q4" i="5"/>
  <c r="P4" i="5"/>
  <c r="O4" i="5"/>
  <c r="M4" i="5"/>
  <c r="L4" i="5"/>
  <c r="K4" i="5"/>
  <c r="R3" i="5"/>
  <c r="Q3" i="5"/>
  <c r="P3" i="5"/>
  <c r="O3" i="5"/>
  <c r="M3" i="5"/>
  <c r="L3" i="5"/>
  <c r="K3" i="5"/>
  <c r="R2" i="5"/>
  <c r="Q2" i="5"/>
  <c r="P2" i="5"/>
  <c r="O2" i="5"/>
  <c r="M2" i="5"/>
  <c r="L2" i="5"/>
  <c r="K2" i="5"/>
  <c r="Z22" i="4"/>
  <c r="X22" i="4"/>
  <c r="V22" i="4"/>
  <c r="U22" i="4"/>
  <c r="Y22" i="4" s="1"/>
  <c r="T22" i="4"/>
  <c r="S22" i="4"/>
  <c r="W22" i="4" s="1"/>
  <c r="R22" i="4"/>
  <c r="Q22" i="4"/>
  <c r="P22" i="4"/>
  <c r="O22" i="4"/>
  <c r="M22" i="4"/>
  <c r="L22" i="4"/>
  <c r="K22" i="4"/>
  <c r="V21" i="4"/>
  <c r="Z21" i="4" s="1"/>
  <c r="U21" i="4"/>
  <c r="Y21" i="4" s="1"/>
  <c r="T21" i="4"/>
  <c r="X21" i="4" s="1"/>
  <c r="S21" i="4"/>
  <c r="W21" i="4" s="1"/>
  <c r="R21" i="4"/>
  <c r="Q21" i="4"/>
  <c r="P21" i="4"/>
  <c r="O21" i="4"/>
  <c r="M21" i="4"/>
  <c r="L21" i="4"/>
  <c r="K21" i="4"/>
  <c r="V20" i="4"/>
  <c r="Z20" i="4" s="1"/>
  <c r="U20" i="4"/>
  <c r="Y20" i="4" s="1"/>
  <c r="T20" i="4"/>
  <c r="X20" i="4" s="1"/>
  <c r="S20" i="4"/>
  <c r="W20" i="4" s="1"/>
  <c r="R20" i="4"/>
  <c r="Q20" i="4"/>
  <c r="P20" i="4"/>
  <c r="O20" i="4"/>
  <c r="M20" i="4"/>
  <c r="L20" i="4"/>
  <c r="K20" i="4"/>
  <c r="W19" i="4"/>
  <c r="V19" i="4"/>
  <c r="Z19" i="4" s="1"/>
  <c r="U19" i="4"/>
  <c r="Y19" i="4" s="1"/>
  <c r="T19" i="4"/>
  <c r="X19" i="4" s="1"/>
  <c r="S19" i="4"/>
  <c r="R19" i="4"/>
  <c r="Q19" i="4"/>
  <c r="P19" i="4"/>
  <c r="O19" i="4"/>
  <c r="M19" i="4"/>
  <c r="L19" i="4"/>
  <c r="K19" i="4"/>
  <c r="Z18" i="4"/>
  <c r="Y18" i="4"/>
  <c r="X18" i="4"/>
  <c r="W18" i="4"/>
  <c r="V18" i="4"/>
  <c r="U18" i="4"/>
  <c r="T18" i="4"/>
  <c r="S18" i="4"/>
  <c r="R18" i="4"/>
  <c r="Q18" i="4"/>
  <c r="P18" i="4"/>
  <c r="O18" i="4"/>
  <c r="M18" i="4"/>
  <c r="L18" i="4"/>
  <c r="K18" i="4"/>
  <c r="Z17" i="4"/>
  <c r="X17" i="4"/>
  <c r="W17" i="4"/>
  <c r="V17" i="4"/>
  <c r="U17" i="4"/>
  <c r="Y17" i="4" s="1"/>
  <c r="T17" i="4"/>
  <c r="S17" i="4"/>
  <c r="R17" i="4"/>
  <c r="Q17" i="4"/>
  <c r="P17" i="4"/>
  <c r="O17" i="4"/>
  <c r="M17" i="4"/>
  <c r="L17" i="4"/>
  <c r="K17" i="4"/>
  <c r="V16" i="4"/>
  <c r="Z16" i="4" s="1"/>
  <c r="U16" i="4"/>
  <c r="Y16" i="4" s="1"/>
  <c r="T16" i="4"/>
  <c r="X16" i="4" s="1"/>
  <c r="S16" i="4"/>
  <c r="W16" i="4" s="1"/>
  <c r="R16" i="4"/>
  <c r="Q16" i="4"/>
  <c r="P16" i="4"/>
  <c r="O16" i="4"/>
  <c r="M16" i="4"/>
  <c r="L16" i="4"/>
  <c r="K16" i="4"/>
  <c r="V15" i="4"/>
  <c r="Z15" i="4" s="1"/>
  <c r="U15" i="4"/>
  <c r="Y15" i="4" s="1"/>
  <c r="T15" i="4"/>
  <c r="X15" i="4" s="1"/>
  <c r="S15" i="4"/>
  <c r="W15" i="4" s="1"/>
  <c r="R15" i="4"/>
  <c r="Q15" i="4"/>
  <c r="P15" i="4"/>
  <c r="O15" i="4"/>
  <c r="M15" i="4"/>
  <c r="L15" i="4"/>
  <c r="K15" i="4"/>
  <c r="Y14" i="4"/>
  <c r="V14" i="4"/>
  <c r="Z14" i="4" s="1"/>
  <c r="U14" i="4"/>
  <c r="T14" i="4"/>
  <c r="X14" i="4" s="1"/>
  <c r="S14" i="4"/>
  <c r="W14" i="4" s="1"/>
  <c r="R14" i="4"/>
  <c r="O14" i="4"/>
  <c r="N14" i="4"/>
  <c r="Q14" i="4" s="1"/>
  <c r="M14" i="4"/>
  <c r="L14" i="4"/>
  <c r="K14" i="4"/>
  <c r="V13" i="4"/>
  <c r="Z13" i="4" s="1"/>
  <c r="U13" i="4"/>
  <c r="Y13" i="4" s="1"/>
  <c r="T13" i="4"/>
  <c r="X13" i="4" s="1"/>
  <c r="S13" i="4"/>
  <c r="W13" i="4" s="1"/>
  <c r="R13" i="4"/>
  <c r="Q13" i="4"/>
  <c r="P13" i="4"/>
  <c r="O13" i="4"/>
  <c r="M13" i="4"/>
  <c r="L13" i="4"/>
  <c r="K13" i="4"/>
  <c r="V12" i="4"/>
  <c r="Z12" i="4" s="1"/>
  <c r="U12" i="4"/>
  <c r="Y12" i="4" s="1"/>
  <c r="T12" i="4"/>
  <c r="X12" i="4" s="1"/>
  <c r="S12" i="4"/>
  <c r="W12" i="4" s="1"/>
  <c r="R12" i="4"/>
  <c r="O12" i="4"/>
  <c r="N12" i="4"/>
  <c r="Q12" i="4" s="1"/>
  <c r="M12" i="4"/>
  <c r="L12" i="4"/>
  <c r="K12" i="4"/>
  <c r="V11" i="4"/>
  <c r="Z11" i="4" s="1"/>
  <c r="U11" i="4"/>
  <c r="Y11" i="4" s="1"/>
  <c r="T11" i="4"/>
  <c r="X11" i="4" s="1"/>
  <c r="S11" i="4"/>
  <c r="W11" i="4" s="1"/>
  <c r="R11" i="4"/>
  <c r="Q11" i="4"/>
  <c r="P11" i="4"/>
  <c r="O11" i="4"/>
  <c r="M11" i="4"/>
  <c r="L11" i="4"/>
  <c r="K11" i="4"/>
  <c r="R10" i="4"/>
  <c r="Q10" i="4"/>
  <c r="P10" i="4"/>
  <c r="O10" i="4"/>
  <c r="M10" i="4"/>
  <c r="L10" i="4"/>
  <c r="K10" i="4"/>
  <c r="V9" i="4"/>
  <c r="U9" i="4"/>
  <c r="T9" i="4"/>
  <c r="S9" i="4"/>
  <c r="N9" i="4"/>
  <c r="R9" i="4" s="1"/>
  <c r="M9" i="4"/>
  <c r="L9" i="4"/>
  <c r="K9" i="4"/>
  <c r="R8" i="4"/>
  <c r="Q8" i="4"/>
  <c r="P8" i="4"/>
  <c r="O8" i="4"/>
  <c r="M8" i="4"/>
  <c r="L8" i="4"/>
  <c r="K8" i="4"/>
  <c r="R7" i="4"/>
  <c r="Q7" i="4"/>
  <c r="P7" i="4"/>
  <c r="O7" i="4"/>
  <c r="M7" i="4"/>
  <c r="L7" i="4"/>
  <c r="K7" i="4"/>
  <c r="R6" i="4"/>
  <c r="Q6" i="4"/>
  <c r="P6" i="4"/>
  <c r="O6" i="4"/>
  <c r="M6" i="4"/>
  <c r="L6" i="4"/>
  <c r="K6" i="4"/>
  <c r="R5" i="4"/>
  <c r="Q5" i="4"/>
  <c r="P5" i="4"/>
  <c r="O5" i="4"/>
  <c r="M5" i="4"/>
  <c r="L5" i="4"/>
  <c r="K5" i="4"/>
  <c r="T4" i="4"/>
  <c r="S4" i="4"/>
  <c r="R4" i="4"/>
  <c r="Q4" i="4"/>
  <c r="P4" i="4"/>
  <c r="O4" i="4"/>
  <c r="M4" i="4"/>
  <c r="L4" i="4"/>
  <c r="K4" i="4"/>
  <c r="R3" i="4"/>
  <c r="Q3" i="4"/>
  <c r="P3" i="4"/>
  <c r="O3" i="4"/>
  <c r="M3" i="4"/>
  <c r="L3" i="4"/>
  <c r="K3" i="4"/>
  <c r="R2" i="4"/>
  <c r="Q2" i="4"/>
  <c r="P2" i="4"/>
  <c r="O2" i="4"/>
  <c r="M2" i="4"/>
  <c r="L2" i="4"/>
  <c r="K2" i="4"/>
  <c r="V20" i="3"/>
  <c r="Z20" i="3" s="1"/>
  <c r="U20" i="3"/>
  <c r="Y20" i="3" s="1"/>
  <c r="T20" i="3"/>
  <c r="X20" i="3" s="1"/>
  <c r="S20" i="3"/>
  <c r="W20" i="3" s="1"/>
  <c r="R20" i="3"/>
  <c r="Q20" i="3"/>
  <c r="P20" i="3"/>
  <c r="O20" i="3"/>
  <c r="M20" i="3"/>
  <c r="L20" i="3"/>
  <c r="K20" i="3"/>
  <c r="Y19" i="3"/>
  <c r="X19" i="3"/>
  <c r="V19" i="3"/>
  <c r="Z19" i="3" s="1"/>
  <c r="U19" i="3"/>
  <c r="T19" i="3"/>
  <c r="S19" i="3"/>
  <c r="W19" i="3" s="1"/>
  <c r="R19" i="3"/>
  <c r="Q19" i="3"/>
  <c r="P19" i="3"/>
  <c r="O19" i="3"/>
  <c r="M19" i="3"/>
  <c r="L19" i="3"/>
  <c r="K19" i="3"/>
  <c r="Y18" i="3"/>
  <c r="V18" i="3"/>
  <c r="Z18" i="3" s="1"/>
  <c r="U18" i="3"/>
  <c r="T18" i="3"/>
  <c r="X18" i="3" s="1"/>
  <c r="S18" i="3"/>
  <c r="W18" i="3" s="1"/>
  <c r="R18" i="3"/>
  <c r="Q18" i="3"/>
  <c r="P18" i="3"/>
  <c r="O18" i="3"/>
  <c r="M18" i="3"/>
  <c r="L18" i="3"/>
  <c r="K18" i="3"/>
  <c r="V17" i="3"/>
  <c r="Z17" i="3" s="1"/>
  <c r="U17" i="3"/>
  <c r="Y17" i="3" s="1"/>
  <c r="T17" i="3"/>
  <c r="X17" i="3" s="1"/>
  <c r="S17" i="3"/>
  <c r="W17" i="3" s="1"/>
  <c r="R17" i="3"/>
  <c r="Q17" i="3"/>
  <c r="P17" i="3"/>
  <c r="O17" i="3"/>
  <c r="M17" i="3"/>
  <c r="L17" i="3"/>
  <c r="K17" i="3"/>
  <c r="V16" i="3"/>
  <c r="Z16" i="3" s="1"/>
  <c r="U16" i="3"/>
  <c r="Y16" i="3" s="1"/>
  <c r="T16" i="3"/>
  <c r="X16" i="3" s="1"/>
  <c r="S16" i="3"/>
  <c r="W16" i="3" s="1"/>
  <c r="R16" i="3"/>
  <c r="Q16" i="3"/>
  <c r="P16" i="3"/>
  <c r="O16" i="3"/>
  <c r="M16" i="3"/>
  <c r="L16" i="3"/>
  <c r="K16" i="3"/>
  <c r="Z15" i="3"/>
  <c r="V15" i="3"/>
  <c r="U15" i="3"/>
  <c r="Y15" i="3" s="1"/>
  <c r="T15" i="3"/>
  <c r="X15" i="3" s="1"/>
  <c r="S15" i="3"/>
  <c r="W15" i="3" s="1"/>
  <c r="R15" i="3"/>
  <c r="Q15" i="3"/>
  <c r="P15" i="3"/>
  <c r="O15" i="3"/>
  <c r="M15" i="3"/>
  <c r="L15" i="3"/>
  <c r="K15" i="3"/>
  <c r="V14" i="3"/>
  <c r="Z14" i="3" s="1"/>
  <c r="U14" i="3"/>
  <c r="Y14" i="3" s="1"/>
  <c r="T14" i="3"/>
  <c r="X14" i="3" s="1"/>
  <c r="S14" i="3"/>
  <c r="W14" i="3" s="1"/>
  <c r="R14" i="3"/>
  <c r="Q14" i="3"/>
  <c r="P14" i="3"/>
  <c r="O14" i="3"/>
  <c r="M14" i="3"/>
  <c r="L14" i="3"/>
  <c r="K14" i="3"/>
  <c r="W13" i="3"/>
  <c r="V13" i="3"/>
  <c r="Z13" i="3" s="1"/>
  <c r="U13" i="3"/>
  <c r="Y13" i="3" s="1"/>
  <c r="T13" i="3"/>
  <c r="X13" i="3" s="1"/>
  <c r="S13" i="3"/>
  <c r="Q13" i="3"/>
  <c r="P13" i="3"/>
  <c r="N13" i="3"/>
  <c r="O13" i="3" s="1"/>
  <c r="M13" i="3"/>
  <c r="L13" i="3"/>
  <c r="K13" i="3"/>
  <c r="X12" i="3"/>
  <c r="W12" i="3"/>
  <c r="V12" i="3"/>
  <c r="Z12" i="3" s="1"/>
  <c r="U12" i="3"/>
  <c r="Y12" i="3" s="1"/>
  <c r="T12" i="3"/>
  <c r="S12" i="3"/>
  <c r="R12" i="3"/>
  <c r="Q12" i="3"/>
  <c r="P12" i="3"/>
  <c r="O12" i="3"/>
  <c r="M12" i="3"/>
  <c r="L12" i="3"/>
  <c r="K12" i="3"/>
  <c r="Z11" i="3"/>
  <c r="Y11" i="3"/>
  <c r="V11" i="3"/>
  <c r="U11" i="3"/>
  <c r="T11" i="3"/>
  <c r="X11" i="3" s="1"/>
  <c r="S11" i="3"/>
  <c r="W11" i="3" s="1"/>
  <c r="Q11" i="3"/>
  <c r="N11" i="3"/>
  <c r="P11" i="3" s="1"/>
  <c r="M11" i="3"/>
  <c r="L11" i="3"/>
  <c r="K11" i="3"/>
  <c r="V10" i="3"/>
  <c r="Z10" i="3" s="1"/>
  <c r="U10" i="3"/>
  <c r="Y10" i="3" s="1"/>
  <c r="T10" i="3"/>
  <c r="X10" i="3" s="1"/>
  <c r="S10" i="3"/>
  <c r="W10" i="3" s="1"/>
  <c r="R10" i="3"/>
  <c r="Q10" i="3"/>
  <c r="P10" i="3"/>
  <c r="O10" i="3"/>
  <c r="M10" i="3"/>
  <c r="L10" i="3"/>
  <c r="K10" i="3"/>
  <c r="N9" i="3"/>
  <c r="P9" i="3" s="1"/>
  <c r="M9" i="3"/>
  <c r="L9" i="3"/>
  <c r="K9" i="3"/>
  <c r="V8" i="3"/>
  <c r="U8" i="3"/>
  <c r="T8" i="3"/>
  <c r="S8" i="3"/>
  <c r="N8" i="3"/>
  <c r="P8" i="3" s="1"/>
  <c r="M8" i="3"/>
  <c r="L8" i="3"/>
  <c r="K8" i="3"/>
  <c r="R7" i="3"/>
  <c r="Q7" i="3"/>
  <c r="P7" i="3"/>
  <c r="O7" i="3"/>
  <c r="M7" i="3"/>
  <c r="L7" i="3"/>
  <c r="K7" i="3"/>
  <c r="R6" i="3"/>
  <c r="Q6" i="3"/>
  <c r="P6" i="3"/>
  <c r="O6" i="3"/>
  <c r="M6" i="3"/>
  <c r="L6" i="3"/>
  <c r="K6" i="3"/>
  <c r="R5" i="3"/>
  <c r="Q5" i="3"/>
  <c r="P5" i="3"/>
  <c r="O5" i="3"/>
  <c r="M5" i="3"/>
  <c r="L5" i="3"/>
  <c r="K5" i="3"/>
  <c r="T4" i="3"/>
  <c r="S4" i="3"/>
  <c r="R4" i="3"/>
  <c r="Q4" i="3"/>
  <c r="P4" i="3"/>
  <c r="O4" i="3"/>
  <c r="M4" i="3"/>
  <c r="L4" i="3"/>
  <c r="K4" i="3"/>
  <c r="R3" i="3"/>
  <c r="Q3" i="3"/>
  <c r="P3" i="3"/>
  <c r="O3" i="3"/>
  <c r="M3" i="3"/>
  <c r="L3" i="3"/>
  <c r="K3" i="3"/>
  <c r="R2" i="3"/>
  <c r="Q2" i="3"/>
  <c r="P2" i="3"/>
  <c r="O2" i="3"/>
  <c r="M2" i="3"/>
  <c r="L2" i="3"/>
  <c r="K2" i="3"/>
  <c r="V20" i="2"/>
  <c r="Z20" i="2" s="1"/>
  <c r="U20" i="2"/>
  <c r="Y20" i="2" s="1"/>
  <c r="T20" i="2"/>
  <c r="X20" i="2" s="1"/>
  <c r="S20" i="2"/>
  <c r="W20" i="2" s="1"/>
  <c r="R20" i="2"/>
  <c r="Q20" i="2"/>
  <c r="P20" i="2"/>
  <c r="O20" i="2"/>
  <c r="M20" i="2"/>
  <c r="L20" i="2"/>
  <c r="K20" i="2"/>
  <c r="V19" i="2"/>
  <c r="Z19" i="2" s="1"/>
  <c r="U19" i="2"/>
  <c r="Y19" i="2" s="1"/>
  <c r="T19" i="2"/>
  <c r="X19" i="2" s="1"/>
  <c r="S19" i="2"/>
  <c r="W19" i="2" s="1"/>
  <c r="R19" i="2"/>
  <c r="Q19" i="2"/>
  <c r="P19" i="2"/>
  <c r="O19" i="2"/>
  <c r="M19" i="2"/>
  <c r="L19" i="2"/>
  <c r="K19" i="2"/>
  <c r="W18" i="2"/>
  <c r="V18" i="2"/>
  <c r="Z18" i="2" s="1"/>
  <c r="U18" i="2"/>
  <c r="Y18" i="2" s="1"/>
  <c r="T18" i="2"/>
  <c r="X18" i="2" s="1"/>
  <c r="S18" i="2"/>
  <c r="R18" i="2"/>
  <c r="Q18" i="2"/>
  <c r="P18" i="2"/>
  <c r="O18" i="2"/>
  <c r="M18" i="2"/>
  <c r="L18" i="2"/>
  <c r="K18" i="2"/>
  <c r="X17" i="2"/>
  <c r="V17" i="2"/>
  <c r="Z17" i="2" s="1"/>
  <c r="U17" i="2"/>
  <c r="Y17" i="2" s="1"/>
  <c r="T17" i="2"/>
  <c r="S17" i="2"/>
  <c r="W17" i="2" s="1"/>
  <c r="R17" i="2"/>
  <c r="Q17" i="2"/>
  <c r="P17" i="2"/>
  <c r="O17" i="2"/>
  <c r="M17" i="2"/>
  <c r="L17" i="2"/>
  <c r="K17" i="2"/>
  <c r="V16" i="2"/>
  <c r="Z16" i="2" s="1"/>
  <c r="U16" i="2"/>
  <c r="Y16" i="2" s="1"/>
  <c r="T16" i="2"/>
  <c r="X16" i="2" s="1"/>
  <c r="S16" i="2"/>
  <c r="W16" i="2" s="1"/>
  <c r="R16" i="2"/>
  <c r="Q16" i="2"/>
  <c r="P16" i="2"/>
  <c r="O16" i="2"/>
  <c r="M16" i="2"/>
  <c r="L16" i="2"/>
  <c r="K16" i="2"/>
  <c r="V15" i="2"/>
  <c r="Z15" i="2" s="1"/>
  <c r="U15" i="2"/>
  <c r="Y15" i="2" s="1"/>
  <c r="T15" i="2"/>
  <c r="X15" i="2" s="1"/>
  <c r="S15" i="2"/>
  <c r="W15" i="2" s="1"/>
  <c r="R15" i="2"/>
  <c r="Q15" i="2"/>
  <c r="P15" i="2"/>
  <c r="O15" i="2"/>
  <c r="M15" i="2"/>
  <c r="L15" i="2"/>
  <c r="K15" i="2"/>
  <c r="V14" i="2"/>
  <c r="Z14" i="2" s="1"/>
  <c r="U14" i="2"/>
  <c r="Y14" i="2" s="1"/>
  <c r="T14" i="2"/>
  <c r="X14" i="2" s="1"/>
  <c r="S14" i="2"/>
  <c r="W14" i="2" s="1"/>
  <c r="N14" i="2"/>
  <c r="R14" i="2" s="1"/>
  <c r="M14" i="2"/>
  <c r="L14" i="2"/>
  <c r="K14" i="2"/>
  <c r="Y13" i="2"/>
  <c r="V13" i="2"/>
  <c r="Z13" i="2" s="1"/>
  <c r="U13" i="2"/>
  <c r="T13" i="2"/>
  <c r="X13" i="2" s="1"/>
  <c r="S13" i="2"/>
  <c r="W13" i="2" s="1"/>
  <c r="R13" i="2"/>
  <c r="Q13" i="2"/>
  <c r="P13" i="2"/>
  <c r="O13" i="2"/>
  <c r="M13" i="2"/>
  <c r="L13" i="2"/>
  <c r="K13" i="2"/>
  <c r="W12" i="2"/>
  <c r="V12" i="2"/>
  <c r="Z12" i="2" s="1"/>
  <c r="U12" i="2"/>
  <c r="Y12" i="2" s="1"/>
  <c r="T12" i="2"/>
  <c r="X12" i="2" s="1"/>
  <c r="S12" i="2"/>
  <c r="N12" i="2"/>
  <c r="R12" i="2" s="1"/>
  <c r="M12" i="2"/>
  <c r="L12" i="2"/>
  <c r="K12" i="2"/>
  <c r="V11" i="2"/>
  <c r="Z11" i="2" s="1"/>
  <c r="U11" i="2"/>
  <c r="Y11" i="2" s="1"/>
  <c r="T11" i="2"/>
  <c r="X11" i="2" s="1"/>
  <c r="S11" i="2"/>
  <c r="W11" i="2" s="1"/>
  <c r="R11" i="2"/>
  <c r="Q11" i="2"/>
  <c r="P11" i="2"/>
  <c r="O11" i="2"/>
  <c r="M11" i="2"/>
  <c r="L11" i="2"/>
  <c r="K11" i="2"/>
  <c r="R10" i="2"/>
  <c r="Q10" i="2"/>
  <c r="P10" i="2"/>
  <c r="O10" i="2"/>
  <c r="M10" i="2"/>
  <c r="L10" i="2"/>
  <c r="K10" i="2"/>
  <c r="V9" i="2"/>
  <c r="U9" i="2"/>
  <c r="T9" i="2"/>
  <c r="S9" i="2"/>
  <c r="N9" i="2"/>
  <c r="Q9" i="2" s="1"/>
  <c r="M9" i="2"/>
  <c r="L9" i="2"/>
  <c r="K9" i="2"/>
  <c r="R8" i="2"/>
  <c r="Q8" i="2"/>
  <c r="P8" i="2"/>
  <c r="O8" i="2"/>
  <c r="M8" i="2"/>
  <c r="L8" i="2"/>
  <c r="K8" i="2"/>
  <c r="R7" i="2"/>
  <c r="Q7" i="2"/>
  <c r="P7" i="2"/>
  <c r="O7" i="2"/>
  <c r="M7" i="2"/>
  <c r="L7" i="2"/>
  <c r="K7" i="2"/>
  <c r="R6" i="2"/>
  <c r="Q6" i="2"/>
  <c r="P6" i="2"/>
  <c r="O6" i="2"/>
  <c r="M6" i="2"/>
  <c r="L6" i="2"/>
  <c r="K6" i="2"/>
  <c r="R5" i="2"/>
  <c r="Q5" i="2"/>
  <c r="P5" i="2"/>
  <c r="O5" i="2"/>
  <c r="M5" i="2"/>
  <c r="L5" i="2"/>
  <c r="K5" i="2"/>
  <c r="T4" i="2"/>
  <c r="S4" i="2"/>
  <c r="R4" i="2"/>
  <c r="Q4" i="2"/>
  <c r="P4" i="2"/>
  <c r="O4" i="2"/>
  <c r="M4" i="2"/>
  <c r="L4" i="2"/>
  <c r="K4" i="2"/>
  <c r="R3" i="2"/>
  <c r="Q3" i="2"/>
  <c r="P3" i="2"/>
  <c r="O3" i="2"/>
  <c r="M3" i="2"/>
  <c r="L3" i="2"/>
  <c r="K3" i="2"/>
  <c r="R2" i="2"/>
  <c r="Q2" i="2"/>
  <c r="P2" i="2"/>
  <c r="O2" i="2"/>
  <c r="M2" i="2"/>
  <c r="L2" i="2"/>
  <c r="K2" i="2"/>
  <c r="K19" i="1" l="1"/>
  <c r="K23" i="1"/>
  <c r="K27" i="1"/>
  <c r="K31" i="1"/>
  <c r="J3" i="1"/>
  <c r="J10" i="1"/>
  <c r="I33" i="1"/>
  <c r="H2" i="1"/>
  <c r="H9" i="1"/>
  <c r="H13" i="1"/>
  <c r="P13" i="13"/>
  <c r="Q13" i="13"/>
  <c r="R13" i="13"/>
  <c r="Q9" i="13"/>
  <c r="P9" i="13"/>
  <c r="R9" i="13"/>
  <c r="P9" i="12"/>
  <c r="R9" i="12"/>
  <c r="O14" i="12"/>
  <c r="Q14" i="12"/>
  <c r="P9" i="11"/>
  <c r="P14" i="11"/>
  <c r="P10" i="11"/>
  <c r="R14" i="11"/>
  <c r="O12" i="11"/>
  <c r="O9" i="11"/>
  <c r="O10" i="11"/>
  <c r="P12" i="11"/>
  <c r="Q12" i="11"/>
  <c r="Q9" i="11"/>
  <c r="Q10" i="11"/>
  <c r="O14" i="11"/>
  <c r="R20" i="10"/>
  <c r="R9" i="10"/>
  <c r="R21" i="10"/>
  <c r="P12" i="10"/>
  <c r="O9" i="10"/>
  <c r="Q12" i="10"/>
  <c r="O20" i="10"/>
  <c r="O12" i="10"/>
  <c r="P9" i="10"/>
  <c r="P20" i="10"/>
  <c r="O21" i="10"/>
  <c r="P21" i="10"/>
  <c r="P12" i="9"/>
  <c r="R19" i="9"/>
  <c r="R12" i="9"/>
  <c r="O9" i="9"/>
  <c r="O10" i="9"/>
  <c r="P9" i="9"/>
  <c r="P10" i="9"/>
  <c r="Q9" i="9"/>
  <c r="Q10" i="9"/>
  <c r="O19" i="9"/>
  <c r="P19" i="9"/>
  <c r="Q8" i="8"/>
  <c r="P8" i="8"/>
  <c r="O12" i="8"/>
  <c r="R8" i="8"/>
  <c r="Q12" i="8"/>
  <c r="Q12" i="7"/>
  <c r="P14" i="7"/>
  <c r="Q14" i="7"/>
  <c r="R14" i="7"/>
  <c r="P12" i="7"/>
  <c r="O19" i="6"/>
  <c r="P19" i="6"/>
  <c r="O9" i="6"/>
  <c r="O10" i="6"/>
  <c r="P9" i="6"/>
  <c r="P10" i="6"/>
  <c r="Q12" i="6"/>
  <c r="R19" i="6"/>
  <c r="O18" i="6"/>
  <c r="P18" i="6"/>
  <c r="Q18" i="6"/>
  <c r="R18" i="5"/>
  <c r="O17" i="5"/>
  <c r="O6" i="5"/>
  <c r="P17" i="5"/>
  <c r="P6" i="5"/>
  <c r="Q17" i="5"/>
  <c r="Q6" i="5"/>
  <c r="O18" i="5"/>
  <c r="P18" i="5"/>
  <c r="O9" i="4"/>
  <c r="P9" i="4"/>
  <c r="Q9" i="4"/>
  <c r="P14" i="4"/>
  <c r="P12" i="4"/>
  <c r="O11" i="3"/>
  <c r="R11" i="3"/>
  <c r="R13" i="3"/>
  <c r="Q8" i="3"/>
  <c r="R8" i="3"/>
  <c r="R9" i="3"/>
  <c r="Q9" i="3"/>
  <c r="O8" i="3"/>
  <c r="O9" i="3"/>
  <c r="R9" i="2"/>
  <c r="O12" i="2"/>
  <c r="Q12" i="2"/>
  <c r="P14" i="2"/>
  <c r="O14" i="2"/>
  <c r="O9" i="2"/>
  <c r="P12" i="2"/>
  <c r="P9" i="2"/>
  <c r="Q14" i="2"/>
</calcChain>
</file>

<file path=xl/sharedStrings.xml><?xml version="1.0" encoding="utf-8"?>
<sst xmlns="http://schemas.openxmlformats.org/spreadsheetml/2006/main" count="790" uniqueCount="231">
  <si>
    <t>Session Type</t>
  </si>
  <si>
    <t>Date</t>
  </si>
  <si>
    <t>Session Number</t>
  </si>
  <si>
    <t>Distance (mi)</t>
  </si>
  <si>
    <t>Accumulated Acceleration Load</t>
  </si>
  <si>
    <t>Mechanical Load</t>
  </si>
  <si>
    <t>Physio Load</t>
  </si>
  <si>
    <t>Jumps</t>
  </si>
  <si>
    <t>Jump Load (J)</t>
  </si>
  <si>
    <t>Time on Playing Field</t>
  </si>
  <si>
    <t>Load/Dist Ratio</t>
  </si>
  <si>
    <t>M/P Ratio</t>
  </si>
  <si>
    <t>Load/Jump</t>
  </si>
  <si>
    <t>Minutes</t>
  </si>
  <si>
    <t>Distance/Min</t>
  </si>
  <si>
    <t>AA Load/Min</t>
  </si>
  <si>
    <t>Mech Load/Min</t>
  </si>
  <si>
    <t>Physio Load/Min</t>
  </si>
  <si>
    <t>5 Day Avg Dist</t>
  </si>
  <si>
    <t>5 Day Avg Load</t>
  </si>
  <si>
    <t>5 Day Avg Mech</t>
  </si>
  <si>
    <t>5 Day Avg Phys</t>
  </si>
  <si>
    <t>Delta % Dist</t>
  </si>
  <si>
    <t>Delta % Load</t>
  </si>
  <si>
    <t>Delta % Mech</t>
  </si>
  <si>
    <t>Delta % Phys</t>
  </si>
  <si>
    <t>Practice</t>
  </si>
  <si>
    <t>00:40:13</t>
  </si>
  <si>
    <t>00:39:32</t>
  </si>
  <si>
    <t>00:53:10</t>
  </si>
  <si>
    <t>00:37:53</t>
  </si>
  <si>
    <t>00:29:34</t>
  </si>
  <si>
    <t>00:41:30</t>
  </si>
  <si>
    <t>00:46:23</t>
  </si>
  <si>
    <t>00:57:34</t>
  </si>
  <si>
    <t>00:55:13</t>
  </si>
  <si>
    <t>00:38:58</t>
  </si>
  <si>
    <t>01:05:30</t>
  </si>
  <si>
    <t>00:32:09</t>
  </si>
  <si>
    <t>00:40:01</t>
  </si>
  <si>
    <t>00:41:32</t>
  </si>
  <si>
    <t>00:00:00</t>
  </si>
  <si>
    <t>01:06:32</t>
  </si>
  <si>
    <t>00:39:49</t>
  </si>
  <si>
    <t>00:39:26</t>
  </si>
  <si>
    <t>01:15:46</t>
  </si>
  <si>
    <t>01:04:28</t>
  </si>
  <si>
    <t>02:07:23</t>
  </si>
  <si>
    <t>00:33:26</t>
  </si>
  <si>
    <t>01:29:01</t>
  </si>
  <si>
    <t>01:19:23</t>
  </si>
  <si>
    <t>02:05:35</t>
  </si>
  <si>
    <t>01:34:34</t>
  </si>
  <si>
    <t>00:54:26</t>
  </si>
  <si>
    <t>01:41:22</t>
  </si>
  <si>
    <t>00:43:14</t>
  </si>
  <si>
    <t>01:20:09</t>
  </si>
  <si>
    <t>01:05:22</t>
  </si>
  <si>
    <t>Scrimmage</t>
  </si>
  <si>
    <t>01:29:44</t>
  </si>
  <si>
    <t>01:26:23</t>
  </si>
  <si>
    <t>01:17:13</t>
  </si>
  <si>
    <t>01:07:13</t>
  </si>
  <si>
    <t>01:29:47</t>
  </si>
  <si>
    <t>01:33:50</t>
  </si>
  <si>
    <t>01:13:17</t>
  </si>
  <si>
    <t>00:57:02</t>
  </si>
  <si>
    <t>01:13:18</t>
  </si>
  <si>
    <t>01:54:37</t>
  </si>
  <si>
    <t>01:18:02</t>
  </si>
  <si>
    <t>00:51:23</t>
  </si>
  <si>
    <t>01:47:59</t>
  </si>
  <si>
    <t>00:40:36</t>
  </si>
  <si>
    <t>01:15:42</t>
  </si>
  <si>
    <t>01:08:37</t>
  </si>
  <si>
    <t>01:36:33</t>
  </si>
  <si>
    <t>00:46:46</t>
  </si>
  <si>
    <t>01:17:57</t>
  </si>
  <si>
    <t>01:54:12</t>
  </si>
  <si>
    <t>01:13:37</t>
  </si>
  <si>
    <t>01:20:28</t>
  </si>
  <si>
    <t>00:10:43</t>
  </si>
  <si>
    <t>01:26:00</t>
  </si>
  <si>
    <t>00:54:38</t>
  </si>
  <si>
    <t>00:43:17</t>
  </si>
  <si>
    <t>01:22:50</t>
  </si>
  <si>
    <t>00:28:53</t>
  </si>
  <si>
    <t>00:58:36</t>
  </si>
  <si>
    <t>00:54:42</t>
  </si>
  <si>
    <t>01:14:40</t>
  </si>
  <si>
    <t>01:01:32</t>
  </si>
  <si>
    <t>00:42:41</t>
  </si>
  <si>
    <t>01:07:39</t>
  </si>
  <si>
    <t>01:08:43</t>
  </si>
  <si>
    <t>02:08:32</t>
  </si>
  <si>
    <t>01:24:54</t>
  </si>
  <si>
    <t>01:13:59</t>
  </si>
  <si>
    <t>01:30:12</t>
  </si>
  <si>
    <t>01:07:55</t>
  </si>
  <si>
    <t>01:41:50</t>
  </si>
  <si>
    <t>01:27:47</t>
  </si>
  <si>
    <t>00:45:12</t>
  </si>
  <si>
    <t>01:05:41</t>
  </si>
  <si>
    <t>00:58:40</t>
  </si>
  <si>
    <t>01:40:49</t>
  </si>
  <si>
    <t>01:19:58</t>
  </si>
  <si>
    <t>01:26:05</t>
  </si>
  <si>
    <t>00:47:20</t>
  </si>
  <si>
    <t>00:37:25</t>
  </si>
  <si>
    <t>01:06:27</t>
  </si>
  <si>
    <t>00:50:38</t>
  </si>
  <si>
    <t>00:34:25</t>
  </si>
  <si>
    <t>00:48:18</t>
  </si>
  <si>
    <t>00:26:17</t>
  </si>
  <si>
    <t>01:24:36</t>
  </si>
  <si>
    <t>01:01:52</t>
  </si>
  <si>
    <t>00:32:16</t>
  </si>
  <si>
    <t>00:47:14</t>
  </si>
  <si>
    <t>00:06:30</t>
  </si>
  <si>
    <t>00:31:31</t>
  </si>
  <si>
    <t>00:54:44</t>
  </si>
  <si>
    <t>01:17:41</t>
  </si>
  <si>
    <t>00:38:15</t>
  </si>
  <si>
    <t>00:34:44</t>
  </si>
  <si>
    <t>00:45:39</t>
  </si>
  <si>
    <t>00:33:50</t>
  </si>
  <si>
    <t>00:57:18</t>
  </si>
  <si>
    <t>00:41:18</t>
  </si>
  <si>
    <t>00:57:47</t>
  </si>
  <si>
    <t>00:39:37</t>
  </si>
  <si>
    <t>00:27:24</t>
  </si>
  <si>
    <t>00:35:04</t>
  </si>
  <si>
    <t>00:43:04</t>
  </si>
  <si>
    <t>01:05:01</t>
  </si>
  <si>
    <t>00:39:12</t>
  </si>
  <si>
    <t>00:58:23</t>
  </si>
  <si>
    <t>00:38:17</t>
  </si>
  <si>
    <t>01:11:33</t>
  </si>
  <si>
    <t>01:00:09</t>
  </si>
  <si>
    <t>01:49:57</t>
  </si>
  <si>
    <t>01:17:07</t>
  </si>
  <si>
    <t>00:39:50</t>
  </si>
  <si>
    <t>01:16:13</t>
  </si>
  <si>
    <t>01:59:01</t>
  </si>
  <si>
    <t>01:45:25</t>
  </si>
  <si>
    <t>00:18:39</t>
  </si>
  <si>
    <t>01:30:39</t>
  </si>
  <si>
    <t>01:09:08</t>
  </si>
  <si>
    <t>01:53:51</t>
  </si>
  <si>
    <t>01:18:42</t>
  </si>
  <si>
    <t>01:29:33</t>
  </si>
  <si>
    <t>01:01:34</t>
  </si>
  <si>
    <t>00:56:58</t>
  </si>
  <si>
    <t>01:33:25</t>
  </si>
  <si>
    <t>01:28:24</t>
  </si>
  <si>
    <t>01:21:11</t>
  </si>
  <si>
    <t>00:41:44</t>
  </si>
  <si>
    <t>01:18:33</t>
  </si>
  <si>
    <t>01:53:40</t>
  </si>
  <si>
    <t>01:21:30</t>
  </si>
  <si>
    <t>00:51:24</t>
  </si>
  <si>
    <t>01:47:41</t>
  </si>
  <si>
    <t>00:36:55</t>
  </si>
  <si>
    <t>01:02:24</t>
  </si>
  <si>
    <t>01:05:51</t>
  </si>
  <si>
    <t>01:20:57</t>
  </si>
  <si>
    <t>01:32:02</t>
  </si>
  <si>
    <t>01:17:21</t>
  </si>
  <si>
    <t>01:07:42</t>
  </si>
  <si>
    <t>02:11:38</t>
  </si>
  <si>
    <t>01:59:57</t>
  </si>
  <si>
    <t>01:11:12</t>
  </si>
  <si>
    <t>01:32:07</t>
  </si>
  <si>
    <t>01:17:29</t>
  </si>
  <si>
    <t>02:17:46</t>
  </si>
  <si>
    <t>01:37:35</t>
  </si>
  <si>
    <t>00:53:29</t>
  </si>
  <si>
    <t>01:57:39</t>
  </si>
  <si>
    <t>00:43:08</t>
  </si>
  <si>
    <t>01:08:12</t>
  </si>
  <si>
    <t>01:10:36</t>
  </si>
  <si>
    <t>00:35:14</t>
  </si>
  <si>
    <t>00:45:03</t>
  </si>
  <si>
    <t>00:54:28</t>
  </si>
  <si>
    <t>00:48:49</t>
  </si>
  <si>
    <t>00:33:09</t>
  </si>
  <si>
    <t>00:46:44</t>
  </si>
  <si>
    <t>00:56:51</t>
  </si>
  <si>
    <t>00:32:20</t>
  </si>
  <si>
    <t>01:05:59</t>
  </si>
  <si>
    <t>00:40:25</t>
  </si>
  <si>
    <t>00:54:40</t>
  </si>
  <si>
    <t>01:05:06</t>
  </si>
  <si>
    <t>00:43:00</t>
  </si>
  <si>
    <t>00:54:00</t>
  </si>
  <si>
    <t>01:09:32</t>
  </si>
  <si>
    <t>01:24:03</t>
  </si>
  <si>
    <t>01:24:04</t>
  </si>
  <si>
    <t>01:17:02</t>
  </si>
  <si>
    <t>01:25:43</t>
  </si>
  <si>
    <t>01:15:36</t>
  </si>
  <si>
    <t>01:37:27</t>
  </si>
  <si>
    <t>01:23:33</t>
  </si>
  <si>
    <t>00:37:22</t>
  </si>
  <si>
    <t>01:24:50</t>
  </si>
  <si>
    <t>00:42:36</t>
  </si>
  <si>
    <t>01:09:15</t>
  </si>
  <si>
    <t>Drill</t>
  </si>
  <si>
    <t>Avg Dist</t>
  </si>
  <si>
    <t>Avg AALoad</t>
  </si>
  <si>
    <t>Avg Mech Load</t>
  </si>
  <si>
    <t>Avg Phy Load</t>
  </si>
  <si>
    <t>Time</t>
  </si>
  <si>
    <t>Mi/min</t>
  </si>
  <si>
    <t>Mech Load/min</t>
  </si>
  <si>
    <t>Phy Load/min</t>
  </si>
  <si>
    <t>Michigan Shooting</t>
  </si>
  <si>
    <t>Rotational Rebounding</t>
  </si>
  <si>
    <t>5v5 Live</t>
  </si>
  <si>
    <t>Rotational Rebounding/Fast Break O</t>
  </si>
  <si>
    <t>3v3 Live</t>
  </si>
  <si>
    <t>Two minute shoot/Bigs finishing</t>
  </si>
  <si>
    <t>20 D vs Scout</t>
  </si>
  <si>
    <t>4v4 Live</t>
  </si>
  <si>
    <t>5 on 0</t>
  </si>
  <si>
    <t>Texas 121</t>
  </si>
  <si>
    <t>Running</t>
  </si>
  <si>
    <t>5 on 0 into Transition D</t>
  </si>
  <si>
    <t>Zone O into Transition D</t>
  </si>
  <si>
    <t>Post Practice Shooting</t>
  </si>
  <si>
    <t>Two minute shoot/Free throws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</si>
</sst>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0" fillId="0" borderId="0" xfId="1" applyNumberFormat="1" applyFont="1"/>
    <xf numFmtId="165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7865-FD6C-466D-9849-B6A06E156562}">
  <dimension ref="A1:K35"/>
  <sheetViews>
    <sheetView topLeftCell="A2" workbookViewId="0">
      <selection activeCell="D2" sqref="D2"/>
    </sheetView>
  </sheetViews>
  <sheetFormatPr defaultRowHeight="14.4" x14ac:dyDescent="0.3"/>
  <cols>
    <col min="1" max="11" width="20.77734375" customWidth="1"/>
  </cols>
  <sheetData>
    <row r="1" spans="1:11" x14ac:dyDescent="0.3">
      <c r="A1" t="s">
        <v>1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15</v>
      </c>
      <c r="J1" t="s">
        <v>214</v>
      </c>
      <c r="K1" t="s">
        <v>215</v>
      </c>
    </row>
    <row r="2" spans="1:11" x14ac:dyDescent="0.3">
      <c r="A2" s="2">
        <v>44821</v>
      </c>
      <c r="B2" t="s">
        <v>216</v>
      </c>
      <c r="C2" s="3">
        <f>(0.155+0.157+0.158+0.144+0.15+0.153+0.131+0.119+0.147+0.143)/10</f>
        <v>0.1457</v>
      </c>
      <c r="D2" s="3">
        <f>(28.05+29.25+25.71+30.59+29.03+28.29+25.59+27.66+25.93+26.07)/10</f>
        <v>27.617000000000001</v>
      </c>
      <c r="E2" s="3">
        <f>(83+91+63+82+73+80+71+68+68+76)/10</f>
        <v>75.5</v>
      </c>
      <c r="F2" s="3">
        <f>(57+46+57+48+51+44+51+43+56+60)/10</f>
        <v>51.3</v>
      </c>
      <c r="G2" s="3">
        <f>170/60</f>
        <v>2.8333333333333335</v>
      </c>
      <c r="H2" s="3">
        <f t="shared" ref="H2:H35" si="0">C2/G2</f>
        <v>5.1423529411764701E-2</v>
      </c>
      <c r="I2" s="3">
        <f t="shared" ref="I2:I35" si="1">D2/G2</f>
        <v>9.7471764705882347</v>
      </c>
      <c r="J2" s="3">
        <f t="shared" ref="J2:J35" si="2">E2/G2</f>
        <v>26.647058823529409</v>
      </c>
      <c r="K2" s="3">
        <f t="shared" ref="K2:K35" si="3">F2/G2</f>
        <v>18.105882352941176</v>
      </c>
    </row>
    <row r="3" spans="1:11" x14ac:dyDescent="0.3">
      <c r="A3" s="2">
        <v>44821</v>
      </c>
      <c r="B3" t="s">
        <v>216</v>
      </c>
      <c r="C3" s="3">
        <f>(0.147+0.143+0.158+0.146+0.15+0.136+0.151+0.115+0.117+0.138)/10</f>
        <v>0.14009999999999997</v>
      </c>
      <c r="D3" s="3">
        <f>(29+27+25+30+27.5+25+26+26+21+25)/10</f>
        <v>26.15</v>
      </c>
      <c r="E3" s="3">
        <f>(84+87.5+67+79+77+66.5+75+57.5+60.5+69.5)/10</f>
        <v>72.349999999999994</v>
      </c>
      <c r="F3" s="3">
        <f>(54+42+57+49+51+39+75+57.5+60.5+69.5)/10</f>
        <v>55.45</v>
      </c>
      <c r="G3" s="3">
        <f>165/60</f>
        <v>2.75</v>
      </c>
      <c r="H3" s="3">
        <f t="shared" si="0"/>
        <v>5.0945454545454537E-2</v>
      </c>
      <c r="I3" s="3">
        <f t="shared" si="1"/>
        <v>9.5090909090909079</v>
      </c>
      <c r="J3" s="3">
        <f t="shared" si="2"/>
        <v>26.309090909090909</v>
      </c>
      <c r="K3" s="3">
        <f t="shared" si="3"/>
        <v>20.163636363636364</v>
      </c>
    </row>
    <row r="4" spans="1:11" x14ac:dyDescent="0.3">
      <c r="A4" s="2">
        <v>44821</v>
      </c>
      <c r="B4" t="s">
        <v>217</v>
      </c>
      <c r="C4" s="3">
        <f>(0.277+0.408+0.488+0.286+0.353+0.399+0.185+0.132+0.269+0.328)/10</f>
        <v>0.31250000000000006</v>
      </c>
      <c r="D4" s="3">
        <f>(71+89+103+70+85+85+49+43+74+79)/10</f>
        <v>74.8</v>
      </c>
      <c r="E4" s="3">
        <f>(181+248+269+190+189+243+146+147+210+231)/10</f>
        <v>205.4</v>
      </c>
      <c r="F4" s="3">
        <f>(101+119+175+96+121+116+72+48+103+137)/10</f>
        <v>108.8</v>
      </c>
      <c r="G4" s="3">
        <v>17.5</v>
      </c>
      <c r="H4" s="3">
        <f t="shared" si="0"/>
        <v>1.785714285714286E-2</v>
      </c>
      <c r="I4" s="3">
        <f t="shared" si="1"/>
        <v>4.274285714285714</v>
      </c>
      <c r="J4" s="3">
        <f t="shared" si="2"/>
        <v>11.737142857142857</v>
      </c>
      <c r="K4" s="3">
        <f t="shared" si="3"/>
        <v>6.2171428571428571</v>
      </c>
    </row>
    <row r="5" spans="1:11" x14ac:dyDescent="0.3">
      <c r="A5" s="2">
        <v>44821</v>
      </c>
      <c r="B5" t="s">
        <v>218</v>
      </c>
      <c r="C5" s="3">
        <f>(1.327+1.14+1.413+1.305+1.343+0.842+0.563+1.204+0.854+1.15)/10</f>
        <v>1.1140999999999999</v>
      </c>
      <c r="D5" s="3">
        <f>(384+286+336+329+330+184+165+347+234+315)/10</f>
        <v>291</v>
      </c>
      <c r="E5" s="3">
        <f>(835+794+802+885.5+736+530+389+772+545+735)/10</f>
        <v>702.35</v>
      </c>
      <c r="F5" s="3">
        <f>(485+333+507+437+459+245+389+772+545+735)/10</f>
        <v>490.7</v>
      </c>
      <c r="G5" s="3">
        <f>36.083</f>
        <v>36.082999999999998</v>
      </c>
      <c r="H5" s="3">
        <f t="shared" si="0"/>
        <v>3.087603580633539E-2</v>
      </c>
      <c r="I5" s="3">
        <f t="shared" si="1"/>
        <v>8.064739628079705</v>
      </c>
      <c r="J5" s="3">
        <f t="shared" si="2"/>
        <v>19.464844940830865</v>
      </c>
      <c r="K5" s="3">
        <f t="shared" si="3"/>
        <v>13.599201840201758</v>
      </c>
    </row>
    <row r="6" spans="1:11" x14ac:dyDescent="0.3">
      <c r="A6" s="2">
        <v>44823</v>
      </c>
      <c r="B6" t="s">
        <v>218</v>
      </c>
      <c r="C6" s="3">
        <f>(0.786+0.725+0.72+0.688+0.799+0.53+0.405+0.647+0.549)/9</f>
        <v>0.64988888888888896</v>
      </c>
      <c r="D6" s="3">
        <f>(197+363+198+207+194+159+128+188+319)/9</f>
        <v>217</v>
      </c>
      <c r="E6" s="3">
        <f>(501+546+489+509+508+383+309+469.5+428)/9</f>
        <v>460.27777777777777</v>
      </c>
      <c r="F6" s="3">
        <f>(230+260+241+235+232+188.5+158+233+210)/9</f>
        <v>220.83333333333334</v>
      </c>
      <c r="G6" s="3">
        <v>23.25</v>
      </c>
      <c r="H6" s="3">
        <f t="shared" si="0"/>
        <v>2.7952210274790924E-2</v>
      </c>
      <c r="I6" s="3">
        <f t="shared" si="1"/>
        <v>9.3333333333333339</v>
      </c>
      <c r="J6" s="3">
        <f t="shared" si="2"/>
        <v>19.796893667861408</v>
      </c>
      <c r="K6" s="3">
        <f t="shared" si="3"/>
        <v>9.4982078853046605</v>
      </c>
    </row>
    <row r="7" spans="1:11" x14ac:dyDescent="0.3">
      <c r="A7" s="2">
        <v>44827</v>
      </c>
      <c r="B7" t="s">
        <v>216</v>
      </c>
      <c r="C7" s="3">
        <f>(0.152+0.146+0.153+0.15+0.147+0.139+0.101+0.132+0.151+0.136+0.108)/11</f>
        <v>0.13772727272727273</v>
      </c>
      <c r="D7" s="3">
        <f>(28+29+25.5+33+33+26+23+26+35+23+23)/11</f>
        <v>27.681818181818183</v>
      </c>
      <c r="E7" s="3">
        <f>(80+96+77.5+95+74+71+59+73+73+69+62)/11</f>
        <v>75.409090909090907</v>
      </c>
      <c r="F7" s="3">
        <f>(56+43+55+50+50+40.5+36+51.5+54+5+45)/11</f>
        <v>44.18181818181818</v>
      </c>
      <c r="G7" s="3">
        <v>3.1</v>
      </c>
      <c r="H7" s="3">
        <f t="shared" si="0"/>
        <v>4.442815249266862E-2</v>
      </c>
      <c r="I7" s="3">
        <f t="shared" si="1"/>
        <v>8.9296187683284458</v>
      </c>
      <c r="J7" s="3">
        <f t="shared" si="2"/>
        <v>24.325513196480937</v>
      </c>
      <c r="K7" s="3">
        <f t="shared" si="3"/>
        <v>14.252199413489736</v>
      </c>
    </row>
    <row r="8" spans="1:11" x14ac:dyDescent="0.3">
      <c r="A8" s="2">
        <v>44827</v>
      </c>
      <c r="B8" t="s">
        <v>216</v>
      </c>
      <c r="C8" s="3">
        <f>(0.144+0.151+0.155+0.142+0.149+0.156+0.099+0.129+0.15+0.118+0.135)/11</f>
        <v>0.1389090909090909</v>
      </c>
      <c r="D8" s="3">
        <f>(28+29+26+29+34+27.5+23+24+33+19+27)/11</f>
        <v>27.227272727272727</v>
      </c>
      <c r="E8" s="3">
        <f>(86+91+74+86+76+78+64+62+67+60+70)/11</f>
        <v>74</v>
      </c>
      <c r="F8" s="3">
        <f>(63+44+56+48+51+45+35+51+54+45+56)/11</f>
        <v>49.81818181818182</v>
      </c>
      <c r="G8" s="3">
        <f>2+(46/60)</f>
        <v>2.7666666666666666</v>
      </c>
      <c r="H8" s="3">
        <f t="shared" si="0"/>
        <v>5.0208105147864182E-2</v>
      </c>
      <c r="I8" s="3">
        <f t="shared" si="1"/>
        <v>9.8411829134720694</v>
      </c>
      <c r="J8" s="3">
        <f t="shared" si="2"/>
        <v>26.746987951807231</v>
      </c>
      <c r="K8" s="3">
        <f t="shared" si="3"/>
        <v>18.0065717415115</v>
      </c>
    </row>
    <row r="9" spans="1:11" x14ac:dyDescent="0.3">
      <c r="A9" s="2">
        <v>44827</v>
      </c>
      <c r="B9" t="s">
        <v>219</v>
      </c>
      <c r="C9" s="3">
        <f>(0.282+0.281+0.383+0.344+0.276+0.33+0.325+0.302+0.29)/9</f>
        <v>0.31255555555555559</v>
      </c>
      <c r="D9" s="3">
        <f>(75+68+82+87+65+85+100.5+120+85)/9</f>
        <v>85.277777777777771</v>
      </c>
      <c r="E9" s="3">
        <f>(175+205+219+187+179+181+279+242+236)/9</f>
        <v>211.44444444444446</v>
      </c>
      <c r="F9" s="3">
        <f>(103+82+137+118+80+117+127+109+111)/9</f>
        <v>109.33333333333333</v>
      </c>
      <c r="G9" s="3">
        <f>17+(32/60)</f>
        <v>17.533333333333335</v>
      </c>
      <c r="H9" s="3">
        <f t="shared" si="0"/>
        <v>1.7826362484157161E-2</v>
      </c>
      <c r="I9" s="3">
        <f t="shared" si="1"/>
        <v>4.8637515842839028</v>
      </c>
      <c r="J9" s="3">
        <f t="shared" si="2"/>
        <v>12.059569074778199</v>
      </c>
      <c r="K9" s="3">
        <f t="shared" si="3"/>
        <v>6.2357414448669193</v>
      </c>
    </row>
    <row r="10" spans="1:11" x14ac:dyDescent="0.3">
      <c r="A10" s="2">
        <v>44827</v>
      </c>
      <c r="B10" t="s">
        <v>220</v>
      </c>
      <c r="C10" s="3">
        <f>(0.43+0.458+0.478+0.56+0.539+0.452+0.504+0.328+0.443+0.412)/10</f>
        <v>0.46040000000000003</v>
      </c>
      <c r="D10" s="3">
        <f>(117+108+101+143+114+114+117+103+95+106)/10</f>
        <v>111.8</v>
      </c>
      <c r="E10" s="3">
        <f>(265+299+274+318+330+294.5+330.5+258+268+262)/10</f>
        <v>289.89999999999998</v>
      </c>
      <c r="F10" s="3">
        <f>(157+134+171+191.5+157+161+197+118+169+172)/10</f>
        <v>162.75</v>
      </c>
      <c r="G10" s="3">
        <f>16+(31/60)</f>
        <v>16.516666666666666</v>
      </c>
      <c r="H10" s="3">
        <f t="shared" si="0"/>
        <v>2.7874873864783052E-2</v>
      </c>
      <c r="I10" s="3">
        <f t="shared" si="1"/>
        <v>6.7689202825428865</v>
      </c>
      <c r="J10" s="3">
        <f t="shared" si="2"/>
        <v>17.55196770938446</v>
      </c>
      <c r="K10" s="3">
        <f t="shared" si="3"/>
        <v>9.8536831483350156</v>
      </c>
    </row>
    <row r="11" spans="1:11" x14ac:dyDescent="0.3">
      <c r="A11" s="2">
        <v>44827</v>
      </c>
      <c r="B11" t="s">
        <v>218</v>
      </c>
      <c r="C11" s="3">
        <f>(0.55+0.607+0.504+0.636+0.509+0.581+0.303+0.445+0.319+0.503)/10</f>
        <v>0.49569999999999997</v>
      </c>
      <c r="D11" s="3">
        <f>(178+163+138+180+126+161+86+152+93+140)/10</f>
        <v>141.69999999999999</v>
      </c>
      <c r="E11" s="3">
        <f>(397+472+378+423+376+387+246+364+289+388)/10</f>
        <v>372</v>
      </c>
      <c r="F11" s="3">
        <f>(201+177+181+217+148+206+119+160+122+210)/10</f>
        <v>174.1</v>
      </c>
      <c r="G11" s="3">
        <f>20+(48/60)</f>
        <v>20.8</v>
      </c>
      <c r="H11" s="3">
        <f t="shared" si="0"/>
        <v>2.3831730769230768E-2</v>
      </c>
      <c r="I11" s="3">
        <f t="shared" si="1"/>
        <v>6.8124999999999991</v>
      </c>
      <c r="J11" s="3">
        <f t="shared" si="2"/>
        <v>17.884615384615383</v>
      </c>
      <c r="K11" s="3">
        <f t="shared" si="3"/>
        <v>8.3701923076923066</v>
      </c>
    </row>
    <row r="12" spans="1:11" x14ac:dyDescent="0.3">
      <c r="A12" s="2">
        <v>44830</v>
      </c>
      <c r="B12" t="s">
        <v>221</v>
      </c>
      <c r="C12" s="3">
        <f>(0.164+0.243+0.196+0.178+0.172+0.206+0.171+0.265+0.266+0.273+0.245)/11</f>
        <v>0.21627272727272728</v>
      </c>
      <c r="D12" s="3">
        <f>(67+103+92+104+92+83+94+80+88+161+67)/11</f>
        <v>93.727272727272734</v>
      </c>
      <c r="E12" s="3">
        <f>(179+241+185+205+191+202+201+235+194+193+151)/11</f>
        <v>197.90909090909091</v>
      </c>
      <c r="F12" s="3">
        <f>(60+71+70+60+59+60+61+104+96+104+103)/11</f>
        <v>77.090909090909093</v>
      </c>
      <c r="G12" s="3">
        <f>14+(28/60)</f>
        <v>14.466666666666667</v>
      </c>
      <c r="H12" s="3">
        <f t="shared" si="0"/>
        <v>1.4949727691663176E-2</v>
      </c>
      <c r="I12" s="3">
        <f t="shared" si="1"/>
        <v>6.478843736908253</v>
      </c>
      <c r="J12" s="3">
        <f t="shared" si="2"/>
        <v>13.680351906158357</v>
      </c>
      <c r="K12" s="3">
        <f t="shared" si="3"/>
        <v>5.3288646837033937</v>
      </c>
    </row>
    <row r="13" spans="1:11" x14ac:dyDescent="0.3">
      <c r="A13" s="2">
        <v>44830</v>
      </c>
      <c r="B13" t="s">
        <v>222</v>
      </c>
      <c r="C13" s="3">
        <f>(0.275+0.371+0.24+0.212+0.229+0.341+0.239+0.284+0.208+0.228+0.196)/11</f>
        <v>0.25663636363636366</v>
      </c>
      <c r="D13" s="3">
        <f>(111+124+77+76+80+104+80+109+75+139+72)/11</f>
        <v>95.181818181818187</v>
      </c>
      <c r="E13" s="3">
        <f>(214+301+197+197+231+319+201+307+203+221+198)/11</f>
        <v>235.36363636363637</v>
      </c>
      <c r="F13" s="3">
        <f>(101+109+86+71+78+99+85+111+75+87+82)/11</f>
        <v>89.454545454545453</v>
      </c>
      <c r="G13" s="3">
        <f>18+(55/60)</f>
        <v>18.916666666666668</v>
      </c>
      <c r="H13" s="3">
        <f t="shared" si="0"/>
        <v>1.3566680016019224E-2</v>
      </c>
      <c r="I13" s="3">
        <f t="shared" si="1"/>
        <v>5.0316379655586703</v>
      </c>
      <c r="J13" s="3">
        <f t="shared" si="2"/>
        <v>12.442130556668001</v>
      </c>
      <c r="K13" s="3">
        <f t="shared" si="3"/>
        <v>4.7288746495794953</v>
      </c>
    </row>
    <row r="14" spans="1:11" x14ac:dyDescent="0.3">
      <c r="A14" s="2">
        <v>44830</v>
      </c>
      <c r="B14" t="s">
        <v>223</v>
      </c>
      <c r="C14" s="3">
        <f>(0.459+0.552+0.505+0.485+0.588+0.461+0.441+0.411+0.367+0.484)/10</f>
        <v>0.4753</v>
      </c>
      <c r="D14" s="3">
        <f>(128+135.5+100+120+150+95+111+111+188+130)/10</f>
        <v>126.85</v>
      </c>
      <c r="E14" s="3">
        <f>(275+345+266+310+277+263+262+257+312)/9</f>
        <v>285.22222222222223</v>
      </c>
      <c r="F14" s="3">
        <f>(168+161+181+163+201+134+157+148+141+202)/9</f>
        <v>184</v>
      </c>
      <c r="G14" s="3">
        <v>14</v>
      </c>
      <c r="H14" s="3">
        <f t="shared" si="0"/>
        <v>3.3950000000000001E-2</v>
      </c>
      <c r="I14" s="3">
        <f t="shared" si="1"/>
        <v>9.0607142857142851</v>
      </c>
      <c r="J14" s="3">
        <f t="shared" si="2"/>
        <v>20.373015873015873</v>
      </c>
      <c r="K14" s="3">
        <f t="shared" si="3"/>
        <v>13.142857142857142</v>
      </c>
    </row>
    <row r="15" spans="1:11" x14ac:dyDescent="0.3">
      <c r="A15" s="2">
        <v>44830</v>
      </c>
      <c r="B15" t="s">
        <v>218</v>
      </c>
      <c r="C15" s="3">
        <f>(1.919+1.864+1.73+1.722+1.801+1.91+0.967+1.385+1.03+1.211)/10</f>
        <v>1.5539000000000001</v>
      </c>
      <c r="D15" s="3">
        <f>(499+450+360+467+359+491+256+349+486+310)/10</f>
        <v>402.7</v>
      </c>
      <c r="E15" s="3">
        <f>(1064+1083+956+1086+1054+1043+618+809+652+746)/10</f>
        <v>911.1</v>
      </c>
      <c r="F15" s="3">
        <f>(702+545+620+589+523+679+378+499+394+506)/10</f>
        <v>543.5</v>
      </c>
      <c r="G15" s="3">
        <v>44</v>
      </c>
      <c r="H15" s="3">
        <f t="shared" si="0"/>
        <v>3.5315909090909092E-2</v>
      </c>
      <c r="I15" s="3">
        <f t="shared" si="1"/>
        <v>9.1522727272727273</v>
      </c>
      <c r="J15" s="3">
        <f t="shared" si="2"/>
        <v>20.706818181818182</v>
      </c>
      <c r="K15" s="3">
        <f t="shared" si="3"/>
        <v>12.352272727272727</v>
      </c>
    </row>
    <row r="16" spans="1:11" x14ac:dyDescent="0.3">
      <c r="A16" s="2">
        <v>44831</v>
      </c>
      <c r="B16" t="s">
        <v>224</v>
      </c>
      <c r="C16" s="3">
        <f>(0.373+0.543+0.506+0.553+0.485+0.468+0.61+0.37+0.269+0.229+0.317)/11</f>
        <v>0.42936363636363634</v>
      </c>
      <c r="D16" s="3">
        <f>(107+132+112+104+138+93+154+98+87+124+84)/11</f>
        <v>112.09090909090909</v>
      </c>
      <c r="E16" s="3">
        <f>(288+396+386+425+407+291+373+357+273+268+273)/11</f>
        <v>339.72727272727275</v>
      </c>
      <c r="F16" s="3">
        <f>(137+159+182+185+166+136+217+145+97+87+132)/11</f>
        <v>149.36363636363637</v>
      </c>
      <c r="G16" s="3">
        <f>28+(9/60)</f>
        <v>28.15</v>
      </c>
      <c r="H16" s="3">
        <f t="shared" si="0"/>
        <v>1.5252704666559019E-2</v>
      </c>
      <c r="I16" s="3">
        <f t="shared" si="1"/>
        <v>3.9819150653964157</v>
      </c>
      <c r="J16" s="3">
        <f t="shared" si="2"/>
        <v>12.068464395285</v>
      </c>
      <c r="K16" s="3">
        <f t="shared" si="3"/>
        <v>5.3059906345874381</v>
      </c>
    </row>
    <row r="17" spans="1:11" x14ac:dyDescent="0.3">
      <c r="A17" s="2">
        <v>44831</v>
      </c>
      <c r="B17" t="s">
        <v>219</v>
      </c>
      <c r="C17" s="3">
        <f>(0.551+0.585+0.605+0.45+0.471+0.619+0.426+0.374+0.377+0.41+0.455)/11</f>
        <v>0.48390909090909096</v>
      </c>
      <c r="D17" s="3">
        <f>(146+134+126+93+127+126+112+106+127+221+129)/11</f>
        <v>131.54545454545453</v>
      </c>
      <c r="E17" s="3">
        <f>(294+321+346+288+289+324+226+307+307+331+329)/11</f>
        <v>305.63636363636363</v>
      </c>
      <c r="F17" s="3">
        <f>(201+171+217+151+161+180+152+146+136+157+190)/11</f>
        <v>169.27272727272728</v>
      </c>
      <c r="G17" s="1">
        <f>19+(4/60)</f>
        <v>19.066666666666666</v>
      </c>
      <c r="H17" s="3">
        <f t="shared" si="0"/>
        <v>2.5379847425301975E-2</v>
      </c>
      <c r="I17" s="3">
        <f t="shared" si="1"/>
        <v>6.8992371265098535</v>
      </c>
      <c r="J17" s="3">
        <f t="shared" si="2"/>
        <v>16.029879211697395</v>
      </c>
      <c r="K17" s="3">
        <f t="shared" si="3"/>
        <v>8.8779402415766064</v>
      </c>
    </row>
    <row r="18" spans="1:11" x14ac:dyDescent="0.3">
      <c r="A18" s="2">
        <v>44831</v>
      </c>
      <c r="B18" t="s">
        <v>222</v>
      </c>
      <c r="C18" s="3">
        <f>(0.175+0.196+0.215+0.195+0.215+0.254+0.28+0.323+0.111+0.149+0.19)/11</f>
        <v>0.20936363636363636</v>
      </c>
      <c r="D18" s="3">
        <f>(66+67+49+52+80+66+94+100+41+91+61)/11</f>
        <v>69.727272727272734</v>
      </c>
      <c r="E18" s="3">
        <f>(141+154+129+155+194+193+201+301+103+131+154)/11</f>
        <v>168.72727272727272</v>
      </c>
      <c r="F18" s="3">
        <f>(64+57+77+65+74+74+99+126+40+57+79)/11</f>
        <v>73.818181818181813</v>
      </c>
      <c r="G18" s="3">
        <f>11+(48/60)</f>
        <v>11.8</v>
      </c>
      <c r="H18" s="3">
        <f t="shared" si="0"/>
        <v>1.7742681047765791E-2</v>
      </c>
      <c r="I18" s="3">
        <f t="shared" si="1"/>
        <v>5.9090909090909092</v>
      </c>
      <c r="J18" s="3">
        <f t="shared" si="2"/>
        <v>14.298921417565484</v>
      </c>
      <c r="K18" s="3">
        <f t="shared" si="3"/>
        <v>6.2557781201848988</v>
      </c>
    </row>
    <row r="19" spans="1:11" x14ac:dyDescent="0.3">
      <c r="A19" s="2">
        <v>44831</v>
      </c>
      <c r="B19" t="s">
        <v>225</v>
      </c>
      <c r="C19" s="3">
        <f>(0.368+0.416+0.466+0.435+0.38+0.391+0.417+0.456+0.347+0.343+0.48)/11</f>
        <v>0.40900000000000003</v>
      </c>
      <c r="D19" s="3">
        <f>(93+99+94+77+91+88+105+100+79+156+101)/11</f>
        <v>98.454545454545453</v>
      </c>
      <c r="E19" s="3">
        <f>(229+270+233+248+238+270+259+257+220+190+253)/11</f>
        <v>242.45454545454547</v>
      </c>
      <c r="F19" s="3">
        <f>(135+122+167+146+130+114+148+178+125+131+201)/11</f>
        <v>145.18181818181819</v>
      </c>
      <c r="G19" s="3">
        <f>13+(8/60)</f>
        <v>13.133333333333333</v>
      </c>
      <c r="H19" s="3">
        <f t="shared" si="0"/>
        <v>3.1142131979695436E-2</v>
      </c>
      <c r="I19" s="3">
        <f t="shared" si="1"/>
        <v>7.4965389940009235</v>
      </c>
      <c r="J19" s="3">
        <f t="shared" si="2"/>
        <v>18.461005999077067</v>
      </c>
      <c r="K19" s="3">
        <f t="shared" si="3"/>
        <v>11.054453161052146</v>
      </c>
    </row>
    <row r="20" spans="1:11" x14ac:dyDescent="0.3">
      <c r="A20" s="2">
        <v>44831</v>
      </c>
      <c r="B20" t="s">
        <v>218</v>
      </c>
      <c r="C20" s="3">
        <f>(1.277+1.274+1.294+1.116+1.164+1.191+1.238+0.429+0.672+0.734+0.987)/11</f>
        <v>1.0341818181818183</v>
      </c>
      <c r="D20" s="3">
        <f>(364+342+292+237+326+274+341+123+205+385+246)/11</f>
        <v>285</v>
      </c>
      <c r="E20" s="3">
        <f>(774+839+788+740+787+770+754+323+499+546+608)/11</f>
        <v>675.27272727272725</v>
      </c>
      <c r="F20" s="3">
        <f>(467+373+464+374+398+346+440+168+242+281+413)/11</f>
        <v>360.54545454545456</v>
      </c>
      <c r="G20" s="3">
        <f>33+(51/60)</f>
        <v>33.85</v>
      </c>
      <c r="H20" s="3">
        <f t="shared" si="0"/>
        <v>3.0551900093997584E-2</v>
      </c>
      <c r="I20" s="3">
        <f t="shared" si="1"/>
        <v>8.4194977843426884</v>
      </c>
      <c r="J20" s="3">
        <f t="shared" si="2"/>
        <v>19.948972740700952</v>
      </c>
      <c r="K20" s="3">
        <f t="shared" si="3"/>
        <v>10.651268967369411</v>
      </c>
    </row>
    <row r="21" spans="1:11" x14ac:dyDescent="0.3">
      <c r="A21" s="2">
        <v>44831</v>
      </c>
      <c r="B21" t="s">
        <v>226</v>
      </c>
      <c r="C21" s="3">
        <f>(0.169+0.183+0.191+0.18+0.18+0.18+0.181+0.181+0.18+0.176)/10</f>
        <v>0.18009999999999998</v>
      </c>
      <c r="D21" s="3">
        <f>(37+37+31+30+43+31+41+38+71+36)/10</f>
        <v>39.5</v>
      </c>
      <c r="E21" s="3">
        <f>(63+69+69+69+65+64+74+77+69+59)/10</f>
        <v>67.8</v>
      </c>
      <c r="F21" s="3">
        <f>(62+54+69+60+62+52+64+65+69+74)/10</f>
        <v>63.1</v>
      </c>
      <c r="G21" s="3">
        <f>2+(49/60)</f>
        <v>2.8166666666666664</v>
      </c>
      <c r="H21" s="3">
        <f t="shared" si="0"/>
        <v>6.3940828402366867E-2</v>
      </c>
      <c r="I21" s="3">
        <f t="shared" si="1"/>
        <v>14.023668639053255</v>
      </c>
      <c r="J21" s="3">
        <f t="shared" si="2"/>
        <v>24.071005917159763</v>
      </c>
      <c r="K21" s="3">
        <f t="shared" si="3"/>
        <v>22.402366863905328</v>
      </c>
    </row>
    <row r="22" spans="1:11" x14ac:dyDescent="0.3">
      <c r="A22" s="2">
        <v>44833</v>
      </c>
      <c r="B22" t="s">
        <v>227</v>
      </c>
      <c r="C22" s="3">
        <f>(0.405+0.314+0.436+0.353+0.396+0.312+0.239+0.38+0.289+0.234)/10</f>
        <v>0.33579999999999999</v>
      </c>
      <c r="D22" s="3">
        <f>(113+89+114+121+86+73+72+97+72+76)/10</f>
        <v>91.3</v>
      </c>
      <c r="E22" s="3">
        <f>(313+217+312+291+243+207+205+299+193+213)/10</f>
        <v>249.3</v>
      </c>
      <c r="F22" s="3">
        <f>(138+115+128+125+115+112+86+149+111+98)/10</f>
        <v>117.7</v>
      </c>
      <c r="G22" s="3">
        <f>16+(9/60)</f>
        <v>16.149999999999999</v>
      </c>
      <c r="H22" s="3">
        <f t="shared" si="0"/>
        <v>2.0792569659442726E-2</v>
      </c>
      <c r="I22" s="3">
        <f t="shared" si="1"/>
        <v>5.6532507739938085</v>
      </c>
      <c r="J22" s="3">
        <f t="shared" si="2"/>
        <v>15.43653250773994</v>
      </c>
      <c r="K22" s="3">
        <f t="shared" si="3"/>
        <v>7.2879256965944279</v>
      </c>
    </row>
    <row r="23" spans="1:11" x14ac:dyDescent="0.3">
      <c r="A23" s="2">
        <v>44833</v>
      </c>
      <c r="B23" t="s">
        <v>228</v>
      </c>
      <c r="C23" s="3">
        <f>(0.341+0.282+0.385+0.306+0.31+0.436+0.444+0.295+0.54+0.466)/10</f>
        <v>0.3805</v>
      </c>
      <c r="D23" s="3">
        <f>(113+84+114+100+70+106+133+79+159+111)/10</f>
        <v>106.9</v>
      </c>
      <c r="E23" s="3">
        <f>(306+196+324+280+229+287+367+211+338+322)/10</f>
        <v>286</v>
      </c>
      <c r="F23" s="3">
        <f>(116+103+113+109+90+156+160+115+207+195)/10</f>
        <v>136.4</v>
      </c>
      <c r="G23" s="3">
        <f>26.25</f>
        <v>26.25</v>
      </c>
      <c r="H23" s="3">
        <f t="shared" si="0"/>
        <v>1.4495238095238096E-2</v>
      </c>
      <c r="I23" s="3">
        <f t="shared" si="1"/>
        <v>4.0723809523809527</v>
      </c>
      <c r="J23" s="3">
        <f t="shared" si="2"/>
        <v>10.895238095238096</v>
      </c>
      <c r="K23" s="3">
        <f t="shared" si="3"/>
        <v>5.196190476190476</v>
      </c>
    </row>
    <row r="24" spans="1:11" x14ac:dyDescent="0.3">
      <c r="A24" s="2">
        <v>44833</v>
      </c>
      <c r="B24" t="s">
        <v>219</v>
      </c>
      <c r="C24" s="3">
        <f>(0.557+0.342+0.357+0.416+0.55+0.383+0.366+0.34+0.34+0.313+0.483)/11</f>
        <v>0.40427272727272728</v>
      </c>
      <c r="D24" s="3">
        <f>(145+78+94+103+144+91+83+113+96+86+144)/11</f>
        <v>107</v>
      </c>
      <c r="E24" s="3">
        <f>(320+63+223+235+305+252+259+281+291+357)/11</f>
        <v>235.09090909090909</v>
      </c>
      <c r="F24" s="3">
        <f>(190+114+131+122+195+111+131+123+133+120+202)/11</f>
        <v>142.90909090909091</v>
      </c>
      <c r="G24" s="3">
        <f>16+(18/60)</f>
        <v>16.3</v>
      </c>
      <c r="H24" s="3">
        <f t="shared" si="0"/>
        <v>2.4802007808142776E-2</v>
      </c>
      <c r="I24" s="3">
        <f t="shared" si="1"/>
        <v>6.5644171779141098</v>
      </c>
      <c r="J24" s="3">
        <f t="shared" si="2"/>
        <v>14.422755158951478</v>
      </c>
      <c r="K24" s="3">
        <f t="shared" si="3"/>
        <v>8.7674288901282758</v>
      </c>
    </row>
    <row r="25" spans="1:11" x14ac:dyDescent="0.3">
      <c r="A25" s="2">
        <v>44833</v>
      </c>
      <c r="B25" t="s">
        <v>221</v>
      </c>
      <c r="C25" s="3">
        <f>(0.178+0.154+0.15+0.248+0.204+0.189+0.145+0.148+0.122+0.169)/10</f>
        <v>0.17069999999999999</v>
      </c>
      <c r="D25" s="3">
        <f>(87+88+104+118+87+80+59+52+45+60)/10</f>
        <v>78</v>
      </c>
      <c r="E25" s="3">
        <f>(198+165+183+229+204+170+135+144+136)/10</f>
        <v>156.4</v>
      </c>
      <c r="F25" s="3">
        <f>(61+56+44+88+59+68+52+58+47+71)/10</f>
        <v>60.4</v>
      </c>
      <c r="G25" s="3">
        <f>14.48</f>
        <v>14.48</v>
      </c>
      <c r="H25" s="3">
        <f t="shared" si="0"/>
        <v>1.178867403314917E-2</v>
      </c>
      <c r="I25" s="3">
        <f t="shared" si="1"/>
        <v>5.3867403314917128</v>
      </c>
      <c r="J25" s="3">
        <f t="shared" si="2"/>
        <v>10.801104972375692</v>
      </c>
      <c r="K25" s="3">
        <f t="shared" si="3"/>
        <v>4.1712707182320443</v>
      </c>
    </row>
    <row r="26" spans="1:11" x14ac:dyDescent="0.3">
      <c r="A26" s="2">
        <v>44833</v>
      </c>
      <c r="B26" t="s">
        <v>218</v>
      </c>
      <c r="C26" s="3">
        <f>(1.627+1.587+1.393+1.574+1.658+1.664+1.27+0.999+1.099)/9</f>
        <v>1.4301111111111111</v>
      </c>
      <c r="D26" s="3">
        <f>(446+432+366+441+377+348+336+252+286)/9</f>
        <v>364.88888888888891</v>
      </c>
      <c r="E26" s="3">
        <f>(1022+984+902+1004+1032+990+814+646+673)/9</f>
        <v>896.33333333333337</v>
      </c>
      <c r="F26" s="3">
        <f>(556+580+407+559+482+597+458+390+460)/9</f>
        <v>498.77777777777777</v>
      </c>
      <c r="G26" s="3">
        <f>47.33</f>
        <v>47.33</v>
      </c>
      <c r="H26" s="3">
        <f t="shared" si="0"/>
        <v>3.0215742892691976E-2</v>
      </c>
      <c r="I26" s="3">
        <f t="shared" si="1"/>
        <v>7.709463107730592</v>
      </c>
      <c r="J26" s="3">
        <f t="shared" si="2"/>
        <v>18.937953376998383</v>
      </c>
      <c r="K26" s="3">
        <f t="shared" si="3"/>
        <v>10.538300819306524</v>
      </c>
    </row>
    <row r="27" spans="1:11" x14ac:dyDescent="0.3">
      <c r="A27" s="2">
        <v>44833</v>
      </c>
      <c r="B27" t="s">
        <v>229</v>
      </c>
      <c r="C27" s="3">
        <f>(0.892+0.949+1.069)/3</f>
        <v>0.97000000000000008</v>
      </c>
      <c r="D27" s="3">
        <f>(300+243+231)/3</f>
        <v>258</v>
      </c>
      <c r="E27" s="3">
        <f>(826+794+755)/3</f>
        <v>791.66666666666663</v>
      </c>
      <c r="F27" s="3">
        <f>(326+276+384)/3</f>
        <v>328.66666666666669</v>
      </c>
      <c r="G27" s="3">
        <f>42</f>
        <v>42</v>
      </c>
      <c r="H27" s="3">
        <f t="shared" si="0"/>
        <v>2.3095238095238096E-2</v>
      </c>
      <c r="I27" s="3">
        <f t="shared" si="1"/>
        <v>6.1428571428571432</v>
      </c>
      <c r="J27" s="3">
        <f t="shared" si="2"/>
        <v>18.849206349206348</v>
      </c>
      <c r="K27" s="3">
        <f t="shared" si="3"/>
        <v>7.825396825396826</v>
      </c>
    </row>
    <row r="28" spans="1:11" x14ac:dyDescent="0.3">
      <c r="A28" s="2">
        <v>44834</v>
      </c>
      <c r="B28" t="s">
        <v>222</v>
      </c>
      <c r="C28" s="3">
        <f>(0.105+0.125+0.105+0.096+0.192+0.105+0.13+0.071+0.089)/9</f>
        <v>0.11311111111111111</v>
      </c>
      <c r="D28" s="3">
        <f>(42+41+35+36+44+30+36+38+32)/9</f>
        <v>37.111111111111114</v>
      </c>
      <c r="E28" s="3">
        <f>(108+103+107+89+169+81+98+77+102)/9</f>
        <v>103.77777777777777</v>
      </c>
      <c r="F28" s="3">
        <f>(36+46+31+34+65+31+47+27+37)/9</f>
        <v>39.333333333333336</v>
      </c>
      <c r="G28" s="3">
        <f>7.98</f>
        <v>7.98</v>
      </c>
      <c r="H28" s="3">
        <f t="shared" si="0"/>
        <v>1.4174324700640489E-2</v>
      </c>
      <c r="I28" s="3">
        <f t="shared" si="1"/>
        <v>4.6505151768309663</v>
      </c>
      <c r="J28" s="3">
        <f t="shared" si="2"/>
        <v>13.004734057365635</v>
      </c>
      <c r="K28" s="3">
        <f t="shared" si="3"/>
        <v>4.9289891395154557</v>
      </c>
    </row>
    <row r="29" spans="1:11" x14ac:dyDescent="0.3">
      <c r="A29" s="2">
        <v>44834</v>
      </c>
      <c r="B29" t="s">
        <v>227</v>
      </c>
      <c r="C29" s="3">
        <f>(0.658+0.579+0.611+0.779+0.634+0.618+0.638+0.677+0.4+0.389+0.376+0.424)/12</f>
        <v>0.56525000000000014</v>
      </c>
      <c r="D29" s="3">
        <f>(178+154+169+189+178+147+148+153+118+100+176+111)/12</f>
        <v>151.75</v>
      </c>
      <c r="E29" s="3">
        <f>(469+409+385+532+401+436+416+440+301+278+290+324)/12</f>
        <v>390.08333333333331</v>
      </c>
      <c r="F29" s="3">
        <f>(225+194+223+228+225+210+186+243+144+152+144+178)/12</f>
        <v>196</v>
      </c>
      <c r="G29" s="3">
        <f>26+(43/60)</f>
        <v>26.716666666666665</v>
      </c>
      <c r="H29" s="3">
        <f t="shared" si="0"/>
        <v>2.1157205240174681E-2</v>
      </c>
      <c r="I29" s="3">
        <f t="shared" si="1"/>
        <v>5.6799750467872743</v>
      </c>
      <c r="J29" s="3">
        <f t="shared" si="2"/>
        <v>14.600748596381784</v>
      </c>
      <c r="K29" s="3">
        <f t="shared" si="3"/>
        <v>7.3362445414847164</v>
      </c>
    </row>
    <row r="30" spans="1:11" x14ac:dyDescent="0.3">
      <c r="A30" s="2">
        <v>44834</v>
      </c>
      <c r="B30" t="s">
        <v>219</v>
      </c>
      <c r="C30" s="3">
        <f>(0.405+0.354+0.272+0.406+0.194+0.213+0.28+0.326+0.256+0.27+0.353+0.377)/12</f>
        <v>0.30883333333333335</v>
      </c>
      <c r="D30" s="3">
        <f>(106+94+80+99+65+57+69+80+94+83+206+117)/12</f>
        <v>95.833333333333329</v>
      </c>
      <c r="E30" s="3">
        <f>(220+260+182+253+152+135+187+180+214+194+293+259)/12</f>
        <v>210.75</v>
      </c>
      <c r="F30" s="3">
        <f>(138+119+100+119+69+73+82+117+92+106+135+158)/12</f>
        <v>109</v>
      </c>
      <c r="G30" s="3">
        <f>17+(33/60)</f>
        <v>17.55</v>
      </c>
      <c r="H30" s="3">
        <f t="shared" si="0"/>
        <v>1.7597340930674263E-2</v>
      </c>
      <c r="I30" s="3">
        <f t="shared" si="1"/>
        <v>5.4605887939221267</v>
      </c>
      <c r="J30" s="3">
        <f t="shared" si="2"/>
        <v>12.008547008547009</v>
      </c>
      <c r="K30" s="3">
        <f t="shared" si="3"/>
        <v>6.2108262108262107</v>
      </c>
    </row>
    <row r="31" spans="1:11" x14ac:dyDescent="0.3">
      <c r="A31" s="2">
        <v>44834</v>
      </c>
      <c r="B31" t="s">
        <v>220</v>
      </c>
      <c r="C31" s="3">
        <f>(0.365+0.346+0.327+0.36+0.347+0.19+0.313+0.394+0.344+0.408+0.331+0.355)/12</f>
        <v>0.34</v>
      </c>
      <c r="D31" s="3">
        <f>(94+84+87+85+88+40+71+89+89+95+159+85)/12</f>
        <v>88.833333333333329</v>
      </c>
      <c r="E31" s="3">
        <f>(218+205+194+227+206+146+199+211+210+233+210+215)/12</f>
        <v>206.16666666666666</v>
      </c>
      <c r="F31" s="3">
        <f>(125+116+119+105+123+65+91+141+124+160+127+149)/12</f>
        <v>120.41666666666667</v>
      </c>
      <c r="G31" s="3">
        <f>11+(4/60)</f>
        <v>11.066666666666666</v>
      </c>
      <c r="H31" s="3">
        <f t="shared" si="0"/>
        <v>3.0722891566265065E-2</v>
      </c>
      <c r="I31" s="3">
        <f t="shared" si="1"/>
        <v>8.0271084337349397</v>
      </c>
      <c r="J31" s="3">
        <f t="shared" si="2"/>
        <v>18.629518072289155</v>
      </c>
      <c r="K31" s="3">
        <f t="shared" si="3"/>
        <v>10.881024096385543</v>
      </c>
    </row>
    <row r="32" spans="1:11" x14ac:dyDescent="0.3">
      <c r="A32" s="2">
        <v>44834</v>
      </c>
      <c r="B32" t="s">
        <v>225</v>
      </c>
      <c r="C32" s="3">
        <f>(0.224+0.165+0.21+0.318+0.168+0.193+0.293+0.259+0.185+0.218+0.267+0.319)/12</f>
        <v>0.23491666666666666</v>
      </c>
      <c r="D32" s="3">
        <f>(61+38+45+70+49+37+52+58+50+54+71+125)/12</f>
        <v>59.166666666666664</v>
      </c>
      <c r="E32" s="3">
        <f>(144+108+100+173+121+105+148+142+127+126+134+160)/12</f>
        <v>132.33333333333334</v>
      </c>
      <c r="F32" s="3">
        <f>(77+55+77+93+60+66+85+93+67+85+102+133)/12</f>
        <v>82.75</v>
      </c>
      <c r="G32" s="3">
        <f>6+(56/60)</f>
        <v>6.9333333333333336</v>
      </c>
      <c r="H32" s="3">
        <f t="shared" si="0"/>
        <v>3.3882211538461535E-2</v>
      </c>
      <c r="I32" s="3">
        <f t="shared" si="1"/>
        <v>8.5336538461538449</v>
      </c>
      <c r="J32" s="3">
        <f t="shared" si="2"/>
        <v>19.086538461538463</v>
      </c>
      <c r="K32" s="3">
        <f t="shared" si="3"/>
        <v>11.935096153846153</v>
      </c>
    </row>
    <row r="33" spans="1:11" x14ac:dyDescent="0.3">
      <c r="A33" s="2">
        <v>44834</v>
      </c>
      <c r="B33" t="s">
        <v>218</v>
      </c>
      <c r="C33" s="3">
        <f>(1.53+1.303+1.525+1.393+1.629+1.416+1.583+0.845+0.749+0.819+0.921)/11</f>
        <v>1.2466363636363638</v>
      </c>
      <c r="D33" s="3">
        <f>(423+326+380+398+335+315+375+249+195+400+249)/11</f>
        <v>331.36363636363637</v>
      </c>
      <c r="E33" s="3">
        <f>(986+870+962+927+1030+902+865+624+545+534+655)/11</f>
        <v>809.09090909090912</v>
      </c>
      <c r="F33" s="3">
        <f>(522+436+446+495+554+412+568+305+293+313+385)/11</f>
        <v>429.90909090909093</v>
      </c>
      <c r="G33" s="3">
        <f>41+(39/60)</f>
        <v>41.65</v>
      </c>
      <c r="H33" s="3">
        <f t="shared" si="0"/>
        <v>2.9931245225362876E-2</v>
      </c>
      <c r="I33" s="3">
        <f t="shared" si="1"/>
        <v>7.9559096365819064</v>
      </c>
      <c r="J33" s="3">
        <f t="shared" si="2"/>
        <v>19.425952199061445</v>
      </c>
      <c r="K33" s="3">
        <f t="shared" si="3"/>
        <v>10.321946960602423</v>
      </c>
    </row>
    <row r="34" spans="1:11" x14ac:dyDescent="0.3">
      <c r="A34" s="2">
        <v>44834</v>
      </c>
      <c r="B34" t="s">
        <v>230</v>
      </c>
      <c r="C34" s="3">
        <f>(0.172+0.183+0.154+0.174+0.221+0.178+0.175+0.148+0.209+0.182+0.207)/11</f>
        <v>0.18209090909090911</v>
      </c>
      <c r="D34" s="3">
        <f>(113+86+93+117+95+81+89+68+67+102+63)/11</f>
        <v>88.545454545454547</v>
      </c>
      <c r="E34" s="3">
        <f>(230+188+177+200+219+187+168+160+208+227+219)/11</f>
        <v>198.45454545454547</v>
      </c>
      <c r="F34" s="3">
        <f>(59+61+45+62+75+52+63+54+82+70+87)/11</f>
        <v>64.545454545454547</v>
      </c>
      <c r="G34" s="3">
        <f>16+(16/60)</f>
        <v>16.266666666666666</v>
      </c>
      <c r="H34" s="3">
        <f t="shared" si="0"/>
        <v>1.1194113263785397E-2</v>
      </c>
      <c r="I34" s="3">
        <f t="shared" si="1"/>
        <v>5.4433681073025335</v>
      </c>
      <c r="J34" s="3">
        <f t="shared" si="2"/>
        <v>12.200074515648287</v>
      </c>
      <c r="K34" s="3">
        <f t="shared" si="3"/>
        <v>3.9679582712369599</v>
      </c>
    </row>
    <row r="35" spans="1:11" x14ac:dyDescent="0.3">
      <c r="A35" s="2">
        <v>44834</v>
      </c>
      <c r="B35" t="s">
        <v>229</v>
      </c>
      <c r="C35" s="3">
        <f>(0.498+0.616+0.382+0.384)/4</f>
        <v>0.47</v>
      </c>
      <c r="D35" s="3">
        <f>(173+159+161+100)/4</f>
        <v>148.25</v>
      </c>
      <c r="E35" s="3">
        <f>(491+441+504+284)/4</f>
        <v>430</v>
      </c>
      <c r="F35" s="3">
        <f>(167+210+111+138)/4</f>
        <v>156.5</v>
      </c>
      <c r="G35" s="3">
        <v>30</v>
      </c>
      <c r="H35" s="3">
        <f t="shared" si="0"/>
        <v>1.5666666666666666E-2</v>
      </c>
      <c r="I35" s="3">
        <f t="shared" si="1"/>
        <v>4.9416666666666664</v>
      </c>
      <c r="J35" s="3">
        <f t="shared" si="2"/>
        <v>14.333333333333334</v>
      </c>
      <c r="K35" s="3">
        <f t="shared" si="3"/>
        <v>5.2166666666666668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E285-1CA8-4AC6-BFF6-25B9F458D7E3}">
  <dimension ref="A1:Z22"/>
  <sheetViews>
    <sheetView workbookViewId="0">
      <selection activeCell="A11" sqref="A11"/>
    </sheetView>
  </sheetViews>
  <sheetFormatPr defaultRowHeight="14.4" x14ac:dyDescent="0.3"/>
  <cols>
    <col min="1" max="27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3.0419999999999998</v>
      </c>
      <c r="E2">
        <v>873.7</v>
      </c>
      <c r="F2">
        <v>2046.6</v>
      </c>
      <c r="G2">
        <v>1039.5</v>
      </c>
      <c r="H2">
        <v>220</v>
      </c>
      <c r="I2">
        <v>40491.82</v>
      </c>
      <c r="J2" t="s">
        <v>151</v>
      </c>
      <c r="K2" s="3">
        <f t="shared" ref="K2:K22" si="0">E2/D2</f>
        <v>287.21236028928342</v>
      </c>
      <c r="L2" s="3">
        <f t="shared" ref="L2:L22" si="1">F2/G2</f>
        <v>1.9688311688311688</v>
      </c>
      <c r="M2" s="3">
        <f t="shared" ref="M2:M22" si="2">I2/H2</f>
        <v>184.05372727272726</v>
      </c>
      <c r="N2" s="3">
        <v>106.88333333333333</v>
      </c>
      <c r="O2" s="3">
        <f t="shared" ref="O2:O22" si="3">D2/$N2</f>
        <v>2.84609387182286E-2</v>
      </c>
      <c r="P2" s="3">
        <f t="shared" ref="P2:P22" si="4">E2/$N2</f>
        <v>8.1743333853110887</v>
      </c>
      <c r="Q2" s="3">
        <f t="shared" ref="Q2:Q22" si="5">F2/$N2</f>
        <v>19.147980664275689</v>
      </c>
      <c r="R2" s="3">
        <f t="shared" ref="R2:R22" si="6">G2/$N2</f>
        <v>9.7255574614065186</v>
      </c>
    </row>
    <row r="3" spans="1:26" x14ac:dyDescent="0.3">
      <c r="A3" t="s">
        <v>26</v>
      </c>
      <c r="B3" s="2">
        <v>44831</v>
      </c>
      <c r="C3">
        <v>2</v>
      </c>
      <c r="D3" s="1">
        <v>2.8959999999999999</v>
      </c>
      <c r="E3">
        <v>804.12</v>
      </c>
      <c r="F3">
        <v>1978.7</v>
      </c>
      <c r="G3">
        <v>989.5</v>
      </c>
      <c r="H3">
        <v>147</v>
      </c>
      <c r="I3">
        <v>29144.47</v>
      </c>
      <c r="J3" t="s">
        <v>152</v>
      </c>
      <c r="K3" s="3">
        <f t="shared" si="0"/>
        <v>277.66574585635362</v>
      </c>
      <c r="L3" s="3">
        <f t="shared" si="1"/>
        <v>1.9996968165740274</v>
      </c>
      <c r="M3" s="3">
        <f t="shared" si="2"/>
        <v>198.26170068027213</v>
      </c>
      <c r="N3" s="3">
        <v>108.81666666666599</v>
      </c>
      <c r="O3" s="3">
        <f t="shared" si="3"/>
        <v>2.6613570225149496E-2</v>
      </c>
      <c r="P3" s="3">
        <f t="shared" si="4"/>
        <v>7.3896768264665793</v>
      </c>
      <c r="Q3" s="3">
        <f t="shared" si="5"/>
        <v>18.183795374483189</v>
      </c>
      <c r="R3" s="3">
        <f t="shared" si="6"/>
        <v>9.0932761525502173</v>
      </c>
    </row>
    <row r="4" spans="1:26" x14ac:dyDescent="0.3">
      <c r="A4" t="s">
        <v>26</v>
      </c>
      <c r="B4" s="2">
        <v>44833</v>
      </c>
      <c r="C4">
        <v>3</v>
      </c>
      <c r="D4" s="1">
        <v>3.2040000000000002</v>
      </c>
      <c r="E4">
        <v>926.71</v>
      </c>
      <c r="F4">
        <v>2233.87</v>
      </c>
      <c r="G4">
        <v>1094.7</v>
      </c>
      <c r="H4">
        <v>229</v>
      </c>
      <c r="I4">
        <v>39566.550000000003</v>
      </c>
      <c r="J4" t="s">
        <v>153</v>
      </c>
      <c r="K4" s="3">
        <f t="shared" si="0"/>
        <v>289.23533083645441</v>
      </c>
      <c r="L4" s="3">
        <f t="shared" si="1"/>
        <v>2.0406230017356353</v>
      </c>
      <c r="M4" s="3">
        <f t="shared" si="2"/>
        <v>172.77969432314413</v>
      </c>
      <c r="N4" s="3">
        <v>125.56666666666599</v>
      </c>
      <c r="O4" s="3">
        <f t="shared" si="3"/>
        <v>2.5516325988850681E-2</v>
      </c>
      <c r="P4" s="3">
        <f t="shared" si="4"/>
        <v>7.3802229891160476</v>
      </c>
      <c r="Q4" s="3">
        <f t="shared" si="5"/>
        <v>17.790310591983104</v>
      </c>
      <c r="R4" s="3">
        <f t="shared" si="6"/>
        <v>8.7180780461906497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3.4580000000000002</v>
      </c>
      <c r="E5">
        <v>1018.48</v>
      </c>
      <c r="F5">
        <v>2374.81</v>
      </c>
      <c r="G5">
        <v>1181.5</v>
      </c>
      <c r="H5">
        <v>277</v>
      </c>
      <c r="I5">
        <v>56373.62</v>
      </c>
      <c r="J5" t="s">
        <v>154</v>
      </c>
      <c r="K5" s="3">
        <f t="shared" si="0"/>
        <v>294.52862926547135</v>
      </c>
      <c r="L5" s="3">
        <f t="shared" si="1"/>
        <v>2.0099957680914091</v>
      </c>
      <c r="M5" s="3">
        <f t="shared" si="2"/>
        <v>203.5148736462094</v>
      </c>
      <c r="N5" s="3">
        <v>128.166666666666</v>
      </c>
      <c r="O5" s="3">
        <f t="shared" si="3"/>
        <v>2.6980494148244615E-2</v>
      </c>
      <c r="P5" s="3">
        <f t="shared" si="4"/>
        <v>7.9465279583875574</v>
      </c>
      <c r="Q5" s="3">
        <f t="shared" si="5"/>
        <v>18.529076723016999</v>
      </c>
      <c r="R5" s="3">
        <f t="shared" si="6"/>
        <v>9.2184655396619455</v>
      </c>
    </row>
    <row r="6" spans="1:26" x14ac:dyDescent="0.3">
      <c r="A6" t="s">
        <v>26</v>
      </c>
      <c r="B6" s="2">
        <v>44835</v>
      </c>
      <c r="C6">
        <v>5</v>
      </c>
      <c r="D6" s="1">
        <v>2.1859999999999999</v>
      </c>
      <c r="E6">
        <v>641.92999999999995</v>
      </c>
      <c r="F6">
        <v>1693.85</v>
      </c>
      <c r="G6">
        <v>746.9</v>
      </c>
      <c r="H6">
        <v>86</v>
      </c>
      <c r="I6">
        <v>20612.310000000001</v>
      </c>
      <c r="J6" t="s">
        <v>155</v>
      </c>
      <c r="K6" s="3">
        <f t="shared" si="0"/>
        <v>293.65507776761206</v>
      </c>
      <c r="L6" s="3">
        <f t="shared" si="1"/>
        <v>2.2678404070156648</v>
      </c>
      <c r="M6" s="3">
        <f t="shared" si="2"/>
        <v>239.67802325581397</v>
      </c>
      <c r="N6" s="3">
        <v>92.25</v>
      </c>
      <c r="O6" s="3">
        <f t="shared" si="3"/>
        <v>2.3696476964769647E-2</v>
      </c>
      <c r="P6" s="3">
        <f t="shared" si="4"/>
        <v>6.9585907859078588</v>
      </c>
      <c r="Q6" s="3">
        <f t="shared" si="5"/>
        <v>18.361517615176151</v>
      </c>
      <c r="R6" s="3">
        <f t="shared" si="6"/>
        <v>8.0964769647696482</v>
      </c>
    </row>
    <row r="7" spans="1:26" x14ac:dyDescent="0.3">
      <c r="A7" t="s">
        <v>26</v>
      </c>
      <c r="B7" s="2">
        <v>44837</v>
      </c>
      <c r="C7">
        <v>6</v>
      </c>
      <c r="D7" s="1">
        <v>1.5</v>
      </c>
      <c r="E7">
        <v>426.91</v>
      </c>
      <c r="F7">
        <v>1155.67</v>
      </c>
      <c r="G7">
        <v>512.5</v>
      </c>
      <c r="H7">
        <v>93</v>
      </c>
      <c r="I7">
        <v>16513.5</v>
      </c>
      <c r="J7" t="s">
        <v>156</v>
      </c>
      <c r="K7" s="3">
        <f t="shared" si="0"/>
        <v>284.60666666666668</v>
      </c>
      <c r="L7" s="3">
        <f t="shared" si="1"/>
        <v>2.2549658536585366</v>
      </c>
      <c r="M7" s="3">
        <f t="shared" si="2"/>
        <v>177.56451612903226</v>
      </c>
      <c r="N7" s="3">
        <v>137.11666666666599</v>
      </c>
      <c r="O7" s="3">
        <f t="shared" si="3"/>
        <v>1.0939589157651688E-2</v>
      </c>
      <c r="P7" s="3">
        <f t="shared" si="4"/>
        <v>3.1134800048620552</v>
      </c>
      <c r="Q7" s="3">
        <f t="shared" si="5"/>
        <v>8.4283700012155514</v>
      </c>
      <c r="R7" s="3">
        <f t="shared" si="6"/>
        <v>3.7376929621976602</v>
      </c>
    </row>
    <row r="8" spans="1:26" x14ac:dyDescent="0.3">
      <c r="A8" t="s">
        <v>26</v>
      </c>
      <c r="B8" s="2">
        <v>44838</v>
      </c>
      <c r="C8">
        <v>7</v>
      </c>
      <c r="D8" s="1">
        <v>2.91</v>
      </c>
      <c r="E8">
        <v>861.73</v>
      </c>
      <c r="F8">
        <v>1998.49</v>
      </c>
      <c r="G8">
        <v>994.5</v>
      </c>
      <c r="H8">
        <v>134</v>
      </c>
      <c r="I8">
        <v>26044.1</v>
      </c>
      <c r="J8" t="s">
        <v>157</v>
      </c>
      <c r="K8" s="3">
        <f t="shared" si="0"/>
        <v>296.12714776632299</v>
      </c>
      <c r="L8" s="3">
        <f t="shared" si="1"/>
        <v>2.0095424836601308</v>
      </c>
      <c r="M8" s="3">
        <f t="shared" si="2"/>
        <v>194.3589552238806</v>
      </c>
      <c r="N8" s="3">
        <v>111.23</v>
      </c>
      <c r="O8" s="3">
        <f t="shared" si="3"/>
        <v>2.6162006652881417E-2</v>
      </c>
      <c r="P8" s="3">
        <f t="shared" si="4"/>
        <v>7.7472804099613413</v>
      </c>
      <c r="Q8" s="3">
        <f t="shared" si="5"/>
        <v>17.967185111930235</v>
      </c>
      <c r="R8" s="3">
        <f t="shared" si="6"/>
        <v>8.9409332014744223</v>
      </c>
    </row>
    <row r="9" spans="1:26" x14ac:dyDescent="0.3">
      <c r="A9" t="s">
        <v>26</v>
      </c>
      <c r="B9" s="2">
        <v>44840</v>
      </c>
      <c r="C9">
        <v>8</v>
      </c>
      <c r="D9" s="1">
        <v>3.7530000000000001</v>
      </c>
      <c r="E9">
        <v>1118.2</v>
      </c>
      <c r="F9">
        <v>2685.2</v>
      </c>
      <c r="G9">
        <v>1282.5</v>
      </c>
      <c r="H9">
        <v>266</v>
      </c>
      <c r="I9">
        <v>50310.61</v>
      </c>
      <c r="J9" t="s">
        <v>158</v>
      </c>
      <c r="K9" s="3">
        <f t="shared" si="0"/>
        <v>297.94830802025047</v>
      </c>
      <c r="L9" s="3">
        <f t="shared" si="1"/>
        <v>2.0937231968810917</v>
      </c>
      <c r="M9" s="3">
        <f t="shared" si="2"/>
        <v>189.13763157894738</v>
      </c>
      <c r="N9" s="3">
        <f>145.4</f>
        <v>145.4</v>
      </c>
      <c r="O9" s="3">
        <f t="shared" si="3"/>
        <v>2.5811554332874829E-2</v>
      </c>
      <c r="P9" s="3">
        <f t="shared" si="4"/>
        <v>7.69050894085282</v>
      </c>
      <c r="Q9" s="3">
        <f t="shared" si="5"/>
        <v>18.467675378266847</v>
      </c>
      <c r="R9" s="3">
        <f t="shared" si="6"/>
        <v>8.8204951856946359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3.1890000000000001</v>
      </c>
      <c r="E10">
        <v>926.41</v>
      </c>
      <c r="F10">
        <v>2293.15</v>
      </c>
      <c r="G10">
        <v>1089.7</v>
      </c>
      <c r="H10">
        <v>142</v>
      </c>
      <c r="I10">
        <v>29554.65</v>
      </c>
      <c r="J10" t="s">
        <v>159</v>
      </c>
      <c r="K10" s="3">
        <f t="shared" si="0"/>
        <v>290.5017246785826</v>
      </c>
      <c r="L10" s="3">
        <f t="shared" si="1"/>
        <v>2.1043865284023124</v>
      </c>
      <c r="M10" s="3">
        <f t="shared" si="2"/>
        <v>208.13133802816901</v>
      </c>
      <c r="N10" s="3">
        <v>115.583</v>
      </c>
      <c r="O10" s="3">
        <f t="shared" si="3"/>
        <v>2.7590562625991712E-2</v>
      </c>
      <c r="P10" s="3">
        <f t="shared" si="4"/>
        <v>8.0151060277030357</v>
      </c>
      <c r="Q10" s="3">
        <f t="shared" si="5"/>
        <v>19.839855342048573</v>
      </c>
      <c r="R10" s="3">
        <f t="shared" si="6"/>
        <v>9.4278570377996775</v>
      </c>
    </row>
    <row r="11" spans="1:26" x14ac:dyDescent="0.3">
      <c r="A11" t="s">
        <v>26</v>
      </c>
      <c r="B11" s="2">
        <v>44842</v>
      </c>
      <c r="C11">
        <v>10</v>
      </c>
      <c r="D11" s="1">
        <v>3.0510000000000002</v>
      </c>
      <c r="E11">
        <v>854.04</v>
      </c>
      <c r="F11">
        <v>1834.6</v>
      </c>
      <c r="G11">
        <v>1042.4000000000001</v>
      </c>
      <c r="H11">
        <v>236</v>
      </c>
      <c r="I11">
        <v>46316.49</v>
      </c>
      <c r="J11" t="s">
        <v>160</v>
      </c>
      <c r="K11" s="3">
        <f t="shared" si="0"/>
        <v>279.92133726647</v>
      </c>
      <c r="L11" s="3">
        <f t="shared" si="1"/>
        <v>1.7599769762087487</v>
      </c>
      <c r="M11" s="3">
        <f t="shared" si="2"/>
        <v>196.25631355932202</v>
      </c>
      <c r="N11" s="3">
        <v>101.733</v>
      </c>
      <c r="O11" s="3">
        <f t="shared" si="3"/>
        <v>2.9990268644392675E-2</v>
      </c>
      <c r="P11" s="3">
        <f t="shared" si="4"/>
        <v>8.3949161039190816</v>
      </c>
      <c r="Q11" s="3">
        <f t="shared" si="5"/>
        <v>18.033479795150047</v>
      </c>
      <c r="R11" s="3">
        <f t="shared" si="6"/>
        <v>10.246429378864283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2" si="7">(D11-S11)/S11</f>
        <v>#REF!</v>
      </c>
      <c r="X11" s="5" t="e">
        <f t="shared" ref="X11:X22" si="8">(E11-T11)/T11</f>
        <v>#REF!</v>
      </c>
      <c r="Y11" s="5" t="e">
        <f t="shared" ref="Y11:Y22" si="9">(F11-U11)/U11</f>
        <v>#REF!</v>
      </c>
      <c r="Z11" s="5" t="e">
        <f t="shared" ref="Z11:Z22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3.9510000000000001</v>
      </c>
      <c r="E12">
        <v>1161.8699999999999</v>
      </c>
      <c r="F12">
        <v>2688.68</v>
      </c>
      <c r="G12">
        <v>1349.9</v>
      </c>
      <c r="H12">
        <v>223</v>
      </c>
      <c r="I12">
        <v>44610.93</v>
      </c>
      <c r="J12" t="s">
        <v>161</v>
      </c>
      <c r="K12" s="3">
        <f t="shared" si="0"/>
        <v>294.06985573272584</v>
      </c>
      <c r="L12" s="3">
        <f t="shared" si="1"/>
        <v>1.9917623527668713</v>
      </c>
      <c r="M12" s="3">
        <f t="shared" si="2"/>
        <v>200.04901345291481</v>
      </c>
      <c r="N12" s="3">
        <f>126.033+7+12</f>
        <v>145.03300000000002</v>
      </c>
      <c r="O12" s="3">
        <f t="shared" si="3"/>
        <v>2.7242075941337485E-2</v>
      </c>
      <c r="P12" s="3">
        <f t="shared" si="4"/>
        <v>8.0110733419290767</v>
      </c>
      <c r="Q12" s="3">
        <f t="shared" si="5"/>
        <v>18.538401605151929</v>
      </c>
      <c r="R12" s="3">
        <f t="shared" si="6"/>
        <v>9.3075369053939436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1.758</v>
      </c>
      <c r="E13">
        <v>588.83000000000004</v>
      </c>
      <c r="F13">
        <v>1191.43</v>
      </c>
      <c r="G13">
        <v>600.79999999999995</v>
      </c>
      <c r="H13">
        <v>196</v>
      </c>
      <c r="I13">
        <v>36042.54</v>
      </c>
      <c r="J13" t="s">
        <v>162</v>
      </c>
      <c r="K13" s="3">
        <f t="shared" si="0"/>
        <v>334.94311717861206</v>
      </c>
      <c r="L13" s="3">
        <f t="shared" si="1"/>
        <v>1.9830725699067913</v>
      </c>
      <c r="M13" s="3">
        <f t="shared" si="2"/>
        <v>183.89051020408164</v>
      </c>
      <c r="N13" s="3">
        <v>83.183000000000007</v>
      </c>
      <c r="O13" s="3">
        <f t="shared" si="3"/>
        <v>2.1134125963237681E-2</v>
      </c>
      <c r="P13" s="3">
        <f t="shared" si="4"/>
        <v>7.0787300289722657</v>
      </c>
      <c r="Q13" s="3">
        <f t="shared" si="5"/>
        <v>14.322998689636103</v>
      </c>
      <c r="R13" s="3">
        <f t="shared" si="6"/>
        <v>7.2226296238414092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2.649</v>
      </c>
      <c r="E14">
        <v>836.54</v>
      </c>
      <c r="F14">
        <v>1738.99</v>
      </c>
      <c r="G14">
        <v>905.2</v>
      </c>
      <c r="H14">
        <v>251</v>
      </c>
      <c r="I14">
        <v>46192.26</v>
      </c>
      <c r="J14" t="s">
        <v>163</v>
      </c>
      <c r="K14" s="3">
        <f t="shared" si="0"/>
        <v>315.79463948659873</v>
      </c>
      <c r="L14" s="3">
        <f t="shared" si="1"/>
        <v>1.9211113566062747</v>
      </c>
      <c r="M14" s="3">
        <f t="shared" si="2"/>
        <v>184.03290836653386</v>
      </c>
      <c r="N14" s="3">
        <f>112.017</f>
        <v>112.017</v>
      </c>
      <c r="O14" s="3">
        <f t="shared" si="3"/>
        <v>2.364819625592544E-2</v>
      </c>
      <c r="P14" s="3">
        <f t="shared" si="4"/>
        <v>7.4679736111483077</v>
      </c>
      <c r="Q14" s="3">
        <f t="shared" si="5"/>
        <v>15.524340055527286</v>
      </c>
      <c r="R14" s="3">
        <f t="shared" si="6"/>
        <v>8.0809162894917748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3.226</v>
      </c>
      <c r="E15">
        <v>940.22</v>
      </c>
      <c r="F15">
        <v>2186.17</v>
      </c>
      <c r="G15">
        <v>1102.2</v>
      </c>
      <c r="H15">
        <v>147</v>
      </c>
      <c r="I15">
        <v>25989.9</v>
      </c>
      <c r="J15" t="s">
        <v>164</v>
      </c>
      <c r="K15" s="3">
        <f t="shared" si="0"/>
        <v>291.45071295722255</v>
      </c>
      <c r="L15" s="3">
        <f t="shared" si="1"/>
        <v>1.9834603520232263</v>
      </c>
      <c r="M15" s="3">
        <f t="shared" si="2"/>
        <v>176.80204081632655</v>
      </c>
      <c r="N15" s="3">
        <v>119.95</v>
      </c>
      <c r="O15" s="3">
        <f t="shared" si="3"/>
        <v>2.6894539391413088E-2</v>
      </c>
      <c r="P15" s="3">
        <f t="shared" si="4"/>
        <v>7.8384326802834519</v>
      </c>
      <c r="Q15" s="3">
        <f t="shared" si="5"/>
        <v>18.225677365568988</v>
      </c>
      <c r="R15" s="3">
        <f t="shared" si="6"/>
        <v>9.1888286786160904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2.9142181818181818</v>
      </c>
      <c r="E16" s="3">
        <v>854.41121818181819</v>
      </c>
      <c r="F16" s="3">
        <v>2091.4912181818181</v>
      </c>
      <c r="G16" s="3">
        <v>899.98121818181824</v>
      </c>
      <c r="H16" s="3">
        <v>266</v>
      </c>
      <c r="I16" s="3">
        <v>50550.39</v>
      </c>
      <c r="J16" s="6">
        <v>6.2696759259259258E-2</v>
      </c>
      <c r="K16" s="3">
        <f t="shared" si="0"/>
        <v>293.18711396164258</v>
      </c>
      <c r="L16" s="3">
        <f t="shared" si="1"/>
        <v>2.3239276286311186</v>
      </c>
      <c r="M16" s="3">
        <f t="shared" si="2"/>
        <v>190.03906015037595</v>
      </c>
      <c r="N16" s="3">
        <v>145</v>
      </c>
      <c r="O16" s="3">
        <f t="shared" si="3"/>
        <v>2.0098056426332288E-2</v>
      </c>
      <c r="P16" s="3">
        <f t="shared" si="4"/>
        <v>5.8924911598746084</v>
      </c>
      <c r="Q16" s="3">
        <f t="shared" si="5"/>
        <v>14.42407736677116</v>
      </c>
      <c r="R16" s="3">
        <f t="shared" si="6"/>
        <v>6.2067670219435742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5.3369999999999997</v>
      </c>
      <c r="E17">
        <v>1386.67</v>
      </c>
      <c r="F17">
        <v>3797</v>
      </c>
      <c r="G17">
        <v>1823.6</v>
      </c>
      <c r="H17">
        <v>318</v>
      </c>
      <c r="I17">
        <v>63770.9</v>
      </c>
      <c r="J17" t="s">
        <v>41</v>
      </c>
      <c r="K17" s="3">
        <f t="shared" si="0"/>
        <v>259.82199737680349</v>
      </c>
      <c r="L17" s="3">
        <f t="shared" si="1"/>
        <v>2.082145207282299</v>
      </c>
      <c r="M17" s="3">
        <f t="shared" si="2"/>
        <v>200.5374213836478</v>
      </c>
      <c r="N17" s="3">
        <v>149.56700000000001</v>
      </c>
      <c r="O17" s="3">
        <f t="shared" si="3"/>
        <v>3.5683004940929477E-2</v>
      </c>
      <c r="P17" s="3">
        <f t="shared" si="4"/>
        <v>9.271229616158644</v>
      </c>
      <c r="Q17" s="3">
        <f t="shared" si="5"/>
        <v>25.386616031611251</v>
      </c>
      <c r="R17" s="3">
        <f t="shared" si="6"/>
        <v>12.192529100670601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44855</v>
      </c>
      <c r="C18">
        <v>18</v>
      </c>
      <c r="D18" s="7">
        <v>2.153</v>
      </c>
      <c r="E18" s="7">
        <v>639.16999999999996</v>
      </c>
      <c r="F18" s="7">
        <v>1506.3</v>
      </c>
      <c r="G18" s="7">
        <v>735.7</v>
      </c>
      <c r="H18" s="7">
        <v>181</v>
      </c>
      <c r="I18" s="7">
        <v>39417.480000000003</v>
      </c>
      <c r="J18" s="8">
        <v>3.9479166666666669E-2</v>
      </c>
      <c r="K18" s="3">
        <f t="shared" si="0"/>
        <v>296.87412912215513</v>
      </c>
      <c r="L18" s="3">
        <f t="shared" si="1"/>
        <v>2.0474378143264915</v>
      </c>
      <c r="M18" s="3">
        <f t="shared" si="2"/>
        <v>217.7761325966851</v>
      </c>
      <c r="N18" s="3">
        <v>86.533000000000001</v>
      </c>
      <c r="O18" s="3">
        <f t="shared" si="3"/>
        <v>2.4880681358556853E-2</v>
      </c>
      <c r="P18" s="3">
        <f t="shared" si="4"/>
        <v>7.3864306102874044</v>
      </c>
      <c r="Q18" s="3">
        <f t="shared" si="5"/>
        <v>17.407231923081365</v>
      </c>
      <c r="R18" s="3">
        <f t="shared" si="6"/>
        <v>8.5019587902880982</v>
      </c>
      <c r="S18" s="1" t="e">
        <f>(SUMIF(#REF!,#REF!,D$125:D$181)/COUNTIF(#REF!,#REF!))</f>
        <v>#REF!</v>
      </c>
      <c r="T18" s="1" t="e">
        <f>(SUMIF(#REF!,#REF!,E$125:E$181)/COUNTIF(#REF!,#REF!))</f>
        <v>#REF!</v>
      </c>
      <c r="U18" s="1" t="e">
        <f>(SUMIF(#REF!,#REF!,F$125:F$181)/COUNTIF(#REF!,#REF!))</f>
        <v>#REF!</v>
      </c>
      <c r="V18" s="1" t="e">
        <f>(SUMIF(#REF!,#REF!,G$125:G$181)/COUNTIF(#REF!,#REF!))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58</v>
      </c>
      <c r="B19" s="2">
        <v>44856</v>
      </c>
      <c r="C19">
        <v>1</v>
      </c>
      <c r="D19">
        <v>4.8949999999999996</v>
      </c>
      <c r="E19">
        <v>1188.0999999999999</v>
      </c>
      <c r="F19">
        <v>3149.91</v>
      </c>
      <c r="G19">
        <v>1672.7</v>
      </c>
      <c r="H19">
        <v>279</v>
      </c>
      <c r="I19">
        <v>53416.89</v>
      </c>
      <c r="J19" t="s">
        <v>41</v>
      </c>
      <c r="K19" s="3">
        <f t="shared" si="0"/>
        <v>242.7170582226762</v>
      </c>
      <c r="L19" s="3">
        <f t="shared" si="1"/>
        <v>1.883129072756621</v>
      </c>
      <c r="M19" s="3">
        <f t="shared" si="2"/>
        <v>191.4583870967742</v>
      </c>
      <c r="N19" s="3">
        <v>153</v>
      </c>
      <c r="O19" s="3">
        <f t="shared" si="3"/>
        <v>3.1993464052287576E-2</v>
      </c>
      <c r="P19" s="3">
        <f t="shared" si="4"/>
        <v>7.7653594771241821</v>
      </c>
      <c r="Q19" s="3">
        <f t="shared" si="5"/>
        <v>20.587647058823528</v>
      </c>
      <c r="R19" s="3">
        <f t="shared" si="6"/>
        <v>10.932679738562092</v>
      </c>
      <c r="S19" s="1" t="e">
        <f>(SUMIF(#REF!,#REF!,D$135:D$192)/COUNTIF(#REF!,#REF!))</f>
        <v>#REF!</v>
      </c>
      <c r="T19" s="1" t="e">
        <f>(SUMIF(#REF!,#REF!,E$135:E$192)/COUNTIF(#REF!,#REF!))</f>
        <v>#REF!</v>
      </c>
      <c r="U19" s="1" t="e">
        <f>(SUMIF(#REF!,#REF!,F$135:F$192)/COUNTIF(#REF!,#REF!))</f>
        <v>#REF!</v>
      </c>
      <c r="V19" s="1" t="e">
        <f>(SUMIF(#REF!,#REF!,G$135:G$192)/COUNTIF(#REF!,#REF!))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44858</v>
      </c>
      <c r="C20">
        <v>19</v>
      </c>
      <c r="D20">
        <v>3.4950000000000001</v>
      </c>
      <c r="E20">
        <v>1122.24</v>
      </c>
      <c r="F20">
        <v>2555.17</v>
      </c>
      <c r="G20">
        <v>1194.4000000000001</v>
      </c>
      <c r="H20">
        <v>318</v>
      </c>
      <c r="I20">
        <v>69734.58</v>
      </c>
      <c r="J20" t="s">
        <v>97</v>
      </c>
      <c r="K20" s="3">
        <f t="shared" si="0"/>
        <v>321.0987124463519</v>
      </c>
      <c r="L20" s="3">
        <f t="shared" si="1"/>
        <v>2.1392916945746818</v>
      </c>
      <c r="M20" s="3">
        <f t="shared" si="2"/>
        <v>219.29113207547169</v>
      </c>
      <c r="N20" s="3">
        <f>138.5+20</f>
        <v>158.5</v>
      </c>
      <c r="O20" s="3">
        <f t="shared" si="3"/>
        <v>2.2050473186119874E-2</v>
      </c>
      <c r="P20" s="3">
        <f t="shared" si="4"/>
        <v>7.080378548895899</v>
      </c>
      <c r="Q20" s="3">
        <f t="shared" si="5"/>
        <v>16.120946372239747</v>
      </c>
      <c r="R20" s="3">
        <f t="shared" si="6"/>
        <v>7.5356466876971613</v>
      </c>
      <c r="S20" s="1" t="e">
        <f>(SUMIF(#REF!,#REF!,D$147:D$202)/COUNTIF(#REF!,#REF!))</f>
        <v>#REF!</v>
      </c>
      <c r="T20" s="1" t="e">
        <f>(SUMIF(#REF!,#REF!,E$147:E$202)/COUNTIF(#REF!,#REF!))</f>
        <v>#REF!</v>
      </c>
      <c r="U20" s="1" t="e">
        <f>(SUMIF(#REF!,#REF!,F$147:F$202)/COUNTIF(#REF!,#REF!))</f>
        <v>#REF!</v>
      </c>
      <c r="V20" s="1" t="e">
        <f>(SUMIF(#REF!,#REF!,G$147:G$202)/COUNTIF(#REF!,#REF!))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  <row r="21" spans="1:26" x14ac:dyDescent="0.3">
      <c r="A21" t="s">
        <v>26</v>
      </c>
      <c r="B21" s="2">
        <v>44859</v>
      </c>
      <c r="C21">
        <v>20</v>
      </c>
      <c r="D21">
        <v>3.056</v>
      </c>
      <c r="E21">
        <v>947.92</v>
      </c>
      <c r="F21">
        <v>2224.77</v>
      </c>
      <c r="G21">
        <v>1044.4000000000001</v>
      </c>
      <c r="H21">
        <v>173</v>
      </c>
      <c r="I21">
        <v>39572.839999999997</v>
      </c>
      <c r="J21" t="s">
        <v>165</v>
      </c>
      <c r="K21" s="3">
        <f t="shared" si="0"/>
        <v>310.18324607329839</v>
      </c>
      <c r="L21" s="3">
        <f t="shared" si="1"/>
        <v>2.1301895825354267</v>
      </c>
      <c r="M21" s="3">
        <f t="shared" si="2"/>
        <v>228.74473988439306</v>
      </c>
      <c r="N21" s="3">
        <f>88.1+20</f>
        <v>108.1</v>
      </c>
      <c r="O21" s="3">
        <f t="shared" si="3"/>
        <v>2.8270120259019427E-2</v>
      </c>
      <c r="P21" s="3">
        <f t="shared" si="4"/>
        <v>8.7689176688251624</v>
      </c>
      <c r="Q21" s="3">
        <f t="shared" si="5"/>
        <v>20.580666049953749</v>
      </c>
      <c r="R21" s="3">
        <f t="shared" si="6"/>
        <v>9.6614246068455145</v>
      </c>
      <c r="S21" s="1" t="e">
        <f>(SUMIF(#REF!,#REF!,D$158:D$212)/COUNTIF(#REF!,#REF!))</f>
        <v>#REF!</v>
      </c>
      <c r="T21" s="1" t="e">
        <f>(SUMIF(#REF!,#REF!,E$158:E$212)/COUNTIF(#REF!,#REF!))</f>
        <v>#REF!</v>
      </c>
      <c r="U21" s="1" t="e">
        <f>(SUMIF(#REF!,#REF!,F$158:F$212)/COUNTIF(#REF!,#REF!))</f>
        <v>#REF!</v>
      </c>
      <c r="V21" s="1" t="e">
        <f>(SUMIF(#REF!,#REF!,G$158:G$212)/COUNTIF(#REF!,#REF!))</f>
        <v>#REF!</v>
      </c>
      <c r="W21" s="10" t="e">
        <f t="shared" si="7"/>
        <v>#REF!</v>
      </c>
      <c r="X21" s="10" t="e">
        <f t="shared" si="8"/>
        <v>#REF!</v>
      </c>
      <c r="Y21" s="10" t="e">
        <f t="shared" si="9"/>
        <v>#REF!</v>
      </c>
      <c r="Z21" s="10" t="e">
        <f t="shared" si="10"/>
        <v>#REF!</v>
      </c>
    </row>
    <row r="22" spans="1:26" x14ac:dyDescent="0.3">
      <c r="A22" t="s">
        <v>26</v>
      </c>
      <c r="B22" s="2">
        <v>44861</v>
      </c>
      <c r="C22">
        <v>21</v>
      </c>
      <c r="D22">
        <v>3.0640000000000001</v>
      </c>
      <c r="E22">
        <v>981.71</v>
      </c>
      <c r="F22">
        <v>2287.84</v>
      </c>
      <c r="G22">
        <v>1046.8</v>
      </c>
      <c r="H22">
        <v>122</v>
      </c>
      <c r="I22">
        <v>28091.21</v>
      </c>
      <c r="J22" t="s">
        <v>166</v>
      </c>
      <c r="K22" s="3">
        <f t="shared" si="0"/>
        <v>320.40143603133157</v>
      </c>
      <c r="L22" s="3">
        <f t="shared" si="1"/>
        <v>2.1855559801299198</v>
      </c>
      <c r="M22" s="3">
        <f t="shared" si="2"/>
        <v>230.25581967213114</v>
      </c>
      <c r="N22" s="3">
        <v>107</v>
      </c>
      <c r="O22" s="3">
        <f t="shared" si="3"/>
        <v>2.8635514018691591E-2</v>
      </c>
      <c r="P22" s="3">
        <f t="shared" si="4"/>
        <v>9.1748598130841117</v>
      </c>
      <c r="Q22" s="3">
        <f t="shared" si="5"/>
        <v>21.381682242990657</v>
      </c>
      <c r="R22" s="3">
        <f t="shared" si="6"/>
        <v>9.7831775700934571</v>
      </c>
      <c r="S22" s="1" t="e">
        <f>(SUMIF(#REF!,#REF!,D$170:D$220)/COUNTIF(#REF!,#REF!))</f>
        <v>#REF!</v>
      </c>
      <c r="T22" s="1" t="e">
        <f>(SUMIF(#REF!,#REF!,E$170:E$220)/COUNTIF(#REF!,#REF!))</f>
        <v>#REF!</v>
      </c>
      <c r="U22" s="1" t="e">
        <f>(SUMIF(#REF!,#REF!,F$170:F$220)/COUNTIF(#REF!,#REF!))</f>
        <v>#REF!</v>
      </c>
      <c r="V22" s="1" t="e">
        <f>(SUMIF(#REF!,#REF!,G$170:G$220)/COUNTIF(#REF!,#REF!))</f>
        <v>#REF!</v>
      </c>
      <c r="W22" s="5" t="e">
        <f t="shared" si="7"/>
        <v>#REF!</v>
      </c>
      <c r="X22" s="5" t="e">
        <f t="shared" si="8"/>
        <v>#REF!</v>
      </c>
      <c r="Y22" s="5" t="e">
        <f t="shared" si="9"/>
        <v>#REF!</v>
      </c>
      <c r="Z22" s="5" t="e">
        <f t="shared" si="10"/>
        <v>#REF!</v>
      </c>
    </row>
  </sheetData>
  <conditionalFormatting sqref="W2:Z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A342-FB99-4751-B567-D356B2547ACB}">
  <dimension ref="A1:Z19"/>
  <sheetViews>
    <sheetView workbookViewId="0">
      <selection activeCell="G19" sqref="G19"/>
    </sheetView>
  </sheetViews>
  <sheetFormatPr defaultRowHeight="14.4" x14ac:dyDescent="0.3"/>
  <cols>
    <col min="1" max="27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3.1240000000000001</v>
      </c>
      <c r="E2">
        <v>711.7</v>
      </c>
      <c r="F2">
        <v>2058.27</v>
      </c>
      <c r="G2">
        <v>908.2</v>
      </c>
      <c r="H2">
        <v>177</v>
      </c>
      <c r="I2">
        <v>26627.29</v>
      </c>
      <c r="J2" t="s">
        <v>167</v>
      </c>
      <c r="K2" s="3">
        <f t="shared" ref="K2:K19" si="0">E2/D2</f>
        <v>227.81690140845072</v>
      </c>
      <c r="L2" s="3">
        <f t="shared" ref="L2:L19" si="1">F2/G2</f>
        <v>2.2663179916317988</v>
      </c>
      <c r="M2" s="3">
        <f t="shared" ref="M2:M19" si="2">I2/H2</f>
        <v>150.43666666666667</v>
      </c>
      <c r="N2" s="3">
        <v>106.88333333333333</v>
      </c>
      <c r="O2" s="3">
        <f t="shared" ref="O2:O19" si="3">D2/$N2</f>
        <v>2.9228130360205835E-2</v>
      </c>
      <c r="P2" s="3">
        <f t="shared" ref="P2:P19" si="4">E2/$N2</f>
        <v>6.6586620926243576</v>
      </c>
      <c r="Q2" s="3">
        <f t="shared" ref="Q2:Q19" si="5">F2/$N2</f>
        <v>19.257165133322939</v>
      </c>
      <c r="R2" s="3">
        <f t="shared" ref="R2:R19" si="6">G2/$N2</f>
        <v>8.4971152346795584</v>
      </c>
    </row>
    <row r="3" spans="1:26" x14ac:dyDescent="0.3">
      <c r="A3" t="s">
        <v>26</v>
      </c>
      <c r="B3" s="2">
        <v>44831</v>
      </c>
      <c r="C3">
        <v>2</v>
      </c>
      <c r="D3" s="1">
        <v>3.1040000000000001</v>
      </c>
      <c r="E3">
        <v>678.15</v>
      </c>
      <c r="F3">
        <v>1912.73</v>
      </c>
      <c r="G3">
        <v>902.3</v>
      </c>
      <c r="H3">
        <v>100</v>
      </c>
      <c r="I3">
        <v>18148.2</v>
      </c>
      <c r="J3" t="s">
        <v>168</v>
      </c>
      <c r="K3" s="3">
        <f t="shared" si="0"/>
        <v>218.47615979381442</v>
      </c>
      <c r="L3" s="3">
        <f t="shared" si="1"/>
        <v>2.1198381912889284</v>
      </c>
      <c r="M3" s="3">
        <f t="shared" si="2"/>
        <v>181.482</v>
      </c>
      <c r="N3" s="3">
        <v>108.81666666666599</v>
      </c>
      <c r="O3" s="3">
        <f t="shared" si="3"/>
        <v>2.8525042119773497E-2</v>
      </c>
      <c r="P3" s="3">
        <f t="shared" si="4"/>
        <v>6.2320416602849207</v>
      </c>
      <c r="Q3" s="3">
        <f t="shared" si="5"/>
        <v>17.57754633175076</v>
      </c>
      <c r="R3" s="3">
        <f t="shared" si="6"/>
        <v>8.2919283198040024</v>
      </c>
    </row>
    <row r="4" spans="1:26" x14ac:dyDescent="0.3">
      <c r="A4" t="s">
        <v>26</v>
      </c>
      <c r="B4" s="2">
        <v>44833</v>
      </c>
      <c r="C4">
        <v>3</v>
      </c>
      <c r="D4" s="1">
        <v>4.032</v>
      </c>
      <c r="E4">
        <v>983.71</v>
      </c>
      <c r="F4">
        <v>2840.47</v>
      </c>
      <c r="G4">
        <v>1171.9000000000001</v>
      </c>
      <c r="H4">
        <v>350</v>
      </c>
      <c r="I4">
        <v>52706.79</v>
      </c>
      <c r="J4" t="s">
        <v>169</v>
      </c>
      <c r="K4" s="3">
        <f t="shared" si="0"/>
        <v>243.97569444444446</v>
      </c>
      <c r="L4" s="3">
        <f t="shared" si="1"/>
        <v>2.4238160252581276</v>
      </c>
      <c r="M4" s="3">
        <f t="shared" si="2"/>
        <v>150.59082857142857</v>
      </c>
      <c r="N4" s="3">
        <v>175.56666666666601</v>
      </c>
      <c r="O4" s="3">
        <f t="shared" si="3"/>
        <v>2.2965635086387024E-2</v>
      </c>
      <c r="P4" s="3">
        <f t="shared" si="4"/>
        <v>5.6030567685589734</v>
      </c>
      <c r="Q4" s="3">
        <f t="shared" si="5"/>
        <v>16.178868426049043</v>
      </c>
      <c r="R4" s="3">
        <f t="shared" si="6"/>
        <v>6.6749572811847608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3.605</v>
      </c>
      <c r="E5">
        <v>927.12</v>
      </c>
      <c r="F5">
        <v>2624.36</v>
      </c>
      <c r="G5">
        <v>1047.8</v>
      </c>
      <c r="H5">
        <v>390</v>
      </c>
      <c r="I5">
        <v>56444.7</v>
      </c>
      <c r="J5" t="s">
        <v>170</v>
      </c>
      <c r="K5" s="3">
        <f t="shared" si="0"/>
        <v>257.17614424410539</v>
      </c>
      <c r="L5" s="3">
        <f t="shared" si="1"/>
        <v>2.5046382897499524</v>
      </c>
      <c r="M5" s="3">
        <f t="shared" si="2"/>
        <v>144.72999999999999</v>
      </c>
      <c r="N5" s="3">
        <v>165.916666666666</v>
      </c>
      <c r="O5" s="3">
        <f t="shared" si="3"/>
        <v>2.1727774987443584E-2</v>
      </c>
      <c r="P5" s="3">
        <f t="shared" si="4"/>
        <v>5.5878653942742567</v>
      </c>
      <c r="Q5" s="3">
        <f t="shared" si="5"/>
        <v>15.817338021094992</v>
      </c>
      <c r="R5" s="3">
        <f t="shared" si="6"/>
        <v>6.3152184831743092</v>
      </c>
    </row>
    <row r="6" spans="1:26" x14ac:dyDescent="0.3">
      <c r="A6" t="s">
        <v>26</v>
      </c>
      <c r="B6" s="2">
        <v>44835</v>
      </c>
      <c r="C6">
        <v>5</v>
      </c>
      <c r="D6" s="1">
        <v>1.9830000000000001</v>
      </c>
      <c r="E6">
        <v>455.98</v>
      </c>
      <c r="F6">
        <v>1340.41</v>
      </c>
      <c r="G6">
        <v>576.5</v>
      </c>
      <c r="H6">
        <v>47</v>
      </c>
      <c r="I6">
        <v>8367.7199999999993</v>
      </c>
      <c r="J6" t="s">
        <v>171</v>
      </c>
      <c r="K6" s="3">
        <f t="shared" si="0"/>
        <v>229.94452849218357</v>
      </c>
      <c r="L6" s="3">
        <f t="shared" si="1"/>
        <v>2.3250823937554208</v>
      </c>
      <c r="M6" s="3">
        <f t="shared" si="2"/>
        <v>178.03659574468082</v>
      </c>
      <c r="N6" s="3">
        <v>92.25</v>
      </c>
      <c r="O6" s="3">
        <f t="shared" si="3"/>
        <v>2.1495934959349594E-2</v>
      </c>
      <c r="P6" s="3">
        <f t="shared" si="4"/>
        <v>4.9428726287262874</v>
      </c>
      <c r="Q6" s="3">
        <f t="shared" si="5"/>
        <v>14.530189701897021</v>
      </c>
      <c r="R6" s="3">
        <f t="shared" si="6"/>
        <v>6.2493224932249323</v>
      </c>
    </row>
    <row r="7" spans="1:26" x14ac:dyDescent="0.3">
      <c r="A7" t="s">
        <v>26</v>
      </c>
      <c r="B7" s="2">
        <v>44837</v>
      </c>
      <c r="C7">
        <v>6</v>
      </c>
      <c r="D7" s="1">
        <v>3.7160000000000002</v>
      </c>
      <c r="E7">
        <v>869.74</v>
      </c>
      <c r="F7">
        <v>2264.14</v>
      </c>
      <c r="G7">
        <v>1080.0999999999999</v>
      </c>
      <c r="H7">
        <v>197</v>
      </c>
      <c r="I7">
        <v>26710.9</v>
      </c>
      <c r="J7" t="s">
        <v>172</v>
      </c>
      <c r="K7" s="3">
        <f t="shared" si="0"/>
        <v>234.05274488697523</v>
      </c>
      <c r="L7" s="3">
        <f t="shared" si="1"/>
        <v>2.0962318303860754</v>
      </c>
      <c r="M7" s="3">
        <f t="shared" si="2"/>
        <v>135.58832487309647</v>
      </c>
      <c r="N7" s="3">
        <v>137.11666666666599</v>
      </c>
      <c r="O7" s="3">
        <f t="shared" si="3"/>
        <v>2.7101008873222452E-2</v>
      </c>
      <c r="P7" s="3">
        <f t="shared" si="4"/>
        <v>6.3430655159839864</v>
      </c>
      <c r="Q7" s="3">
        <f t="shared" si="5"/>
        <v>16.512507596936995</v>
      </c>
      <c r="R7" s="3">
        <f t="shared" si="6"/>
        <v>7.8772334994530588</v>
      </c>
    </row>
    <row r="8" spans="1:26" x14ac:dyDescent="0.3">
      <c r="A8" t="s">
        <v>26</v>
      </c>
      <c r="B8" s="2">
        <v>44838</v>
      </c>
      <c r="C8">
        <v>7</v>
      </c>
      <c r="D8" s="1">
        <v>2.778</v>
      </c>
      <c r="E8">
        <v>668.7</v>
      </c>
      <c r="F8">
        <v>1782.73</v>
      </c>
      <c r="G8">
        <v>807.7</v>
      </c>
      <c r="H8">
        <v>56</v>
      </c>
      <c r="I8">
        <v>9289.99</v>
      </c>
      <c r="J8" t="s">
        <v>173</v>
      </c>
      <c r="K8" s="3">
        <f t="shared" si="0"/>
        <v>240.71274298056156</v>
      </c>
      <c r="L8" s="3">
        <f t="shared" si="1"/>
        <v>2.2071685031571127</v>
      </c>
      <c r="M8" s="3">
        <f t="shared" si="2"/>
        <v>165.89267857142858</v>
      </c>
      <c r="N8" s="3">
        <v>111.23</v>
      </c>
      <c r="O8" s="3">
        <f t="shared" si="3"/>
        <v>2.4975276454194013E-2</v>
      </c>
      <c r="P8" s="3">
        <f t="shared" si="4"/>
        <v>6.0118673019868742</v>
      </c>
      <c r="Q8" s="3">
        <f t="shared" si="5"/>
        <v>16.027420659893913</v>
      </c>
      <c r="R8" s="3">
        <f t="shared" si="6"/>
        <v>7.261530162725883</v>
      </c>
    </row>
    <row r="9" spans="1:26" x14ac:dyDescent="0.3">
      <c r="A9" t="s">
        <v>26</v>
      </c>
      <c r="B9" s="2">
        <v>44840</v>
      </c>
      <c r="C9">
        <v>8</v>
      </c>
      <c r="D9" s="1">
        <v>3.976</v>
      </c>
      <c r="E9">
        <v>1025.48</v>
      </c>
      <c r="F9">
        <v>2740.84</v>
      </c>
      <c r="G9">
        <v>1155.9000000000001</v>
      </c>
      <c r="H9">
        <v>285</v>
      </c>
      <c r="I9">
        <v>41546.269999999997</v>
      </c>
      <c r="J9" t="s">
        <v>174</v>
      </c>
      <c r="K9" s="3">
        <f t="shared" si="0"/>
        <v>257.91750503018108</v>
      </c>
      <c r="L9" s="3">
        <f t="shared" si="1"/>
        <v>2.3711739769876288</v>
      </c>
      <c r="M9" s="3">
        <f t="shared" si="2"/>
        <v>145.77638596491227</v>
      </c>
      <c r="N9" s="3">
        <f>145.4+22</f>
        <v>167.4</v>
      </c>
      <c r="O9" s="3">
        <f t="shared" si="3"/>
        <v>2.3751493428912782E-2</v>
      </c>
      <c r="P9" s="3">
        <f t="shared" si="4"/>
        <v>6.1259259259259258</v>
      </c>
      <c r="Q9" s="3">
        <f t="shared" si="5"/>
        <v>16.37299880525687</v>
      </c>
      <c r="R9" s="3">
        <f t="shared" si="6"/>
        <v>6.9050179211469533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3.294</v>
      </c>
      <c r="E10">
        <v>743.6</v>
      </c>
      <c r="F10">
        <v>2322.4</v>
      </c>
      <c r="G10">
        <v>957.5</v>
      </c>
      <c r="H10">
        <v>184</v>
      </c>
      <c r="I10">
        <v>24122.59</v>
      </c>
      <c r="J10" t="s">
        <v>175</v>
      </c>
      <c r="K10" s="3">
        <f t="shared" si="0"/>
        <v>225.74377656344871</v>
      </c>
      <c r="L10" s="3">
        <f t="shared" si="1"/>
        <v>2.4254830287206266</v>
      </c>
      <c r="M10" s="3">
        <f t="shared" si="2"/>
        <v>131.10103260869565</v>
      </c>
      <c r="N10" s="3">
        <f>115.583+19</f>
        <v>134.583</v>
      </c>
      <c r="O10" s="3">
        <f t="shared" si="3"/>
        <v>2.4475602416352736E-2</v>
      </c>
      <c r="P10" s="3">
        <f t="shared" si="4"/>
        <v>5.5252149231329364</v>
      </c>
      <c r="Q10" s="3">
        <f t="shared" si="5"/>
        <v>17.256265650193562</v>
      </c>
      <c r="R10" s="3">
        <f t="shared" si="6"/>
        <v>7.11456870481413</v>
      </c>
    </row>
    <row r="11" spans="1:26" x14ac:dyDescent="0.3">
      <c r="A11" t="s">
        <v>26</v>
      </c>
      <c r="B11" s="2">
        <v>44842</v>
      </c>
      <c r="C11">
        <v>10</v>
      </c>
      <c r="D11" s="1">
        <v>2.694</v>
      </c>
      <c r="E11">
        <v>597.33000000000004</v>
      </c>
      <c r="F11">
        <v>1588.57</v>
      </c>
      <c r="G11">
        <v>783.2</v>
      </c>
      <c r="H11">
        <v>159</v>
      </c>
      <c r="I11">
        <v>26588.9</v>
      </c>
      <c r="J11" t="s">
        <v>176</v>
      </c>
      <c r="K11" s="3">
        <f t="shared" si="0"/>
        <v>221.72605790645881</v>
      </c>
      <c r="L11" s="3">
        <f t="shared" si="1"/>
        <v>2.0283069458631253</v>
      </c>
      <c r="M11" s="3">
        <f t="shared" si="2"/>
        <v>167.22578616352203</v>
      </c>
      <c r="N11" s="3">
        <v>101.733</v>
      </c>
      <c r="O11" s="3">
        <f t="shared" si="3"/>
        <v>2.6481082834478486E-2</v>
      </c>
      <c r="P11" s="3">
        <f t="shared" si="4"/>
        <v>5.8715461059833096</v>
      </c>
      <c r="Q11" s="3">
        <f t="shared" si="5"/>
        <v>15.615090481947842</v>
      </c>
      <c r="R11" s="3">
        <f t="shared" si="6"/>
        <v>7.6985835471282673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19" si="7">(D11-S11)/S11</f>
        <v>#REF!</v>
      </c>
      <c r="X11" s="5" t="e">
        <f t="shared" ref="X11:X19" si="8">(E11-T11)/T11</f>
        <v>#REF!</v>
      </c>
      <c r="Y11" s="5" t="e">
        <f t="shared" ref="Y11:Y19" si="9">(F11-U11)/U11</f>
        <v>#REF!</v>
      </c>
      <c r="Z11" s="5" t="e">
        <f t="shared" ref="Z11:Z19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4.0529999999999999</v>
      </c>
      <c r="E12">
        <v>1017.54</v>
      </c>
      <c r="F12">
        <v>2604.6</v>
      </c>
      <c r="G12">
        <v>1178.0999999999999</v>
      </c>
      <c r="H12">
        <v>180</v>
      </c>
      <c r="I12">
        <v>30956.19</v>
      </c>
      <c r="J12" t="s">
        <v>177</v>
      </c>
      <c r="K12" s="3">
        <f t="shared" si="0"/>
        <v>251.05847520355292</v>
      </c>
      <c r="L12" s="3">
        <f t="shared" si="1"/>
        <v>2.2108479755538579</v>
      </c>
      <c r="M12" s="3">
        <f t="shared" si="2"/>
        <v>171.97883333333331</v>
      </c>
      <c r="N12" s="3">
        <f>126.033+7+12</f>
        <v>145.03300000000002</v>
      </c>
      <c r="O12" s="3">
        <f t="shared" si="3"/>
        <v>2.7945364158501854E-2</v>
      </c>
      <c r="P12" s="3">
        <f t="shared" si="4"/>
        <v>7.0159205146414942</v>
      </c>
      <c r="Q12" s="3">
        <f t="shared" si="5"/>
        <v>17.958671474767808</v>
      </c>
      <c r="R12" s="3">
        <f t="shared" si="6"/>
        <v>8.1229789082484665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1.8080000000000001</v>
      </c>
      <c r="E13">
        <v>485.23</v>
      </c>
      <c r="F13">
        <v>1141.3</v>
      </c>
      <c r="G13">
        <v>525.6</v>
      </c>
      <c r="H13">
        <v>172</v>
      </c>
      <c r="I13">
        <v>22150.62</v>
      </c>
      <c r="J13" t="s">
        <v>178</v>
      </c>
      <c r="K13" s="3">
        <f t="shared" si="0"/>
        <v>268.37942477876106</v>
      </c>
      <c r="L13" s="3">
        <f t="shared" si="1"/>
        <v>2.1714231354642313</v>
      </c>
      <c r="M13" s="3">
        <f t="shared" si="2"/>
        <v>128.78267441860464</v>
      </c>
      <c r="N13" s="3">
        <v>83.183000000000007</v>
      </c>
      <c r="O13" s="3">
        <f t="shared" si="3"/>
        <v>2.1735210319416224E-2</v>
      </c>
      <c r="P13" s="3">
        <f t="shared" si="4"/>
        <v>5.8332832429703183</v>
      </c>
      <c r="Q13" s="3">
        <f t="shared" si="5"/>
        <v>13.720351514131492</v>
      </c>
      <c r="R13" s="3">
        <f t="shared" si="6"/>
        <v>6.3185987521488762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2.593</v>
      </c>
      <c r="E14">
        <v>653.27</v>
      </c>
      <c r="F14">
        <v>1696.78</v>
      </c>
      <c r="G14">
        <v>753.7</v>
      </c>
      <c r="H14">
        <v>174</v>
      </c>
      <c r="I14">
        <v>27592.75</v>
      </c>
      <c r="J14" t="s">
        <v>179</v>
      </c>
      <c r="K14" s="3">
        <f t="shared" si="0"/>
        <v>251.93598148862321</v>
      </c>
      <c r="L14" s="3">
        <f t="shared" si="1"/>
        <v>2.2512670823935252</v>
      </c>
      <c r="M14" s="3">
        <f t="shared" si="2"/>
        <v>158.57902298850576</v>
      </c>
      <c r="N14" s="3">
        <f>112.017</f>
        <v>112.017</v>
      </c>
      <c r="O14" s="3">
        <f t="shared" si="3"/>
        <v>2.3148272137264881E-2</v>
      </c>
      <c r="P14" s="3">
        <f t="shared" si="4"/>
        <v>5.8318826606675769</v>
      </c>
      <c r="Q14" s="3">
        <f t="shared" si="5"/>
        <v>15.147522251086889</v>
      </c>
      <c r="R14" s="3">
        <f t="shared" si="6"/>
        <v>6.7284430041868655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3.1219999999999999</v>
      </c>
      <c r="E15">
        <v>783.12</v>
      </c>
      <c r="F15">
        <v>2045.98</v>
      </c>
      <c r="G15">
        <v>907.6</v>
      </c>
      <c r="H15">
        <v>110</v>
      </c>
      <c r="I15">
        <v>19412.66</v>
      </c>
      <c r="J15" t="s">
        <v>180</v>
      </c>
      <c r="K15" s="3">
        <f t="shared" si="0"/>
        <v>250.83920563741194</v>
      </c>
      <c r="L15" s="3">
        <f t="shared" si="1"/>
        <v>2.2542750110180698</v>
      </c>
      <c r="M15" s="3">
        <f t="shared" si="2"/>
        <v>176.47872727272727</v>
      </c>
      <c r="N15" s="3">
        <v>119.95</v>
      </c>
      <c r="O15" s="3">
        <f t="shared" si="3"/>
        <v>2.6027511463109627E-2</v>
      </c>
      <c r="P15" s="3">
        <f t="shared" si="4"/>
        <v>6.5287203001250518</v>
      </c>
      <c r="Q15" s="3">
        <f t="shared" si="5"/>
        <v>17.056940391829929</v>
      </c>
      <c r="R15" s="3">
        <f t="shared" si="6"/>
        <v>7.5664860358482704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4.5302181818181824</v>
      </c>
      <c r="E16" s="3">
        <v>1018.0812181818181</v>
      </c>
      <c r="F16" s="3">
        <v>2853.2912181818183</v>
      </c>
      <c r="G16" s="3">
        <v>1235.1812181818182</v>
      </c>
      <c r="H16" s="3">
        <v>239</v>
      </c>
      <c r="I16" s="3">
        <v>37378.910000000003</v>
      </c>
      <c r="J16" s="6">
        <v>7.9710648148148142E-2</v>
      </c>
      <c r="K16" s="3">
        <f t="shared" si="0"/>
        <v>224.73116687135274</v>
      </c>
      <c r="L16" s="3">
        <f t="shared" si="1"/>
        <v>2.3100183002959289</v>
      </c>
      <c r="M16" s="3">
        <f t="shared" si="2"/>
        <v>156.39711297071131</v>
      </c>
      <c r="N16" s="3">
        <v>145</v>
      </c>
      <c r="O16" s="3">
        <f t="shared" si="3"/>
        <v>3.124288401253919E-2</v>
      </c>
      <c r="P16" s="3">
        <f t="shared" si="4"/>
        <v>7.0212497805642631</v>
      </c>
      <c r="Q16" s="3">
        <f t="shared" si="5"/>
        <v>19.677870470219435</v>
      </c>
      <c r="R16" s="3">
        <f t="shared" si="6"/>
        <v>8.5184911598746087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4.5780000000000003</v>
      </c>
      <c r="E17">
        <v>1068.1199999999999</v>
      </c>
      <c r="F17">
        <v>3322.55</v>
      </c>
      <c r="G17">
        <v>1330.8</v>
      </c>
      <c r="H17">
        <v>322</v>
      </c>
      <c r="I17">
        <v>50544.37</v>
      </c>
      <c r="J17" t="s">
        <v>41</v>
      </c>
      <c r="K17" s="3">
        <f t="shared" si="0"/>
        <v>233.31585845347308</v>
      </c>
      <c r="L17" s="3">
        <f t="shared" si="1"/>
        <v>2.4966561466786898</v>
      </c>
      <c r="M17" s="3">
        <f t="shared" si="2"/>
        <v>156.97009316770186</v>
      </c>
      <c r="N17" s="3">
        <v>149.56700000000001</v>
      </c>
      <c r="O17" s="3">
        <f t="shared" si="3"/>
        <v>3.0608356121336926E-2</v>
      </c>
      <c r="P17" s="3">
        <f t="shared" si="4"/>
        <v>7.1414148842993432</v>
      </c>
      <c r="Q17" s="3">
        <f t="shared" si="5"/>
        <v>22.214459071854087</v>
      </c>
      <c r="R17" s="3">
        <f t="shared" si="6"/>
        <v>8.8976846496887667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44855</v>
      </c>
      <c r="C18">
        <v>18</v>
      </c>
      <c r="D18" s="7">
        <v>1.71</v>
      </c>
      <c r="E18" s="7">
        <v>435.49</v>
      </c>
      <c r="F18" s="7">
        <v>1303.45</v>
      </c>
      <c r="G18" s="7">
        <v>497</v>
      </c>
      <c r="H18" s="7">
        <v>162</v>
      </c>
      <c r="I18" s="7">
        <v>27239.919999999998</v>
      </c>
      <c r="J18" s="8">
        <v>4.3391203703703703E-2</v>
      </c>
      <c r="K18" s="3">
        <f t="shared" si="0"/>
        <v>254.67251461988306</v>
      </c>
      <c r="L18" s="3">
        <f t="shared" si="1"/>
        <v>2.6226358148893363</v>
      </c>
      <c r="M18" s="3">
        <f t="shared" si="2"/>
        <v>168.14765432098764</v>
      </c>
      <c r="N18" s="3">
        <v>86.533000000000001</v>
      </c>
      <c r="O18" s="3">
        <f t="shared" si="3"/>
        <v>1.9761247154264847E-2</v>
      </c>
      <c r="P18" s="3">
        <f t="shared" si="4"/>
        <v>5.0326465048016367</v>
      </c>
      <c r="Q18" s="3">
        <f t="shared" si="5"/>
        <v>15.063039534050594</v>
      </c>
      <c r="R18" s="3">
        <f t="shared" si="6"/>
        <v>5.743473588110894</v>
      </c>
      <c r="S18" s="1" t="e">
        <f>(SUMIF(#REF!,#REF!,D$125:D$181)/COUNTIF(#REF!,#REF!))</f>
        <v>#REF!</v>
      </c>
      <c r="T18" s="1" t="e">
        <f>(SUMIF(#REF!,#REF!,E$125:E$181)/COUNTIF(#REF!,#REF!))</f>
        <v>#REF!</v>
      </c>
      <c r="U18" s="1" t="e">
        <f>(SUMIF(#REF!,#REF!,F$125:F$181)/COUNTIF(#REF!,#REF!))</f>
        <v>#REF!</v>
      </c>
      <c r="V18" s="1" t="e">
        <f>(SUMIF(#REF!,#REF!,G$125:G$181)/COUNTIF(#REF!,#REF!))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58</v>
      </c>
      <c r="B19" s="2">
        <v>44856</v>
      </c>
      <c r="C19">
        <v>1</v>
      </c>
      <c r="D19">
        <v>3.968</v>
      </c>
      <c r="E19">
        <v>900.7</v>
      </c>
      <c r="F19">
        <v>2576.8200000000002</v>
      </c>
      <c r="G19">
        <v>1153.4000000000001</v>
      </c>
      <c r="H19">
        <v>222</v>
      </c>
      <c r="I19">
        <v>33803.89</v>
      </c>
      <c r="J19" t="s">
        <v>41</v>
      </c>
      <c r="K19" s="3">
        <f t="shared" si="0"/>
        <v>226.99092741935485</v>
      </c>
      <c r="L19" s="3">
        <f t="shared" si="1"/>
        <v>2.2341078550372813</v>
      </c>
      <c r="M19" s="3">
        <f t="shared" si="2"/>
        <v>152.26977477477476</v>
      </c>
      <c r="N19" s="3">
        <v>153</v>
      </c>
      <c r="O19" s="3">
        <f t="shared" si="3"/>
        <v>2.5934640522875817E-2</v>
      </c>
      <c r="P19" s="3">
        <f t="shared" si="4"/>
        <v>5.8869281045751638</v>
      </c>
      <c r="Q19" s="3">
        <f t="shared" si="5"/>
        <v>16.841960784313727</v>
      </c>
      <c r="R19" s="3">
        <f t="shared" si="6"/>
        <v>7.5385620915032687</v>
      </c>
      <c r="S19" s="1" t="e">
        <f>(SUMIF(#REF!,#REF!,D$135:D$192)/COUNTIF(#REF!,#REF!))</f>
        <v>#REF!</v>
      </c>
      <c r="T19" s="1" t="e">
        <f>(SUMIF(#REF!,#REF!,E$135:E$192)/COUNTIF(#REF!,#REF!))</f>
        <v>#REF!</v>
      </c>
      <c r="U19" s="1" t="e">
        <f>(SUMIF(#REF!,#REF!,F$135:F$192)/COUNTIF(#REF!,#REF!))</f>
        <v>#REF!</v>
      </c>
      <c r="V19" s="1" t="e">
        <f>(SUMIF(#REF!,#REF!,G$135:G$192)/COUNTIF(#REF!,#REF!))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</sheetData>
  <conditionalFormatting sqref="W2:Z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B936-F925-4BF2-8C77-4C7DCE3555DD}">
  <dimension ref="A1:Z21"/>
  <sheetViews>
    <sheetView workbookViewId="0">
      <selection activeCell="E13" sqref="E13"/>
    </sheetView>
  </sheetViews>
  <sheetFormatPr defaultColWidth="15.77734375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2.4460000000000002</v>
      </c>
      <c r="E2">
        <v>668.55</v>
      </c>
      <c r="F2">
        <v>1618.96</v>
      </c>
      <c r="G2">
        <v>1022.9</v>
      </c>
      <c r="H2">
        <v>115</v>
      </c>
      <c r="I2">
        <v>36604.339999999997</v>
      </c>
      <c r="J2" t="s">
        <v>181</v>
      </c>
      <c r="K2" s="3">
        <f t="shared" ref="K2:K21" si="0">E2/D2</f>
        <v>273.32379394930496</v>
      </c>
      <c r="L2" s="3">
        <f t="shared" ref="L2:L21" si="1">F2/G2</f>
        <v>1.5827158079968717</v>
      </c>
      <c r="M2" s="3">
        <f t="shared" ref="M2:M21" si="2">I2/H2</f>
        <v>318.29860869565215</v>
      </c>
      <c r="N2" s="3">
        <v>106.88333333333333</v>
      </c>
      <c r="O2" s="3">
        <f t="shared" ref="O2:O21" si="3">D2/$N2</f>
        <v>2.2884765320442854E-2</v>
      </c>
      <c r="P2" s="3">
        <f t="shared" ref="P2:P21" si="4">E2/$N2</f>
        <v>6.2549508810229222</v>
      </c>
      <c r="Q2" s="3">
        <f t="shared" ref="Q2:Q21" si="5">F2/$N2</f>
        <v>15.146982691408079</v>
      </c>
      <c r="R2" s="3">
        <f t="shared" ref="R2:R21" si="6">G2/$N2</f>
        <v>9.5702479338842981</v>
      </c>
    </row>
    <row r="3" spans="1:26" x14ac:dyDescent="0.3">
      <c r="A3" t="s">
        <v>26</v>
      </c>
      <c r="B3" s="2">
        <v>44831</v>
      </c>
      <c r="C3">
        <v>2</v>
      </c>
      <c r="D3" s="1">
        <v>2.6030000000000002</v>
      </c>
      <c r="E3">
        <v>658.22</v>
      </c>
      <c r="F3">
        <v>1675.97</v>
      </c>
      <c r="G3">
        <v>1088.7</v>
      </c>
      <c r="H3">
        <v>126</v>
      </c>
      <c r="I3">
        <v>35263.22</v>
      </c>
      <c r="J3" t="s">
        <v>182</v>
      </c>
      <c r="K3" s="3">
        <f t="shared" si="0"/>
        <v>252.86976565501342</v>
      </c>
      <c r="L3" s="3">
        <f t="shared" si="1"/>
        <v>1.5394231652429502</v>
      </c>
      <c r="M3" s="3">
        <f t="shared" si="2"/>
        <v>279.86682539682539</v>
      </c>
      <c r="N3" s="3">
        <v>108.81666666666599</v>
      </c>
      <c r="O3" s="3">
        <f t="shared" si="3"/>
        <v>2.3920967988972426E-2</v>
      </c>
      <c r="P3" s="3">
        <f t="shared" si="4"/>
        <v>6.0488895696125358</v>
      </c>
      <c r="Q3" s="3">
        <f t="shared" si="5"/>
        <v>15.401776688620098</v>
      </c>
      <c r="R3" s="3">
        <f t="shared" si="6"/>
        <v>10.004901209986278</v>
      </c>
    </row>
    <row r="4" spans="1:26" x14ac:dyDescent="0.3">
      <c r="A4" t="s">
        <v>26</v>
      </c>
      <c r="B4" s="2">
        <v>44833</v>
      </c>
      <c r="C4">
        <v>3</v>
      </c>
      <c r="D4" s="1">
        <v>2.5760000000000001</v>
      </c>
      <c r="E4">
        <v>709.59</v>
      </c>
      <c r="F4">
        <v>1791.67</v>
      </c>
      <c r="G4">
        <v>1077.4000000000001</v>
      </c>
      <c r="H4">
        <v>142</v>
      </c>
      <c r="I4">
        <v>47576.42</v>
      </c>
      <c r="J4" t="s">
        <v>183</v>
      </c>
      <c r="K4" s="3">
        <f t="shared" si="0"/>
        <v>275.46195652173913</v>
      </c>
      <c r="L4" s="3">
        <f t="shared" si="1"/>
        <v>1.6629571189901615</v>
      </c>
      <c r="M4" s="3">
        <f t="shared" si="2"/>
        <v>335.04521126760562</v>
      </c>
      <c r="N4" s="3">
        <v>125.56666666666599</v>
      </c>
      <c r="O4" s="3">
        <f t="shared" si="3"/>
        <v>2.0514998672683943E-2</v>
      </c>
      <c r="P4" s="3">
        <f t="shared" si="4"/>
        <v>5.6511016724184007</v>
      </c>
      <c r="Q4" s="3">
        <f t="shared" si="5"/>
        <v>14.2686753384657</v>
      </c>
      <c r="R4" s="3">
        <f t="shared" si="6"/>
        <v>8.5803026280860575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2.6920000000000002</v>
      </c>
      <c r="E5">
        <v>728.48</v>
      </c>
      <c r="F5">
        <v>1933.45</v>
      </c>
      <c r="G5">
        <v>1125.5999999999999</v>
      </c>
      <c r="H5">
        <v>135</v>
      </c>
      <c r="I5">
        <v>42766.33</v>
      </c>
      <c r="J5" t="s">
        <v>184</v>
      </c>
      <c r="K5" s="3">
        <f t="shared" si="0"/>
        <v>270.60921248142643</v>
      </c>
      <c r="L5" s="3">
        <f t="shared" si="1"/>
        <v>1.7177061122956647</v>
      </c>
      <c r="M5" s="3">
        <f t="shared" si="2"/>
        <v>316.78762962962963</v>
      </c>
      <c r="N5" s="3">
        <v>128.166666666666</v>
      </c>
      <c r="O5" s="3">
        <f t="shared" si="3"/>
        <v>2.1003901170351214E-2</v>
      </c>
      <c r="P5" s="3">
        <f t="shared" si="4"/>
        <v>5.6838491547464534</v>
      </c>
      <c r="Q5" s="3">
        <f t="shared" si="5"/>
        <v>15.085435630689286</v>
      </c>
      <c r="R5" s="3">
        <f t="shared" si="6"/>
        <v>8.7823146944083668</v>
      </c>
    </row>
    <row r="6" spans="1:26" x14ac:dyDescent="0.3">
      <c r="A6" t="s">
        <v>26</v>
      </c>
      <c r="B6" s="2">
        <v>44835</v>
      </c>
      <c r="C6">
        <v>5</v>
      </c>
      <c r="D6" s="1">
        <v>1.51</v>
      </c>
      <c r="E6">
        <v>443.89</v>
      </c>
      <c r="F6">
        <v>1356.54</v>
      </c>
      <c r="G6">
        <v>631.6</v>
      </c>
      <c r="H6">
        <v>48</v>
      </c>
      <c r="I6">
        <v>14389.51</v>
      </c>
      <c r="J6" t="s">
        <v>185</v>
      </c>
      <c r="K6" s="3">
        <f t="shared" si="0"/>
        <v>293.96688741721852</v>
      </c>
      <c r="L6" s="3">
        <f t="shared" si="1"/>
        <v>2.1477834072197592</v>
      </c>
      <c r="M6" s="3">
        <f t="shared" si="2"/>
        <v>299.78145833333332</v>
      </c>
      <c r="N6" s="3">
        <v>92.25</v>
      </c>
      <c r="O6" s="3">
        <f t="shared" si="3"/>
        <v>1.6368563685636855E-2</v>
      </c>
      <c r="P6" s="3">
        <f t="shared" si="4"/>
        <v>4.811815718157181</v>
      </c>
      <c r="Q6" s="3">
        <f t="shared" si="5"/>
        <v>14.705040650406504</v>
      </c>
      <c r="R6" s="3">
        <f t="shared" si="6"/>
        <v>6.8466124661246619</v>
      </c>
    </row>
    <row r="7" spans="1:26" x14ac:dyDescent="0.3">
      <c r="A7" t="s">
        <v>26</v>
      </c>
      <c r="B7" s="2">
        <v>44837</v>
      </c>
      <c r="C7">
        <v>6</v>
      </c>
      <c r="D7" s="1">
        <v>2.8490000000000002</v>
      </c>
      <c r="E7">
        <v>735.39</v>
      </c>
      <c r="F7">
        <v>1939.54</v>
      </c>
      <c r="G7">
        <v>1191.4000000000001</v>
      </c>
      <c r="H7">
        <v>134</v>
      </c>
      <c r="I7">
        <v>42331.14</v>
      </c>
      <c r="J7" t="s">
        <v>186</v>
      </c>
      <c r="K7" s="3">
        <f t="shared" si="0"/>
        <v>258.12214812214808</v>
      </c>
      <c r="L7" s="3">
        <f t="shared" si="1"/>
        <v>1.6279503105590061</v>
      </c>
      <c r="M7" s="3">
        <f t="shared" si="2"/>
        <v>315.90402985074627</v>
      </c>
      <c r="N7" s="3">
        <v>137.11666666666599</v>
      </c>
      <c r="O7" s="3">
        <f t="shared" si="3"/>
        <v>2.0777926340099777E-2</v>
      </c>
      <c r="P7" s="3">
        <f t="shared" si="4"/>
        <v>5.363242980430317</v>
      </c>
      <c r="Q7" s="3">
        <f t="shared" si="5"/>
        <v>14.145180503221171</v>
      </c>
      <c r="R7" s="3">
        <f t="shared" si="6"/>
        <v>8.6889510149508151</v>
      </c>
    </row>
    <row r="8" spans="1:26" x14ac:dyDescent="0.3">
      <c r="A8" t="s">
        <v>26</v>
      </c>
      <c r="B8" s="2">
        <v>44838</v>
      </c>
      <c r="C8">
        <v>7</v>
      </c>
      <c r="D8" s="1">
        <v>2.1160000000000001</v>
      </c>
      <c r="E8">
        <v>585</v>
      </c>
      <c r="F8">
        <v>1514.48</v>
      </c>
      <c r="G8">
        <v>884.9</v>
      </c>
      <c r="H8">
        <v>83</v>
      </c>
      <c r="I8">
        <v>23813.5</v>
      </c>
      <c r="J8" t="s">
        <v>187</v>
      </c>
      <c r="K8" s="3">
        <f t="shared" si="0"/>
        <v>276.46502835538752</v>
      </c>
      <c r="L8" s="3">
        <f t="shared" si="1"/>
        <v>1.7114702226240255</v>
      </c>
      <c r="M8" s="3">
        <f t="shared" si="2"/>
        <v>286.90963855421688</v>
      </c>
      <c r="N8" s="3">
        <v>111.23</v>
      </c>
      <c r="O8" s="3">
        <f t="shared" si="3"/>
        <v>1.9023644700170816E-2</v>
      </c>
      <c r="P8" s="3">
        <f t="shared" si="4"/>
        <v>5.2593724714555421</v>
      </c>
      <c r="Q8" s="3">
        <f t="shared" si="5"/>
        <v>13.615751146273487</v>
      </c>
      <c r="R8" s="3">
        <f t="shared" si="6"/>
        <v>7.955587521352153</v>
      </c>
    </row>
    <row r="9" spans="1:26" x14ac:dyDescent="0.3">
      <c r="A9" t="s">
        <v>26</v>
      </c>
      <c r="B9" s="2">
        <v>44840</v>
      </c>
      <c r="C9">
        <v>8</v>
      </c>
      <c r="D9" s="1">
        <v>2.8969999999999998</v>
      </c>
      <c r="E9">
        <v>790.84</v>
      </c>
      <c r="F9">
        <v>2194.1999999999998</v>
      </c>
      <c r="G9">
        <v>1211.4000000000001</v>
      </c>
      <c r="H9">
        <v>91</v>
      </c>
      <c r="I9">
        <v>25020.21</v>
      </c>
      <c r="J9" t="s">
        <v>29</v>
      </c>
      <c r="K9" s="3">
        <f t="shared" si="0"/>
        <v>272.9858474283742</v>
      </c>
      <c r="L9" s="3">
        <f t="shared" si="1"/>
        <v>1.8112927191679047</v>
      </c>
      <c r="M9" s="3">
        <f t="shared" si="2"/>
        <v>274.94736263736263</v>
      </c>
      <c r="N9" s="3">
        <f>145.4</f>
        <v>145.4</v>
      </c>
      <c r="O9" s="3">
        <f t="shared" si="3"/>
        <v>1.9924346629986243E-2</v>
      </c>
      <c r="P9" s="3">
        <f t="shared" si="4"/>
        <v>5.4390646492434662</v>
      </c>
      <c r="Q9" s="3">
        <f t="shared" si="5"/>
        <v>15.090784044016504</v>
      </c>
      <c r="R9" s="3">
        <f t="shared" si="6"/>
        <v>8.3314993122420908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2.2370000000000001</v>
      </c>
      <c r="E10">
        <v>618.51</v>
      </c>
      <c r="F10">
        <v>1705.29</v>
      </c>
      <c r="G10">
        <v>935.7</v>
      </c>
      <c r="H10">
        <v>114</v>
      </c>
      <c r="I10">
        <v>30168.73</v>
      </c>
      <c r="J10" t="s">
        <v>84</v>
      </c>
      <c r="K10" s="3">
        <f t="shared" si="0"/>
        <v>276.49083594099238</v>
      </c>
      <c r="L10" s="3">
        <f t="shared" si="1"/>
        <v>1.8224751522924012</v>
      </c>
      <c r="M10" s="3">
        <f t="shared" si="2"/>
        <v>264.63798245614032</v>
      </c>
      <c r="N10" s="3">
        <v>115.583</v>
      </c>
      <c r="O10" s="3">
        <f t="shared" si="3"/>
        <v>1.9354057257555179E-2</v>
      </c>
      <c r="P10" s="3">
        <f t="shared" si="4"/>
        <v>5.3512194699912614</v>
      </c>
      <c r="Q10" s="3">
        <f t="shared" si="5"/>
        <v>14.753813277039011</v>
      </c>
      <c r="R10" s="3">
        <f t="shared" si="6"/>
        <v>8.0954811693761197</v>
      </c>
    </row>
    <row r="11" spans="1:26" x14ac:dyDescent="0.3">
      <c r="A11" t="s">
        <v>26</v>
      </c>
      <c r="B11" s="2">
        <v>44842</v>
      </c>
      <c r="C11">
        <v>10</v>
      </c>
      <c r="D11" s="1">
        <v>2.7890000000000001</v>
      </c>
      <c r="E11">
        <v>634.99</v>
      </c>
      <c r="F11">
        <v>1652.42</v>
      </c>
      <c r="G11">
        <v>1166.4000000000001</v>
      </c>
      <c r="H11">
        <v>103</v>
      </c>
      <c r="I11">
        <v>31809.73</v>
      </c>
      <c r="J11" t="s">
        <v>188</v>
      </c>
      <c r="K11" s="3">
        <f t="shared" si="0"/>
        <v>227.67658659017567</v>
      </c>
      <c r="L11" s="3">
        <f t="shared" si="1"/>
        <v>1.4166838134430726</v>
      </c>
      <c r="M11" s="3">
        <f t="shared" si="2"/>
        <v>308.83233009708738</v>
      </c>
      <c r="N11" s="3">
        <v>101.733</v>
      </c>
      <c r="O11" s="3">
        <f t="shared" si="3"/>
        <v>2.7414899786696548E-2</v>
      </c>
      <c r="P11" s="3">
        <f t="shared" si="4"/>
        <v>6.2417308051468057</v>
      </c>
      <c r="Q11" s="3">
        <f t="shared" si="5"/>
        <v>16.242713770359668</v>
      </c>
      <c r="R11" s="3">
        <f t="shared" si="6"/>
        <v>11.465306242812067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1" si="7">(D11-S11)/S11</f>
        <v>#REF!</v>
      </c>
      <c r="X11" s="5" t="e">
        <f t="shared" ref="X11:X21" si="8">(E11-T11)/T11</f>
        <v>#REF!</v>
      </c>
      <c r="Y11" s="5" t="e">
        <f t="shared" ref="Y11:Y21" si="9">(F11-U11)/U11</f>
        <v>#REF!</v>
      </c>
      <c r="Z11" s="5" t="e">
        <f t="shared" ref="Z11:Z21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3.1469999999999998</v>
      </c>
      <c r="E12">
        <v>871.25</v>
      </c>
      <c r="F12">
        <v>2338.1999999999998</v>
      </c>
      <c r="G12">
        <v>1316.2</v>
      </c>
      <c r="H12">
        <v>133</v>
      </c>
      <c r="I12">
        <v>38694.559999999998</v>
      </c>
      <c r="J12" t="s">
        <v>189</v>
      </c>
      <c r="K12" s="3">
        <f t="shared" si="0"/>
        <v>276.850969176994</v>
      </c>
      <c r="L12" s="3">
        <f t="shared" si="1"/>
        <v>1.7764777389454489</v>
      </c>
      <c r="M12" s="3">
        <f t="shared" si="2"/>
        <v>290.93654135338346</v>
      </c>
      <c r="N12" s="3">
        <v>126.033</v>
      </c>
      <c r="O12" s="3">
        <f t="shared" si="3"/>
        <v>2.4969650805741352E-2</v>
      </c>
      <c r="P12" s="3">
        <f t="shared" si="4"/>
        <v>6.9128720255806018</v>
      </c>
      <c r="Q12" s="3">
        <f t="shared" si="5"/>
        <v>18.552283925638523</v>
      </c>
      <c r="R12" s="3">
        <f t="shared" si="6"/>
        <v>10.443296596923028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2.2519999999999998</v>
      </c>
      <c r="E13">
        <v>601.44000000000005</v>
      </c>
      <c r="F13">
        <v>1463.46</v>
      </c>
      <c r="G13">
        <v>941.9</v>
      </c>
      <c r="H13">
        <v>176</v>
      </c>
      <c r="I13">
        <v>47413.45</v>
      </c>
      <c r="J13" t="s">
        <v>130</v>
      </c>
      <c r="K13" s="3">
        <f t="shared" si="0"/>
        <v>267.06927175843697</v>
      </c>
      <c r="L13" s="3">
        <f t="shared" si="1"/>
        <v>1.5537318186644018</v>
      </c>
      <c r="M13" s="3">
        <f t="shared" si="2"/>
        <v>269.39460227272724</v>
      </c>
      <c r="N13" s="3">
        <v>83.183000000000007</v>
      </c>
      <c r="O13" s="3">
        <f t="shared" si="3"/>
        <v>2.7072839402281713E-2</v>
      </c>
      <c r="P13" s="3">
        <f t="shared" si="4"/>
        <v>7.2303235036004949</v>
      </c>
      <c r="Q13" s="3">
        <f t="shared" si="5"/>
        <v>17.5932582378611</v>
      </c>
      <c r="R13" s="3">
        <f t="shared" si="6"/>
        <v>11.323227101691451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2.2879999999999998</v>
      </c>
      <c r="E14">
        <v>649.14</v>
      </c>
      <c r="F14">
        <v>1743.29</v>
      </c>
      <c r="G14">
        <v>956.7</v>
      </c>
      <c r="H14">
        <v>147</v>
      </c>
      <c r="I14">
        <v>39515.57</v>
      </c>
      <c r="J14" t="s">
        <v>190</v>
      </c>
      <c r="K14" s="3">
        <f t="shared" si="0"/>
        <v>283.71503496503499</v>
      </c>
      <c r="L14" s="3">
        <f t="shared" si="1"/>
        <v>1.8221908644298106</v>
      </c>
      <c r="M14" s="3">
        <f t="shared" si="2"/>
        <v>268.81340136054422</v>
      </c>
      <c r="N14" s="3">
        <f>112.017</f>
        <v>112.017</v>
      </c>
      <c r="O14" s="3">
        <f t="shared" si="3"/>
        <v>2.0425471133845755E-2</v>
      </c>
      <c r="P14" s="3">
        <f t="shared" si="4"/>
        <v>5.795013256916361</v>
      </c>
      <c r="Q14" s="3">
        <f t="shared" si="5"/>
        <v>15.562727086067294</v>
      </c>
      <c r="R14" s="3">
        <f t="shared" si="6"/>
        <v>8.5406679343313971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2.7149999999999999</v>
      </c>
      <c r="E15">
        <v>693.27</v>
      </c>
      <c r="F15">
        <v>1896.41</v>
      </c>
      <c r="G15">
        <v>1135.2</v>
      </c>
      <c r="H15">
        <v>95</v>
      </c>
      <c r="I15">
        <v>25080.22</v>
      </c>
      <c r="J15" t="s">
        <v>191</v>
      </c>
      <c r="K15" s="3">
        <f t="shared" si="0"/>
        <v>255.34806629834256</v>
      </c>
      <c r="L15" s="3">
        <f t="shared" si="1"/>
        <v>1.6705514446793517</v>
      </c>
      <c r="M15" s="3">
        <f t="shared" si="2"/>
        <v>264.0023157894737</v>
      </c>
      <c r="N15" s="3">
        <v>119.95</v>
      </c>
      <c r="O15" s="3">
        <f t="shared" si="3"/>
        <v>2.2634431012922049E-2</v>
      </c>
      <c r="P15" s="3">
        <f t="shared" si="4"/>
        <v>5.7796581909128797</v>
      </c>
      <c r="Q15" s="3">
        <f t="shared" si="5"/>
        <v>15.810004168403502</v>
      </c>
      <c r="R15" s="3">
        <f t="shared" si="6"/>
        <v>9.4639433097123806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3.8552181818181817</v>
      </c>
      <c r="E16" s="3">
        <v>973.40121818181819</v>
      </c>
      <c r="F16" s="3">
        <v>2466.5012181818183</v>
      </c>
      <c r="G16" s="3">
        <v>1494.5812181818183</v>
      </c>
      <c r="H16" s="3">
        <v>139</v>
      </c>
      <c r="I16" s="3">
        <v>47096.28</v>
      </c>
      <c r="J16" s="6">
        <v>4.1747685185185186E-2</v>
      </c>
      <c r="K16" s="3">
        <f t="shared" si="0"/>
        <v>252.48926838240496</v>
      </c>
      <c r="L16" s="3">
        <f t="shared" si="1"/>
        <v>1.6502958743067548</v>
      </c>
      <c r="M16" s="3">
        <f t="shared" si="2"/>
        <v>338.82215827338126</v>
      </c>
      <c r="N16" s="3">
        <v>145</v>
      </c>
      <c r="O16" s="3">
        <f t="shared" si="3"/>
        <v>2.658771159874608E-2</v>
      </c>
      <c r="P16" s="3">
        <f t="shared" si="4"/>
        <v>6.7131118495297804</v>
      </c>
      <c r="Q16" s="3">
        <f t="shared" si="5"/>
        <v>17.010353228840128</v>
      </c>
      <c r="R16" s="3">
        <f t="shared" si="6"/>
        <v>10.307456677115988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3.8679999999999999</v>
      </c>
      <c r="E17">
        <v>988.29</v>
      </c>
      <c r="F17">
        <v>2950.68</v>
      </c>
      <c r="G17">
        <v>1617.6</v>
      </c>
      <c r="H17">
        <v>163</v>
      </c>
      <c r="I17">
        <v>48838.6</v>
      </c>
      <c r="J17" t="s">
        <v>41</v>
      </c>
      <c r="K17" s="3">
        <f t="shared" si="0"/>
        <v>255.50413650465356</v>
      </c>
      <c r="L17" s="3">
        <f t="shared" si="1"/>
        <v>1.8241097922848664</v>
      </c>
      <c r="M17" s="3">
        <f t="shared" si="2"/>
        <v>299.62331288343557</v>
      </c>
      <c r="N17" s="3">
        <v>149.56700000000001</v>
      </c>
      <c r="O17" s="3">
        <f t="shared" si="3"/>
        <v>2.5861319676131766E-2</v>
      </c>
      <c r="P17" s="3">
        <f t="shared" si="4"/>
        <v>6.607674152720854</v>
      </c>
      <c r="Q17" s="3">
        <f t="shared" si="5"/>
        <v>19.7281485889267</v>
      </c>
      <c r="R17" s="3">
        <f t="shared" si="6"/>
        <v>10.815219934878682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44855</v>
      </c>
      <c r="C18">
        <v>18</v>
      </c>
      <c r="D18" s="7">
        <v>1.782</v>
      </c>
      <c r="E18" s="7">
        <v>444.97</v>
      </c>
      <c r="F18" s="7">
        <v>1197.27</v>
      </c>
      <c r="G18" s="7">
        <v>745.2</v>
      </c>
      <c r="H18" s="7">
        <v>89</v>
      </c>
      <c r="I18" s="7">
        <v>30406.13</v>
      </c>
      <c r="J18" s="8">
        <v>3.5405092592592592E-2</v>
      </c>
      <c r="K18" s="3">
        <f t="shared" si="0"/>
        <v>249.70258136924804</v>
      </c>
      <c r="L18" s="3">
        <f t="shared" si="1"/>
        <v>1.6066425120772945</v>
      </c>
      <c r="M18" s="3">
        <f t="shared" si="2"/>
        <v>341.64191011235954</v>
      </c>
      <c r="N18" s="3">
        <v>86.533000000000001</v>
      </c>
      <c r="O18" s="3">
        <f t="shared" si="3"/>
        <v>2.0593299666023367E-2</v>
      </c>
      <c r="P18" s="3">
        <f t="shared" si="4"/>
        <v>5.1422000855165084</v>
      </c>
      <c r="Q18" s="3">
        <f t="shared" si="5"/>
        <v>13.835993204904486</v>
      </c>
      <c r="R18" s="3">
        <f t="shared" si="6"/>
        <v>8.6117434967006812</v>
      </c>
      <c r="S18" s="1" t="e">
        <f>(SUMIF(#REF!,#REF!,D$125:D$181)/COUNTIF(#REF!,#REF!))</f>
        <v>#REF!</v>
      </c>
      <c r="T18" s="1" t="e">
        <f>(SUMIF(#REF!,#REF!,E$125:E$181)/COUNTIF(#REF!,#REF!))</f>
        <v>#REF!</v>
      </c>
      <c r="U18" s="1" t="e">
        <f>(SUMIF(#REF!,#REF!,F$125:F$181)/COUNTIF(#REF!,#REF!))</f>
        <v>#REF!</v>
      </c>
      <c r="V18" s="1" t="e">
        <f>(SUMIF(#REF!,#REF!,G$125:G$181)/COUNTIF(#REF!,#REF!))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58</v>
      </c>
      <c r="B19" s="2">
        <v>44856</v>
      </c>
      <c r="C19">
        <v>1</v>
      </c>
      <c r="D19">
        <v>3.22</v>
      </c>
      <c r="E19">
        <v>840.54</v>
      </c>
      <c r="F19">
        <v>2219.4499999999998</v>
      </c>
      <c r="G19">
        <v>1346.5</v>
      </c>
      <c r="H19">
        <v>136</v>
      </c>
      <c r="I19">
        <v>41092.42</v>
      </c>
      <c r="J19" t="s">
        <v>41</v>
      </c>
      <c r="K19" s="3">
        <f t="shared" si="0"/>
        <v>261.03726708074532</v>
      </c>
      <c r="L19" s="3">
        <f t="shared" si="1"/>
        <v>1.6483104344597101</v>
      </c>
      <c r="M19" s="3">
        <f t="shared" si="2"/>
        <v>302.15014705882351</v>
      </c>
      <c r="N19" s="3">
        <v>138.5</v>
      </c>
      <c r="O19" s="3">
        <f t="shared" si="3"/>
        <v>2.3249097472924189E-2</v>
      </c>
      <c r="P19" s="3">
        <f t="shared" si="4"/>
        <v>6.0688808664259923</v>
      </c>
      <c r="Q19" s="3">
        <f t="shared" si="5"/>
        <v>16.024909747292419</v>
      </c>
      <c r="R19" s="3">
        <f t="shared" si="6"/>
        <v>9.7220216606498191</v>
      </c>
      <c r="S19" s="1" t="e">
        <f>(SUMIF(#REF!,#REF!,D$135:D$192)/COUNTIF(#REF!,#REF!))</f>
        <v>#REF!</v>
      </c>
      <c r="T19" s="1" t="e">
        <f>(SUMIF(#REF!,#REF!,E$135:E$192)/COUNTIF(#REF!,#REF!))</f>
        <v>#REF!</v>
      </c>
      <c r="U19" s="1" t="e">
        <f>(SUMIF(#REF!,#REF!,F$135:F$192)/COUNTIF(#REF!,#REF!))</f>
        <v>#REF!</v>
      </c>
      <c r="V19" s="1" t="e">
        <f>(SUMIF(#REF!,#REF!,G$135:G$192)/COUNTIF(#REF!,#REF!))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44858</v>
      </c>
      <c r="C20">
        <v>19</v>
      </c>
      <c r="D20">
        <v>3.093</v>
      </c>
      <c r="E20">
        <v>801.49</v>
      </c>
      <c r="F20">
        <v>2143.4499999999998</v>
      </c>
      <c r="G20">
        <v>1293.3</v>
      </c>
      <c r="H20">
        <v>158</v>
      </c>
      <c r="I20">
        <v>47564.3</v>
      </c>
      <c r="J20" t="s">
        <v>192</v>
      </c>
      <c r="K20" s="3">
        <f t="shared" si="0"/>
        <v>259.13029421273842</v>
      </c>
      <c r="L20" s="3">
        <f t="shared" si="1"/>
        <v>1.6573494162220674</v>
      </c>
      <c r="M20" s="3">
        <f t="shared" si="2"/>
        <v>301.03987341772154</v>
      </c>
      <c r="N20" s="3">
        <v>138.5</v>
      </c>
      <c r="O20" s="3">
        <f t="shared" si="3"/>
        <v>2.2332129963898918E-2</v>
      </c>
      <c r="P20" s="3">
        <f t="shared" si="4"/>
        <v>5.7869314079422383</v>
      </c>
      <c r="Q20" s="3">
        <f t="shared" si="5"/>
        <v>15.476173285198554</v>
      </c>
      <c r="R20" s="3">
        <f t="shared" si="6"/>
        <v>9.337906137184115</v>
      </c>
      <c r="S20" s="1" t="e">
        <f>(SUMIF(#REF!,#REF!,D$147:D$202)/COUNTIF(#REF!,#REF!))</f>
        <v>#REF!</v>
      </c>
      <c r="T20" s="1" t="e">
        <f>(SUMIF(#REF!,#REF!,E$147:E$202)/COUNTIF(#REF!,#REF!))</f>
        <v>#REF!</v>
      </c>
      <c r="U20" s="1" t="e">
        <f>(SUMIF(#REF!,#REF!,F$147:F$202)/COUNTIF(#REF!,#REF!))</f>
        <v>#REF!</v>
      </c>
      <c r="V20" s="1" t="e">
        <f>(SUMIF(#REF!,#REF!,G$147:G$202)/COUNTIF(#REF!,#REF!))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  <row r="21" spans="1:26" x14ac:dyDescent="0.3">
      <c r="A21" t="s">
        <v>26</v>
      </c>
      <c r="B21" s="2">
        <v>44859</v>
      </c>
      <c r="C21">
        <v>20</v>
      </c>
      <c r="D21">
        <v>1.8360000000000001</v>
      </c>
      <c r="E21">
        <v>504.2</v>
      </c>
      <c r="F21">
        <v>1276.46</v>
      </c>
      <c r="G21">
        <v>767.8</v>
      </c>
      <c r="H21">
        <v>46</v>
      </c>
      <c r="I21">
        <v>13025.26</v>
      </c>
      <c r="J21" t="s">
        <v>193</v>
      </c>
      <c r="K21" s="3">
        <f t="shared" si="0"/>
        <v>274.61873638344224</v>
      </c>
      <c r="L21" s="3">
        <f t="shared" si="1"/>
        <v>1.6624902318312063</v>
      </c>
      <c r="M21" s="3">
        <f t="shared" si="2"/>
        <v>283.1578260869565</v>
      </c>
      <c r="N21" s="3">
        <v>88.1</v>
      </c>
      <c r="O21" s="3">
        <f t="shared" si="3"/>
        <v>2.0839954597048811E-2</v>
      </c>
      <c r="P21" s="3">
        <f t="shared" si="4"/>
        <v>5.7230419977298528</v>
      </c>
      <c r="Q21" s="3">
        <f t="shared" si="5"/>
        <v>14.488762769580024</v>
      </c>
      <c r="R21" s="3">
        <f t="shared" si="6"/>
        <v>8.7150964812712832</v>
      </c>
      <c r="S21" s="1" t="e">
        <f>(SUMIF(#REF!,#REF!,D$158:D$212)/COUNTIF(#REF!,#REF!))</f>
        <v>#REF!</v>
      </c>
      <c r="T21" s="1" t="e">
        <f>(SUMIF(#REF!,#REF!,E$158:E$212)/COUNTIF(#REF!,#REF!))</f>
        <v>#REF!</v>
      </c>
      <c r="U21" s="1" t="e">
        <f>(SUMIF(#REF!,#REF!,F$158:F$212)/COUNTIF(#REF!,#REF!))</f>
        <v>#REF!</v>
      </c>
      <c r="V21" s="1" t="e">
        <f>(SUMIF(#REF!,#REF!,G$158:G$212)/COUNTIF(#REF!,#REF!))</f>
        <v>#REF!</v>
      </c>
      <c r="W21" s="5" t="e">
        <f t="shared" si="7"/>
        <v>#REF!</v>
      </c>
      <c r="X21" s="5" t="e">
        <f t="shared" si="8"/>
        <v>#REF!</v>
      </c>
      <c r="Y21" s="5" t="e">
        <f t="shared" si="9"/>
        <v>#REF!</v>
      </c>
      <c r="Z21" s="5" t="e">
        <f t="shared" si="10"/>
        <v>#REF!</v>
      </c>
    </row>
  </sheetData>
  <conditionalFormatting sqref="W2:Z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11AA-55FB-4D0C-B57B-7C29FD14A617}">
  <dimension ref="A1:Z17"/>
  <sheetViews>
    <sheetView workbookViewId="0">
      <selection activeCell="G20" sqref="G20"/>
    </sheetView>
  </sheetViews>
  <sheetFormatPr defaultRowHeight="14.4" x14ac:dyDescent="0.3"/>
  <cols>
    <col min="1" max="30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3.1280000000000001</v>
      </c>
      <c r="E2">
        <v>871.29</v>
      </c>
      <c r="F2">
        <v>1905.75</v>
      </c>
      <c r="G2">
        <v>1111.3</v>
      </c>
      <c r="H2">
        <v>187</v>
      </c>
      <c r="I2">
        <v>33326.26</v>
      </c>
      <c r="J2" t="s">
        <v>194</v>
      </c>
      <c r="K2" s="3">
        <f t="shared" ref="K2:K17" si="0">E2/D2</f>
        <v>278.54539641943734</v>
      </c>
      <c r="L2" s="3">
        <f t="shared" ref="L2:L17" si="1">F2/G2</f>
        <v>1.7148834698101323</v>
      </c>
      <c r="M2" s="3">
        <f t="shared" ref="M2:M17" si="2">I2/H2</f>
        <v>178.21529411764706</v>
      </c>
      <c r="N2" s="3">
        <v>106.88333333333333</v>
      </c>
      <c r="O2" s="3">
        <f t="shared" ref="O2:O17" si="3">D2/$N2</f>
        <v>2.926555434274131E-2</v>
      </c>
      <c r="P2" s="3">
        <f t="shared" ref="P2:P17" si="4">E2/$N2</f>
        <v>8.1517854358334638</v>
      </c>
      <c r="Q2" s="3">
        <f t="shared" ref="Q2:Q17" si="5">F2/$N2</f>
        <v>17.830188679245285</v>
      </c>
      <c r="R2" s="3">
        <f t="shared" ref="R2:R17" si="6">G2/$N2</f>
        <v>10.397317947918291</v>
      </c>
    </row>
    <row r="3" spans="1:26" x14ac:dyDescent="0.3">
      <c r="A3" t="s">
        <v>26</v>
      </c>
      <c r="B3" s="2">
        <v>44831</v>
      </c>
      <c r="C3">
        <v>2</v>
      </c>
      <c r="D3" s="1">
        <v>3.153</v>
      </c>
      <c r="E3">
        <v>847.16</v>
      </c>
      <c r="F3">
        <v>1887.93</v>
      </c>
      <c r="G3">
        <v>1120.2</v>
      </c>
      <c r="H3">
        <v>108</v>
      </c>
      <c r="I3">
        <v>18292.419999999998</v>
      </c>
      <c r="J3" t="s">
        <v>195</v>
      </c>
      <c r="K3" s="3">
        <f t="shared" si="0"/>
        <v>268.68379321281316</v>
      </c>
      <c r="L3" s="3">
        <f t="shared" si="1"/>
        <v>1.6853508302088913</v>
      </c>
      <c r="M3" s="3">
        <f t="shared" si="2"/>
        <v>169.37425925925925</v>
      </c>
      <c r="N3" s="3">
        <v>108.81666666666599</v>
      </c>
      <c r="O3" s="3">
        <f t="shared" si="3"/>
        <v>2.8975340787257033E-2</v>
      </c>
      <c r="P3" s="3">
        <f t="shared" si="4"/>
        <v>7.7852044723541605</v>
      </c>
      <c r="Q3" s="3">
        <f t="shared" si="5"/>
        <v>17.349640067391746</v>
      </c>
      <c r="R3" s="3">
        <f t="shared" si="6"/>
        <v>10.294378924797122</v>
      </c>
    </row>
    <row r="4" spans="1:26" x14ac:dyDescent="0.3">
      <c r="A4" t="s">
        <v>26</v>
      </c>
      <c r="B4" s="2">
        <v>44833</v>
      </c>
      <c r="C4">
        <v>3</v>
      </c>
      <c r="D4" s="1">
        <v>3.1589999999999998</v>
      </c>
      <c r="E4">
        <v>956.83</v>
      </c>
      <c r="F4">
        <v>2200.37</v>
      </c>
      <c r="G4">
        <v>1122.5</v>
      </c>
      <c r="H4">
        <v>185</v>
      </c>
      <c r="I4">
        <v>34291.46</v>
      </c>
      <c r="J4" t="s">
        <v>196</v>
      </c>
      <c r="K4" s="3">
        <f t="shared" si="0"/>
        <v>302.89015511237739</v>
      </c>
      <c r="L4" s="3">
        <f t="shared" si="1"/>
        <v>1.960240534521158</v>
      </c>
      <c r="M4" s="3">
        <f t="shared" si="2"/>
        <v>185.35924324324324</v>
      </c>
      <c r="N4" s="3">
        <v>125.56666666666599</v>
      </c>
      <c r="O4" s="3">
        <f t="shared" si="3"/>
        <v>2.5157950623838733E-2</v>
      </c>
      <c r="P4" s="3">
        <f t="shared" si="4"/>
        <v>7.6200955667640446</v>
      </c>
      <c r="Q4" s="3">
        <f t="shared" si="5"/>
        <v>17.52352004247421</v>
      </c>
      <c r="R4" s="3">
        <f t="shared" si="6"/>
        <v>8.9394743827980303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3.008</v>
      </c>
      <c r="E5">
        <v>930.99</v>
      </c>
      <c r="F5">
        <v>2097.9299999999998</v>
      </c>
      <c r="G5">
        <v>1068.5999999999999</v>
      </c>
      <c r="H5">
        <v>233</v>
      </c>
      <c r="I5">
        <v>38947.97</v>
      </c>
      <c r="J5" t="s">
        <v>197</v>
      </c>
      <c r="K5" s="3">
        <f t="shared" si="0"/>
        <v>309.50465425531917</v>
      </c>
      <c r="L5" s="3">
        <f t="shared" si="1"/>
        <v>1.9632509825940483</v>
      </c>
      <c r="M5" s="3">
        <f t="shared" si="2"/>
        <v>167.15866952789699</v>
      </c>
      <c r="N5" s="3">
        <v>128.166666666666</v>
      </c>
      <c r="O5" s="3">
        <f t="shared" si="3"/>
        <v>2.3469440832249798E-2</v>
      </c>
      <c r="P5" s="3">
        <f t="shared" si="4"/>
        <v>7.2639011703511427</v>
      </c>
      <c r="Q5" s="3">
        <f t="shared" si="5"/>
        <v>16.368764629388899</v>
      </c>
      <c r="R5" s="3">
        <f t="shared" si="6"/>
        <v>8.337581274382357</v>
      </c>
    </row>
    <row r="6" spans="1:26" x14ac:dyDescent="0.3">
      <c r="A6" t="s">
        <v>26</v>
      </c>
      <c r="B6" s="2">
        <v>44835</v>
      </c>
      <c r="C6">
        <v>5</v>
      </c>
      <c r="D6" s="1">
        <v>2.379</v>
      </c>
      <c r="E6">
        <v>659.28</v>
      </c>
      <c r="F6">
        <v>1732.57</v>
      </c>
      <c r="G6">
        <v>845.1</v>
      </c>
      <c r="H6">
        <v>77</v>
      </c>
      <c r="I6">
        <v>16467.900000000001</v>
      </c>
      <c r="J6" t="s">
        <v>198</v>
      </c>
      <c r="K6" s="3">
        <f t="shared" si="0"/>
        <v>277.12484237074398</v>
      </c>
      <c r="L6" s="3">
        <f t="shared" si="1"/>
        <v>2.0501360785705831</v>
      </c>
      <c r="M6" s="3">
        <f t="shared" si="2"/>
        <v>213.86883116883118</v>
      </c>
      <c r="N6" s="3">
        <v>92.25</v>
      </c>
      <c r="O6" s="3">
        <f t="shared" si="3"/>
        <v>2.5788617886178863E-2</v>
      </c>
      <c r="P6" s="3">
        <f t="shared" si="4"/>
        <v>7.1466666666666665</v>
      </c>
      <c r="Q6" s="3">
        <f t="shared" si="5"/>
        <v>18.781246612466123</v>
      </c>
      <c r="R6" s="3">
        <f t="shared" si="6"/>
        <v>9.1609756097560986</v>
      </c>
    </row>
    <row r="7" spans="1:26" x14ac:dyDescent="0.3">
      <c r="A7" t="s">
        <v>26</v>
      </c>
      <c r="B7" s="2">
        <v>44837</v>
      </c>
      <c r="C7">
        <v>6</v>
      </c>
      <c r="D7" s="1">
        <v>3.2160000000000002</v>
      </c>
      <c r="E7">
        <v>891.82</v>
      </c>
      <c r="F7">
        <v>1865.54</v>
      </c>
      <c r="G7">
        <v>1142.5</v>
      </c>
      <c r="H7">
        <v>190</v>
      </c>
      <c r="I7">
        <v>30269.88</v>
      </c>
      <c r="J7" t="s">
        <v>199</v>
      </c>
      <c r="K7" s="3">
        <f t="shared" si="0"/>
        <v>277.30721393034827</v>
      </c>
      <c r="L7" s="3">
        <f t="shared" si="1"/>
        <v>1.6328577680525165</v>
      </c>
      <c r="M7" s="3">
        <f t="shared" si="2"/>
        <v>159.31515789473684</v>
      </c>
      <c r="N7" s="3">
        <v>137.11666666666599</v>
      </c>
      <c r="O7" s="3">
        <f t="shared" si="3"/>
        <v>2.3454479154005222E-2</v>
      </c>
      <c r="P7" s="3">
        <f t="shared" si="4"/>
        <v>6.50409626838462</v>
      </c>
      <c r="Q7" s="3">
        <f t="shared" si="5"/>
        <v>13.605494104777021</v>
      </c>
      <c r="R7" s="3">
        <f t="shared" si="6"/>
        <v>8.3323204084113698</v>
      </c>
    </row>
    <row r="8" spans="1:26" x14ac:dyDescent="0.3">
      <c r="A8" t="s">
        <v>26</v>
      </c>
      <c r="B8" s="2">
        <v>44838</v>
      </c>
      <c r="C8">
        <v>7</v>
      </c>
      <c r="D8" s="1">
        <v>2.8919999999999999</v>
      </c>
      <c r="E8">
        <v>852.85</v>
      </c>
      <c r="F8">
        <v>1836.56</v>
      </c>
      <c r="G8">
        <v>1027.4000000000001</v>
      </c>
      <c r="H8">
        <v>114</v>
      </c>
      <c r="I8">
        <v>19895.52</v>
      </c>
      <c r="J8" t="s">
        <v>200</v>
      </c>
      <c r="K8" s="3">
        <f t="shared" si="0"/>
        <v>294.89972337482715</v>
      </c>
      <c r="L8" s="3">
        <f t="shared" si="1"/>
        <v>1.787580299785867</v>
      </c>
      <c r="M8" s="3">
        <f t="shared" si="2"/>
        <v>174.5221052631579</v>
      </c>
      <c r="N8" s="3">
        <v>111.23</v>
      </c>
      <c r="O8" s="3">
        <f t="shared" si="3"/>
        <v>2.6000179807605859E-2</v>
      </c>
      <c r="P8" s="3">
        <f t="shared" si="4"/>
        <v>7.6674458329587338</v>
      </c>
      <c r="Q8" s="3">
        <f t="shared" si="5"/>
        <v>16.511372831070751</v>
      </c>
      <c r="R8" s="3">
        <f t="shared" si="6"/>
        <v>9.2367167131169658</v>
      </c>
    </row>
    <row r="9" spans="1:26" x14ac:dyDescent="0.3">
      <c r="A9" t="s">
        <v>26</v>
      </c>
      <c r="B9" s="2">
        <v>44840</v>
      </c>
      <c r="C9">
        <v>8</v>
      </c>
      <c r="D9" s="1">
        <v>3.0960000000000001</v>
      </c>
      <c r="E9">
        <v>942.43</v>
      </c>
      <c r="F9">
        <v>2372.38</v>
      </c>
      <c r="G9">
        <v>1100</v>
      </c>
      <c r="H9">
        <v>182</v>
      </c>
      <c r="I9">
        <v>30115.53</v>
      </c>
      <c r="J9" t="s">
        <v>201</v>
      </c>
      <c r="K9" s="3">
        <f t="shared" si="0"/>
        <v>304.40245478036172</v>
      </c>
      <c r="L9" s="3">
        <f t="shared" si="1"/>
        <v>2.1567090909090911</v>
      </c>
      <c r="M9" s="3">
        <f t="shared" si="2"/>
        <v>165.46994505494504</v>
      </c>
      <c r="N9" s="3">
        <f>145.4</f>
        <v>145.4</v>
      </c>
      <c r="O9" s="3">
        <f t="shared" si="3"/>
        <v>2.1292984869325998E-2</v>
      </c>
      <c r="P9" s="3">
        <f t="shared" si="4"/>
        <v>6.4816368638239332</v>
      </c>
      <c r="Q9" s="3">
        <f t="shared" si="5"/>
        <v>16.316231086657496</v>
      </c>
      <c r="R9" s="3">
        <f t="shared" si="6"/>
        <v>7.5653370013755152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3.2360000000000002</v>
      </c>
      <c r="E10">
        <v>889.82</v>
      </c>
      <c r="F10">
        <v>2249.5100000000002</v>
      </c>
      <c r="G10">
        <v>1149.8</v>
      </c>
      <c r="H10">
        <v>102</v>
      </c>
      <c r="I10">
        <v>18040.57</v>
      </c>
      <c r="J10" t="s">
        <v>202</v>
      </c>
      <c r="K10" s="3">
        <f t="shared" si="0"/>
        <v>274.97527812113719</v>
      </c>
      <c r="L10" s="3">
        <f t="shared" si="1"/>
        <v>1.9564359018959823</v>
      </c>
      <c r="M10" s="3">
        <f t="shared" si="2"/>
        <v>176.86833333333334</v>
      </c>
      <c r="N10" s="3">
        <v>115.583</v>
      </c>
      <c r="O10" s="3">
        <f t="shared" si="3"/>
        <v>2.79971968196015E-2</v>
      </c>
      <c r="P10" s="3">
        <f t="shared" si="4"/>
        <v>7.6985369820821408</v>
      </c>
      <c r="Q10" s="3">
        <f t="shared" si="5"/>
        <v>19.462291167386208</v>
      </c>
      <c r="R10" s="3">
        <f t="shared" si="6"/>
        <v>9.9478296981389995</v>
      </c>
    </row>
    <row r="11" spans="1:26" x14ac:dyDescent="0.3">
      <c r="A11" t="s">
        <v>26</v>
      </c>
      <c r="B11" s="2">
        <v>44842</v>
      </c>
      <c r="C11">
        <v>10</v>
      </c>
      <c r="D11" s="1">
        <v>2.6680000000000001</v>
      </c>
      <c r="E11">
        <v>698.2</v>
      </c>
      <c r="F11">
        <v>1534.52</v>
      </c>
      <c r="G11">
        <v>947.9</v>
      </c>
      <c r="H11">
        <v>179</v>
      </c>
      <c r="I11">
        <v>29786.31</v>
      </c>
      <c r="J11" t="s">
        <v>203</v>
      </c>
      <c r="K11" s="3">
        <f t="shared" si="0"/>
        <v>261.69415292353824</v>
      </c>
      <c r="L11" s="3">
        <f t="shared" si="1"/>
        <v>1.6188627492351515</v>
      </c>
      <c r="M11" s="3">
        <f t="shared" si="2"/>
        <v>166.40396648044694</v>
      </c>
      <c r="N11" s="3">
        <v>101.733</v>
      </c>
      <c r="O11" s="3">
        <f t="shared" si="3"/>
        <v>2.6225511879134598E-2</v>
      </c>
      <c r="P11" s="3">
        <f t="shared" si="4"/>
        <v>6.8630631161963178</v>
      </c>
      <c r="Q11" s="3">
        <f t="shared" si="5"/>
        <v>15.08379778439641</v>
      </c>
      <c r="R11" s="3">
        <f t="shared" si="6"/>
        <v>9.3175272527105264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Z17" si="7">(D11-S11)/S11</f>
        <v>#REF!</v>
      </c>
      <c r="X11" s="5" t="e">
        <f t="shared" si="7"/>
        <v>#REF!</v>
      </c>
      <c r="Y11" s="5" t="e">
        <f t="shared" si="7"/>
        <v>#REF!</v>
      </c>
      <c r="Z11" s="5" t="e">
        <f t="shared" si="7"/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3.0859999999999999</v>
      </c>
      <c r="E12">
        <v>937.97</v>
      </c>
      <c r="F12">
        <v>2199.9299999999998</v>
      </c>
      <c r="G12">
        <v>1096.3</v>
      </c>
      <c r="H12">
        <v>190</v>
      </c>
      <c r="I12">
        <v>30729.55</v>
      </c>
      <c r="J12" t="s">
        <v>204</v>
      </c>
      <c r="K12" s="3">
        <f t="shared" si="0"/>
        <v>303.94361633182115</v>
      </c>
      <c r="L12" s="3">
        <f t="shared" si="1"/>
        <v>2.006686126060385</v>
      </c>
      <c r="M12" s="3">
        <f t="shared" si="2"/>
        <v>161.73447368421051</v>
      </c>
      <c r="N12" s="3">
        <v>126.033</v>
      </c>
      <c r="O12" s="3">
        <f t="shared" si="3"/>
        <v>2.4485650583577316E-2</v>
      </c>
      <c r="P12" s="3">
        <f t="shared" si="4"/>
        <v>7.4422571866098561</v>
      </c>
      <c r="Q12" s="3">
        <f t="shared" si="5"/>
        <v>17.455190307300466</v>
      </c>
      <c r="R12" s="3">
        <f t="shared" si="6"/>
        <v>8.6985154681710348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7"/>
        <v>#REF!</v>
      </c>
      <c r="Y12" s="5" t="e">
        <f t="shared" si="7"/>
        <v>#REF!</v>
      </c>
      <c r="Z12" s="5" t="e">
        <f t="shared" si="7"/>
        <v>#REF!</v>
      </c>
    </row>
    <row r="13" spans="1:26" x14ac:dyDescent="0.3">
      <c r="A13" t="s">
        <v>26</v>
      </c>
      <c r="B13" s="2">
        <v>44847</v>
      </c>
      <c r="C13">
        <v>13</v>
      </c>
      <c r="D13">
        <v>2.649</v>
      </c>
      <c r="E13">
        <v>792.5</v>
      </c>
      <c r="F13">
        <v>1673.18</v>
      </c>
      <c r="G13">
        <v>941.1</v>
      </c>
      <c r="H13">
        <v>201</v>
      </c>
      <c r="I13">
        <v>31974.39</v>
      </c>
      <c r="J13" t="s">
        <v>205</v>
      </c>
      <c r="K13" s="3">
        <f t="shared" si="0"/>
        <v>299.16949792374481</v>
      </c>
      <c r="L13" s="3">
        <f t="shared" si="1"/>
        <v>1.7778982042290936</v>
      </c>
      <c r="M13" s="3">
        <f t="shared" si="2"/>
        <v>159.0765671641791</v>
      </c>
      <c r="N13" s="3">
        <f>112.017</f>
        <v>112.017</v>
      </c>
      <c r="O13" s="3">
        <f t="shared" si="3"/>
        <v>2.364819625592544E-2</v>
      </c>
      <c r="P13" s="3">
        <f t="shared" si="4"/>
        <v>7.0748190006873957</v>
      </c>
      <c r="Q13" s="3">
        <f t="shared" si="5"/>
        <v>14.936839943937082</v>
      </c>
      <c r="R13" s="3">
        <f t="shared" si="6"/>
        <v>8.4014033584188113</v>
      </c>
      <c r="S13" s="1" t="e">
        <f>(SUMIF(#REF!,#REF!,D$81:D$134)/COUNTIF(#REF!,#REF!))</f>
        <v>#REF!</v>
      </c>
      <c r="T13" s="1" t="e">
        <f>(SUMIF(#REF!,#REF!,E$81:E$134)/COUNTIF(#REF!,#REF!))</f>
        <v>#REF!</v>
      </c>
      <c r="U13" s="1" t="e">
        <f>(SUMIF(#REF!,#REF!,F$81:F$134)/COUNTIF(#REF!,#REF!))</f>
        <v>#REF!</v>
      </c>
      <c r="V13" s="1" t="e">
        <f>(SUMIF(#REF!,#REF!,G$81:G$134)/COUNTIF(#REF!,#REF!))</f>
        <v>#REF!</v>
      </c>
      <c r="W13" s="5" t="e">
        <f t="shared" si="7"/>
        <v>#REF!</v>
      </c>
      <c r="X13" s="5" t="e">
        <f t="shared" si="7"/>
        <v>#REF!</v>
      </c>
      <c r="Y13" s="5" t="e">
        <f t="shared" si="7"/>
        <v>#REF!</v>
      </c>
      <c r="Z13" s="5" t="e">
        <f t="shared" si="7"/>
        <v>#REF!</v>
      </c>
    </row>
    <row r="14" spans="1:26" x14ac:dyDescent="0.3">
      <c r="A14" t="s">
        <v>26</v>
      </c>
      <c r="B14" s="2">
        <v>44849</v>
      </c>
      <c r="C14">
        <v>15</v>
      </c>
      <c r="D14">
        <v>3.2389999999999999</v>
      </c>
      <c r="E14">
        <v>847.89</v>
      </c>
      <c r="F14">
        <v>2116.87</v>
      </c>
      <c r="G14">
        <v>1150.8</v>
      </c>
      <c r="H14">
        <v>85</v>
      </c>
      <c r="I14">
        <v>16128.79</v>
      </c>
      <c r="J14" t="s">
        <v>206</v>
      </c>
      <c r="K14" s="3">
        <f t="shared" si="0"/>
        <v>261.77523927138009</v>
      </c>
      <c r="L14" s="3">
        <f t="shared" si="1"/>
        <v>1.8394768856447687</v>
      </c>
      <c r="M14" s="3">
        <f t="shared" si="2"/>
        <v>189.75047058823532</v>
      </c>
      <c r="N14" s="3">
        <v>119.95</v>
      </c>
      <c r="O14" s="3">
        <f t="shared" si="3"/>
        <v>2.700291788245102E-2</v>
      </c>
      <c r="P14" s="3">
        <f t="shared" si="4"/>
        <v>7.0686952897040429</v>
      </c>
      <c r="Q14" s="3">
        <f t="shared" si="5"/>
        <v>17.647936640266778</v>
      </c>
      <c r="R14" s="3">
        <f t="shared" si="6"/>
        <v>9.5939974989578989</v>
      </c>
      <c r="S14" s="1" t="e">
        <f>(SUMIF(#REF!,#REF!,D$93:D$146)/COUNTIF(#REF!,#REF!))</f>
        <v>#REF!</v>
      </c>
      <c r="T14" s="1" t="e">
        <f>(SUMIF(#REF!,#REF!,E$93:E$146)/COUNTIF(#REF!,#REF!))</f>
        <v>#REF!</v>
      </c>
      <c r="U14" s="1" t="e">
        <f>(SUMIF(#REF!,#REF!,F$93:F$146)/COUNTIF(#REF!,#REF!))</f>
        <v>#REF!</v>
      </c>
      <c r="V14" s="1" t="e">
        <f>(SUMIF(#REF!,#REF!,G$93:G$146)/COUNTIF(#REF!,#REF!))</f>
        <v>#REF!</v>
      </c>
      <c r="W14" s="5" t="e">
        <f t="shared" si="7"/>
        <v>#REF!</v>
      </c>
      <c r="X14" s="5" t="e">
        <f t="shared" si="7"/>
        <v>#REF!</v>
      </c>
      <c r="Y14" s="5" t="e">
        <f t="shared" si="7"/>
        <v>#REF!</v>
      </c>
      <c r="Z14" s="5" t="e">
        <f t="shared" si="7"/>
        <v>#REF!</v>
      </c>
    </row>
    <row r="15" spans="1:26" x14ac:dyDescent="0.3">
      <c r="A15" t="s">
        <v>26</v>
      </c>
      <c r="B15" s="2">
        <v>44852</v>
      </c>
      <c r="C15">
        <v>16</v>
      </c>
      <c r="D15" s="3">
        <v>4.7202181818181819</v>
      </c>
      <c r="E15" s="3">
        <v>1227.091218181818</v>
      </c>
      <c r="F15" s="3">
        <v>3007.6012181818178</v>
      </c>
      <c r="G15" s="3">
        <v>1577.5812181818183</v>
      </c>
      <c r="H15" s="3">
        <v>307</v>
      </c>
      <c r="I15" s="3">
        <v>55033.24</v>
      </c>
      <c r="J15" s="6">
        <v>7.4004629629629615E-2</v>
      </c>
      <c r="K15" s="3">
        <f t="shared" si="0"/>
        <v>259.96493613546363</v>
      </c>
      <c r="L15" s="3">
        <f t="shared" si="1"/>
        <v>1.9064636314877754</v>
      </c>
      <c r="M15" s="3">
        <f t="shared" si="2"/>
        <v>179.26136807817588</v>
      </c>
      <c r="N15" s="3">
        <v>145</v>
      </c>
      <c r="O15" s="3">
        <f t="shared" si="3"/>
        <v>3.2553228840125389E-2</v>
      </c>
      <c r="P15" s="3">
        <f t="shared" si="4"/>
        <v>8.4626980564263317</v>
      </c>
      <c r="Q15" s="3">
        <f t="shared" si="5"/>
        <v>20.742077366771156</v>
      </c>
      <c r="R15" s="3">
        <f t="shared" si="6"/>
        <v>10.879870470219437</v>
      </c>
      <c r="S15" s="1" t="e">
        <f>(SUMIF(#REF!,#REF!,D$103:D$157)/COUNTIF(#REF!,#REF!))</f>
        <v>#REF!</v>
      </c>
      <c r="T15" s="1" t="e">
        <f>(SUMIF(#REF!,#REF!,E$103:E$157)/COUNTIF(#REF!,#REF!))</f>
        <v>#REF!</v>
      </c>
      <c r="U15" s="1" t="e">
        <f>(SUMIF(#REF!,#REF!,F$103:F$157)/COUNTIF(#REF!,#REF!))</f>
        <v>#REF!</v>
      </c>
      <c r="V15" s="1" t="e">
        <f>(SUMIF(#REF!,#REF!,G$103:G$157)/COUNTIF(#REF!,#REF!))</f>
        <v>#REF!</v>
      </c>
      <c r="W15" s="5" t="e">
        <f t="shared" si="7"/>
        <v>#REF!</v>
      </c>
      <c r="X15" s="5" t="e">
        <f t="shared" si="7"/>
        <v>#REF!</v>
      </c>
      <c r="Y15" s="5" t="e">
        <f t="shared" si="7"/>
        <v>#REF!</v>
      </c>
      <c r="Z15" s="5" t="e">
        <f t="shared" si="7"/>
        <v>#REF!</v>
      </c>
    </row>
    <row r="16" spans="1:26" x14ac:dyDescent="0.3">
      <c r="A16" t="s">
        <v>26</v>
      </c>
      <c r="B16" s="2">
        <v>44854</v>
      </c>
      <c r="C16">
        <v>17</v>
      </c>
      <c r="D16">
        <v>4.008</v>
      </c>
      <c r="E16">
        <v>1025.51</v>
      </c>
      <c r="F16">
        <v>2877.32</v>
      </c>
      <c r="G16">
        <v>1424</v>
      </c>
      <c r="H16">
        <v>233</v>
      </c>
      <c r="I16">
        <v>43227.839999999997</v>
      </c>
      <c r="J16" t="s">
        <v>41</v>
      </c>
      <c r="K16" s="3">
        <f t="shared" si="0"/>
        <v>255.86576846307386</v>
      </c>
      <c r="L16" s="3">
        <f t="shared" si="1"/>
        <v>2.0205898876404493</v>
      </c>
      <c r="M16" s="3">
        <f t="shared" si="2"/>
        <v>185.52721030042918</v>
      </c>
      <c r="N16" s="3">
        <v>149.56700000000001</v>
      </c>
      <c r="O16" s="3">
        <f t="shared" si="3"/>
        <v>2.6797355031524334E-2</v>
      </c>
      <c r="P16" s="3">
        <f t="shared" si="4"/>
        <v>6.8565258379187917</v>
      </c>
      <c r="Q16" s="3">
        <f t="shared" si="5"/>
        <v>19.237666062700995</v>
      </c>
      <c r="R16" s="3">
        <f t="shared" si="6"/>
        <v>9.520816757707248</v>
      </c>
      <c r="S16" s="1" t="e">
        <f>(SUMIF(#REF!,#REF!,D$113:D$169)/COUNTIF(#REF!,#REF!))</f>
        <v>#REF!</v>
      </c>
      <c r="T16" s="1" t="e">
        <f>(SUMIF(#REF!,#REF!,E$113:E$169)/COUNTIF(#REF!,#REF!))</f>
        <v>#REF!</v>
      </c>
      <c r="U16" s="1" t="e">
        <f>(SUMIF(#REF!,#REF!,F$113:F$169)/COUNTIF(#REF!,#REF!))</f>
        <v>#REF!</v>
      </c>
      <c r="V16" s="1" t="e">
        <f>(SUMIF(#REF!,#REF!,G$113:G$169)/COUNTIF(#REF!,#REF!))</f>
        <v>#REF!</v>
      </c>
      <c r="W16" s="5" t="e">
        <f t="shared" si="7"/>
        <v>#REF!</v>
      </c>
      <c r="X16" s="5" t="e">
        <f t="shared" si="7"/>
        <v>#REF!</v>
      </c>
      <c r="Y16" s="5" t="e">
        <f t="shared" si="7"/>
        <v>#REF!</v>
      </c>
      <c r="Z16" s="5" t="e">
        <f t="shared" si="7"/>
        <v>#REF!</v>
      </c>
    </row>
    <row r="17" spans="1:26" x14ac:dyDescent="0.3">
      <c r="A17" t="s">
        <v>26</v>
      </c>
      <c r="B17" s="2">
        <v>44855</v>
      </c>
      <c r="C17">
        <v>18</v>
      </c>
      <c r="D17" s="7">
        <v>1.3660000000000001</v>
      </c>
      <c r="E17" s="7">
        <v>412.21</v>
      </c>
      <c r="F17" s="7">
        <v>972.64</v>
      </c>
      <c r="G17" s="7">
        <v>485.3</v>
      </c>
      <c r="H17" s="7">
        <v>108</v>
      </c>
      <c r="I17" s="7">
        <v>23099.74</v>
      </c>
      <c r="J17" s="8">
        <v>2.6689814814814816E-2</v>
      </c>
      <c r="K17" s="3">
        <f t="shared" si="0"/>
        <v>301.7642752562225</v>
      </c>
      <c r="L17" s="3">
        <f t="shared" si="1"/>
        <v>2.0042035854110858</v>
      </c>
      <c r="M17" s="3">
        <f t="shared" si="2"/>
        <v>213.8864814814815</v>
      </c>
      <c r="N17" s="3">
        <v>86.533000000000001</v>
      </c>
      <c r="O17" s="3">
        <f t="shared" si="3"/>
        <v>1.5785885153640808E-2</v>
      </c>
      <c r="P17" s="3">
        <f t="shared" si="4"/>
        <v>4.7636161926663814</v>
      </c>
      <c r="Q17" s="3">
        <f t="shared" si="5"/>
        <v>11.24010493106676</v>
      </c>
      <c r="R17" s="3">
        <f t="shared" si="6"/>
        <v>5.6082650549501345</v>
      </c>
      <c r="S17" s="1" t="e">
        <f>(SUMIF(#REF!,#REF!,D$125:D$181)/COUNTIF(#REF!,#REF!))</f>
        <v>#REF!</v>
      </c>
      <c r="T17" s="1" t="e">
        <f>(SUMIF(#REF!,#REF!,E$125:E$181)/COUNTIF(#REF!,#REF!))</f>
        <v>#REF!</v>
      </c>
      <c r="U17" s="1" t="e">
        <f>(SUMIF(#REF!,#REF!,F$125:F$181)/COUNTIF(#REF!,#REF!))</f>
        <v>#REF!</v>
      </c>
      <c r="V17" s="1" t="e">
        <f>(SUMIF(#REF!,#REF!,G$125:G$181)/COUNTIF(#REF!,#REF!))</f>
        <v>#REF!</v>
      </c>
      <c r="W17" s="5" t="e">
        <f t="shared" si="7"/>
        <v>#REF!</v>
      </c>
      <c r="X17" s="5" t="e">
        <f t="shared" si="7"/>
        <v>#REF!</v>
      </c>
      <c r="Y17" s="5" t="e">
        <f t="shared" si="7"/>
        <v>#REF!</v>
      </c>
      <c r="Z17" s="5" t="e">
        <f t="shared" si="7"/>
        <v>#REF!</v>
      </c>
    </row>
  </sheetData>
  <conditionalFormatting sqref="W2:Z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97D3-637F-444D-9A7F-2B756B3795A0}">
  <dimension ref="A1:Z20"/>
  <sheetViews>
    <sheetView workbookViewId="0">
      <selection activeCell="A18" sqref="A18"/>
    </sheetView>
  </sheetViews>
  <sheetFormatPr defaultRowHeight="14.4" x14ac:dyDescent="0.3"/>
  <cols>
    <col min="1" max="26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2.0419999999999998</v>
      </c>
      <c r="E2">
        <v>577.5</v>
      </c>
      <c r="F2">
        <v>1507.86</v>
      </c>
      <c r="G2">
        <v>798.6</v>
      </c>
      <c r="H2">
        <v>112</v>
      </c>
      <c r="I2">
        <v>31797.86</v>
      </c>
      <c r="J2" t="s">
        <v>27</v>
      </c>
      <c r="K2" s="3">
        <f t="shared" ref="K2:K20" si="0">E2/D2</f>
        <v>282.81096963761019</v>
      </c>
      <c r="L2" s="3">
        <f t="shared" ref="L2:L20" si="1">F2/G2</f>
        <v>1.888129226145755</v>
      </c>
      <c r="M2" s="3">
        <f t="shared" ref="M2:M20" si="2">I2/H2</f>
        <v>283.90946428571431</v>
      </c>
      <c r="N2" s="3">
        <v>106.88333333333333</v>
      </c>
      <c r="O2" s="3">
        <f t="shared" ref="O2:O20" si="3">D2/$N2</f>
        <v>1.9104943084359893E-2</v>
      </c>
      <c r="P2" s="3">
        <f t="shared" ref="P2:P20" si="4">E2/$N2</f>
        <v>5.4030874785591774</v>
      </c>
      <c r="Q2" s="3">
        <f t="shared" ref="Q2:Q20" si="5">F2/$N2</f>
        <v>14.107531576485265</v>
      </c>
      <c r="R2" s="3">
        <f t="shared" ref="R2:R20" si="6">G2/$N2</f>
        <v>7.4716981132075482</v>
      </c>
    </row>
    <row r="3" spans="1:26" x14ac:dyDescent="0.3">
      <c r="A3" t="s">
        <v>26</v>
      </c>
      <c r="B3" s="2">
        <v>44831</v>
      </c>
      <c r="C3">
        <v>2</v>
      </c>
      <c r="D3" s="1">
        <v>1.966</v>
      </c>
      <c r="E3">
        <v>539.67999999999995</v>
      </c>
      <c r="F3">
        <v>1549.83</v>
      </c>
      <c r="G3">
        <v>768.9</v>
      </c>
      <c r="H3">
        <v>74</v>
      </c>
      <c r="I3">
        <v>21798.22</v>
      </c>
      <c r="J3" t="s">
        <v>28</v>
      </c>
      <c r="K3" s="3">
        <f t="shared" si="0"/>
        <v>274.50661241098675</v>
      </c>
      <c r="L3" s="3">
        <f t="shared" si="1"/>
        <v>2.015645727662895</v>
      </c>
      <c r="M3" s="3">
        <f t="shared" si="2"/>
        <v>294.57054054054055</v>
      </c>
      <c r="N3" s="3">
        <v>108.81666666666599</v>
      </c>
      <c r="O3" s="3">
        <f t="shared" si="3"/>
        <v>1.8067085311686434E-2</v>
      </c>
      <c r="P3" s="3">
        <f t="shared" si="4"/>
        <v>4.9595343850513398</v>
      </c>
      <c r="Q3" s="3">
        <f t="shared" si="5"/>
        <v>14.242579261755333</v>
      </c>
      <c r="R3" s="3">
        <f t="shared" si="6"/>
        <v>7.0660131720018811</v>
      </c>
    </row>
    <row r="4" spans="1:26" x14ac:dyDescent="0.3">
      <c r="A4" t="s">
        <v>26</v>
      </c>
      <c r="B4" s="2">
        <v>44833</v>
      </c>
      <c r="C4">
        <v>3</v>
      </c>
      <c r="D4" s="1">
        <v>2.2839999999999998</v>
      </c>
      <c r="E4">
        <v>600.58000000000004</v>
      </c>
      <c r="F4">
        <v>1653.35</v>
      </c>
      <c r="G4">
        <v>893</v>
      </c>
      <c r="H4">
        <v>116</v>
      </c>
      <c r="I4">
        <v>33386.730000000003</v>
      </c>
      <c r="J4" t="s">
        <v>29</v>
      </c>
      <c r="K4" s="3">
        <f t="shared" si="0"/>
        <v>262.95096322241687</v>
      </c>
      <c r="L4" s="3">
        <f t="shared" si="1"/>
        <v>1.8514557670772676</v>
      </c>
      <c r="M4" s="3">
        <f t="shared" si="2"/>
        <v>287.81663793103451</v>
      </c>
      <c r="N4" s="3">
        <v>125.56666666666599</v>
      </c>
      <c r="O4" s="3">
        <f t="shared" si="3"/>
        <v>1.8189540748606414E-2</v>
      </c>
      <c r="P4" s="3">
        <f t="shared" si="4"/>
        <v>4.7829572604194581</v>
      </c>
      <c r="Q4" s="3">
        <f t="shared" si="5"/>
        <v>13.167109105388974</v>
      </c>
      <c r="R4" s="3">
        <f t="shared" si="6"/>
        <v>7.1117600212370968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2.274</v>
      </c>
      <c r="E5">
        <v>605.38</v>
      </c>
      <c r="F5">
        <v>1617.4</v>
      </c>
      <c r="G5">
        <v>889.1</v>
      </c>
      <c r="H5">
        <v>123</v>
      </c>
      <c r="I5">
        <v>30776.13</v>
      </c>
      <c r="J5" t="s">
        <v>30</v>
      </c>
      <c r="K5" s="3">
        <f t="shared" si="0"/>
        <v>266.21811785400178</v>
      </c>
      <c r="L5" s="3">
        <f t="shared" si="1"/>
        <v>1.8191429535485322</v>
      </c>
      <c r="M5" s="3">
        <f t="shared" si="2"/>
        <v>250.21243902439025</v>
      </c>
      <c r="N5" s="3">
        <v>128.166666666666</v>
      </c>
      <c r="O5" s="3">
        <f t="shared" si="3"/>
        <v>1.7742522756827139E-2</v>
      </c>
      <c r="P5" s="3">
        <f t="shared" si="4"/>
        <v>4.7233810143043158</v>
      </c>
      <c r="Q5" s="3">
        <f t="shared" si="5"/>
        <v>12.619505851755592</v>
      </c>
      <c r="R5" s="3">
        <f t="shared" si="6"/>
        <v>6.9370611183355368</v>
      </c>
    </row>
    <row r="6" spans="1:26" x14ac:dyDescent="0.3">
      <c r="A6" t="s">
        <v>26</v>
      </c>
      <c r="B6" s="2">
        <v>44835</v>
      </c>
      <c r="C6">
        <v>5</v>
      </c>
      <c r="D6" s="1">
        <v>1.0329999999999999</v>
      </c>
      <c r="E6">
        <v>352.48</v>
      </c>
      <c r="F6">
        <v>1006.4</v>
      </c>
      <c r="G6">
        <v>403.9</v>
      </c>
      <c r="H6">
        <v>40</v>
      </c>
      <c r="I6">
        <v>11670.61</v>
      </c>
      <c r="J6" t="s">
        <v>31</v>
      </c>
      <c r="K6" s="3">
        <f t="shared" si="0"/>
        <v>341.21974830590517</v>
      </c>
      <c r="L6" s="3">
        <f t="shared" si="1"/>
        <v>2.4917058677890567</v>
      </c>
      <c r="M6" s="3">
        <f t="shared" si="2"/>
        <v>291.76525000000004</v>
      </c>
      <c r="N6" s="3">
        <v>92.25</v>
      </c>
      <c r="O6" s="3">
        <f t="shared" si="3"/>
        <v>1.1197831978319783E-2</v>
      </c>
      <c r="P6" s="3">
        <f t="shared" si="4"/>
        <v>3.8209214092140922</v>
      </c>
      <c r="Q6" s="3">
        <f t="shared" si="5"/>
        <v>10.909485094850949</v>
      </c>
      <c r="R6" s="3">
        <f t="shared" si="6"/>
        <v>4.3783197831978313</v>
      </c>
    </row>
    <row r="7" spans="1:26" x14ac:dyDescent="0.3">
      <c r="A7" t="s">
        <v>26</v>
      </c>
      <c r="B7" s="2">
        <v>44837</v>
      </c>
      <c r="C7">
        <v>6</v>
      </c>
      <c r="D7" s="1">
        <v>2.593</v>
      </c>
      <c r="E7">
        <v>721.91</v>
      </c>
      <c r="F7">
        <v>1850.81</v>
      </c>
      <c r="G7">
        <v>1014.1</v>
      </c>
      <c r="H7">
        <v>168</v>
      </c>
      <c r="I7">
        <v>34360.46</v>
      </c>
      <c r="J7" t="s">
        <v>32</v>
      </c>
      <c r="K7" s="3">
        <f t="shared" si="0"/>
        <v>278.40725028924027</v>
      </c>
      <c r="L7" s="3">
        <f t="shared" si="1"/>
        <v>1.8250764224435458</v>
      </c>
      <c r="M7" s="3">
        <f t="shared" si="2"/>
        <v>204.52654761904762</v>
      </c>
      <c r="N7" s="3">
        <v>137.11666666666599</v>
      </c>
      <c r="O7" s="3">
        <f t="shared" si="3"/>
        <v>1.8910903123860553E-2</v>
      </c>
      <c r="P7" s="3">
        <f t="shared" si="4"/>
        <v>5.2649325392002204</v>
      </c>
      <c r="Q7" s="3">
        <f t="shared" si="5"/>
        <v>13.49806733924888</v>
      </c>
      <c r="R7" s="3">
        <f t="shared" si="6"/>
        <v>7.3958915765163855</v>
      </c>
    </row>
    <row r="8" spans="1:26" x14ac:dyDescent="0.3">
      <c r="A8" t="s">
        <v>26</v>
      </c>
      <c r="B8" s="2">
        <v>44838</v>
      </c>
      <c r="C8">
        <v>7</v>
      </c>
      <c r="D8" s="1">
        <v>1.704</v>
      </c>
      <c r="E8">
        <v>513.64</v>
      </c>
      <c r="F8">
        <v>1248.18</v>
      </c>
      <c r="G8">
        <v>666.1</v>
      </c>
      <c r="H8">
        <v>87</v>
      </c>
      <c r="I8">
        <v>17906.599999999999</v>
      </c>
      <c r="J8" t="s">
        <v>33</v>
      </c>
      <c r="K8" s="3">
        <f t="shared" si="0"/>
        <v>301.43192488262912</v>
      </c>
      <c r="L8" s="3">
        <f t="shared" si="1"/>
        <v>1.873862783365861</v>
      </c>
      <c r="M8" s="3">
        <f t="shared" si="2"/>
        <v>205.82298850574711</v>
      </c>
      <c r="N8" s="3">
        <v>111.23</v>
      </c>
      <c r="O8" s="3">
        <f t="shared" si="3"/>
        <v>1.531960801941922E-2</v>
      </c>
      <c r="P8" s="3">
        <f t="shared" si="4"/>
        <v>4.6178189337408968</v>
      </c>
      <c r="Q8" s="3">
        <f t="shared" si="5"/>
        <v>11.221612874224579</v>
      </c>
      <c r="R8" s="3">
        <f t="shared" si="6"/>
        <v>5.9884923132248495</v>
      </c>
    </row>
    <row r="9" spans="1:26" x14ac:dyDescent="0.3">
      <c r="A9" t="s">
        <v>26</v>
      </c>
      <c r="B9" s="2">
        <v>44840</v>
      </c>
      <c r="C9">
        <v>8</v>
      </c>
      <c r="D9" s="1">
        <v>2.149</v>
      </c>
      <c r="E9">
        <v>607.67999999999995</v>
      </c>
      <c r="F9">
        <v>1749.58</v>
      </c>
      <c r="G9">
        <v>840.3</v>
      </c>
      <c r="H9">
        <v>140</v>
      </c>
      <c r="I9">
        <v>28624.89</v>
      </c>
      <c r="J9" t="s">
        <v>34</v>
      </c>
      <c r="K9" s="3">
        <f t="shared" si="0"/>
        <v>282.77338296882266</v>
      </c>
      <c r="L9" s="3">
        <f t="shared" si="1"/>
        <v>2.0820897298583838</v>
      </c>
      <c r="M9" s="3">
        <f t="shared" si="2"/>
        <v>204.46349999999998</v>
      </c>
      <c r="N9" s="3">
        <f>145.4</f>
        <v>145.4</v>
      </c>
      <c r="O9" s="3">
        <f t="shared" si="3"/>
        <v>1.4779917469050894E-2</v>
      </c>
      <c r="P9" s="3">
        <f t="shared" si="4"/>
        <v>4.1793672627235212</v>
      </c>
      <c r="Q9" s="3">
        <f t="shared" si="5"/>
        <v>12.032874828060521</v>
      </c>
      <c r="R9" s="3">
        <f t="shared" si="6"/>
        <v>5.7792297111416779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1.724</v>
      </c>
      <c r="E10">
        <v>516.46</v>
      </c>
      <c r="F10">
        <v>1320.9</v>
      </c>
      <c r="G10">
        <v>674</v>
      </c>
      <c r="H10">
        <v>115</v>
      </c>
      <c r="I10">
        <v>24528.7</v>
      </c>
      <c r="J10" t="s">
        <v>35</v>
      </c>
      <c r="K10" s="3">
        <f t="shared" si="0"/>
        <v>299.57076566125295</v>
      </c>
      <c r="L10" s="3">
        <f t="shared" si="1"/>
        <v>1.9597922848664691</v>
      </c>
      <c r="M10" s="3">
        <f t="shared" si="2"/>
        <v>213.29304347826087</v>
      </c>
      <c r="N10" s="3">
        <v>115.583</v>
      </c>
      <c r="O10" s="3">
        <f t="shared" si="3"/>
        <v>1.491568829326112E-2</v>
      </c>
      <c r="P10" s="3">
        <f t="shared" si="4"/>
        <v>4.4683041623768203</v>
      </c>
      <c r="Q10" s="3">
        <f t="shared" si="5"/>
        <v>11.428151198705693</v>
      </c>
      <c r="R10" s="3">
        <f t="shared" si="6"/>
        <v>5.8313073721914126</v>
      </c>
    </row>
    <row r="11" spans="1:26" x14ac:dyDescent="0.3">
      <c r="A11" t="s">
        <v>26</v>
      </c>
      <c r="B11" s="2">
        <v>44842</v>
      </c>
      <c r="C11">
        <v>10</v>
      </c>
      <c r="D11" s="1">
        <v>2.6859999999999999</v>
      </c>
      <c r="E11">
        <v>685.39</v>
      </c>
      <c r="F11">
        <v>1646.39</v>
      </c>
      <c r="G11">
        <v>1050.4000000000001</v>
      </c>
      <c r="H11">
        <v>208</v>
      </c>
      <c r="I11">
        <v>45453.2</v>
      </c>
      <c r="J11" t="s">
        <v>36</v>
      </c>
      <c r="K11" s="3">
        <f t="shared" si="0"/>
        <v>255.17125837676844</v>
      </c>
      <c r="L11" s="3">
        <f t="shared" si="1"/>
        <v>1.5673933739527799</v>
      </c>
      <c r="M11" s="3">
        <f t="shared" si="2"/>
        <v>218.52499999999998</v>
      </c>
      <c r="N11" s="3">
        <v>101.733</v>
      </c>
      <c r="O11" s="3">
        <f t="shared" si="3"/>
        <v>2.6402445617449598E-2</v>
      </c>
      <c r="P11" s="3">
        <f t="shared" si="4"/>
        <v>6.7371452724288083</v>
      </c>
      <c r="Q11" s="3">
        <f t="shared" si="5"/>
        <v>16.183440968024144</v>
      </c>
      <c r="R11" s="3">
        <f t="shared" si="6"/>
        <v>10.325066595893173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0" si="7">(D11-S11)/S11</f>
        <v>#REF!</v>
      </c>
      <c r="X11" s="5" t="e">
        <f t="shared" ref="X11:X20" si="8">(E11-T11)/T11</f>
        <v>#REF!</v>
      </c>
      <c r="Y11" s="5" t="e">
        <f t="shared" ref="Y11:Y20" si="9">(F11-U11)/U11</f>
        <v>#REF!</v>
      </c>
      <c r="Z11" s="5" t="e">
        <f t="shared" ref="Z11:Z20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2.8239999999999998</v>
      </c>
      <c r="E12">
        <v>843.77</v>
      </c>
      <c r="F12">
        <v>2200.36</v>
      </c>
      <c r="G12">
        <v>1104.3</v>
      </c>
      <c r="H12">
        <v>242</v>
      </c>
      <c r="I12">
        <v>60009.13</v>
      </c>
      <c r="J12" t="s">
        <v>37</v>
      </c>
      <c r="K12" s="3">
        <f t="shared" si="0"/>
        <v>298.78541076487255</v>
      </c>
      <c r="L12" s="3">
        <f t="shared" si="1"/>
        <v>1.9925382595309247</v>
      </c>
      <c r="M12" s="3">
        <f t="shared" si="2"/>
        <v>247.97161157024792</v>
      </c>
      <c r="N12" s="3">
        <f>126.033+7+12</f>
        <v>145.03300000000002</v>
      </c>
      <c r="O12" s="3">
        <f t="shared" si="3"/>
        <v>1.9471430639923324E-2</v>
      </c>
      <c r="P12" s="3">
        <f t="shared" si="4"/>
        <v>5.8177794019292151</v>
      </c>
      <c r="Q12" s="3">
        <f t="shared" si="5"/>
        <v>15.171443740390117</v>
      </c>
      <c r="R12" s="3">
        <f t="shared" si="6"/>
        <v>7.6141291981824812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1.921</v>
      </c>
      <c r="E13">
        <v>528.64</v>
      </c>
      <c r="F13">
        <v>1223.19</v>
      </c>
      <c r="G13">
        <v>751.3</v>
      </c>
      <c r="H13">
        <v>130</v>
      </c>
      <c r="I13">
        <v>37801.699999999997</v>
      </c>
      <c r="J13" t="s">
        <v>38</v>
      </c>
      <c r="K13" s="3">
        <f t="shared" si="0"/>
        <v>275.19000520562207</v>
      </c>
      <c r="L13" s="3">
        <f t="shared" si="1"/>
        <v>1.6280979635298818</v>
      </c>
      <c r="M13" s="3">
        <f t="shared" si="2"/>
        <v>290.78230769230765</v>
      </c>
      <c r="N13" s="3">
        <v>83.183000000000007</v>
      </c>
      <c r="O13" s="3">
        <f t="shared" si="3"/>
        <v>2.3093660964379741E-2</v>
      </c>
      <c r="P13" s="3">
        <f t="shared" si="4"/>
        <v>6.3551446810045311</v>
      </c>
      <c r="Q13" s="3">
        <f t="shared" si="5"/>
        <v>14.704807472680715</v>
      </c>
      <c r="R13" s="3">
        <f t="shared" si="6"/>
        <v>9.031893535938833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2.0499999999999998</v>
      </c>
      <c r="E14">
        <v>569.14</v>
      </c>
      <c r="F14">
        <v>1396.78</v>
      </c>
      <c r="G14">
        <v>801.5</v>
      </c>
      <c r="H14">
        <v>104</v>
      </c>
      <c r="I14">
        <v>31023.7</v>
      </c>
      <c r="J14" t="s">
        <v>39</v>
      </c>
      <c r="K14" s="3">
        <f t="shared" si="0"/>
        <v>277.62926829268292</v>
      </c>
      <c r="L14" s="3">
        <f t="shared" si="1"/>
        <v>1.742707423580786</v>
      </c>
      <c r="M14" s="3">
        <f t="shared" si="2"/>
        <v>298.30480769230769</v>
      </c>
      <c r="N14" s="3">
        <f>112.017</f>
        <v>112.017</v>
      </c>
      <c r="O14" s="3">
        <f t="shared" si="3"/>
        <v>1.8300793629538372E-2</v>
      </c>
      <c r="P14" s="3">
        <f t="shared" si="4"/>
        <v>5.0808359445441313</v>
      </c>
      <c r="Q14" s="3">
        <f t="shared" si="5"/>
        <v>12.469357329691029</v>
      </c>
      <c r="R14" s="3">
        <f t="shared" si="6"/>
        <v>7.1551639483292719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1.98</v>
      </c>
      <c r="E15">
        <v>581.05999999999995</v>
      </c>
      <c r="F15">
        <v>1357.54</v>
      </c>
      <c r="G15">
        <v>774.4</v>
      </c>
      <c r="H15">
        <v>98</v>
      </c>
      <c r="I15">
        <v>22635.15</v>
      </c>
      <c r="J15" t="s">
        <v>40</v>
      </c>
      <c r="K15" s="3">
        <f t="shared" si="0"/>
        <v>293.46464646464642</v>
      </c>
      <c r="L15" s="3">
        <f t="shared" si="1"/>
        <v>1.753021694214876</v>
      </c>
      <c r="M15" s="3">
        <f t="shared" si="2"/>
        <v>230.97091836734694</v>
      </c>
      <c r="N15" s="3">
        <v>119.95</v>
      </c>
      <c r="O15" s="3">
        <f t="shared" si="3"/>
        <v>1.6506877865777408E-2</v>
      </c>
      <c r="P15" s="3">
        <f t="shared" si="4"/>
        <v>4.8441850771154646</v>
      </c>
      <c r="Q15" s="3">
        <f t="shared" si="5"/>
        <v>11.317548978741142</v>
      </c>
      <c r="R15" s="3">
        <f t="shared" si="6"/>
        <v>6.4560233430596075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3.4142181818181818</v>
      </c>
      <c r="E16" s="3">
        <v>944.35121818181824</v>
      </c>
      <c r="F16" s="3">
        <v>2400.4112181818182</v>
      </c>
      <c r="G16" s="3">
        <v>1091.0812181818183</v>
      </c>
      <c r="H16" s="3">
        <v>225</v>
      </c>
      <c r="I16" s="3">
        <v>57869.39</v>
      </c>
      <c r="J16" s="6">
        <v>4.8773148148148149E-2</v>
      </c>
      <c r="K16" s="3">
        <f t="shared" si="0"/>
        <v>276.59369375126477</v>
      </c>
      <c r="L16" s="3">
        <f t="shared" si="1"/>
        <v>2.200029821961258</v>
      </c>
      <c r="M16" s="3">
        <f t="shared" si="2"/>
        <v>257.19728888888886</v>
      </c>
      <c r="N16" s="3">
        <v>145</v>
      </c>
      <c r="O16" s="3">
        <f t="shared" si="3"/>
        <v>2.3546332288401254E-2</v>
      </c>
      <c r="P16" s="3">
        <f t="shared" si="4"/>
        <v>6.5127670219435743</v>
      </c>
      <c r="Q16" s="3">
        <f t="shared" si="5"/>
        <v>16.554560125391848</v>
      </c>
      <c r="R16" s="3">
        <f t="shared" si="6"/>
        <v>7.5246980564263328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1.734</v>
      </c>
      <c r="E17">
        <v>453.69</v>
      </c>
      <c r="F17">
        <v>1440.73</v>
      </c>
      <c r="G17">
        <v>678.1</v>
      </c>
      <c r="H17">
        <v>78</v>
      </c>
      <c r="I17">
        <v>25333.4</v>
      </c>
      <c r="J17" t="s">
        <v>41</v>
      </c>
      <c r="K17" s="3">
        <f t="shared" si="0"/>
        <v>261.64359861591697</v>
      </c>
      <c r="L17" s="3">
        <f t="shared" si="1"/>
        <v>2.1246571302167823</v>
      </c>
      <c r="M17" s="3">
        <f t="shared" si="2"/>
        <v>324.78717948717951</v>
      </c>
      <c r="N17" s="3">
        <v>149.56700000000001</v>
      </c>
      <c r="O17" s="3">
        <f t="shared" si="3"/>
        <v>1.159346647321936E-2</v>
      </c>
      <c r="P17" s="3">
        <f t="shared" si="4"/>
        <v>3.0333562884860963</v>
      </c>
      <c r="Q17" s="3">
        <f t="shared" si="5"/>
        <v>9.6326729826766595</v>
      </c>
      <c r="R17" s="3">
        <f t="shared" si="6"/>
        <v>4.5337541035121385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44858</v>
      </c>
      <c r="C18">
        <v>19</v>
      </c>
      <c r="D18">
        <v>2.6629999999999998</v>
      </c>
      <c r="E18">
        <v>691.46</v>
      </c>
      <c r="F18">
        <v>1901.76</v>
      </c>
      <c r="G18">
        <v>848.3</v>
      </c>
      <c r="H18">
        <v>161</v>
      </c>
      <c r="I18">
        <v>34118.58</v>
      </c>
      <c r="J18" t="s">
        <v>42</v>
      </c>
      <c r="K18" s="3">
        <f t="shared" si="0"/>
        <v>259.65452497183628</v>
      </c>
      <c r="L18" s="3">
        <f t="shared" si="1"/>
        <v>2.2418484026877286</v>
      </c>
      <c r="M18" s="3">
        <f t="shared" si="2"/>
        <v>211.91664596273293</v>
      </c>
      <c r="N18" s="3">
        <v>138.5</v>
      </c>
      <c r="O18" s="3">
        <f t="shared" si="3"/>
        <v>1.9227436823104693E-2</v>
      </c>
      <c r="P18" s="3">
        <f t="shared" si="4"/>
        <v>4.9924909747292423</v>
      </c>
      <c r="Q18" s="3">
        <f t="shared" si="5"/>
        <v>13.731119133574007</v>
      </c>
      <c r="R18" s="3">
        <f t="shared" si="6"/>
        <v>6.1249097472924188</v>
      </c>
      <c r="S18" s="1" t="e">
        <f>(SUMIF(#REF!,#REF!,D$147:D$202)/COUNTIF(#REF!,#REF!))</f>
        <v>#REF!</v>
      </c>
      <c r="T18" s="1" t="e">
        <f>(SUMIF(#REF!,#REF!,E$147:E$202)/COUNTIF(#REF!,#REF!))</f>
        <v>#REF!</v>
      </c>
      <c r="U18" s="1" t="e">
        <f>(SUMIF(#REF!,#REF!,F$147:F$202)/COUNTIF(#REF!,#REF!))</f>
        <v>#REF!</v>
      </c>
      <c r="V18" s="1" t="e">
        <f>(SUMIF(#REF!,#REF!,G$147:G$202)/COUNTIF(#REF!,#REF!))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44859</v>
      </c>
      <c r="C19">
        <v>20</v>
      </c>
      <c r="D19">
        <v>1.4470000000000001</v>
      </c>
      <c r="E19">
        <v>420.99</v>
      </c>
      <c r="F19">
        <v>1009.2</v>
      </c>
      <c r="G19">
        <v>460.8</v>
      </c>
      <c r="H19">
        <v>54</v>
      </c>
      <c r="I19">
        <v>9294.27</v>
      </c>
      <c r="J19" t="s">
        <v>43</v>
      </c>
      <c r="K19" s="3">
        <f t="shared" si="0"/>
        <v>290.93987560469935</v>
      </c>
      <c r="L19" s="3">
        <f t="shared" si="1"/>
        <v>2.1901041666666665</v>
      </c>
      <c r="M19" s="3">
        <f t="shared" si="2"/>
        <v>172.11611111111111</v>
      </c>
      <c r="N19" s="3">
        <v>88.1</v>
      </c>
      <c r="O19" s="3">
        <f t="shared" si="3"/>
        <v>1.6424517593643589E-2</v>
      </c>
      <c r="P19" s="3">
        <f t="shared" si="4"/>
        <v>4.778547105561862</v>
      </c>
      <c r="Q19" s="3">
        <f t="shared" si="5"/>
        <v>11.455164585698071</v>
      </c>
      <c r="R19" s="3">
        <f t="shared" si="6"/>
        <v>5.2304199772985251</v>
      </c>
      <c r="S19" s="1" t="e">
        <f>(SUMIF(#REF!,#REF!,D$158:D$212)/COUNTIF(#REF!,#REF!))</f>
        <v>#REF!</v>
      </c>
      <c r="T19" s="1" t="e">
        <f>(SUMIF(#REF!,#REF!,E$158:E$212)/COUNTIF(#REF!,#REF!))</f>
        <v>#REF!</v>
      </c>
      <c r="U19" s="1" t="e">
        <f>(SUMIF(#REF!,#REF!,F$158:F$212)/COUNTIF(#REF!,#REF!))</f>
        <v>#REF!</v>
      </c>
      <c r="V19" s="1" t="e">
        <f>(SUMIF(#REF!,#REF!,G$158:G$212)/COUNTIF(#REF!,#REF!))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1.3759999999999999</v>
      </c>
      <c r="E20">
        <v>372.69</v>
      </c>
      <c r="F20">
        <v>908.49</v>
      </c>
      <c r="G20">
        <v>438.2</v>
      </c>
      <c r="H20">
        <v>69</v>
      </c>
      <c r="I20">
        <v>12433.44</v>
      </c>
      <c r="J20" t="s">
        <v>44</v>
      </c>
      <c r="K20" s="3">
        <f t="shared" si="0"/>
        <v>270.85029069767444</v>
      </c>
      <c r="L20" s="3">
        <f t="shared" si="1"/>
        <v>2.073231401186673</v>
      </c>
      <c r="M20" s="3">
        <f t="shared" si="2"/>
        <v>180.19478260869565</v>
      </c>
      <c r="N20" s="3">
        <v>107</v>
      </c>
      <c r="O20" s="3">
        <f t="shared" si="3"/>
        <v>1.2859813084112149E-2</v>
      </c>
      <c r="P20" s="3">
        <f t="shared" si="4"/>
        <v>3.4830841121495326</v>
      </c>
      <c r="Q20" s="3">
        <f t="shared" si="5"/>
        <v>8.490560747663551</v>
      </c>
      <c r="R20" s="3">
        <f t="shared" si="6"/>
        <v>4.0953271028037381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C8F9-6665-4AD5-962E-0FB0E78D40EC}">
  <dimension ref="A1:Z20"/>
  <sheetViews>
    <sheetView workbookViewId="0">
      <selection sqref="A1:XFD1"/>
    </sheetView>
  </sheetViews>
  <sheetFormatPr defaultColWidth="15.77734375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3.1080000000000001</v>
      </c>
      <c r="E2">
        <v>889.65</v>
      </c>
      <c r="F2">
        <v>1931.96</v>
      </c>
      <c r="G2">
        <v>1135.9000000000001</v>
      </c>
      <c r="H2">
        <v>184</v>
      </c>
      <c r="I2">
        <v>36045.15</v>
      </c>
      <c r="J2" t="s">
        <v>45</v>
      </c>
      <c r="K2" s="3">
        <f t="shared" ref="K2:K20" si="0">E2/D2</f>
        <v>286.2451737451737</v>
      </c>
      <c r="L2" s="3">
        <f t="shared" ref="L2:L20" si="1">F2/G2</f>
        <v>1.7008187340434897</v>
      </c>
      <c r="M2" s="3">
        <f t="shared" ref="M2:M20" si="2">I2/H2</f>
        <v>195.89755434782609</v>
      </c>
      <c r="N2" s="3">
        <v>106.88333333333333</v>
      </c>
      <c r="O2" s="3">
        <f t="shared" ref="O2:O20" si="3">D2/$N2</f>
        <v>2.9078434430063936E-2</v>
      </c>
      <c r="P2" s="3">
        <f t="shared" ref="P2:P20" si="4">E2/$N2</f>
        <v>8.3235615156712939</v>
      </c>
      <c r="Q2" s="3">
        <f t="shared" ref="Q2:Q20" si="5">F2/$N2</f>
        <v>18.075409324808984</v>
      </c>
      <c r="R2" s="3">
        <f t="shared" ref="R2:R20" si="6">G2/$N2</f>
        <v>10.627475440511462</v>
      </c>
    </row>
    <row r="3" spans="1:26" x14ac:dyDescent="0.3">
      <c r="A3" t="s">
        <v>26</v>
      </c>
      <c r="B3" s="2">
        <v>44831</v>
      </c>
      <c r="C3">
        <v>2</v>
      </c>
      <c r="D3" s="1">
        <v>2.9140000000000001</v>
      </c>
      <c r="E3">
        <v>813.21</v>
      </c>
      <c r="F3">
        <v>1789.43</v>
      </c>
      <c r="G3">
        <v>1065</v>
      </c>
      <c r="H3">
        <v>142</v>
      </c>
      <c r="I3">
        <v>31535.22</v>
      </c>
      <c r="J3" t="s">
        <v>46</v>
      </c>
      <c r="K3" s="3">
        <f t="shared" si="0"/>
        <v>279.07000686341797</v>
      </c>
      <c r="L3" s="3">
        <f t="shared" si="1"/>
        <v>1.6802159624413147</v>
      </c>
      <c r="M3" s="3">
        <f t="shared" si="2"/>
        <v>222.07901408450704</v>
      </c>
      <c r="N3" s="3">
        <v>108.81666666666599</v>
      </c>
      <c r="O3" s="3">
        <f t="shared" si="3"/>
        <v>2.6778986062184269E-2</v>
      </c>
      <c r="P3" s="3">
        <f t="shared" si="4"/>
        <v>7.4732118241691383</v>
      </c>
      <c r="Q3" s="3">
        <f t="shared" si="5"/>
        <v>16.444447848062591</v>
      </c>
      <c r="R3" s="3">
        <f t="shared" si="6"/>
        <v>9.7871036912238321</v>
      </c>
    </row>
    <row r="4" spans="1:26" x14ac:dyDescent="0.3">
      <c r="A4" t="s">
        <v>26</v>
      </c>
      <c r="B4" s="2">
        <v>44833</v>
      </c>
      <c r="C4">
        <v>3</v>
      </c>
      <c r="D4" s="1">
        <v>3.6930000000000001</v>
      </c>
      <c r="E4">
        <v>1117.33</v>
      </c>
      <c r="F4">
        <v>2671.63</v>
      </c>
      <c r="G4">
        <v>1349.8</v>
      </c>
      <c r="H4">
        <v>424</v>
      </c>
      <c r="I4">
        <v>84020.87</v>
      </c>
      <c r="J4" t="s">
        <v>47</v>
      </c>
      <c r="K4" s="3">
        <f t="shared" si="0"/>
        <v>302.55347955591657</v>
      </c>
      <c r="L4" s="3">
        <f t="shared" si="1"/>
        <v>1.9792784116165358</v>
      </c>
      <c r="M4" s="3">
        <f t="shared" si="2"/>
        <v>198.16242924528302</v>
      </c>
      <c r="N4" s="3">
        <v>175.56666666666601</v>
      </c>
      <c r="O4" s="3">
        <f t="shared" si="3"/>
        <v>2.1034744636415494E-2</v>
      </c>
      <c r="P4" s="3">
        <f t="shared" si="4"/>
        <v>6.3641351813176614</v>
      </c>
      <c r="Q4" s="3">
        <f t="shared" si="5"/>
        <v>15.217182456806588</v>
      </c>
      <c r="R4" s="3">
        <f t="shared" si="6"/>
        <v>7.6882475792671636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1.5940000000000001</v>
      </c>
      <c r="E5">
        <v>430</v>
      </c>
      <c r="F5">
        <v>977.52</v>
      </c>
      <c r="G5">
        <v>582.70000000000005</v>
      </c>
      <c r="H5">
        <v>97</v>
      </c>
      <c r="I5">
        <v>20852.16</v>
      </c>
      <c r="J5" t="s">
        <v>48</v>
      </c>
      <c r="K5" s="3">
        <f t="shared" si="0"/>
        <v>269.76160602258466</v>
      </c>
      <c r="L5" s="3">
        <f t="shared" si="1"/>
        <v>1.6775699330701903</v>
      </c>
      <c r="M5" s="3">
        <f t="shared" si="2"/>
        <v>214.97072164948455</v>
      </c>
      <c r="N5" s="3">
        <v>128.166666666666</v>
      </c>
      <c r="O5" s="3">
        <f t="shared" si="3"/>
        <v>1.2436931079323862E-2</v>
      </c>
      <c r="P5" s="3">
        <f t="shared" si="4"/>
        <v>3.3550065019506023</v>
      </c>
      <c r="Q5" s="3">
        <f t="shared" si="5"/>
        <v>7.6269440832250064</v>
      </c>
      <c r="R5" s="3">
        <f t="shared" si="6"/>
        <v>4.5464239271781777</v>
      </c>
    </row>
    <row r="6" spans="1:26" x14ac:dyDescent="0.3">
      <c r="A6" t="s">
        <v>26</v>
      </c>
      <c r="B6" s="2">
        <v>44837</v>
      </c>
      <c r="C6">
        <v>6</v>
      </c>
      <c r="D6" s="1">
        <v>3.1360000000000001</v>
      </c>
      <c r="E6">
        <v>886.95</v>
      </c>
      <c r="F6">
        <v>1936.57</v>
      </c>
      <c r="G6">
        <v>1146</v>
      </c>
      <c r="H6">
        <v>242</v>
      </c>
      <c r="I6">
        <v>47390.98</v>
      </c>
      <c r="J6" t="s">
        <v>49</v>
      </c>
      <c r="K6" s="3">
        <f t="shared" si="0"/>
        <v>282.82844387755102</v>
      </c>
      <c r="L6" s="3">
        <f t="shared" si="1"/>
        <v>1.6898516579406631</v>
      </c>
      <c r="M6" s="3">
        <f t="shared" si="2"/>
        <v>195.8304958677686</v>
      </c>
      <c r="N6" s="3">
        <v>137.11666666666599</v>
      </c>
      <c r="O6" s="3">
        <f t="shared" si="3"/>
        <v>2.2871034398930463E-2</v>
      </c>
      <c r="P6" s="3">
        <f t="shared" si="4"/>
        <v>6.4685790689194436</v>
      </c>
      <c r="Q6" s="3">
        <f t="shared" si="5"/>
        <v>14.12352011668902</v>
      </c>
      <c r="R6" s="3">
        <f t="shared" si="6"/>
        <v>8.3578461164458897</v>
      </c>
    </row>
    <row r="7" spans="1:26" x14ac:dyDescent="0.3">
      <c r="A7" t="s">
        <v>26</v>
      </c>
      <c r="B7" s="2">
        <v>44838</v>
      </c>
      <c r="C7">
        <v>7</v>
      </c>
      <c r="D7" s="1">
        <v>2.7170000000000001</v>
      </c>
      <c r="E7">
        <v>845.83</v>
      </c>
      <c r="F7">
        <v>1786.13</v>
      </c>
      <c r="G7">
        <v>992.9</v>
      </c>
      <c r="H7">
        <v>130</v>
      </c>
      <c r="I7">
        <v>26345.41</v>
      </c>
      <c r="J7" t="s">
        <v>50</v>
      </c>
      <c r="K7" s="3">
        <f t="shared" si="0"/>
        <v>311.31026867868974</v>
      </c>
      <c r="L7" s="3">
        <f t="shared" si="1"/>
        <v>1.7989022056601875</v>
      </c>
      <c r="M7" s="3">
        <f t="shared" si="2"/>
        <v>202.65700000000001</v>
      </c>
      <c r="N7" s="3">
        <v>111.23</v>
      </c>
      <c r="O7" s="3">
        <f t="shared" si="3"/>
        <v>2.4426863256315743E-2</v>
      </c>
      <c r="P7" s="3">
        <f t="shared" si="4"/>
        <v>7.6043333633012677</v>
      </c>
      <c r="Q7" s="3">
        <f t="shared" si="5"/>
        <v>16.057987952890407</v>
      </c>
      <c r="R7" s="3">
        <f t="shared" si="6"/>
        <v>8.9265485930054833</v>
      </c>
    </row>
    <row r="8" spans="1:26" x14ac:dyDescent="0.3">
      <c r="A8" t="s">
        <v>26</v>
      </c>
      <c r="B8" s="2">
        <v>44840</v>
      </c>
      <c r="C8">
        <v>8</v>
      </c>
      <c r="D8" s="1">
        <v>3.49</v>
      </c>
      <c r="E8">
        <v>1003.95</v>
      </c>
      <c r="F8">
        <v>2514.6</v>
      </c>
      <c r="G8">
        <v>1275.5999999999999</v>
      </c>
      <c r="H8">
        <v>358</v>
      </c>
      <c r="I8">
        <v>68430.78</v>
      </c>
      <c r="J8" t="s">
        <v>51</v>
      </c>
      <c r="K8" s="3">
        <f t="shared" si="0"/>
        <v>287.66475644699142</v>
      </c>
      <c r="L8" s="3">
        <f t="shared" si="1"/>
        <v>1.971307619943556</v>
      </c>
      <c r="M8" s="3">
        <f t="shared" si="2"/>
        <v>191.14743016759778</v>
      </c>
      <c r="N8" s="3">
        <f>145.4+15.5</f>
        <v>160.9</v>
      </c>
      <c r="O8" s="3">
        <f t="shared" si="3"/>
        <v>2.1690490988191424E-2</v>
      </c>
      <c r="P8" s="3">
        <f t="shared" si="4"/>
        <v>6.2395898073337479</v>
      </c>
      <c r="Q8" s="3">
        <f t="shared" si="5"/>
        <v>15.628340584213797</v>
      </c>
      <c r="R8" s="3">
        <f t="shared" si="6"/>
        <v>7.927905531385953</v>
      </c>
      <c r="S8" s="3" t="e">
        <f>AVERAGE(#REF!,#REF!,#REF!,#REF!)</f>
        <v>#REF!</v>
      </c>
      <c r="T8" s="3" t="e">
        <f>AVERAGE(#REF!,#REF!,#REF!,#REF!)</f>
        <v>#REF!</v>
      </c>
      <c r="U8" s="3" t="e">
        <f>AVERAGE(#REF!,#REF!,#REF!,#REF!)</f>
        <v>#REF!</v>
      </c>
      <c r="V8" s="3" t="e">
        <f>AVERAGE(#REF!,#REF!,#REF!,#REF!)</f>
        <v>#REF!</v>
      </c>
    </row>
    <row r="9" spans="1:26" x14ac:dyDescent="0.3">
      <c r="A9" t="s">
        <v>26</v>
      </c>
      <c r="B9" s="2">
        <v>44841</v>
      </c>
      <c r="C9">
        <v>9</v>
      </c>
      <c r="D9" s="1">
        <v>3.2970000000000002</v>
      </c>
      <c r="E9">
        <v>900.65</v>
      </c>
      <c r="F9">
        <v>2323.8000000000002</v>
      </c>
      <c r="G9">
        <v>1204.9000000000001</v>
      </c>
      <c r="H9">
        <v>270</v>
      </c>
      <c r="I9">
        <v>56743.51</v>
      </c>
      <c r="J9" t="s">
        <v>52</v>
      </c>
      <c r="K9" s="3">
        <f t="shared" si="0"/>
        <v>273.17258113436458</v>
      </c>
      <c r="L9" s="3">
        <f t="shared" si="1"/>
        <v>1.9286247821395968</v>
      </c>
      <c r="M9" s="3">
        <f t="shared" si="2"/>
        <v>210.16114814814816</v>
      </c>
      <c r="N9" s="3">
        <f>115.583+19</f>
        <v>134.583</v>
      </c>
      <c r="O9" s="3">
        <f t="shared" si="3"/>
        <v>2.4497893493234661E-2</v>
      </c>
      <c r="P9" s="3">
        <f t="shared" si="4"/>
        <v>6.6921527979016666</v>
      </c>
      <c r="Q9" s="3">
        <f t="shared" si="5"/>
        <v>17.266668152738461</v>
      </c>
      <c r="R9" s="3">
        <f t="shared" si="6"/>
        <v>8.9528395116768102</v>
      </c>
    </row>
    <row r="10" spans="1:26" x14ac:dyDescent="0.3">
      <c r="A10" t="s">
        <v>26</v>
      </c>
      <c r="B10" s="2">
        <v>44842</v>
      </c>
      <c r="C10">
        <v>10</v>
      </c>
      <c r="D10" s="1">
        <v>2.819</v>
      </c>
      <c r="E10">
        <v>762.27</v>
      </c>
      <c r="F10">
        <v>1545.8</v>
      </c>
      <c r="G10">
        <v>1030.4000000000001</v>
      </c>
      <c r="H10">
        <v>182</v>
      </c>
      <c r="I10">
        <v>39271.199999999997</v>
      </c>
      <c r="J10" t="s">
        <v>53</v>
      </c>
      <c r="K10" s="3">
        <f t="shared" si="0"/>
        <v>270.40439872295138</v>
      </c>
      <c r="L10" s="3">
        <f t="shared" si="1"/>
        <v>1.5001940993788818</v>
      </c>
      <c r="M10" s="3">
        <f t="shared" si="2"/>
        <v>215.77582417582417</v>
      </c>
      <c r="N10" s="3">
        <v>101.733</v>
      </c>
      <c r="O10" s="3">
        <f t="shared" si="3"/>
        <v>2.7709789350554882E-2</v>
      </c>
      <c r="P10" s="3">
        <f t="shared" si="4"/>
        <v>7.4928489280764348</v>
      </c>
      <c r="Q10" s="3">
        <f t="shared" si="5"/>
        <v>15.194676260407142</v>
      </c>
      <c r="R10" s="3">
        <f t="shared" si="6"/>
        <v>10.128473553320948</v>
      </c>
      <c r="S10" s="1" t="e">
        <f>(SUMIF(#REF!,#REF!,D$47:D$102)/COUNTIF(#REF!,#REF!))</f>
        <v>#REF!</v>
      </c>
      <c r="T10" s="4" t="e">
        <f>(SUMIF(#REF!,#REF!,E$47:E$102)/COUNTIF(#REF!,#REF!))</f>
        <v>#REF!</v>
      </c>
      <c r="U10" s="4" t="e">
        <f>(SUMIF(#REF!,#REF!,F$47:F$102)/COUNTIF(#REF!,#REF!))</f>
        <v>#REF!</v>
      </c>
      <c r="V10" s="4" t="e">
        <f>(SUMIF(#REF!,#REF!,G$47:G$102)/COUNTIF(#REF!,#REF!))</f>
        <v>#REF!</v>
      </c>
      <c r="W10" s="5" t="e">
        <f t="shared" ref="W10:W20" si="7">(D10-S10)/S10</f>
        <v>#REF!</v>
      </c>
      <c r="X10" s="5" t="e">
        <f t="shared" ref="X10:X20" si="8">(E10-T10)/T10</f>
        <v>#REF!</v>
      </c>
      <c r="Y10" s="5" t="e">
        <f t="shared" ref="Y10:Y20" si="9">(F10-U10)/U10</f>
        <v>#REF!</v>
      </c>
      <c r="Z10" s="5" t="e">
        <f t="shared" ref="Z10:Z20" si="10">(G10-V10)/V10</f>
        <v>#REF!</v>
      </c>
    </row>
    <row r="11" spans="1:26" x14ac:dyDescent="0.3">
      <c r="A11" t="s">
        <v>26</v>
      </c>
      <c r="B11" s="2">
        <v>44844</v>
      </c>
      <c r="C11">
        <v>11</v>
      </c>
      <c r="D11" s="1">
        <v>3.7610000000000001</v>
      </c>
      <c r="E11">
        <v>1059.3</v>
      </c>
      <c r="F11">
        <v>2299.33</v>
      </c>
      <c r="G11">
        <v>1374.5</v>
      </c>
      <c r="H11">
        <v>222</v>
      </c>
      <c r="I11">
        <v>46547.22</v>
      </c>
      <c r="J11" t="s">
        <v>54</v>
      </c>
      <c r="K11" s="3">
        <f t="shared" si="0"/>
        <v>281.65381547460777</v>
      </c>
      <c r="L11" s="3">
        <f t="shared" si="1"/>
        <v>1.6728483084758092</v>
      </c>
      <c r="M11" s="3">
        <f t="shared" si="2"/>
        <v>209.67216216216218</v>
      </c>
      <c r="N11" s="3">
        <f>126.033+7+12</f>
        <v>145.03300000000002</v>
      </c>
      <c r="O11" s="3">
        <f t="shared" si="3"/>
        <v>2.5932029262305818E-2</v>
      </c>
      <c r="P11" s="3">
        <f t="shared" si="4"/>
        <v>7.3038549847276126</v>
      </c>
      <c r="Q11" s="3">
        <f t="shared" si="5"/>
        <v>15.85384016051519</v>
      </c>
      <c r="R11" s="3">
        <f t="shared" si="6"/>
        <v>9.477153475415939</v>
      </c>
      <c r="S11" s="1" t="e">
        <f>(SUMIF(#REF!,#REF!,D$58:D$112)/COUNTIF(#REF!,#REF!))</f>
        <v>#REF!</v>
      </c>
      <c r="T11" s="4" t="e">
        <f>(SUMIF(#REF!,#REF!,E$58:E$112)/COUNTIF(#REF!,#REF!))</f>
        <v>#REF!</v>
      </c>
      <c r="U11" s="4" t="e">
        <f>(SUMIF(#REF!,#REF!,F$58:F$112)/COUNTIF(#REF!,#REF!))</f>
        <v>#REF!</v>
      </c>
      <c r="V11" s="4" t="e">
        <f>(SUMIF(#REF!,#REF!,G$58:G$112)/COUNTIF(#REF!,#REF!))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6" x14ac:dyDescent="0.3">
      <c r="A12" t="s">
        <v>26</v>
      </c>
      <c r="B12" s="2">
        <v>44845</v>
      </c>
      <c r="C12">
        <v>12</v>
      </c>
      <c r="D12">
        <v>1.7250000000000001</v>
      </c>
      <c r="E12">
        <v>551.19000000000005</v>
      </c>
      <c r="F12">
        <v>1072.3</v>
      </c>
      <c r="G12">
        <v>630.5</v>
      </c>
      <c r="H12">
        <v>176</v>
      </c>
      <c r="I12">
        <v>33727.81</v>
      </c>
      <c r="J12" t="s">
        <v>55</v>
      </c>
      <c r="K12" s="3">
        <f t="shared" si="0"/>
        <v>319.53043478260872</v>
      </c>
      <c r="L12" s="3">
        <f t="shared" si="1"/>
        <v>1.7007137192704203</v>
      </c>
      <c r="M12" s="3">
        <f t="shared" si="2"/>
        <v>191.63528409090907</v>
      </c>
      <c r="N12" s="3">
        <v>83.183000000000007</v>
      </c>
      <c r="O12" s="3">
        <f t="shared" si="3"/>
        <v>2.0737410288159841E-2</v>
      </c>
      <c r="P12" s="3">
        <f t="shared" si="4"/>
        <v>6.6262337256410566</v>
      </c>
      <c r="Q12" s="3">
        <f t="shared" si="5"/>
        <v>12.890855102605098</v>
      </c>
      <c r="R12" s="3">
        <f t="shared" si="6"/>
        <v>7.5796737314114653</v>
      </c>
      <c r="S12" s="1" t="e">
        <f>(SUMIF(#REF!,#REF!,D$70:D$124)/COUNTIF(#REF!,#REF!))</f>
        <v>#REF!</v>
      </c>
      <c r="T12" s="4" t="e">
        <f>(SUMIF(#REF!,#REF!,E$70:E$124)/COUNTIF(#REF!,#REF!))</f>
        <v>#REF!</v>
      </c>
      <c r="U12" s="4" t="e">
        <f>(SUMIF(#REF!,#REF!,F$70:F$124)/COUNTIF(#REF!,#REF!))</f>
        <v>#REF!</v>
      </c>
      <c r="V12" s="4" t="e">
        <f>(SUMIF(#REF!,#REF!,G$70:G$124)/COUNTIF(#REF!,#REF!))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44847</v>
      </c>
      <c r="C13">
        <v>13</v>
      </c>
      <c r="D13">
        <v>2.7559999999999998</v>
      </c>
      <c r="E13">
        <v>798.6</v>
      </c>
      <c r="F13">
        <v>1716.56</v>
      </c>
      <c r="G13">
        <v>1007.2</v>
      </c>
      <c r="H13">
        <v>252</v>
      </c>
      <c r="I13">
        <v>49309.96</v>
      </c>
      <c r="J13" t="s">
        <v>56</v>
      </c>
      <c r="K13" s="3">
        <f t="shared" si="0"/>
        <v>289.76777939042091</v>
      </c>
      <c r="L13" s="3">
        <f t="shared" si="1"/>
        <v>1.704289118347895</v>
      </c>
      <c r="M13" s="3">
        <f t="shared" si="2"/>
        <v>195.67444444444445</v>
      </c>
      <c r="N13" s="3">
        <f>112.017+12</f>
        <v>124.017</v>
      </c>
      <c r="O13" s="3">
        <f t="shared" si="3"/>
        <v>2.2222759782932984E-2</v>
      </c>
      <c r="P13" s="3">
        <f t="shared" si="4"/>
        <v>6.4394397542272435</v>
      </c>
      <c r="Q13" s="3">
        <f t="shared" si="5"/>
        <v>13.841328205004153</v>
      </c>
      <c r="R13" s="3">
        <f t="shared" si="6"/>
        <v>8.1214672182039571</v>
      </c>
      <c r="S13" s="1" t="e">
        <f>(SUMIF(#REF!,#REF!,D$81:D$134)/COUNTIF(#REF!,#REF!))</f>
        <v>#REF!</v>
      </c>
      <c r="T13" s="1" t="e">
        <f>(SUMIF(#REF!,#REF!,E$81:E$134)/COUNTIF(#REF!,#REF!))</f>
        <v>#REF!</v>
      </c>
      <c r="U13" s="1" t="e">
        <f>(SUMIF(#REF!,#REF!,F$81:F$134)/COUNTIF(#REF!,#REF!))</f>
        <v>#REF!</v>
      </c>
      <c r="V13" s="1" t="e">
        <f>(SUMIF(#REF!,#REF!,G$81:G$134)/COUNTIF(#REF!,#REF!))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44849</v>
      </c>
      <c r="C14">
        <v>15</v>
      </c>
      <c r="D14">
        <v>3.03</v>
      </c>
      <c r="E14">
        <v>879.68</v>
      </c>
      <c r="F14">
        <v>1986.41</v>
      </c>
      <c r="G14">
        <v>1107.3</v>
      </c>
      <c r="H14">
        <v>118</v>
      </c>
      <c r="I14">
        <v>23024.71</v>
      </c>
      <c r="J14" t="s">
        <v>57</v>
      </c>
      <c r="K14" s="3">
        <f t="shared" si="0"/>
        <v>290.32343234323434</v>
      </c>
      <c r="L14" s="3">
        <f t="shared" si="1"/>
        <v>1.7939221529847378</v>
      </c>
      <c r="M14" s="3">
        <f t="shared" si="2"/>
        <v>195.12466101694915</v>
      </c>
      <c r="N14" s="3">
        <v>119.95</v>
      </c>
      <c r="O14" s="3">
        <f t="shared" si="3"/>
        <v>2.526052521884118E-2</v>
      </c>
      <c r="P14" s="3">
        <f t="shared" si="4"/>
        <v>7.3337223843268022</v>
      </c>
      <c r="Q14" s="3">
        <f t="shared" si="5"/>
        <v>16.560316798666111</v>
      </c>
      <c r="R14" s="3">
        <f t="shared" si="6"/>
        <v>9.2313463943309699</v>
      </c>
      <c r="S14" s="1" t="e">
        <f>(SUMIF(#REF!,#REF!,D$93:D$146)/COUNTIF(#REF!,#REF!))</f>
        <v>#REF!</v>
      </c>
      <c r="T14" s="1" t="e">
        <f>(SUMIF(#REF!,#REF!,E$93:E$146)/COUNTIF(#REF!,#REF!))</f>
        <v>#REF!</v>
      </c>
      <c r="U14" s="1" t="e">
        <f>(SUMIF(#REF!,#REF!,F$93:F$146)/COUNTIF(#REF!,#REF!))</f>
        <v>#REF!</v>
      </c>
      <c r="V14" s="1" t="e">
        <f>(SUMIF(#REF!,#REF!,G$93:G$146)/COUNTIF(#REF!,#REF!))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44852</v>
      </c>
      <c r="C15">
        <v>16</v>
      </c>
      <c r="D15" s="3">
        <v>4.4502181818181823</v>
      </c>
      <c r="E15" s="3">
        <v>1153.2112181818179</v>
      </c>
      <c r="F15" s="3">
        <v>2753.5212181818179</v>
      </c>
      <c r="G15" s="3">
        <v>1523.881218181818</v>
      </c>
      <c r="H15" s="3">
        <v>293</v>
      </c>
      <c r="I15" s="3">
        <v>55276.770000000004</v>
      </c>
      <c r="J15" s="6">
        <v>8.1782407407407415E-2</v>
      </c>
      <c r="K15" s="3">
        <f t="shared" si="0"/>
        <v>259.13588302105711</v>
      </c>
      <c r="L15" s="3">
        <f t="shared" si="1"/>
        <v>1.8069132851884053</v>
      </c>
      <c r="M15" s="3">
        <f t="shared" si="2"/>
        <v>188.6579180887372</v>
      </c>
      <c r="N15" s="3">
        <v>145</v>
      </c>
      <c r="O15" s="3">
        <f t="shared" si="3"/>
        <v>3.0691159874608152E-2</v>
      </c>
      <c r="P15" s="3">
        <f t="shared" si="4"/>
        <v>7.9531808150470198</v>
      </c>
      <c r="Q15" s="3">
        <f t="shared" si="5"/>
        <v>18.989801504702193</v>
      </c>
      <c r="R15" s="3">
        <f t="shared" si="6"/>
        <v>10.509525642633227</v>
      </c>
      <c r="S15" s="1" t="e">
        <f>(SUMIF(#REF!,#REF!,D$103:D$157)/COUNTIF(#REF!,#REF!))</f>
        <v>#REF!</v>
      </c>
      <c r="T15" s="1" t="e">
        <f>(SUMIF(#REF!,#REF!,E$103:E$157)/COUNTIF(#REF!,#REF!))</f>
        <v>#REF!</v>
      </c>
      <c r="U15" s="1" t="e">
        <f>(SUMIF(#REF!,#REF!,F$103:F$157)/COUNTIF(#REF!,#REF!))</f>
        <v>#REF!</v>
      </c>
      <c r="V15" s="1" t="e">
        <f>(SUMIF(#REF!,#REF!,G$103:G$157)/COUNTIF(#REF!,#REF!))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44854</v>
      </c>
      <c r="C16">
        <v>17</v>
      </c>
      <c r="D16">
        <v>5.181</v>
      </c>
      <c r="E16">
        <v>1448.59</v>
      </c>
      <c r="F16">
        <v>3639.95</v>
      </c>
      <c r="G16">
        <v>1893.6</v>
      </c>
      <c r="H16">
        <v>394</v>
      </c>
      <c r="I16">
        <v>78623.28</v>
      </c>
      <c r="J16" t="s">
        <v>41</v>
      </c>
      <c r="K16" s="3">
        <f t="shared" si="0"/>
        <v>279.59660297239913</v>
      </c>
      <c r="L16" s="3">
        <f t="shared" si="1"/>
        <v>1.9222380650612589</v>
      </c>
      <c r="M16" s="3">
        <f t="shared" si="2"/>
        <v>199.55147208121826</v>
      </c>
      <c r="N16" s="3">
        <v>149.56700000000001</v>
      </c>
      <c r="O16" s="3">
        <f t="shared" si="3"/>
        <v>3.4639994116349195E-2</v>
      </c>
      <c r="P16" s="3">
        <f t="shared" si="4"/>
        <v>9.6852246819151269</v>
      </c>
      <c r="Q16" s="3">
        <f t="shared" si="5"/>
        <v>24.336584941865517</v>
      </c>
      <c r="R16" s="3">
        <f t="shared" si="6"/>
        <v>12.660546778366884</v>
      </c>
      <c r="S16" s="1" t="e">
        <f>(SUMIF(#REF!,#REF!,D$113:D$169)/COUNTIF(#REF!,#REF!))</f>
        <v>#REF!</v>
      </c>
      <c r="T16" s="1" t="e">
        <f>(SUMIF(#REF!,#REF!,E$113:E$169)/COUNTIF(#REF!,#REF!))</f>
        <v>#REF!</v>
      </c>
      <c r="U16" s="1" t="e">
        <f>(SUMIF(#REF!,#REF!,F$113:F$169)/COUNTIF(#REF!,#REF!))</f>
        <v>#REF!</v>
      </c>
      <c r="V16" s="1" t="e">
        <f>(SUMIF(#REF!,#REF!,G$113:G$169)/COUNTIF(#REF!,#REF!))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44855</v>
      </c>
      <c r="C17">
        <v>18</v>
      </c>
      <c r="D17" s="7">
        <v>1.6220000000000001</v>
      </c>
      <c r="E17" s="7">
        <v>506.5</v>
      </c>
      <c r="F17" s="7">
        <v>1064.42</v>
      </c>
      <c r="G17" s="7">
        <v>592.6</v>
      </c>
      <c r="H17" s="7">
        <v>178</v>
      </c>
      <c r="I17" s="7">
        <v>37994.81</v>
      </c>
      <c r="J17" s="8">
        <v>3.8171296296296293E-2</v>
      </c>
      <c r="K17" s="3">
        <f t="shared" si="0"/>
        <v>312.26880394574596</v>
      </c>
      <c r="L17" s="3">
        <f t="shared" si="1"/>
        <v>1.7961862976712792</v>
      </c>
      <c r="M17" s="3">
        <f t="shared" si="2"/>
        <v>213.45398876404494</v>
      </c>
      <c r="N17" s="3">
        <v>86.533000000000001</v>
      </c>
      <c r="O17" s="3">
        <f t="shared" si="3"/>
        <v>1.8744294084337768E-2</v>
      </c>
      <c r="P17" s="3">
        <f t="shared" si="4"/>
        <v>5.8532582945234761</v>
      </c>
      <c r="Q17" s="3">
        <f t="shared" si="5"/>
        <v>12.300740757861163</v>
      </c>
      <c r="R17" s="3">
        <f t="shared" si="6"/>
        <v>6.84825442316804</v>
      </c>
      <c r="S17" s="1" t="e">
        <f>(SUMIF(#REF!,#REF!,D$125:D$181)/COUNTIF(#REF!,#REF!))</f>
        <v>#REF!</v>
      </c>
      <c r="T17" s="1" t="e">
        <f>(SUMIF(#REF!,#REF!,E$125:E$181)/COUNTIF(#REF!,#REF!))</f>
        <v>#REF!</v>
      </c>
      <c r="U17" s="1" t="e">
        <f>(SUMIF(#REF!,#REF!,F$125:F$181)/COUNTIF(#REF!,#REF!))</f>
        <v>#REF!</v>
      </c>
      <c r="V17" s="1" t="e">
        <f>(SUMIF(#REF!,#REF!,G$125:G$181)/COUNTIF(#REF!,#REF!))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58</v>
      </c>
      <c r="B18" s="2">
        <v>44856</v>
      </c>
      <c r="C18">
        <v>1</v>
      </c>
      <c r="D18">
        <v>5.2460000000000004</v>
      </c>
      <c r="E18">
        <v>1335.84</v>
      </c>
      <c r="F18">
        <v>3195.73</v>
      </c>
      <c r="G18">
        <v>1917.2</v>
      </c>
      <c r="H18">
        <v>275</v>
      </c>
      <c r="I18">
        <v>56746.25</v>
      </c>
      <c r="J18" t="s">
        <v>41</v>
      </c>
      <c r="K18" s="3">
        <f t="shared" si="0"/>
        <v>254.63972550514674</v>
      </c>
      <c r="L18" s="3">
        <f t="shared" si="1"/>
        <v>1.6668735656165241</v>
      </c>
      <c r="M18" s="3">
        <f t="shared" si="2"/>
        <v>206.35</v>
      </c>
      <c r="N18" s="3">
        <v>153</v>
      </c>
      <c r="O18" s="3">
        <f t="shared" si="3"/>
        <v>3.4287581699346405E-2</v>
      </c>
      <c r="P18" s="3">
        <f t="shared" si="4"/>
        <v>8.7309803921568623</v>
      </c>
      <c r="Q18" s="3">
        <f t="shared" si="5"/>
        <v>20.887124183006534</v>
      </c>
      <c r="R18" s="3">
        <f t="shared" si="6"/>
        <v>12.530718954248366</v>
      </c>
      <c r="S18" s="1" t="e">
        <f>(SUMIF(#REF!,#REF!,D$135:D$192)/COUNTIF(#REF!,#REF!))</f>
        <v>#REF!</v>
      </c>
      <c r="T18" s="1" t="e">
        <f>(SUMIF(#REF!,#REF!,E$135:E$192)/COUNTIF(#REF!,#REF!))</f>
        <v>#REF!</v>
      </c>
      <c r="U18" s="1" t="e">
        <f>(SUMIF(#REF!,#REF!,F$135:F$192)/COUNTIF(#REF!,#REF!))</f>
        <v>#REF!</v>
      </c>
      <c r="V18" s="1" t="e">
        <f>(SUMIF(#REF!,#REF!,G$135:G$192)/COUNTIF(#REF!,#REF!))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44858</v>
      </c>
      <c r="C19">
        <v>19</v>
      </c>
      <c r="D19">
        <v>2.968</v>
      </c>
      <c r="E19">
        <v>996.62</v>
      </c>
      <c r="F19">
        <v>1986.23</v>
      </c>
      <c r="G19">
        <v>1084.8</v>
      </c>
      <c r="H19">
        <v>230</v>
      </c>
      <c r="I19">
        <v>45599.27</v>
      </c>
      <c r="J19" t="s">
        <v>59</v>
      </c>
      <c r="K19" s="3">
        <f t="shared" si="0"/>
        <v>335.78840970350404</v>
      </c>
      <c r="L19" s="3">
        <f t="shared" si="1"/>
        <v>1.8309642330383482</v>
      </c>
      <c r="M19" s="3">
        <f t="shared" si="2"/>
        <v>198.25769565217391</v>
      </c>
      <c r="N19" s="3">
        <v>138.5</v>
      </c>
      <c r="O19" s="3">
        <f t="shared" si="3"/>
        <v>2.1429602888086641E-2</v>
      </c>
      <c r="P19" s="3">
        <f t="shared" si="4"/>
        <v>7.1958122743682313</v>
      </c>
      <c r="Q19" s="3">
        <f t="shared" si="5"/>
        <v>14.34101083032491</v>
      </c>
      <c r="R19" s="3">
        <f t="shared" si="6"/>
        <v>7.8324909747292413</v>
      </c>
      <c r="S19" s="1" t="e">
        <f>(SUMIF(#REF!,#REF!,D$147:D$202)/COUNTIF(#REF!,#REF!))</f>
        <v>#REF!</v>
      </c>
      <c r="T19" s="1" t="e">
        <f>(SUMIF(#REF!,#REF!,E$147:E$202)/COUNTIF(#REF!,#REF!))</f>
        <v>#REF!</v>
      </c>
      <c r="U19" s="1" t="e">
        <f>(SUMIF(#REF!,#REF!,F$147:F$202)/COUNTIF(#REF!,#REF!))</f>
        <v>#REF!</v>
      </c>
      <c r="V19" s="1" t="e">
        <f>(SUMIF(#REF!,#REF!,G$147:G$202)/COUNTIF(#REF!,#REF!))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3.077</v>
      </c>
      <c r="E20">
        <v>886.68</v>
      </c>
      <c r="F20">
        <v>2000.62</v>
      </c>
      <c r="G20">
        <v>1124.5999999999999</v>
      </c>
      <c r="H20">
        <v>171</v>
      </c>
      <c r="I20">
        <v>34843.519999999997</v>
      </c>
      <c r="J20" t="s">
        <v>60</v>
      </c>
      <c r="K20" s="3">
        <f t="shared" si="0"/>
        <v>288.16379590510235</v>
      </c>
      <c r="L20" s="3">
        <f t="shared" si="1"/>
        <v>1.7789614085008003</v>
      </c>
      <c r="M20" s="3">
        <f t="shared" si="2"/>
        <v>203.76327485380116</v>
      </c>
      <c r="N20" s="3">
        <v>107</v>
      </c>
      <c r="O20" s="3">
        <f t="shared" si="3"/>
        <v>2.8757009345794393E-2</v>
      </c>
      <c r="P20" s="3">
        <f t="shared" si="4"/>
        <v>8.2867289719626172</v>
      </c>
      <c r="Q20" s="3">
        <f t="shared" si="5"/>
        <v>18.697383177570092</v>
      </c>
      <c r="R20" s="3">
        <f t="shared" si="6"/>
        <v>10.510280373831774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5962-60D3-44F0-A484-BD386561D163}">
  <dimension ref="A1:Z22"/>
  <sheetViews>
    <sheetView workbookViewId="0">
      <selection activeCell="F1" sqref="F1"/>
    </sheetView>
  </sheetViews>
  <sheetFormatPr defaultRowHeight="14.4" x14ac:dyDescent="0.3"/>
  <cols>
    <col min="1" max="28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3.39</v>
      </c>
      <c r="E2">
        <v>906.03</v>
      </c>
      <c r="F2">
        <v>2220.71</v>
      </c>
      <c r="G2">
        <v>991.3</v>
      </c>
      <c r="H2">
        <v>210</v>
      </c>
      <c r="I2">
        <v>44508.35</v>
      </c>
      <c r="J2" t="s">
        <v>61</v>
      </c>
      <c r="K2" s="3">
        <f t="shared" ref="K2:K22" si="0">E2/D2</f>
        <v>267.26548672566372</v>
      </c>
      <c r="L2" s="3">
        <f t="shared" ref="L2:L22" si="1">F2/G2</f>
        <v>2.240199737718148</v>
      </c>
      <c r="M2" s="3">
        <f t="shared" ref="M2:M22" si="2">I2/H2</f>
        <v>211.94452380952382</v>
      </c>
      <c r="N2" s="3">
        <v>106.88333333333333</v>
      </c>
      <c r="O2" s="3">
        <f t="shared" ref="O2:O22" si="3">D2/$N2</f>
        <v>3.1716825198814913E-2</v>
      </c>
      <c r="P2" s="3">
        <f t="shared" ref="P2:P22" si="4">E2/$N2</f>
        <v>8.4768127241540618</v>
      </c>
      <c r="Q2" s="3">
        <f t="shared" ref="Q2:Q22" si="5">F2/$N2</f>
        <v>20.776953064088573</v>
      </c>
      <c r="R2" s="3">
        <f t="shared" ref="R2:R22" si="6">G2/$N2</f>
        <v>9.2745984718540466</v>
      </c>
    </row>
    <row r="3" spans="1:26" x14ac:dyDescent="0.3">
      <c r="A3" t="s">
        <v>26</v>
      </c>
      <c r="B3" s="2">
        <v>44831</v>
      </c>
      <c r="C3">
        <v>2</v>
      </c>
      <c r="D3" s="1">
        <v>3.1970000000000001</v>
      </c>
      <c r="E3">
        <v>810.7</v>
      </c>
      <c r="F3">
        <v>2049.1799999999998</v>
      </c>
      <c r="G3">
        <v>934.7</v>
      </c>
      <c r="H3">
        <v>133</v>
      </c>
      <c r="I3">
        <v>27330.37</v>
      </c>
      <c r="J3" t="s">
        <v>62</v>
      </c>
      <c r="K3" s="3">
        <f t="shared" si="0"/>
        <v>253.58148263997498</v>
      </c>
      <c r="L3" s="3">
        <f t="shared" si="1"/>
        <v>2.1923397881673261</v>
      </c>
      <c r="M3" s="3">
        <f t="shared" si="2"/>
        <v>205.49150375939848</v>
      </c>
      <c r="N3" s="3">
        <v>108.81666666666599</v>
      </c>
      <c r="O3" s="3">
        <f t="shared" si="3"/>
        <v>2.9379690611119801E-2</v>
      </c>
      <c r="P3" s="3">
        <f t="shared" si="4"/>
        <v>7.4501455046715126</v>
      </c>
      <c r="Q3" s="3">
        <f t="shared" si="5"/>
        <v>18.831490274161549</v>
      </c>
      <c r="R3" s="3">
        <f t="shared" si="6"/>
        <v>8.5896768264665866</v>
      </c>
    </row>
    <row r="4" spans="1:26" x14ac:dyDescent="0.3">
      <c r="A4" t="s">
        <v>26</v>
      </c>
      <c r="B4" s="2">
        <v>44833</v>
      </c>
      <c r="C4">
        <v>3</v>
      </c>
      <c r="D4" s="1">
        <v>2.8980000000000001</v>
      </c>
      <c r="E4">
        <v>830.58</v>
      </c>
      <c r="F4">
        <v>2048.5100000000002</v>
      </c>
      <c r="G4">
        <v>847.4</v>
      </c>
      <c r="H4">
        <v>240</v>
      </c>
      <c r="I4">
        <v>40973.599999999999</v>
      </c>
      <c r="J4" t="s">
        <v>63</v>
      </c>
      <c r="K4" s="3">
        <f t="shared" si="0"/>
        <v>286.6045548654244</v>
      </c>
      <c r="L4" s="3">
        <f t="shared" si="1"/>
        <v>2.4174061836204865</v>
      </c>
      <c r="M4" s="3">
        <f t="shared" si="2"/>
        <v>170.72333333333333</v>
      </c>
      <c r="N4" s="3">
        <v>125.56666666666599</v>
      </c>
      <c r="O4" s="3">
        <f t="shared" si="3"/>
        <v>2.3079373506769436E-2</v>
      </c>
      <c r="P4" s="3">
        <f t="shared" si="4"/>
        <v>6.6146535704805238</v>
      </c>
      <c r="Q4" s="3">
        <f t="shared" si="5"/>
        <v>16.314122644013892</v>
      </c>
      <c r="R4" s="3">
        <f t="shared" si="6"/>
        <v>6.7486063180249891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3.649</v>
      </c>
      <c r="E5">
        <v>950.93</v>
      </c>
      <c r="F5">
        <v>2432.9</v>
      </c>
      <c r="G5">
        <v>1067.0999999999999</v>
      </c>
      <c r="H5">
        <v>251</v>
      </c>
      <c r="I5">
        <v>43041.84</v>
      </c>
      <c r="J5" t="s">
        <v>64</v>
      </c>
      <c r="K5" s="3">
        <f t="shared" si="0"/>
        <v>260.60016442861058</v>
      </c>
      <c r="L5" s="3">
        <f t="shared" si="1"/>
        <v>2.2799175335020152</v>
      </c>
      <c r="M5" s="3">
        <f t="shared" si="2"/>
        <v>171.4814342629482</v>
      </c>
      <c r="N5" s="3">
        <v>128.166666666666</v>
      </c>
      <c r="O5" s="3">
        <f t="shared" si="3"/>
        <v>2.8470741222366858E-2</v>
      </c>
      <c r="P5" s="3">
        <f t="shared" si="4"/>
        <v>7.4194798439532237</v>
      </c>
      <c r="Q5" s="3">
        <f t="shared" si="5"/>
        <v>18.982314694408423</v>
      </c>
      <c r="R5" s="3">
        <f t="shared" si="6"/>
        <v>8.3258777633290411</v>
      </c>
    </row>
    <row r="6" spans="1:26" x14ac:dyDescent="0.3">
      <c r="A6" t="s">
        <v>26</v>
      </c>
      <c r="B6" s="2">
        <v>44835</v>
      </c>
      <c r="C6">
        <v>5</v>
      </c>
      <c r="D6" s="1">
        <v>2.2519999999999998</v>
      </c>
      <c r="E6">
        <v>578.16999999999996</v>
      </c>
      <c r="F6">
        <v>1686.37</v>
      </c>
      <c r="G6">
        <v>658.6</v>
      </c>
      <c r="H6">
        <v>61</v>
      </c>
      <c r="I6">
        <v>13498.48</v>
      </c>
      <c r="J6" t="s">
        <v>65</v>
      </c>
      <c r="K6" s="3">
        <f t="shared" si="0"/>
        <v>256.73623445825933</v>
      </c>
      <c r="L6" s="3">
        <f t="shared" si="1"/>
        <v>2.5605375037959304</v>
      </c>
      <c r="M6" s="3">
        <f t="shared" si="2"/>
        <v>221.28655737704918</v>
      </c>
      <c r="N6" s="3">
        <v>92.25</v>
      </c>
      <c r="O6" s="3">
        <f t="shared" si="3"/>
        <v>2.4411924119241191E-2</v>
      </c>
      <c r="P6" s="3">
        <f t="shared" si="4"/>
        <v>6.2674254742547424</v>
      </c>
      <c r="Q6" s="3">
        <f t="shared" si="5"/>
        <v>18.280433604336043</v>
      </c>
      <c r="R6" s="3">
        <f t="shared" si="6"/>
        <v>7.1392953929539296</v>
      </c>
    </row>
    <row r="7" spans="1:26" x14ac:dyDescent="0.3">
      <c r="A7" t="s">
        <v>26</v>
      </c>
      <c r="B7" s="2">
        <v>44837</v>
      </c>
      <c r="C7">
        <v>6</v>
      </c>
      <c r="D7" s="1">
        <v>2.2730000000000001</v>
      </c>
      <c r="E7">
        <v>589.58000000000004</v>
      </c>
      <c r="F7">
        <v>1715.41</v>
      </c>
      <c r="G7">
        <v>664.5</v>
      </c>
      <c r="H7">
        <v>108</v>
      </c>
      <c r="I7">
        <v>16025.72</v>
      </c>
      <c r="J7" t="s">
        <v>66</v>
      </c>
      <c r="K7" s="3">
        <f t="shared" si="0"/>
        <v>259.38407391113066</v>
      </c>
      <c r="L7" s="3">
        <f t="shared" si="1"/>
        <v>2.5815048908954101</v>
      </c>
      <c r="M7" s="3">
        <f t="shared" si="2"/>
        <v>148.38629629629628</v>
      </c>
      <c r="N7" s="3">
        <v>137.11666666666599</v>
      </c>
      <c r="O7" s="3">
        <f t="shared" si="3"/>
        <v>1.6577124103561526E-2</v>
      </c>
      <c r="P7" s="3">
        <f t="shared" si="4"/>
        <v>4.2998419837121888</v>
      </c>
      <c r="Q7" s="3">
        <f t="shared" si="5"/>
        <v>12.510587091284856</v>
      </c>
      <c r="R7" s="3">
        <f t="shared" si="6"/>
        <v>4.8462379968396982</v>
      </c>
    </row>
    <row r="8" spans="1:26" x14ac:dyDescent="0.3">
      <c r="A8" t="s">
        <v>26</v>
      </c>
      <c r="B8" s="2">
        <v>44838</v>
      </c>
      <c r="C8">
        <v>7</v>
      </c>
      <c r="D8" s="1">
        <v>2.6789999999999998</v>
      </c>
      <c r="E8">
        <v>594.70000000000005</v>
      </c>
      <c r="F8">
        <v>1610.95</v>
      </c>
      <c r="G8">
        <v>783.2</v>
      </c>
      <c r="H8">
        <v>63</v>
      </c>
      <c r="I8">
        <v>12387.8</v>
      </c>
      <c r="J8" t="s">
        <v>67</v>
      </c>
      <c r="K8" s="3">
        <f t="shared" si="0"/>
        <v>221.98581560283691</v>
      </c>
      <c r="L8" s="3">
        <f t="shared" si="1"/>
        <v>2.05688202247191</v>
      </c>
      <c r="M8" s="3">
        <f t="shared" si="2"/>
        <v>196.63174603174602</v>
      </c>
      <c r="N8" s="3">
        <v>111.23</v>
      </c>
      <c r="O8" s="3">
        <f t="shared" si="3"/>
        <v>2.4085228805178455E-2</v>
      </c>
      <c r="P8" s="3">
        <f t="shared" si="4"/>
        <v>5.3465791602984805</v>
      </c>
      <c r="Q8" s="3">
        <f t="shared" si="5"/>
        <v>14.483053133147532</v>
      </c>
      <c r="R8" s="3">
        <f t="shared" si="6"/>
        <v>7.0412658455452668</v>
      </c>
    </row>
    <row r="9" spans="1:26" x14ac:dyDescent="0.3">
      <c r="A9" t="s">
        <v>26</v>
      </c>
      <c r="B9" s="2">
        <v>44840</v>
      </c>
      <c r="C9">
        <v>8</v>
      </c>
      <c r="D9" s="1">
        <v>3.911</v>
      </c>
      <c r="E9">
        <v>974.35</v>
      </c>
      <c r="F9">
        <v>2609.71</v>
      </c>
      <c r="G9">
        <v>1143.5</v>
      </c>
      <c r="H9">
        <v>291</v>
      </c>
      <c r="I9">
        <v>51829.88</v>
      </c>
      <c r="J9" t="s">
        <v>68</v>
      </c>
      <c r="K9" s="3">
        <f t="shared" si="0"/>
        <v>249.13065712094095</v>
      </c>
      <c r="L9" s="3">
        <f t="shared" si="1"/>
        <v>2.2822125054656754</v>
      </c>
      <c r="M9" s="3">
        <f t="shared" si="2"/>
        <v>178.10955326460481</v>
      </c>
      <c r="N9" s="3">
        <f>145.4</f>
        <v>145.4</v>
      </c>
      <c r="O9" s="3">
        <f t="shared" si="3"/>
        <v>2.6898211829436039E-2</v>
      </c>
      <c r="P9" s="3">
        <f t="shared" si="4"/>
        <v>6.7011691884456672</v>
      </c>
      <c r="Q9" s="3">
        <f t="shared" si="5"/>
        <v>17.948486932599724</v>
      </c>
      <c r="R9" s="3">
        <f t="shared" si="6"/>
        <v>7.8645116918844566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3.24</v>
      </c>
      <c r="E10">
        <v>799</v>
      </c>
      <c r="F10">
        <v>2085.69</v>
      </c>
      <c r="G10">
        <v>947.5</v>
      </c>
      <c r="H10">
        <v>116</v>
      </c>
      <c r="I10">
        <v>23247.85</v>
      </c>
      <c r="J10" t="s">
        <v>69</v>
      </c>
      <c r="K10" s="3">
        <f t="shared" si="0"/>
        <v>246.60493827160491</v>
      </c>
      <c r="L10" s="3">
        <f t="shared" si="1"/>
        <v>2.2012559366754618</v>
      </c>
      <c r="M10" s="3">
        <f t="shared" si="2"/>
        <v>200.41249999999999</v>
      </c>
      <c r="N10" s="3">
        <v>115.583</v>
      </c>
      <c r="O10" s="3">
        <f t="shared" si="3"/>
        <v>2.8031803985015098E-2</v>
      </c>
      <c r="P10" s="3">
        <f t="shared" si="4"/>
        <v>6.9127812913663771</v>
      </c>
      <c r="Q10" s="3">
        <f t="shared" si="5"/>
        <v>18.044954707872265</v>
      </c>
      <c r="R10" s="3">
        <f t="shared" si="6"/>
        <v>8.1975723073462365</v>
      </c>
    </row>
    <row r="11" spans="1:26" x14ac:dyDescent="0.3">
      <c r="A11" t="s">
        <v>26</v>
      </c>
      <c r="B11" s="2">
        <v>44842</v>
      </c>
      <c r="C11">
        <v>10</v>
      </c>
      <c r="D11" s="1">
        <v>2.839</v>
      </c>
      <c r="E11">
        <v>690.49</v>
      </c>
      <c r="F11">
        <v>1620.55</v>
      </c>
      <c r="G11">
        <v>830.1</v>
      </c>
      <c r="H11">
        <v>165</v>
      </c>
      <c r="I11">
        <v>32361.96</v>
      </c>
      <c r="J11" t="s">
        <v>70</v>
      </c>
      <c r="K11" s="3">
        <f t="shared" si="0"/>
        <v>243.21592109897853</v>
      </c>
      <c r="L11" s="3">
        <f t="shared" si="1"/>
        <v>1.9522346705216238</v>
      </c>
      <c r="M11" s="3">
        <f t="shared" si="2"/>
        <v>196.1330909090909</v>
      </c>
      <c r="N11" s="3">
        <v>101.733</v>
      </c>
      <c r="O11" s="3">
        <f t="shared" si="3"/>
        <v>2.7906382393127104E-2</v>
      </c>
      <c r="P11" s="3">
        <f t="shared" si="4"/>
        <v>6.7872764982847258</v>
      </c>
      <c r="Q11" s="3">
        <f t="shared" si="5"/>
        <v>15.929442757020828</v>
      </c>
      <c r="R11" s="3">
        <f t="shared" si="6"/>
        <v>8.1595942319601313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2" si="7">(D11-S11)/S11</f>
        <v>#REF!</v>
      </c>
      <c r="X11" s="5" t="e">
        <f t="shared" ref="X11:X22" si="8">(E11-T11)/T11</f>
        <v>#REF!</v>
      </c>
      <c r="Y11" s="5" t="e">
        <f t="shared" ref="Y11:Y22" si="9">(F11-U11)/U11</f>
        <v>#REF!</v>
      </c>
      <c r="Z11" s="5" t="e">
        <f t="shared" ref="Z11:Z22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4.1280000000000001</v>
      </c>
      <c r="E12">
        <v>1064.3</v>
      </c>
      <c r="F12">
        <v>2426.5100000000002</v>
      </c>
      <c r="G12">
        <v>1207.0999999999999</v>
      </c>
      <c r="H12">
        <v>255</v>
      </c>
      <c r="I12">
        <v>46523.61</v>
      </c>
      <c r="J12" t="s">
        <v>71</v>
      </c>
      <c r="K12" s="3">
        <f t="shared" si="0"/>
        <v>257.82461240310073</v>
      </c>
      <c r="L12" s="3">
        <f t="shared" si="1"/>
        <v>2.0101979951950959</v>
      </c>
      <c r="M12" s="3">
        <f t="shared" si="2"/>
        <v>182.44552941176471</v>
      </c>
      <c r="N12" s="3">
        <f>126.033+7+12</f>
        <v>145.03300000000002</v>
      </c>
      <c r="O12" s="3">
        <f t="shared" si="3"/>
        <v>2.8462487847593303E-2</v>
      </c>
      <c r="P12" s="3">
        <f t="shared" si="4"/>
        <v>7.3383298973337094</v>
      </c>
      <c r="Q12" s="3">
        <f t="shared" si="5"/>
        <v>16.730744037563863</v>
      </c>
      <c r="R12" s="3">
        <f t="shared" si="6"/>
        <v>8.3229334013638265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1.794</v>
      </c>
      <c r="E13">
        <v>1024.2</v>
      </c>
      <c r="F13">
        <v>1240.24</v>
      </c>
      <c r="G13">
        <v>524.6</v>
      </c>
      <c r="H13">
        <v>375</v>
      </c>
      <c r="I13">
        <v>94060.59</v>
      </c>
      <c r="J13" t="s">
        <v>72</v>
      </c>
      <c r="K13" s="3">
        <f t="shared" si="0"/>
        <v>570.90301003344484</v>
      </c>
      <c r="L13" s="3">
        <f t="shared" si="1"/>
        <v>2.3641631719405258</v>
      </c>
      <c r="M13" s="3">
        <f t="shared" si="2"/>
        <v>250.82823999999999</v>
      </c>
      <c r="N13" s="3">
        <v>83.183000000000007</v>
      </c>
      <c r="O13" s="3">
        <f t="shared" si="3"/>
        <v>2.1566906699686233E-2</v>
      </c>
      <c r="P13" s="3">
        <f t="shared" si="4"/>
        <v>12.312611951961339</v>
      </c>
      <c r="Q13" s="3">
        <f t="shared" si="5"/>
        <v>14.909777238137599</v>
      </c>
      <c r="R13" s="3">
        <f t="shared" si="6"/>
        <v>6.306577065025305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2.9209999999999998</v>
      </c>
      <c r="E14">
        <v>751.9</v>
      </c>
      <c r="F14">
        <v>1994.83</v>
      </c>
      <c r="G14">
        <v>854.2</v>
      </c>
      <c r="H14">
        <v>226</v>
      </c>
      <c r="I14">
        <v>37427.9</v>
      </c>
      <c r="J14" t="s">
        <v>73</v>
      </c>
      <c r="K14" s="3">
        <f t="shared" si="0"/>
        <v>257.41184525847314</v>
      </c>
      <c r="L14" s="3">
        <f t="shared" si="1"/>
        <v>2.3353195972840082</v>
      </c>
      <c r="M14" s="3">
        <f t="shared" si="2"/>
        <v>165.61017699115044</v>
      </c>
      <c r="N14" s="3">
        <f>112.017+12</f>
        <v>124.017</v>
      </c>
      <c r="O14" s="3">
        <f t="shared" si="3"/>
        <v>2.3553222542070845E-2</v>
      </c>
      <c r="P14" s="3">
        <f t="shared" si="4"/>
        <v>6.0628784763379215</v>
      </c>
      <c r="Q14" s="3">
        <f t="shared" si="5"/>
        <v>16.0851334897635</v>
      </c>
      <c r="R14" s="3">
        <f t="shared" si="6"/>
        <v>6.8877653870033955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3.14</v>
      </c>
      <c r="E15">
        <v>689.21</v>
      </c>
      <c r="F15">
        <v>1970.73</v>
      </c>
      <c r="G15">
        <v>918.3</v>
      </c>
      <c r="H15">
        <v>88</v>
      </c>
      <c r="I15">
        <v>17238.439999999999</v>
      </c>
      <c r="J15" t="s">
        <v>74</v>
      </c>
      <c r="K15" s="3">
        <f t="shared" si="0"/>
        <v>219.49363057324842</v>
      </c>
      <c r="L15" s="3">
        <f t="shared" si="1"/>
        <v>2.1460633779810521</v>
      </c>
      <c r="M15" s="3">
        <f t="shared" si="2"/>
        <v>195.89136363636362</v>
      </c>
      <c r="N15" s="3">
        <v>119.95</v>
      </c>
      <c r="O15" s="3">
        <f t="shared" si="3"/>
        <v>2.6177573989162151E-2</v>
      </c>
      <c r="P15" s="3">
        <f t="shared" si="4"/>
        <v>5.7458107544810337</v>
      </c>
      <c r="Q15" s="3">
        <f t="shared" si="5"/>
        <v>16.429595664860358</v>
      </c>
      <c r="R15" s="3">
        <f t="shared" si="6"/>
        <v>7.6556898707794909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4.9052181818181824</v>
      </c>
      <c r="E16" s="3">
        <v>1107.1912181818179</v>
      </c>
      <c r="F16" s="3">
        <v>3005.8312181818183</v>
      </c>
      <c r="G16" s="3">
        <v>1352.381218181818</v>
      </c>
      <c r="H16" s="3">
        <v>251</v>
      </c>
      <c r="I16" s="3">
        <v>46237.880000000005</v>
      </c>
      <c r="J16" s="6">
        <v>8.1111111111111106E-2</v>
      </c>
      <c r="K16" s="3">
        <f t="shared" si="0"/>
        <v>225.71701749898986</v>
      </c>
      <c r="L16" s="3">
        <f t="shared" si="1"/>
        <v>2.2226212385757238</v>
      </c>
      <c r="M16" s="3">
        <f t="shared" si="2"/>
        <v>184.21466135458169</v>
      </c>
      <c r="N16" s="3">
        <v>145</v>
      </c>
      <c r="O16" s="3">
        <f t="shared" si="3"/>
        <v>3.3829090909090913E-2</v>
      </c>
      <c r="P16" s="3">
        <f t="shared" si="4"/>
        <v>7.6358015047021928</v>
      </c>
      <c r="Q16" s="3">
        <f t="shared" si="5"/>
        <v>20.729870470219435</v>
      </c>
      <c r="R16" s="3">
        <f t="shared" si="6"/>
        <v>9.3267670219435725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4.633</v>
      </c>
      <c r="E17">
        <v>1092.6300000000001</v>
      </c>
      <c r="F17">
        <v>3229.45</v>
      </c>
      <c r="G17">
        <v>1354.9</v>
      </c>
      <c r="H17">
        <v>272</v>
      </c>
      <c r="I17">
        <v>45617.45</v>
      </c>
      <c r="J17" t="s">
        <v>41</v>
      </c>
      <c r="K17" s="3">
        <f t="shared" si="0"/>
        <v>235.83639110727393</v>
      </c>
      <c r="L17" s="3">
        <f t="shared" si="1"/>
        <v>2.3835338401358031</v>
      </c>
      <c r="M17" s="3">
        <f t="shared" si="2"/>
        <v>167.71121323529411</v>
      </c>
      <c r="N17" s="3">
        <v>149.56700000000001</v>
      </c>
      <c r="O17" s="3">
        <f t="shared" si="3"/>
        <v>3.0976084296669718E-2</v>
      </c>
      <c r="P17" s="3">
        <f t="shared" si="4"/>
        <v>7.3052879311612857</v>
      </c>
      <c r="Q17" s="3">
        <f t="shared" si="5"/>
        <v>21.591995560518026</v>
      </c>
      <c r="R17" s="3">
        <f t="shared" si="6"/>
        <v>9.0588164501527739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44855</v>
      </c>
      <c r="C18">
        <v>18</v>
      </c>
      <c r="D18" s="7">
        <v>1.7110000000000001</v>
      </c>
      <c r="E18" s="7">
        <v>436.27</v>
      </c>
      <c r="F18" s="7">
        <v>1257.79</v>
      </c>
      <c r="G18" s="7">
        <v>500.2</v>
      </c>
      <c r="H18" s="7">
        <v>177</v>
      </c>
      <c r="I18" s="7">
        <v>32410.75</v>
      </c>
      <c r="J18" s="8">
        <v>3.6770833333333336E-2</v>
      </c>
      <c r="K18" s="3">
        <f t="shared" si="0"/>
        <v>254.97954412624193</v>
      </c>
      <c r="L18" s="3">
        <f t="shared" si="1"/>
        <v>2.5145741703318674</v>
      </c>
      <c r="M18" s="3">
        <f t="shared" si="2"/>
        <v>183.11158192090394</v>
      </c>
      <c r="N18" s="3">
        <v>86.533000000000001</v>
      </c>
      <c r="O18" s="3">
        <f t="shared" si="3"/>
        <v>1.9772803439150381E-2</v>
      </c>
      <c r="P18" s="3">
        <f t="shared" si="4"/>
        <v>5.041660407012353</v>
      </c>
      <c r="Q18" s="3">
        <f t="shared" si="5"/>
        <v>14.535379566177065</v>
      </c>
      <c r="R18" s="3">
        <f t="shared" si="6"/>
        <v>5.7804536997446059</v>
      </c>
      <c r="S18" s="1" t="e">
        <f>(SUMIF(#REF!,#REF!,D$125:D$181)/COUNTIF(#REF!,#REF!))</f>
        <v>#REF!</v>
      </c>
      <c r="T18" s="1" t="e">
        <f>(SUMIF(#REF!,#REF!,E$125:E$181)/COUNTIF(#REF!,#REF!))</f>
        <v>#REF!</v>
      </c>
      <c r="U18" s="1" t="e">
        <f>(SUMIF(#REF!,#REF!,F$125:F$181)/COUNTIF(#REF!,#REF!))</f>
        <v>#REF!</v>
      </c>
      <c r="V18" s="1" t="e">
        <f>(SUMIF(#REF!,#REF!,G$125:G$181)/COUNTIF(#REF!,#REF!))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58</v>
      </c>
      <c r="B19" s="2">
        <v>44856</v>
      </c>
      <c r="C19">
        <v>1</v>
      </c>
      <c r="D19">
        <v>4.149</v>
      </c>
      <c r="E19">
        <v>970.47</v>
      </c>
      <c r="F19">
        <v>2730.45</v>
      </c>
      <c r="G19">
        <v>1213.3</v>
      </c>
      <c r="H19">
        <v>197</v>
      </c>
      <c r="I19">
        <v>38884.78</v>
      </c>
      <c r="J19" t="s">
        <v>41</v>
      </c>
      <c r="K19" s="3">
        <f t="shared" si="0"/>
        <v>233.90455531453364</v>
      </c>
      <c r="L19" s="3">
        <f t="shared" si="1"/>
        <v>2.2504327041951702</v>
      </c>
      <c r="M19" s="3">
        <f t="shared" si="2"/>
        <v>197.38467005076143</v>
      </c>
      <c r="N19" s="3">
        <v>153</v>
      </c>
      <c r="O19" s="3">
        <f t="shared" si="3"/>
        <v>2.7117647058823531E-2</v>
      </c>
      <c r="P19" s="3">
        <f t="shared" si="4"/>
        <v>6.3429411764705881</v>
      </c>
      <c r="Q19" s="3">
        <f t="shared" si="5"/>
        <v>17.846078431372547</v>
      </c>
      <c r="R19" s="3">
        <f t="shared" si="6"/>
        <v>7.9300653594771235</v>
      </c>
      <c r="S19" s="1" t="e">
        <f>(SUMIF(#REF!,#REF!,D$135:D$192)/COUNTIF(#REF!,#REF!))</f>
        <v>#REF!</v>
      </c>
      <c r="T19" s="1" t="e">
        <f>(SUMIF(#REF!,#REF!,E$135:E$192)/COUNTIF(#REF!,#REF!))</f>
        <v>#REF!</v>
      </c>
      <c r="U19" s="1" t="e">
        <f>(SUMIF(#REF!,#REF!,F$135:F$192)/COUNTIF(#REF!,#REF!))</f>
        <v>#REF!</v>
      </c>
      <c r="V19" s="1" t="e">
        <f>(SUMIF(#REF!,#REF!,G$135:G$192)/COUNTIF(#REF!,#REF!))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44858</v>
      </c>
      <c r="C20">
        <v>19</v>
      </c>
      <c r="D20">
        <v>3.4980000000000002</v>
      </c>
      <c r="E20">
        <v>907.48</v>
      </c>
      <c r="F20">
        <v>1866.94</v>
      </c>
      <c r="G20">
        <v>1022.7</v>
      </c>
      <c r="H20">
        <v>261</v>
      </c>
      <c r="I20">
        <v>54774.55</v>
      </c>
      <c r="J20" t="s">
        <v>75</v>
      </c>
      <c r="K20" s="3">
        <f t="shared" si="0"/>
        <v>259.42824471126357</v>
      </c>
      <c r="L20" s="3">
        <f t="shared" si="1"/>
        <v>1.8255011244744304</v>
      </c>
      <c r="M20" s="3">
        <f t="shared" si="2"/>
        <v>209.86417624521073</v>
      </c>
      <c r="N20" s="3">
        <v>138.5</v>
      </c>
      <c r="O20" s="3">
        <f t="shared" si="3"/>
        <v>2.5256317689530686E-2</v>
      </c>
      <c r="P20" s="3">
        <f t="shared" si="4"/>
        <v>6.5522021660649825</v>
      </c>
      <c r="Q20" s="3">
        <f t="shared" si="5"/>
        <v>13.47971119133574</v>
      </c>
      <c r="R20" s="3">
        <f t="shared" si="6"/>
        <v>7.3841155234657041</v>
      </c>
      <c r="S20" s="1" t="e">
        <f>(SUMIF(#REF!,#REF!,D$147:D$202)/COUNTIF(#REF!,#REF!))</f>
        <v>#REF!</v>
      </c>
      <c r="T20" s="1" t="e">
        <f>(SUMIF(#REF!,#REF!,E$147:E$202)/COUNTIF(#REF!,#REF!))</f>
        <v>#REF!</v>
      </c>
      <c r="U20" s="1" t="e">
        <f>(SUMIF(#REF!,#REF!,F$147:F$202)/COUNTIF(#REF!,#REF!))</f>
        <v>#REF!</v>
      </c>
      <c r="V20" s="1" t="e">
        <f>(SUMIF(#REF!,#REF!,G$147:G$202)/COUNTIF(#REF!,#REF!))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  <row r="21" spans="1:26" x14ac:dyDescent="0.3">
      <c r="A21" t="s">
        <v>26</v>
      </c>
      <c r="B21" s="2">
        <v>44859</v>
      </c>
      <c r="C21">
        <v>20</v>
      </c>
      <c r="D21">
        <v>1.591</v>
      </c>
      <c r="E21">
        <v>406.7</v>
      </c>
      <c r="F21">
        <v>1112.8399999999999</v>
      </c>
      <c r="G21">
        <v>465.2</v>
      </c>
      <c r="H21">
        <v>48</v>
      </c>
      <c r="I21">
        <v>10949.7</v>
      </c>
      <c r="J21" t="s">
        <v>76</v>
      </c>
      <c r="K21" s="3">
        <f t="shared" si="0"/>
        <v>255.62539283469516</v>
      </c>
      <c r="L21" s="3">
        <f t="shared" si="1"/>
        <v>2.3921754084264832</v>
      </c>
      <c r="M21" s="3">
        <f t="shared" si="2"/>
        <v>228.11875000000001</v>
      </c>
      <c r="N21" s="3">
        <v>88.1</v>
      </c>
      <c r="O21" s="3">
        <f t="shared" si="3"/>
        <v>1.8059023836549375E-2</v>
      </c>
      <c r="P21" s="3">
        <f t="shared" si="4"/>
        <v>4.6163450624290583</v>
      </c>
      <c r="Q21" s="3">
        <f t="shared" si="5"/>
        <v>12.631555051078321</v>
      </c>
      <c r="R21" s="3">
        <f t="shared" si="6"/>
        <v>5.2803632236095348</v>
      </c>
      <c r="S21" s="1" t="e">
        <f>(SUMIF(#REF!,#REF!,D$158:D$212)/COUNTIF(#REF!,#REF!))</f>
        <v>#REF!</v>
      </c>
      <c r="T21" s="1" t="e">
        <f>(SUMIF(#REF!,#REF!,E$158:E$212)/COUNTIF(#REF!,#REF!))</f>
        <v>#REF!</v>
      </c>
      <c r="U21" s="1" t="e">
        <f>(SUMIF(#REF!,#REF!,F$158:F$212)/COUNTIF(#REF!,#REF!))</f>
        <v>#REF!</v>
      </c>
      <c r="V21" s="1" t="e">
        <f>(SUMIF(#REF!,#REF!,G$158:G$212)/COUNTIF(#REF!,#REF!))</f>
        <v>#REF!</v>
      </c>
      <c r="W21" s="5" t="e">
        <f t="shared" si="7"/>
        <v>#REF!</v>
      </c>
      <c r="X21" s="5" t="e">
        <f t="shared" si="8"/>
        <v>#REF!</v>
      </c>
      <c r="Y21" s="5" t="e">
        <f t="shared" si="9"/>
        <v>#REF!</v>
      </c>
      <c r="Z21" s="5" t="e">
        <f t="shared" si="10"/>
        <v>#REF!</v>
      </c>
    </row>
    <row r="22" spans="1:26" x14ac:dyDescent="0.3">
      <c r="A22" t="s">
        <v>26</v>
      </c>
      <c r="B22" s="2">
        <v>44861</v>
      </c>
      <c r="C22">
        <v>21</v>
      </c>
      <c r="D22">
        <v>2.6920000000000002</v>
      </c>
      <c r="E22">
        <v>625.83000000000004</v>
      </c>
      <c r="F22">
        <v>1628.6</v>
      </c>
      <c r="G22">
        <v>787.2</v>
      </c>
      <c r="H22">
        <v>93</v>
      </c>
      <c r="I22">
        <v>18051.400000000001</v>
      </c>
      <c r="J22" t="s">
        <v>77</v>
      </c>
      <c r="K22" s="3">
        <f t="shared" si="0"/>
        <v>232.4777117384844</v>
      </c>
      <c r="L22" s="3">
        <f t="shared" si="1"/>
        <v>2.0688516260162597</v>
      </c>
      <c r="M22" s="3">
        <f t="shared" si="2"/>
        <v>194.10107526881723</v>
      </c>
      <c r="N22" s="3">
        <v>107</v>
      </c>
      <c r="O22" s="3">
        <f t="shared" si="3"/>
        <v>2.51588785046729E-2</v>
      </c>
      <c r="P22" s="3">
        <f t="shared" si="4"/>
        <v>5.8488785046728973</v>
      </c>
      <c r="Q22" s="3">
        <f t="shared" si="5"/>
        <v>15.220560747663551</v>
      </c>
      <c r="R22" s="3">
        <f t="shared" si="6"/>
        <v>7.3570093457943928</v>
      </c>
      <c r="S22" s="1" t="e">
        <f>(SUMIF(#REF!,#REF!,D$170:D$220)/COUNTIF(#REF!,#REF!))</f>
        <v>#REF!</v>
      </c>
      <c r="T22" s="1" t="e">
        <f>(SUMIF(#REF!,#REF!,E$170:E$220)/COUNTIF(#REF!,#REF!))</f>
        <v>#REF!</v>
      </c>
      <c r="U22" s="1" t="e">
        <f>(SUMIF(#REF!,#REF!,F$170:F$220)/COUNTIF(#REF!,#REF!))</f>
        <v>#REF!</v>
      </c>
      <c r="V22" s="1" t="e">
        <f>(SUMIF(#REF!,#REF!,G$170:G$220)/COUNTIF(#REF!,#REF!))</f>
        <v>#REF!</v>
      </c>
      <c r="W22" s="5" t="e">
        <f t="shared" si="7"/>
        <v>#REF!</v>
      </c>
      <c r="X22" s="5" t="e">
        <f t="shared" si="8"/>
        <v>#REF!</v>
      </c>
      <c r="Y22" s="5" t="e">
        <f t="shared" si="9"/>
        <v>#REF!</v>
      </c>
      <c r="Z22" s="5" t="e">
        <f t="shared" si="10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2C41-946E-435F-9C90-22E1B7DB4153}">
  <dimension ref="A1:Z19"/>
  <sheetViews>
    <sheetView workbookViewId="0">
      <selection activeCell="A14" sqref="A14"/>
    </sheetView>
  </sheetViews>
  <sheetFormatPr defaultColWidth="15.77734375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44834</v>
      </c>
      <c r="C2">
        <v>4</v>
      </c>
      <c r="D2" s="1">
        <v>3.8730000000000002</v>
      </c>
      <c r="E2">
        <v>913.91</v>
      </c>
      <c r="F2">
        <v>2680.68</v>
      </c>
      <c r="G2">
        <v>1316.8</v>
      </c>
      <c r="H2">
        <v>308</v>
      </c>
      <c r="I2">
        <v>72878.899999999994</v>
      </c>
      <c r="J2" t="s">
        <v>78</v>
      </c>
      <c r="K2" s="3">
        <f t="shared" ref="K2:K19" si="0">E2/D2</f>
        <v>235.96953266201908</v>
      </c>
      <c r="L2" s="3">
        <f t="shared" ref="L2:L19" si="1">F2/G2</f>
        <v>2.0357533414337787</v>
      </c>
      <c r="M2" s="3">
        <f t="shared" ref="M2:M19" si="2">I2/H2</f>
        <v>236.61980519480517</v>
      </c>
      <c r="N2" s="3">
        <v>165.916666666666</v>
      </c>
      <c r="O2" s="3">
        <f t="shared" ref="O2:O19" si="3">D2/$N2</f>
        <v>2.3343043696634952E-2</v>
      </c>
      <c r="P2" s="3">
        <f t="shared" ref="P2:P19" si="4">E2/$N2</f>
        <v>5.5082471120040397</v>
      </c>
      <c r="Q2" s="3">
        <f t="shared" ref="Q2:Q19" si="5">F2/$N2</f>
        <v>16.156785534907147</v>
      </c>
      <c r="R2" s="3">
        <f t="shared" ref="R2:R19" si="6">G2/$N2</f>
        <v>7.9365143144148984</v>
      </c>
    </row>
    <row r="3" spans="1:26" x14ac:dyDescent="0.3">
      <c r="A3" t="s">
        <v>26</v>
      </c>
      <c r="B3" s="2">
        <v>44835</v>
      </c>
      <c r="C3">
        <v>5</v>
      </c>
      <c r="D3" s="1">
        <v>2.0459999999999998</v>
      </c>
      <c r="E3">
        <v>468.62</v>
      </c>
      <c r="F3">
        <v>1463.74</v>
      </c>
      <c r="G3">
        <v>695.8</v>
      </c>
      <c r="H3">
        <v>56</v>
      </c>
      <c r="I3">
        <v>10641.19</v>
      </c>
      <c r="J3" t="s">
        <v>79</v>
      </c>
      <c r="K3" s="3">
        <f t="shared" si="0"/>
        <v>229.04203323558164</v>
      </c>
      <c r="L3" s="3">
        <f t="shared" si="1"/>
        <v>2.1036792181661399</v>
      </c>
      <c r="M3" s="3">
        <f t="shared" si="2"/>
        <v>190.02125000000001</v>
      </c>
      <c r="N3" s="3">
        <v>92.25</v>
      </c>
      <c r="O3" s="3">
        <f t="shared" si="3"/>
        <v>2.2178861788617884E-2</v>
      </c>
      <c r="P3" s="3">
        <f t="shared" si="4"/>
        <v>5.0798915989159896</v>
      </c>
      <c r="Q3" s="3">
        <f t="shared" si="5"/>
        <v>15.867100271002711</v>
      </c>
      <c r="R3" s="3">
        <f t="shared" si="6"/>
        <v>7.5425474254742539</v>
      </c>
    </row>
    <row r="4" spans="1:26" x14ac:dyDescent="0.3">
      <c r="A4" t="s">
        <v>26</v>
      </c>
      <c r="B4" s="2">
        <v>44837</v>
      </c>
      <c r="C4">
        <v>6</v>
      </c>
      <c r="D4" s="1">
        <v>3.2</v>
      </c>
      <c r="E4">
        <v>914.12</v>
      </c>
      <c r="F4">
        <v>2089.9</v>
      </c>
      <c r="G4">
        <v>1087.9000000000001</v>
      </c>
      <c r="H4">
        <v>305</v>
      </c>
      <c r="I4">
        <v>63812.800000000003</v>
      </c>
      <c r="J4" t="s">
        <v>80</v>
      </c>
      <c r="K4" s="3">
        <f t="shared" si="0"/>
        <v>285.66249999999997</v>
      </c>
      <c r="L4" s="3">
        <f t="shared" si="1"/>
        <v>1.9210405368140453</v>
      </c>
      <c r="M4" s="3">
        <f t="shared" si="2"/>
        <v>209.22229508196722</v>
      </c>
      <c r="N4" s="3">
        <v>137.11666666666599</v>
      </c>
      <c r="O4" s="3">
        <f t="shared" si="3"/>
        <v>2.3337790202990271E-2</v>
      </c>
      <c r="P4" s="3">
        <f t="shared" si="4"/>
        <v>6.6667314938617075</v>
      </c>
      <c r="Q4" s="3">
        <f t="shared" si="5"/>
        <v>15.241764920384178</v>
      </c>
      <c r="R4" s="3">
        <f t="shared" si="6"/>
        <v>7.934119363072849</v>
      </c>
    </row>
    <row r="5" spans="1:26" x14ac:dyDescent="0.3">
      <c r="A5" t="s">
        <v>26</v>
      </c>
      <c r="B5" s="2">
        <v>44838</v>
      </c>
      <c r="C5">
        <v>7</v>
      </c>
      <c r="D5" s="1">
        <v>0.495</v>
      </c>
      <c r="E5">
        <v>154.47</v>
      </c>
      <c r="F5">
        <v>399.28</v>
      </c>
      <c r="G5">
        <v>168.5</v>
      </c>
      <c r="H5">
        <v>7</v>
      </c>
      <c r="I5">
        <v>1050.3800000000001</v>
      </c>
      <c r="J5" t="s">
        <v>81</v>
      </c>
      <c r="K5" s="3">
        <f t="shared" si="0"/>
        <v>312.06060606060606</v>
      </c>
      <c r="L5" s="3">
        <f t="shared" si="1"/>
        <v>2.3696142433234422</v>
      </c>
      <c r="M5" s="3">
        <f t="shared" si="2"/>
        <v>150.05428571428573</v>
      </c>
      <c r="N5" s="3">
        <v>111.23</v>
      </c>
      <c r="O5" s="3">
        <f t="shared" si="3"/>
        <v>4.4502382450777667E-3</v>
      </c>
      <c r="P5" s="3">
        <f t="shared" si="4"/>
        <v>1.3887440438730558</v>
      </c>
      <c r="Q5" s="3">
        <f t="shared" si="5"/>
        <v>3.5896790434235366</v>
      </c>
      <c r="R5" s="3">
        <f t="shared" si="6"/>
        <v>1.5148790793850579</v>
      </c>
    </row>
    <row r="6" spans="1:26" x14ac:dyDescent="0.3">
      <c r="A6" t="s">
        <v>26</v>
      </c>
      <c r="B6" s="2">
        <v>44840</v>
      </c>
      <c r="C6">
        <v>8</v>
      </c>
      <c r="D6" s="1">
        <v>2.7429999999999999</v>
      </c>
      <c r="E6">
        <v>709.64</v>
      </c>
      <c r="F6">
        <v>1996.81</v>
      </c>
      <c r="G6">
        <v>932.7</v>
      </c>
      <c r="H6">
        <v>243</v>
      </c>
      <c r="I6">
        <v>56720.75</v>
      </c>
      <c r="J6" t="s">
        <v>82</v>
      </c>
      <c r="K6" s="3">
        <f t="shared" si="0"/>
        <v>258.70944221655122</v>
      </c>
      <c r="L6" s="3">
        <f t="shared" si="1"/>
        <v>2.1408920338801329</v>
      </c>
      <c r="M6" s="3">
        <f t="shared" si="2"/>
        <v>233.4187242798354</v>
      </c>
      <c r="N6" s="3">
        <f>145.4</f>
        <v>145.4</v>
      </c>
      <c r="O6" s="3">
        <f t="shared" si="3"/>
        <v>1.886519944979367E-2</v>
      </c>
      <c r="P6" s="3">
        <f t="shared" si="4"/>
        <v>4.8806052269601095</v>
      </c>
      <c r="Q6" s="3">
        <f t="shared" si="5"/>
        <v>13.73321870701513</v>
      </c>
      <c r="R6" s="3">
        <f t="shared" si="6"/>
        <v>6.4147180192572213</v>
      </c>
      <c r="S6" s="3" t="e">
        <f>AVERAGE(#REF!,#REF!,#REF!,#REF!)</f>
        <v>#REF!</v>
      </c>
      <c r="T6" s="3" t="e">
        <f>AVERAGE(#REF!,#REF!,#REF!,#REF!)</f>
        <v>#REF!</v>
      </c>
      <c r="U6" s="3" t="e">
        <f>AVERAGE(#REF!,#REF!,#REF!,#REF!)</f>
        <v>#REF!</v>
      </c>
      <c r="V6" s="3" t="e">
        <f>AVERAGE(#REF!,#REF!,#REF!,#REF!)</f>
        <v>#REF!</v>
      </c>
    </row>
    <row r="7" spans="1:26" x14ac:dyDescent="0.3">
      <c r="A7" t="s">
        <v>26</v>
      </c>
      <c r="B7" s="2">
        <v>44841</v>
      </c>
      <c r="C7">
        <v>9</v>
      </c>
      <c r="D7" s="1">
        <v>2.4079999999999999</v>
      </c>
      <c r="E7">
        <v>570.96</v>
      </c>
      <c r="F7">
        <v>1676.74</v>
      </c>
      <c r="G7">
        <v>818.8</v>
      </c>
      <c r="H7">
        <v>136</v>
      </c>
      <c r="I7">
        <v>30147.46</v>
      </c>
      <c r="J7" t="s">
        <v>83</v>
      </c>
      <c r="K7" s="3">
        <f t="shared" si="0"/>
        <v>237.10963455149505</v>
      </c>
      <c r="L7" s="3">
        <f t="shared" si="1"/>
        <v>2.0478016609672691</v>
      </c>
      <c r="M7" s="3">
        <f t="shared" si="2"/>
        <v>221.67249999999999</v>
      </c>
      <c r="N7" s="3">
        <v>115.583</v>
      </c>
      <c r="O7" s="3">
        <f t="shared" si="3"/>
        <v>2.083351357898653E-2</v>
      </c>
      <c r="P7" s="3">
        <f t="shared" si="4"/>
        <v>4.9398267911371052</v>
      </c>
      <c r="Q7" s="3">
        <f t="shared" si="5"/>
        <v>14.506804633899449</v>
      </c>
      <c r="R7" s="3">
        <f t="shared" si="6"/>
        <v>7.0840867601636912</v>
      </c>
    </row>
    <row r="8" spans="1:26" x14ac:dyDescent="0.3">
      <c r="A8" t="s">
        <v>26</v>
      </c>
      <c r="B8" s="2">
        <v>44842</v>
      </c>
      <c r="C8">
        <v>10</v>
      </c>
      <c r="D8" s="1">
        <v>2.9209999999999998</v>
      </c>
      <c r="E8">
        <v>632.16999999999996</v>
      </c>
      <c r="F8">
        <v>1585.61</v>
      </c>
      <c r="G8">
        <v>993.2</v>
      </c>
      <c r="H8">
        <v>162</v>
      </c>
      <c r="I8">
        <v>38972.32</v>
      </c>
      <c r="J8" t="s">
        <v>84</v>
      </c>
      <c r="K8" s="3">
        <f t="shared" si="0"/>
        <v>216.42245806230744</v>
      </c>
      <c r="L8" s="3">
        <f t="shared" si="1"/>
        <v>1.5964659685863873</v>
      </c>
      <c r="M8" s="3">
        <f t="shared" si="2"/>
        <v>240.56987654320989</v>
      </c>
      <c r="N8" s="3">
        <v>101.733</v>
      </c>
      <c r="O8" s="3">
        <f t="shared" si="3"/>
        <v>2.8712413867673221E-2</v>
      </c>
      <c r="P8" s="3">
        <f t="shared" si="4"/>
        <v>6.2140111861441216</v>
      </c>
      <c r="Q8" s="3">
        <f t="shared" si="5"/>
        <v>15.585994711647153</v>
      </c>
      <c r="R8" s="3">
        <f t="shared" si="6"/>
        <v>9.7628104941366125</v>
      </c>
      <c r="S8" s="1" t="e">
        <f>(SUMIF(#REF!,#REF!,D$47:D$102)/COUNTIF(#REF!,#REF!))</f>
        <v>#REF!</v>
      </c>
      <c r="T8" s="4" t="e">
        <f>(SUMIF(#REF!,#REF!,E$47:E$102)/COUNTIF(#REF!,#REF!))</f>
        <v>#REF!</v>
      </c>
      <c r="U8" s="4" t="e">
        <f>(SUMIF(#REF!,#REF!,F$47:F$102)/COUNTIF(#REF!,#REF!))</f>
        <v>#REF!</v>
      </c>
      <c r="V8" s="4" t="e">
        <f>(SUMIF(#REF!,#REF!,G$47:G$102)/COUNTIF(#REF!,#REF!))</f>
        <v>#REF!</v>
      </c>
      <c r="W8" s="5" t="e">
        <f t="shared" ref="W8:W19" si="7">(D8-S8)/S8</f>
        <v>#REF!</v>
      </c>
      <c r="X8" s="5" t="e">
        <f t="shared" ref="X8:X19" si="8">(E8-T8)/T8</f>
        <v>#REF!</v>
      </c>
      <c r="Y8" s="5" t="e">
        <f t="shared" ref="Y8:Y19" si="9">(F8-U8)/U8</f>
        <v>#REF!</v>
      </c>
      <c r="Z8" s="5" t="e">
        <f t="shared" ref="Z8:Z19" si="10">(G8-V8)/V8</f>
        <v>#REF!</v>
      </c>
    </row>
    <row r="9" spans="1:26" x14ac:dyDescent="0.3">
      <c r="A9" t="s">
        <v>26</v>
      </c>
      <c r="B9" s="2">
        <v>44844</v>
      </c>
      <c r="C9">
        <v>11</v>
      </c>
      <c r="D9" s="1">
        <v>2.9380000000000002</v>
      </c>
      <c r="E9">
        <v>693.08</v>
      </c>
      <c r="F9">
        <v>1913.73</v>
      </c>
      <c r="G9">
        <v>999</v>
      </c>
      <c r="H9">
        <v>151</v>
      </c>
      <c r="I9">
        <v>30133.9</v>
      </c>
      <c r="J9" t="s">
        <v>85</v>
      </c>
      <c r="K9" s="3">
        <f t="shared" si="0"/>
        <v>235.90197413206263</v>
      </c>
      <c r="L9" s="3">
        <f t="shared" si="1"/>
        <v>1.9156456456456457</v>
      </c>
      <c r="M9" s="3">
        <f t="shared" si="2"/>
        <v>199.56225165562915</v>
      </c>
      <c r="N9" s="3">
        <v>126.033</v>
      </c>
      <c r="O9" s="3">
        <f t="shared" si="3"/>
        <v>2.3311354962589164E-2</v>
      </c>
      <c r="P9" s="3">
        <f t="shared" si="4"/>
        <v>5.4991946553680391</v>
      </c>
      <c r="Q9" s="3">
        <f t="shared" si="5"/>
        <v>15.184356478065268</v>
      </c>
      <c r="R9" s="3">
        <f t="shared" si="6"/>
        <v>7.9264954416700384</v>
      </c>
      <c r="S9" s="1" t="e">
        <f>(SUMIF(#REF!,#REF!,D$58:D$112)/COUNTIF(#REF!,#REF!))</f>
        <v>#REF!</v>
      </c>
      <c r="T9" s="4" t="e">
        <f>(SUMIF(#REF!,#REF!,E$58:E$112)/COUNTIF(#REF!,#REF!))</f>
        <v>#REF!</v>
      </c>
      <c r="U9" s="4" t="e">
        <f>(SUMIF(#REF!,#REF!,F$58:F$112)/COUNTIF(#REF!,#REF!))</f>
        <v>#REF!</v>
      </c>
      <c r="V9" s="4" t="e">
        <f>(SUMIF(#REF!,#REF!,G$58:G$112)/COUNTIF(#REF!,#REF!))</f>
        <v>#REF!</v>
      </c>
      <c r="W9" s="5" t="e">
        <f t="shared" si="7"/>
        <v>#REF!</v>
      </c>
      <c r="X9" s="5" t="e">
        <f t="shared" si="8"/>
        <v>#REF!</v>
      </c>
      <c r="Y9" s="5" t="e">
        <f t="shared" si="9"/>
        <v>#REF!</v>
      </c>
      <c r="Z9" s="5" t="e">
        <f t="shared" si="10"/>
        <v>#REF!</v>
      </c>
    </row>
    <row r="10" spans="1:26" x14ac:dyDescent="0.3">
      <c r="A10" t="s">
        <v>26</v>
      </c>
      <c r="B10" s="2">
        <v>44845</v>
      </c>
      <c r="C10">
        <v>12</v>
      </c>
      <c r="D10">
        <v>1.7629999999999999</v>
      </c>
      <c r="E10">
        <v>471</v>
      </c>
      <c r="F10">
        <v>1094.7</v>
      </c>
      <c r="G10">
        <v>599.29999999999995</v>
      </c>
      <c r="H10">
        <v>168</v>
      </c>
      <c r="I10">
        <v>36172.89</v>
      </c>
      <c r="J10" t="s">
        <v>86</v>
      </c>
      <c r="K10" s="3">
        <f t="shared" si="0"/>
        <v>267.15825297787865</v>
      </c>
      <c r="L10" s="3">
        <f t="shared" si="1"/>
        <v>1.8266310695811783</v>
      </c>
      <c r="M10" s="3">
        <f t="shared" si="2"/>
        <v>215.31482142857143</v>
      </c>
      <c r="N10" s="3">
        <v>83.183000000000007</v>
      </c>
      <c r="O10" s="3">
        <f t="shared" si="3"/>
        <v>2.1194234398855531E-2</v>
      </c>
      <c r="P10" s="3">
        <f t="shared" si="4"/>
        <v>5.662214635201904</v>
      </c>
      <c r="Q10" s="3">
        <f t="shared" si="5"/>
        <v>13.160140894173088</v>
      </c>
      <c r="R10" s="3">
        <f t="shared" si="6"/>
        <v>7.2045970931560523</v>
      </c>
      <c r="S10" s="1" t="e">
        <f>(SUMIF(#REF!,#REF!,D$70:D$124)/COUNTIF(#REF!,#REF!))</f>
        <v>#REF!</v>
      </c>
      <c r="T10" s="4" t="e">
        <f>(SUMIF(#REF!,#REF!,E$70:E$124)/COUNTIF(#REF!,#REF!))</f>
        <v>#REF!</v>
      </c>
      <c r="U10" s="4" t="e">
        <f>(SUMIF(#REF!,#REF!,F$70:F$124)/COUNTIF(#REF!,#REF!))</f>
        <v>#REF!</v>
      </c>
      <c r="V10" s="4" t="e">
        <f>(SUMIF(#REF!,#REF!,G$70:G$124)/COUNTIF(#REF!,#REF!))</f>
        <v>#REF!</v>
      </c>
      <c r="W10" s="5" t="e">
        <f t="shared" si="7"/>
        <v>#REF!</v>
      </c>
      <c r="X10" s="5" t="e">
        <f t="shared" si="8"/>
        <v>#REF!</v>
      </c>
      <c r="Y10" s="5" t="e">
        <f t="shared" si="9"/>
        <v>#REF!</v>
      </c>
      <c r="Z10" s="5" t="e">
        <f t="shared" si="10"/>
        <v>#REF!</v>
      </c>
    </row>
    <row r="11" spans="1:26" x14ac:dyDescent="0.3">
      <c r="A11" t="s">
        <v>26</v>
      </c>
      <c r="B11" s="2">
        <v>44847</v>
      </c>
      <c r="C11">
        <v>13</v>
      </c>
      <c r="D11">
        <v>2.5470000000000002</v>
      </c>
      <c r="E11">
        <v>701.22</v>
      </c>
      <c r="F11">
        <v>1692.29</v>
      </c>
      <c r="G11">
        <v>866.1</v>
      </c>
      <c r="H11">
        <v>333</v>
      </c>
      <c r="I11">
        <v>87349.81</v>
      </c>
      <c r="J11" t="s">
        <v>87</v>
      </c>
      <c r="K11" s="3">
        <f t="shared" si="0"/>
        <v>275.31213191990577</v>
      </c>
      <c r="L11" s="3">
        <f t="shared" si="1"/>
        <v>1.9539198706846783</v>
      </c>
      <c r="M11" s="3">
        <f t="shared" si="2"/>
        <v>262.31174174174174</v>
      </c>
      <c r="N11" s="3">
        <f>112.017+20</f>
        <v>132.017</v>
      </c>
      <c r="O11" s="3">
        <f t="shared" si="3"/>
        <v>1.9292969844792719E-2</v>
      </c>
      <c r="P11" s="3">
        <f t="shared" si="4"/>
        <v>5.311588659036337</v>
      </c>
      <c r="Q11" s="3">
        <f t="shared" si="5"/>
        <v>12.818727891104933</v>
      </c>
      <c r="R11" s="3">
        <f t="shared" si="6"/>
        <v>6.5605187210738016</v>
      </c>
      <c r="S11" s="1" t="e">
        <f>(SUMIF(#REF!,#REF!,D$81:D$134)/COUNTIF(#REF!,#REF!))</f>
        <v>#REF!</v>
      </c>
      <c r="T11" s="1" t="e">
        <f>(SUMIF(#REF!,#REF!,E$81:E$134)/COUNTIF(#REF!,#REF!))</f>
        <v>#REF!</v>
      </c>
      <c r="U11" s="1" t="e">
        <f>(SUMIF(#REF!,#REF!,F$81:F$134)/COUNTIF(#REF!,#REF!))</f>
        <v>#REF!</v>
      </c>
      <c r="V11" s="1" t="e">
        <f>(SUMIF(#REF!,#REF!,G$81:G$134)/COUNTIF(#REF!,#REF!))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6" x14ac:dyDescent="0.3">
      <c r="A12" t="s">
        <v>26</v>
      </c>
      <c r="B12" s="2">
        <v>44849</v>
      </c>
      <c r="C12">
        <v>15</v>
      </c>
      <c r="D12">
        <v>2.7869999999999999</v>
      </c>
      <c r="E12">
        <v>723.74</v>
      </c>
      <c r="F12">
        <v>1882.6</v>
      </c>
      <c r="G12">
        <v>947.7</v>
      </c>
      <c r="H12">
        <v>115</v>
      </c>
      <c r="I12">
        <v>19422</v>
      </c>
      <c r="J12" t="s">
        <v>88</v>
      </c>
      <c r="K12" s="3">
        <f t="shared" si="0"/>
        <v>259.68424829565845</v>
      </c>
      <c r="L12" s="3">
        <f t="shared" si="1"/>
        <v>1.9864936161232456</v>
      </c>
      <c r="M12" s="3">
        <f t="shared" si="2"/>
        <v>168.88695652173914</v>
      </c>
      <c r="N12" s="3">
        <v>119.95</v>
      </c>
      <c r="O12" s="3">
        <f t="shared" si="3"/>
        <v>2.3234681117132137E-2</v>
      </c>
      <c r="P12" s="3">
        <f t="shared" si="4"/>
        <v>6.0336807002917885</v>
      </c>
      <c r="Q12" s="3">
        <f t="shared" si="5"/>
        <v>15.694872863693204</v>
      </c>
      <c r="R12" s="3">
        <f t="shared" si="6"/>
        <v>7.9007919966652773</v>
      </c>
      <c r="S12" s="1" t="e">
        <f>(SUMIF(#REF!,#REF!,D$93:D$146)/COUNTIF(#REF!,#REF!))</f>
        <v>#REF!</v>
      </c>
      <c r="T12" s="1" t="e">
        <f>(SUMIF(#REF!,#REF!,E$93:E$146)/COUNTIF(#REF!,#REF!))</f>
        <v>#REF!</v>
      </c>
      <c r="U12" s="1" t="e">
        <f>(SUMIF(#REF!,#REF!,F$93:F$146)/COUNTIF(#REF!,#REF!))</f>
        <v>#REF!</v>
      </c>
      <c r="V12" s="1" t="e">
        <f>(SUMIF(#REF!,#REF!,G$93:G$146)/COUNTIF(#REF!,#REF!))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44852</v>
      </c>
      <c r="C13">
        <v>16</v>
      </c>
      <c r="D13" s="3">
        <v>4.207218181818182</v>
      </c>
      <c r="E13" s="3">
        <v>1036.0412181818181</v>
      </c>
      <c r="F13" s="3">
        <v>2680.9812181818179</v>
      </c>
      <c r="G13" s="3">
        <v>1287.4812181818179</v>
      </c>
      <c r="H13" s="3">
        <v>259</v>
      </c>
      <c r="I13" s="3">
        <v>54057.09</v>
      </c>
      <c r="J13" s="6">
        <v>6.070601851851852E-2</v>
      </c>
      <c r="K13" s="3">
        <f t="shared" si="0"/>
        <v>246.25326603197098</v>
      </c>
      <c r="L13" s="3">
        <f t="shared" si="1"/>
        <v>2.0823458861542865</v>
      </c>
      <c r="M13" s="3">
        <f t="shared" si="2"/>
        <v>208.7146332046332</v>
      </c>
      <c r="N13" s="3">
        <v>145</v>
      </c>
      <c r="O13" s="3">
        <f t="shared" si="3"/>
        <v>2.9015297805642635E-2</v>
      </c>
      <c r="P13" s="3">
        <f t="shared" si="4"/>
        <v>7.1451118495297798</v>
      </c>
      <c r="Q13" s="3">
        <f t="shared" si="5"/>
        <v>18.489525642633225</v>
      </c>
      <c r="R13" s="3">
        <f t="shared" si="6"/>
        <v>8.8791808150470199</v>
      </c>
      <c r="S13" s="1" t="e">
        <f>(SUMIF(#REF!,#REF!,D$103:D$157)/COUNTIF(#REF!,#REF!))</f>
        <v>#REF!</v>
      </c>
      <c r="T13" s="1" t="e">
        <f>(SUMIF(#REF!,#REF!,E$103:E$157)/COUNTIF(#REF!,#REF!))</f>
        <v>#REF!</v>
      </c>
      <c r="U13" s="1" t="e">
        <f>(SUMIF(#REF!,#REF!,F$103:F$157)/COUNTIF(#REF!,#REF!))</f>
        <v>#REF!</v>
      </c>
      <c r="V13" s="1" t="e">
        <f>(SUMIF(#REF!,#REF!,G$103:G$157)/COUNTIF(#REF!,#REF!))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44854</v>
      </c>
      <c r="C14">
        <v>17</v>
      </c>
      <c r="D14">
        <v>5.2160000000000002</v>
      </c>
      <c r="E14">
        <v>1198.98</v>
      </c>
      <c r="F14">
        <v>3557.14</v>
      </c>
      <c r="G14">
        <v>1773.4</v>
      </c>
      <c r="H14">
        <v>415</v>
      </c>
      <c r="I14">
        <v>97477.22</v>
      </c>
      <c r="J14" t="s">
        <v>41</v>
      </c>
      <c r="K14" s="3">
        <f t="shared" si="0"/>
        <v>229.86579754601226</v>
      </c>
      <c r="L14" s="3">
        <f t="shared" si="1"/>
        <v>2.0058306078718844</v>
      </c>
      <c r="M14" s="3">
        <f t="shared" si="2"/>
        <v>234.88486746987951</v>
      </c>
      <c r="N14" s="3">
        <v>149.56700000000001</v>
      </c>
      <c r="O14" s="3">
        <f t="shared" si="3"/>
        <v>3.4874002955197339E-2</v>
      </c>
      <c r="P14" s="3">
        <f t="shared" si="4"/>
        <v>8.0163405029184247</v>
      </c>
      <c r="Q14" s="3">
        <f t="shared" si="5"/>
        <v>23.782920029150812</v>
      </c>
      <c r="R14" s="3">
        <f t="shared" si="6"/>
        <v>11.856893566094126</v>
      </c>
      <c r="S14" s="1" t="e">
        <f>(SUMIF(#REF!,#REF!,D$113:D$169)/COUNTIF(#REF!,#REF!))</f>
        <v>#REF!</v>
      </c>
      <c r="T14" s="1" t="e">
        <f>(SUMIF(#REF!,#REF!,E$113:E$169)/COUNTIF(#REF!,#REF!))</f>
        <v>#REF!</v>
      </c>
      <c r="U14" s="1" t="e">
        <f>(SUMIF(#REF!,#REF!,F$113:F$169)/COUNTIF(#REF!,#REF!))</f>
        <v>#REF!</v>
      </c>
      <c r="V14" s="1" t="e">
        <f>(SUMIF(#REF!,#REF!,G$113:G$169)/COUNTIF(#REF!,#REF!))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44855</v>
      </c>
      <c r="C15">
        <v>18</v>
      </c>
      <c r="D15" s="7">
        <v>1.569</v>
      </c>
      <c r="E15" s="7">
        <v>408.14</v>
      </c>
      <c r="F15" s="7">
        <v>1220.54</v>
      </c>
      <c r="G15" s="7">
        <v>533.5</v>
      </c>
      <c r="H15" s="7">
        <v>142</v>
      </c>
      <c r="I15" s="7">
        <v>33332.720000000001</v>
      </c>
      <c r="J15" s="8">
        <v>2.5694444444444447E-2</v>
      </c>
      <c r="K15" s="3">
        <f t="shared" si="0"/>
        <v>260.1274697259401</v>
      </c>
      <c r="L15" s="3">
        <f t="shared" si="1"/>
        <v>2.2877975632614809</v>
      </c>
      <c r="M15" s="3">
        <f t="shared" si="2"/>
        <v>234.73746478873241</v>
      </c>
      <c r="N15" s="3">
        <v>86.533000000000001</v>
      </c>
      <c r="O15" s="3">
        <f t="shared" si="3"/>
        <v>1.8131810985404413E-2</v>
      </c>
      <c r="P15" s="3">
        <f t="shared" si="4"/>
        <v>4.7165821131822536</v>
      </c>
      <c r="Q15" s="3">
        <f t="shared" si="5"/>
        <v>14.104907954190885</v>
      </c>
      <c r="R15" s="3">
        <f t="shared" si="6"/>
        <v>6.1652779864329217</v>
      </c>
      <c r="S15" s="1" t="e">
        <f>(SUMIF(#REF!,#REF!,D$125:D$181)/COUNTIF(#REF!,#REF!))</f>
        <v>#REF!</v>
      </c>
      <c r="T15" s="1" t="e">
        <f>(SUMIF(#REF!,#REF!,E$125:E$181)/COUNTIF(#REF!,#REF!))</f>
        <v>#REF!</v>
      </c>
      <c r="U15" s="1" t="e">
        <f>(SUMIF(#REF!,#REF!,F$125:F$181)/COUNTIF(#REF!,#REF!))</f>
        <v>#REF!</v>
      </c>
      <c r="V15" s="1" t="e">
        <f>(SUMIF(#REF!,#REF!,G$125:G$181)/COUNTIF(#REF!,#REF!))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58</v>
      </c>
      <c r="B16" s="2">
        <v>44856</v>
      </c>
      <c r="C16">
        <v>1</v>
      </c>
      <c r="D16">
        <v>2.5070000000000001</v>
      </c>
      <c r="E16">
        <v>583.76</v>
      </c>
      <c r="F16">
        <v>1568.45</v>
      </c>
      <c r="G16">
        <v>852.3</v>
      </c>
      <c r="H16">
        <v>180</v>
      </c>
      <c r="I16">
        <v>42639.41</v>
      </c>
      <c r="J16" t="s">
        <v>41</v>
      </c>
      <c r="K16" s="3">
        <f t="shared" si="0"/>
        <v>232.85201435979258</v>
      </c>
      <c r="L16" s="3">
        <f t="shared" si="1"/>
        <v>1.8402557784817555</v>
      </c>
      <c r="M16" s="3">
        <f t="shared" si="2"/>
        <v>236.88561111111113</v>
      </c>
      <c r="N16" s="3">
        <v>153</v>
      </c>
      <c r="O16" s="3">
        <f t="shared" si="3"/>
        <v>1.6385620915032682E-2</v>
      </c>
      <c r="P16" s="3">
        <f t="shared" si="4"/>
        <v>3.815424836601307</v>
      </c>
      <c r="Q16" s="3">
        <f t="shared" si="5"/>
        <v>10.251307189542484</v>
      </c>
      <c r="R16" s="3">
        <f t="shared" si="6"/>
        <v>5.5705882352941174</v>
      </c>
      <c r="S16" s="1" t="e">
        <f>(SUMIF(#REF!,#REF!,D$135:D$192)/COUNTIF(#REF!,#REF!))</f>
        <v>#REF!</v>
      </c>
      <c r="T16" s="1" t="e">
        <f>(SUMIF(#REF!,#REF!,E$135:E$192)/COUNTIF(#REF!,#REF!))</f>
        <v>#REF!</v>
      </c>
      <c r="U16" s="1" t="e">
        <f>(SUMIF(#REF!,#REF!,F$135:F$192)/COUNTIF(#REF!,#REF!))</f>
        <v>#REF!</v>
      </c>
      <c r="V16" s="1" t="e">
        <f>(SUMIF(#REF!,#REF!,G$135:G$192)/COUNTIF(#REF!,#REF!))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44858</v>
      </c>
      <c r="C17">
        <v>19</v>
      </c>
      <c r="D17">
        <v>2.6219999999999999</v>
      </c>
      <c r="E17">
        <v>722.52</v>
      </c>
      <c r="F17">
        <v>1992.78</v>
      </c>
      <c r="G17">
        <v>835.4</v>
      </c>
      <c r="H17">
        <v>291</v>
      </c>
      <c r="I17">
        <v>62637.66</v>
      </c>
      <c r="J17" t="s">
        <v>89</v>
      </c>
      <c r="K17" s="3">
        <f t="shared" si="0"/>
        <v>275.56064073226543</v>
      </c>
      <c r="L17" s="3">
        <f t="shared" si="1"/>
        <v>2.3854201580081398</v>
      </c>
      <c r="M17" s="3">
        <f t="shared" si="2"/>
        <v>215.2496907216495</v>
      </c>
      <c r="N17" s="3">
        <f>138.5+20</f>
        <v>158.5</v>
      </c>
      <c r="O17" s="3">
        <f t="shared" si="3"/>
        <v>1.6542586750788645E-2</v>
      </c>
      <c r="P17" s="3">
        <f t="shared" si="4"/>
        <v>4.5584858044164038</v>
      </c>
      <c r="Q17" s="3">
        <f t="shared" si="5"/>
        <v>12.572744479495269</v>
      </c>
      <c r="R17" s="3">
        <f t="shared" si="6"/>
        <v>5.2706624605678236</v>
      </c>
      <c r="S17" s="1" t="e">
        <f>(SUMIF(#REF!,#REF!,D$147:D$202)/COUNTIF(#REF!,#REF!))</f>
        <v>#REF!</v>
      </c>
      <c r="T17" s="1" t="e">
        <f>(SUMIF(#REF!,#REF!,E$147:E$202)/COUNTIF(#REF!,#REF!))</f>
        <v>#REF!</v>
      </c>
      <c r="U17" s="1" t="e">
        <f>(SUMIF(#REF!,#REF!,F$147:F$202)/COUNTIF(#REF!,#REF!))</f>
        <v>#REF!</v>
      </c>
      <c r="V17" s="1" t="e">
        <f>(SUMIF(#REF!,#REF!,G$147:G$202)/COUNTIF(#REF!,#REF!))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44859</v>
      </c>
      <c r="C18">
        <v>20</v>
      </c>
      <c r="D18">
        <v>2.1920000000000002</v>
      </c>
      <c r="E18">
        <v>506.14</v>
      </c>
      <c r="F18">
        <v>1380.89</v>
      </c>
      <c r="G18">
        <v>698.4</v>
      </c>
      <c r="H18">
        <v>90</v>
      </c>
      <c r="I18">
        <v>15829.77</v>
      </c>
      <c r="J18" t="s">
        <v>90</v>
      </c>
      <c r="K18" s="3">
        <f t="shared" si="0"/>
        <v>230.90328467153282</v>
      </c>
      <c r="L18" s="3">
        <f t="shared" si="1"/>
        <v>1.9772193585337918</v>
      </c>
      <c r="M18" s="3">
        <f t="shared" si="2"/>
        <v>175.88633333333334</v>
      </c>
      <c r="N18" s="3">
        <f>88.1+20-10</f>
        <v>98.1</v>
      </c>
      <c r="O18" s="3">
        <f t="shared" si="3"/>
        <v>2.234454638124363E-2</v>
      </c>
      <c r="P18" s="3">
        <f t="shared" si="4"/>
        <v>5.1594291539245667</v>
      </c>
      <c r="Q18" s="3">
        <f t="shared" si="5"/>
        <v>14.076350662589196</v>
      </c>
      <c r="R18" s="3">
        <f t="shared" si="6"/>
        <v>7.1192660550458715</v>
      </c>
      <c r="S18" s="1" t="e">
        <f>(SUMIF(#REF!,#REF!,D$158:D$212)/COUNTIF(#REF!,#REF!))</f>
        <v>#REF!</v>
      </c>
      <c r="T18" s="1" t="e">
        <f>(SUMIF(#REF!,#REF!,E$158:E$212)/COUNTIF(#REF!,#REF!))</f>
        <v>#REF!</v>
      </c>
      <c r="U18" s="1" t="e">
        <f>(SUMIF(#REF!,#REF!,F$158:F$212)/COUNTIF(#REF!,#REF!))</f>
        <v>#REF!</v>
      </c>
      <c r="V18" s="1" t="e">
        <f>(SUMIF(#REF!,#REF!,G$158:G$212)/COUNTIF(#REF!,#REF!))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44861</v>
      </c>
      <c r="C19">
        <v>21</v>
      </c>
      <c r="D19">
        <v>1.643</v>
      </c>
      <c r="E19">
        <v>404.72</v>
      </c>
      <c r="F19">
        <v>1014.77</v>
      </c>
      <c r="G19">
        <v>523.29999999999995</v>
      </c>
      <c r="H19">
        <v>93</v>
      </c>
      <c r="I19">
        <v>17735.849999999999</v>
      </c>
      <c r="J19" t="s">
        <v>91</v>
      </c>
      <c r="K19" s="3">
        <f t="shared" si="0"/>
        <v>246.32988435788195</v>
      </c>
      <c r="L19" s="3">
        <f t="shared" si="1"/>
        <v>1.9391744697114468</v>
      </c>
      <c r="M19" s="3">
        <f t="shared" si="2"/>
        <v>190.70806451612901</v>
      </c>
      <c r="N19" s="3">
        <v>107</v>
      </c>
      <c r="O19" s="3">
        <f t="shared" si="3"/>
        <v>1.5355140186915889E-2</v>
      </c>
      <c r="P19" s="3">
        <f t="shared" si="4"/>
        <v>3.7824299065420561</v>
      </c>
      <c r="Q19" s="3">
        <f t="shared" si="5"/>
        <v>9.4838317757009349</v>
      </c>
      <c r="R19" s="3">
        <f t="shared" si="6"/>
        <v>4.8906542056074764</v>
      </c>
      <c r="S19" s="1" t="e">
        <f>(SUMIF(#REF!,#REF!,D$170:D$220)/COUNTIF(#REF!,#REF!))</f>
        <v>#REF!</v>
      </c>
      <c r="T19" s="1" t="e">
        <f>(SUMIF(#REF!,#REF!,E$170:E$220)/COUNTIF(#REF!,#REF!))</f>
        <v>#REF!</v>
      </c>
      <c r="U19" s="1" t="e">
        <f>(SUMIF(#REF!,#REF!,F$170:F$220)/COUNTIF(#REF!,#REF!))</f>
        <v>#REF!</v>
      </c>
      <c r="V19" s="1" t="e">
        <f>(SUMIF(#REF!,#REF!,G$170:G$220)/COUNTIF(#REF!,#REF!))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987C-1365-47D5-ADB0-C18FCB082FD5}">
  <dimension ref="A1:Z20"/>
  <sheetViews>
    <sheetView tabSelected="1" workbookViewId="0"/>
  </sheetViews>
  <sheetFormatPr defaultRowHeight="14.4" x14ac:dyDescent="0.3"/>
  <cols>
    <col min="1" max="27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3.081</v>
      </c>
      <c r="E2">
        <v>723.05</v>
      </c>
      <c r="F2">
        <v>1845.13</v>
      </c>
      <c r="G2">
        <v>1105.3</v>
      </c>
      <c r="H2">
        <v>202</v>
      </c>
      <c r="I2">
        <v>40823.1</v>
      </c>
      <c r="J2" t="s">
        <v>92</v>
      </c>
      <c r="K2" s="3">
        <f t="shared" ref="K2:K20" si="0">E2/D2</f>
        <v>234.68029860434922</v>
      </c>
      <c r="L2" s="3">
        <f t="shared" ref="L2:L20" si="1">F2/G2</f>
        <v>1.6693476884103864</v>
      </c>
      <c r="M2" s="3">
        <f t="shared" ref="M2:M20" si="2">I2/H2</f>
        <v>202.09455445544555</v>
      </c>
      <c r="N2" s="3">
        <v>106.88333333333333</v>
      </c>
      <c r="O2" s="3">
        <f t="shared" ref="O2:O20" si="3">D2/$N2</f>
        <v>2.8825822547949478E-2</v>
      </c>
      <c r="P2" s="3">
        <f t="shared" ref="P2:P20" si="4">E2/$N2</f>
        <v>6.7648526430687665</v>
      </c>
      <c r="Q2" s="3">
        <f t="shared" ref="Q2:Q20" si="5">F2/$N2</f>
        <v>17.263028223920163</v>
      </c>
      <c r="R2" s="3">
        <f t="shared" ref="R2:R20" si="6">G2/$N2</f>
        <v>10.341181974115079</v>
      </c>
    </row>
    <row r="3" spans="1:26" x14ac:dyDescent="0.3">
      <c r="A3" t="s">
        <v>26</v>
      </c>
      <c r="B3" s="2">
        <v>44831</v>
      </c>
      <c r="C3">
        <v>2</v>
      </c>
      <c r="D3" s="1">
        <v>3.278</v>
      </c>
      <c r="E3">
        <v>704.15</v>
      </c>
      <c r="F3">
        <v>1950.81</v>
      </c>
      <c r="G3">
        <v>1175.8</v>
      </c>
      <c r="H3">
        <v>119</v>
      </c>
      <c r="I3">
        <v>30115.599999999999</v>
      </c>
      <c r="J3" t="s">
        <v>93</v>
      </c>
      <c r="K3" s="3">
        <f t="shared" si="0"/>
        <v>214.81086028065894</v>
      </c>
      <c r="L3" s="3">
        <f t="shared" si="1"/>
        <v>1.6591342064977037</v>
      </c>
      <c r="M3" s="3">
        <f t="shared" si="2"/>
        <v>253.072268907563</v>
      </c>
      <c r="N3" s="3">
        <v>108.81666666666599</v>
      </c>
      <c r="O3" s="3">
        <f t="shared" si="3"/>
        <v>3.0124061877776262E-2</v>
      </c>
      <c r="P3" s="3">
        <f t="shared" si="4"/>
        <v>6.4709756471129207</v>
      </c>
      <c r="Q3" s="3">
        <f t="shared" si="5"/>
        <v>17.927492724766537</v>
      </c>
      <c r="R3" s="3">
        <f t="shared" si="6"/>
        <v>10.805330065860076</v>
      </c>
    </row>
    <row r="4" spans="1:26" x14ac:dyDescent="0.3">
      <c r="A4" t="s">
        <v>26</v>
      </c>
      <c r="B4" s="2">
        <v>44833</v>
      </c>
      <c r="C4">
        <v>3</v>
      </c>
      <c r="D4" s="1">
        <v>4.1429999999999998</v>
      </c>
      <c r="E4">
        <v>944.75</v>
      </c>
      <c r="F4">
        <v>2736.12</v>
      </c>
      <c r="G4">
        <v>1486.2</v>
      </c>
      <c r="H4">
        <v>328</v>
      </c>
      <c r="I4">
        <v>64524.3</v>
      </c>
      <c r="J4" t="s">
        <v>94</v>
      </c>
      <c r="K4" s="3">
        <f t="shared" si="0"/>
        <v>228.03524016413229</v>
      </c>
      <c r="L4" s="3">
        <f t="shared" si="1"/>
        <v>1.8410173597093256</v>
      </c>
      <c r="M4" s="3">
        <f t="shared" si="2"/>
        <v>196.72042682926829</v>
      </c>
      <c r="N4" s="3">
        <v>175.56666666666601</v>
      </c>
      <c r="O4" s="3">
        <f t="shared" si="3"/>
        <v>2.3597873552306903E-2</v>
      </c>
      <c r="P4" s="3">
        <f t="shared" si="4"/>
        <v>5.3811467628631302</v>
      </c>
      <c r="Q4" s="3">
        <f t="shared" si="5"/>
        <v>15.584507309664003</v>
      </c>
      <c r="R4" s="3">
        <f t="shared" si="6"/>
        <v>8.4651604328840264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3.9279999999999999</v>
      </c>
      <c r="E5">
        <v>979.59</v>
      </c>
      <c r="F5">
        <v>2387.6799999999998</v>
      </c>
      <c r="G5">
        <v>1408.8</v>
      </c>
      <c r="H5">
        <v>311</v>
      </c>
      <c r="I5">
        <v>61489.21</v>
      </c>
      <c r="J5" t="s">
        <v>95</v>
      </c>
      <c r="K5" s="3">
        <f t="shared" si="0"/>
        <v>249.38645621181263</v>
      </c>
      <c r="L5" s="3">
        <f t="shared" si="1"/>
        <v>1.6948324815445768</v>
      </c>
      <c r="M5" s="3">
        <f t="shared" si="2"/>
        <v>197.71450160771704</v>
      </c>
      <c r="N5" s="3">
        <v>165.916666666666</v>
      </c>
      <c r="O5" s="3">
        <f t="shared" si="3"/>
        <v>2.3674535409342133E-2</v>
      </c>
      <c r="P5" s="3">
        <f t="shared" si="4"/>
        <v>5.9041084881969095</v>
      </c>
      <c r="Q5" s="3">
        <f t="shared" si="5"/>
        <v>14.390838774485239</v>
      </c>
      <c r="R5" s="3">
        <f t="shared" si="6"/>
        <v>8.4910095429432779</v>
      </c>
    </row>
    <row r="6" spans="1:26" x14ac:dyDescent="0.3">
      <c r="A6" t="s">
        <v>26</v>
      </c>
      <c r="B6" s="2">
        <v>44835</v>
      </c>
      <c r="C6">
        <v>5</v>
      </c>
      <c r="D6" s="1">
        <v>2.6539999999999999</v>
      </c>
      <c r="E6">
        <v>664.44</v>
      </c>
      <c r="F6">
        <v>1769.46</v>
      </c>
      <c r="G6">
        <v>952.1</v>
      </c>
      <c r="H6">
        <v>67</v>
      </c>
      <c r="I6">
        <v>16966.77</v>
      </c>
      <c r="J6" t="s">
        <v>96</v>
      </c>
      <c r="K6" s="3">
        <f t="shared" si="0"/>
        <v>250.35418236623966</v>
      </c>
      <c r="L6" s="3">
        <f t="shared" si="1"/>
        <v>1.858481251969331</v>
      </c>
      <c r="M6" s="3">
        <f t="shared" si="2"/>
        <v>253.23537313432837</v>
      </c>
      <c r="N6" s="3">
        <v>92.25</v>
      </c>
      <c r="O6" s="3">
        <f t="shared" si="3"/>
        <v>2.8769647696476965E-2</v>
      </c>
      <c r="P6" s="3">
        <f t="shared" si="4"/>
        <v>7.2026016260162606</v>
      </c>
      <c r="Q6" s="3">
        <f t="shared" si="5"/>
        <v>19.181138211382113</v>
      </c>
      <c r="R6" s="3">
        <f t="shared" si="6"/>
        <v>10.320867208672087</v>
      </c>
    </row>
    <row r="7" spans="1:26" x14ac:dyDescent="0.3">
      <c r="A7" t="s">
        <v>26</v>
      </c>
      <c r="B7" s="2">
        <v>44837</v>
      </c>
      <c r="C7">
        <v>6</v>
      </c>
      <c r="D7" s="1">
        <v>3.74</v>
      </c>
      <c r="E7">
        <v>908.63</v>
      </c>
      <c r="F7">
        <v>2239.9</v>
      </c>
      <c r="G7">
        <v>1341.7</v>
      </c>
      <c r="H7">
        <v>221</v>
      </c>
      <c r="I7">
        <v>47988.54</v>
      </c>
      <c r="J7" t="s">
        <v>97</v>
      </c>
      <c r="K7" s="3">
        <f t="shared" si="0"/>
        <v>242.94919786096256</v>
      </c>
      <c r="L7" s="3">
        <f t="shared" si="1"/>
        <v>1.6694492062309012</v>
      </c>
      <c r="M7" s="3">
        <f t="shared" si="2"/>
        <v>217.14271493212669</v>
      </c>
      <c r="N7" s="3">
        <v>137.11666666666599</v>
      </c>
      <c r="O7" s="3">
        <f t="shared" si="3"/>
        <v>2.7276042299744879E-2</v>
      </c>
      <c r="P7" s="3">
        <f t="shared" si="4"/>
        <v>6.6266925975447029</v>
      </c>
      <c r="Q7" s="3">
        <f t="shared" si="5"/>
        <v>16.335723836149345</v>
      </c>
      <c r="R7" s="3">
        <f t="shared" si="6"/>
        <v>9.7850978485475135</v>
      </c>
    </row>
    <row r="8" spans="1:26" x14ac:dyDescent="0.3">
      <c r="A8" t="s">
        <v>26</v>
      </c>
      <c r="B8" s="2">
        <v>44838</v>
      </c>
      <c r="C8">
        <v>7</v>
      </c>
      <c r="D8" s="1">
        <v>2.8380000000000001</v>
      </c>
      <c r="E8">
        <v>716.46</v>
      </c>
      <c r="F8">
        <v>1616.5</v>
      </c>
      <c r="G8">
        <v>1017.9</v>
      </c>
      <c r="H8">
        <v>94</v>
      </c>
      <c r="I8">
        <v>25612.11</v>
      </c>
      <c r="J8" t="s">
        <v>98</v>
      </c>
      <c r="K8" s="3">
        <f t="shared" si="0"/>
        <v>252.4524312896406</v>
      </c>
      <c r="L8" s="3">
        <f t="shared" si="1"/>
        <v>1.5880734846252087</v>
      </c>
      <c r="M8" s="3">
        <f t="shared" si="2"/>
        <v>272.46925531914894</v>
      </c>
      <c r="N8" s="3">
        <v>111.23</v>
      </c>
      <c r="O8" s="3">
        <f t="shared" si="3"/>
        <v>2.5514699271779195E-2</v>
      </c>
      <c r="P8" s="3">
        <f t="shared" si="4"/>
        <v>6.4412478647846809</v>
      </c>
      <c r="Q8" s="3">
        <f t="shared" si="5"/>
        <v>14.532949743774161</v>
      </c>
      <c r="R8" s="3">
        <f t="shared" si="6"/>
        <v>9.1513081003326437</v>
      </c>
    </row>
    <row r="9" spans="1:26" x14ac:dyDescent="0.3">
      <c r="A9" t="s">
        <v>26</v>
      </c>
      <c r="B9" s="2">
        <v>44840</v>
      </c>
      <c r="C9">
        <v>8</v>
      </c>
      <c r="D9" s="1">
        <v>3.9969999999999999</v>
      </c>
      <c r="E9">
        <v>1144.31</v>
      </c>
      <c r="F9">
        <v>2690.13</v>
      </c>
      <c r="G9">
        <v>1433.7</v>
      </c>
      <c r="H9">
        <v>338</v>
      </c>
      <c r="I9">
        <v>70011.3</v>
      </c>
      <c r="J9" t="s">
        <v>99</v>
      </c>
      <c r="K9" s="3">
        <f t="shared" si="0"/>
        <v>286.29221916437325</v>
      </c>
      <c r="L9" s="3">
        <f t="shared" si="1"/>
        <v>1.8763548859594057</v>
      </c>
      <c r="M9" s="3">
        <f t="shared" si="2"/>
        <v>207.13402366863906</v>
      </c>
      <c r="N9" s="3">
        <f>145.4+8.75</f>
        <v>154.15</v>
      </c>
      <c r="O9" s="3">
        <f t="shared" si="3"/>
        <v>2.592928965293545E-2</v>
      </c>
      <c r="P9" s="3">
        <f t="shared" si="4"/>
        <v>7.423353876094712</v>
      </c>
      <c r="Q9" s="3">
        <f t="shared" si="5"/>
        <v>17.451378527408369</v>
      </c>
      <c r="R9" s="3">
        <f t="shared" si="6"/>
        <v>9.3006811547194292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44844</v>
      </c>
      <c r="C10">
        <v>11</v>
      </c>
      <c r="D10" s="1">
        <v>3.6190000000000002</v>
      </c>
      <c r="E10">
        <v>888.14</v>
      </c>
      <c r="F10">
        <v>2172.36</v>
      </c>
      <c r="G10">
        <v>1298.2</v>
      </c>
      <c r="H10">
        <v>183</v>
      </c>
      <c r="I10">
        <v>40658.83</v>
      </c>
      <c r="J10" t="s">
        <v>100</v>
      </c>
      <c r="K10" s="3">
        <f t="shared" si="0"/>
        <v>245.41033434650453</v>
      </c>
      <c r="L10" s="3">
        <f t="shared" si="1"/>
        <v>1.6733631181636113</v>
      </c>
      <c r="M10" s="3">
        <f t="shared" si="2"/>
        <v>222.17939890710383</v>
      </c>
      <c r="N10" s="3">
        <f>126.033+7</f>
        <v>133.03300000000002</v>
      </c>
      <c r="O10" s="3">
        <f t="shared" si="3"/>
        <v>2.7203776506581071E-2</v>
      </c>
      <c r="P10" s="3">
        <f t="shared" si="4"/>
        <v>6.676087887967646</v>
      </c>
      <c r="Q10" s="3">
        <f t="shared" si="5"/>
        <v>16.329482158562161</v>
      </c>
      <c r="R10" s="3">
        <f t="shared" si="6"/>
        <v>9.7584809784038544</v>
      </c>
      <c r="S10" s="1" t="e">
        <f>(SUMIF(#REF!,#REF!,D$58:D$112)/COUNTIF(#REF!,#REF!))</f>
        <v>#REF!</v>
      </c>
      <c r="T10" s="4" t="e">
        <f>(SUMIF(#REF!,#REF!,E$58:E$112)/COUNTIF(#REF!,#REF!))</f>
        <v>#REF!</v>
      </c>
      <c r="U10" s="4" t="e">
        <f>(SUMIF(#REF!,#REF!,F$58:F$112)/COUNTIF(#REF!,#REF!))</f>
        <v>#REF!</v>
      </c>
      <c r="V10" s="4" t="e">
        <f>(SUMIF(#REF!,#REF!,G$58:G$112)/COUNTIF(#REF!,#REF!))</f>
        <v>#REF!</v>
      </c>
      <c r="W10" s="5" t="e">
        <f t="shared" ref="W10:W20" si="7">(D10-S10)/S10</f>
        <v>#REF!</v>
      </c>
      <c r="X10" s="5" t="e">
        <f t="shared" ref="X10:X20" si="8">(E10-T10)/T10</f>
        <v>#REF!</v>
      </c>
      <c r="Y10" s="5" t="e">
        <f t="shared" ref="Y10:Y20" si="9">(F10-U10)/U10</f>
        <v>#REF!</v>
      </c>
      <c r="Z10" s="5" t="e">
        <f t="shared" ref="Z10:Z20" si="10">(G10-V10)/V10</f>
        <v>#REF!</v>
      </c>
    </row>
    <row r="11" spans="1:26" x14ac:dyDescent="0.3">
      <c r="A11" t="s">
        <v>26</v>
      </c>
      <c r="B11" s="2">
        <v>44845</v>
      </c>
      <c r="C11">
        <v>12</v>
      </c>
      <c r="D11">
        <v>1.877</v>
      </c>
      <c r="E11">
        <v>490.61</v>
      </c>
      <c r="F11">
        <v>1101.8</v>
      </c>
      <c r="G11">
        <v>673.2</v>
      </c>
      <c r="H11">
        <v>137</v>
      </c>
      <c r="I11">
        <v>24302.99</v>
      </c>
      <c r="J11" t="s">
        <v>101</v>
      </c>
      <c r="K11" s="3">
        <f t="shared" si="0"/>
        <v>261.37986148108683</v>
      </c>
      <c r="L11" s="3">
        <f t="shared" si="1"/>
        <v>1.6366607248960188</v>
      </c>
      <c r="M11" s="3">
        <f t="shared" si="2"/>
        <v>177.39408759124089</v>
      </c>
      <c r="N11" s="3">
        <v>83.183000000000007</v>
      </c>
      <c r="O11" s="3">
        <f t="shared" si="3"/>
        <v>2.2564706730942619E-2</v>
      </c>
      <c r="P11" s="3">
        <f t="shared" si="4"/>
        <v>5.89795991969513</v>
      </c>
      <c r="Q11" s="3">
        <f t="shared" si="5"/>
        <v>13.24549487275044</v>
      </c>
      <c r="R11" s="3">
        <f t="shared" si="6"/>
        <v>8.0929997715879445</v>
      </c>
      <c r="S11" s="1" t="e">
        <f>(SUMIF(#REF!,#REF!,D$70:D$124)/COUNTIF(#REF!,#REF!))</f>
        <v>#REF!</v>
      </c>
      <c r="T11" s="4" t="e">
        <f>(SUMIF(#REF!,#REF!,E$70:E$124)/COUNTIF(#REF!,#REF!))</f>
        <v>#REF!</v>
      </c>
      <c r="U11" s="4" t="e">
        <f>(SUMIF(#REF!,#REF!,F$70:F$124)/COUNTIF(#REF!,#REF!))</f>
        <v>#REF!</v>
      </c>
      <c r="V11" s="4" t="e">
        <f>(SUMIF(#REF!,#REF!,G$70:G$124)/COUNTIF(#REF!,#REF!))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6" x14ac:dyDescent="0.3">
      <c r="A12" t="s">
        <v>26</v>
      </c>
      <c r="B12" s="2">
        <v>44847</v>
      </c>
      <c r="C12">
        <v>13</v>
      </c>
      <c r="D12">
        <v>2.726</v>
      </c>
      <c r="E12">
        <v>748.67</v>
      </c>
      <c r="F12">
        <v>1660.4</v>
      </c>
      <c r="G12">
        <v>977.7</v>
      </c>
      <c r="H12">
        <v>178</v>
      </c>
      <c r="I12">
        <v>39093.43</v>
      </c>
      <c r="J12" t="s">
        <v>102</v>
      </c>
      <c r="K12" s="3">
        <f t="shared" si="0"/>
        <v>274.64049889948643</v>
      </c>
      <c r="L12" s="3">
        <f t="shared" si="1"/>
        <v>1.6982714534110668</v>
      </c>
      <c r="M12" s="3">
        <f t="shared" si="2"/>
        <v>219.62601123595505</v>
      </c>
      <c r="N12" s="3">
        <f>112.017</f>
        <v>112.017</v>
      </c>
      <c r="O12" s="3">
        <f t="shared" si="3"/>
        <v>2.4335591919083712E-2</v>
      </c>
      <c r="P12" s="3">
        <f t="shared" si="4"/>
        <v>6.6835391056714606</v>
      </c>
      <c r="Q12" s="3">
        <f t="shared" si="5"/>
        <v>14.822750118285619</v>
      </c>
      <c r="R12" s="3">
        <f t="shared" si="6"/>
        <v>8.7281394788291067</v>
      </c>
      <c r="S12" s="1" t="e">
        <f>(SUMIF(#REF!,#REF!,D$81:D$134)/COUNTIF(#REF!,#REF!))</f>
        <v>#REF!</v>
      </c>
      <c r="T12" s="1" t="e">
        <f>(SUMIF(#REF!,#REF!,E$81:E$134)/COUNTIF(#REF!,#REF!))</f>
        <v>#REF!</v>
      </c>
      <c r="U12" s="1" t="e">
        <f>(SUMIF(#REF!,#REF!,F$81:F$134)/COUNTIF(#REF!,#REF!))</f>
        <v>#REF!</v>
      </c>
      <c r="V12" s="1" t="e">
        <f>(SUMIF(#REF!,#REF!,G$81:G$134)/COUNTIF(#REF!,#REF!))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44849</v>
      </c>
      <c r="C13">
        <v>15</v>
      </c>
      <c r="D13">
        <v>2.97</v>
      </c>
      <c r="E13">
        <v>716.8</v>
      </c>
      <c r="F13">
        <v>1822.1</v>
      </c>
      <c r="G13">
        <v>1065.5</v>
      </c>
      <c r="H13">
        <v>86</v>
      </c>
      <c r="I13">
        <v>20577.439999999999</v>
      </c>
      <c r="J13" t="s">
        <v>103</v>
      </c>
      <c r="K13" s="3">
        <f t="shared" si="0"/>
        <v>241.34680134680133</v>
      </c>
      <c r="L13" s="3">
        <f t="shared" si="1"/>
        <v>1.7100891600187704</v>
      </c>
      <c r="M13" s="3">
        <f t="shared" si="2"/>
        <v>239.27255813953488</v>
      </c>
      <c r="N13" s="3">
        <v>119.95</v>
      </c>
      <c r="O13" s="3">
        <f t="shared" si="3"/>
        <v>2.4760316798666113E-2</v>
      </c>
      <c r="P13" s="3">
        <f t="shared" si="4"/>
        <v>5.9758232596915377</v>
      </c>
      <c r="Q13" s="3">
        <f t="shared" si="5"/>
        <v>15.190496040016672</v>
      </c>
      <c r="R13" s="3">
        <f t="shared" si="6"/>
        <v>8.8828678616090038</v>
      </c>
      <c r="S13" s="1" t="e">
        <f>(SUMIF(#REF!,#REF!,D$93:D$146)/COUNTIF(#REF!,#REF!))</f>
        <v>#REF!</v>
      </c>
      <c r="T13" s="1" t="e">
        <f>(SUMIF(#REF!,#REF!,E$93:E$146)/COUNTIF(#REF!,#REF!))</f>
        <v>#REF!</v>
      </c>
      <c r="U13" s="1" t="e">
        <f>(SUMIF(#REF!,#REF!,F$93:F$146)/COUNTIF(#REF!,#REF!))</f>
        <v>#REF!</v>
      </c>
      <c r="V13" s="1" t="e">
        <f>(SUMIF(#REF!,#REF!,G$93:G$146)/COUNTIF(#REF!,#REF!))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44852</v>
      </c>
      <c r="C14">
        <v>16</v>
      </c>
      <c r="D14" s="3">
        <v>4.4552181818181822</v>
      </c>
      <c r="E14" s="3">
        <v>996.12121818181811</v>
      </c>
      <c r="F14" s="3">
        <v>2695.611218181818</v>
      </c>
      <c r="G14" s="3">
        <v>1497.1812181818182</v>
      </c>
      <c r="H14" s="3">
        <v>243</v>
      </c>
      <c r="I14" s="3">
        <v>55676.63</v>
      </c>
      <c r="J14" s="6">
        <v>7.7349537037037036E-2</v>
      </c>
      <c r="K14" s="3">
        <f t="shared" si="0"/>
        <v>223.58528303888798</v>
      </c>
      <c r="L14" s="3">
        <f t="shared" si="1"/>
        <v>1.8004575434464622</v>
      </c>
      <c r="M14" s="3">
        <f t="shared" si="2"/>
        <v>229.12193415637859</v>
      </c>
      <c r="N14" s="3">
        <v>145</v>
      </c>
      <c r="O14" s="3">
        <f t="shared" si="3"/>
        <v>3.0725642633228842E-2</v>
      </c>
      <c r="P14" s="3">
        <f t="shared" si="4"/>
        <v>6.8698015047021936</v>
      </c>
      <c r="Q14" s="3">
        <f t="shared" si="5"/>
        <v>18.590422194357366</v>
      </c>
      <c r="R14" s="3">
        <f t="shared" si="6"/>
        <v>10.325387711598745</v>
      </c>
      <c r="S14" s="1" t="e">
        <f>(SUMIF(#REF!,#REF!,D$103:D$157)/COUNTIF(#REF!,#REF!))</f>
        <v>#REF!</v>
      </c>
      <c r="T14" s="1" t="e">
        <f>(SUMIF(#REF!,#REF!,E$103:E$157)/COUNTIF(#REF!,#REF!))</f>
        <v>#REF!</v>
      </c>
      <c r="U14" s="1" t="e">
        <f>(SUMIF(#REF!,#REF!,F$103:F$157)/COUNTIF(#REF!,#REF!))</f>
        <v>#REF!</v>
      </c>
      <c r="V14" s="1" t="e">
        <f>(SUMIF(#REF!,#REF!,G$103:G$157)/COUNTIF(#REF!,#REF!))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44854</v>
      </c>
      <c r="C15">
        <v>17</v>
      </c>
      <c r="D15">
        <v>5.1360000000000001</v>
      </c>
      <c r="E15">
        <v>2106.35</v>
      </c>
      <c r="F15">
        <v>4022.18</v>
      </c>
      <c r="G15">
        <v>1842.4</v>
      </c>
      <c r="H15">
        <v>615</v>
      </c>
      <c r="I15">
        <v>182452.15</v>
      </c>
      <c r="J15" t="s">
        <v>41</v>
      </c>
      <c r="K15" s="3">
        <f t="shared" si="0"/>
        <v>410.1148753894081</v>
      </c>
      <c r="L15" s="3">
        <f t="shared" si="1"/>
        <v>2.1831198436821535</v>
      </c>
      <c r="M15" s="3">
        <f t="shared" si="2"/>
        <v>296.67016260162603</v>
      </c>
      <c r="N15" s="3">
        <v>149.56700000000001</v>
      </c>
      <c r="O15" s="3">
        <f t="shared" si="3"/>
        <v>3.4339125609258725E-2</v>
      </c>
      <c r="P15" s="3">
        <f t="shared" si="4"/>
        <v>14.082986220222374</v>
      </c>
      <c r="Q15" s="3">
        <f t="shared" si="5"/>
        <v>26.89216204109195</v>
      </c>
      <c r="R15" s="3">
        <f t="shared" si="6"/>
        <v>12.318225276966176</v>
      </c>
      <c r="S15" s="1" t="e">
        <f>(SUMIF(#REF!,#REF!,D$113:D$169)/COUNTIF(#REF!,#REF!))</f>
        <v>#REF!</v>
      </c>
      <c r="T15" s="1" t="e">
        <f>(SUMIF(#REF!,#REF!,E$113:E$169)/COUNTIF(#REF!,#REF!))</f>
        <v>#REF!</v>
      </c>
      <c r="U15" s="1" t="e">
        <f>(SUMIF(#REF!,#REF!,F$113:F$169)/COUNTIF(#REF!,#REF!))</f>
        <v>#REF!</v>
      </c>
      <c r="V15" s="1" t="e">
        <f>(SUMIF(#REF!,#REF!,G$113:G$169)/COUNTIF(#REF!,#REF!))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44855</v>
      </c>
      <c r="C16">
        <v>18</v>
      </c>
      <c r="D16" s="7">
        <v>1.919</v>
      </c>
      <c r="E16" s="7">
        <v>939.97</v>
      </c>
      <c r="F16" s="7">
        <v>1432.36</v>
      </c>
      <c r="G16" s="7">
        <v>688.4</v>
      </c>
      <c r="H16" s="7">
        <v>243</v>
      </c>
      <c r="I16" s="7">
        <v>78776.289999999994</v>
      </c>
      <c r="J16" s="8">
        <v>4.1574074074074076E-2</v>
      </c>
      <c r="K16" s="3">
        <f t="shared" si="0"/>
        <v>489.82282438770193</v>
      </c>
      <c r="L16" s="3">
        <f t="shared" si="1"/>
        <v>2.0807088901801278</v>
      </c>
      <c r="M16" s="3">
        <f t="shared" si="2"/>
        <v>324.18226337448556</v>
      </c>
      <c r="N16" s="3">
        <v>86.533000000000001</v>
      </c>
      <c r="O16" s="3">
        <f t="shared" si="3"/>
        <v>2.2176510695341663E-2</v>
      </c>
      <c r="P16" s="3">
        <f t="shared" si="4"/>
        <v>10.862561103856333</v>
      </c>
      <c r="Q16" s="3">
        <f t="shared" si="5"/>
        <v>16.552760218644909</v>
      </c>
      <c r="R16" s="3">
        <f t="shared" si="6"/>
        <v>7.955346515202292</v>
      </c>
      <c r="S16" s="1" t="e">
        <f>(SUMIF(#REF!,#REF!,D$125:D$181)/COUNTIF(#REF!,#REF!))</f>
        <v>#REF!</v>
      </c>
      <c r="T16" s="1" t="e">
        <f>(SUMIF(#REF!,#REF!,E$125:E$181)/COUNTIF(#REF!,#REF!))</f>
        <v>#REF!</v>
      </c>
      <c r="U16" s="1" t="e">
        <f>(SUMIF(#REF!,#REF!,F$125:F$181)/COUNTIF(#REF!,#REF!))</f>
        <v>#REF!</v>
      </c>
      <c r="V16" s="1" t="e">
        <f>(SUMIF(#REF!,#REF!,G$125:G$181)/COUNTIF(#REF!,#REF!))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58</v>
      </c>
      <c r="B17" s="2">
        <v>44856</v>
      </c>
      <c r="C17">
        <v>1</v>
      </c>
      <c r="D17">
        <v>3.8679999999999999</v>
      </c>
      <c r="E17">
        <v>987.55</v>
      </c>
      <c r="F17">
        <v>2681.95</v>
      </c>
      <c r="G17">
        <v>1387.4</v>
      </c>
      <c r="H17">
        <v>187</v>
      </c>
      <c r="I17">
        <v>43398.11</v>
      </c>
      <c r="J17" t="s">
        <v>41</v>
      </c>
      <c r="K17" s="3">
        <f t="shared" si="0"/>
        <v>255.31282316442605</v>
      </c>
      <c r="L17" s="3">
        <f t="shared" si="1"/>
        <v>1.9330762577483058</v>
      </c>
      <c r="M17" s="3">
        <f t="shared" si="2"/>
        <v>232.07545454545456</v>
      </c>
      <c r="N17" s="3">
        <v>153</v>
      </c>
      <c r="O17" s="3">
        <f t="shared" si="3"/>
        <v>2.5281045751633986E-2</v>
      </c>
      <c r="P17" s="3">
        <f t="shared" si="4"/>
        <v>6.4545751633986921</v>
      </c>
      <c r="Q17" s="3">
        <f t="shared" si="5"/>
        <v>17.529084967320259</v>
      </c>
      <c r="R17" s="3">
        <f t="shared" si="6"/>
        <v>9.0679738562091501</v>
      </c>
      <c r="S17" s="1" t="e">
        <f>(SUMIF(#REF!,#REF!,D$135:D$192)/COUNTIF(#REF!,#REF!))</f>
        <v>#REF!</v>
      </c>
      <c r="T17" s="1" t="e">
        <f>(SUMIF(#REF!,#REF!,E$135:E$192)/COUNTIF(#REF!,#REF!))</f>
        <v>#REF!</v>
      </c>
      <c r="U17" s="1" t="e">
        <f>(SUMIF(#REF!,#REF!,F$135:F$192)/COUNTIF(#REF!,#REF!))</f>
        <v>#REF!</v>
      </c>
      <c r="V17" s="1" t="e">
        <f>(SUMIF(#REF!,#REF!,G$135:G$192)/COUNTIF(#REF!,#REF!))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44858</v>
      </c>
      <c r="C18">
        <v>19</v>
      </c>
      <c r="D18">
        <v>3.903</v>
      </c>
      <c r="E18">
        <v>1148.3</v>
      </c>
      <c r="F18">
        <v>2627.61</v>
      </c>
      <c r="G18">
        <v>1400</v>
      </c>
      <c r="H18">
        <v>426</v>
      </c>
      <c r="I18">
        <v>94389.66</v>
      </c>
      <c r="J18" t="s">
        <v>104</v>
      </c>
      <c r="K18" s="3">
        <f t="shared" si="0"/>
        <v>294.20958237253393</v>
      </c>
      <c r="L18" s="3">
        <f t="shared" si="1"/>
        <v>1.8768642857142859</v>
      </c>
      <c r="M18" s="3">
        <f t="shared" si="2"/>
        <v>221.57197183098592</v>
      </c>
      <c r="N18" s="3">
        <f>138.5+20</f>
        <v>158.5</v>
      </c>
      <c r="O18" s="3">
        <f t="shared" si="3"/>
        <v>2.4624605678233439E-2</v>
      </c>
      <c r="P18" s="3">
        <f t="shared" si="4"/>
        <v>7.2447949526813877</v>
      </c>
      <c r="Q18" s="3">
        <f t="shared" si="5"/>
        <v>16.577981072555207</v>
      </c>
      <c r="R18" s="3">
        <f t="shared" si="6"/>
        <v>8.8328075709779181</v>
      </c>
      <c r="S18" s="1" t="e">
        <f>(SUMIF(#REF!,#REF!,D$147:D$202)/COUNTIF(#REF!,#REF!))</f>
        <v>#REF!</v>
      </c>
      <c r="T18" s="1" t="e">
        <f>(SUMIF(#REF!,#REF!,E$147:E$202)/COUNTIF(#REF!,#REF!))</f>
        <v>#REF!</v>
      </c>
      <c r="U18" s="1" t="e">
        <f>(SUMIF(#REF!,#REF!,F$147:F$202)/COUNTIF(#REF!,#REF!))</f>
        <v>#REF!</v>
      </c>
      <c r="V18" s="1" t="e">
        <f>(SUMIF(#REF!,#REF!,G$147:G$202)/COUNTIF(#REF!,#REF!))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44859</v>
      </c>
      <c r="C19">
        <v>20</v>
      </c>
      <c r="D19">
        <v>3.262</v>
      </c>
      <c r="E19">
        <v>1397.9</v>
      </c>
      <c r="F19">
        <v>2274.9899999999998</v>
      </c>
      <c r="G19">
        <v>1170.0999999999999</v>
      </c>
      <c r="H19">
        <v>92</v>
      </c>
      <c r="I19">
        <v>41515.949999999997</v>
      </c>
      <c r="J19" t="s">
        <v>105</v>
      </c>
      <c r="K19" s="3">
        <f t="shared" si="0"/>
        <v>428.54077253218884</v>
      </c>
      <c r="L19" s="3">
        <f t="shared" si="1"/>
        <v>1.9442697205367063</v>
      </c>
      <c r="M19" s="3">
        <f t="shared" si="2"/>
        <v>451.26032608695647</v>
      </c>
      <c r="N19" s="3">
        <f>88.1+20</f>
        <v>108.1</v>
      </c>
      <c r="O19" s="3">
        <f t="shared" si="3"/>
        <v>3.017576318223867E-2</v>
      </c>
      <c r="P19" s="3">
        <f t="shared" si="4"/>
        <v>12.931544865864941</v>
      </c>
      <c r="Q19" s="3">
        <f t="shared" si="5"/>
        <v>21.045235892691952</v>
      </c>
      <c r="R19" s="3">
        <f t="shared" si="6"/>
        <v>10.824236817761332</v>
      </c>
      <c r="S19" s="1" t="e">
        <f>(SUMIF(#REF!,#REF!,D$158:D$212)/COUNTIF(#REF!,#REF!))</f>
        <v>#REF!</v>
      </c>
      <c r="T19" s="1" t="e">
        <f>(SUMIF(#REF!,#REF!,E$158:E$212)/COUNTIF(#REF!,#REF!))</f>
        <v>#REF!</v>
      </c>
      <c r="U19" s="1" t="e">
        <f>(SUMIF(#REF!,#REF!,F$158:F$212)/COUNTIF(#REF!,#REF!))</f>
        <v>#REF!</v>
      </c>
      <c r="V19" s="1" t="e">
        <f>(SUMIF(#REF!,#REF!,G$158:G$212)/COUNTIF(#REF!,#REF!))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3.2349999999999999</v>
      </c>
      <c r="E20">
        <v>751.4</v>
      </c>
      <c r="F20">
        <v>2096.65</v>
      </c>
      <c r="G20">
        <v>1160.4000000000001</v>
      </c>
      <c r="H20">
        <v>125</v>
      </c>
      <c r="I20">
        <v>31355.119999999999</v>
      </c>
      <c r="J20" t="s">
        <v>106</v>
      </c>
      <c r="K20" s="3">
        <f t="shared" si="0"/>
        <v>232.27202472952087</v>
      </c>
      <c r="L20" s="3">
        <f t="shared" si="1"/>
        <v>1.806833850396415</v>
      </c>
      <c r="M20" s="3">
        <f t="shared" si="2"/>
        <v>250.84096</v>
      </c>
      <c r="N20" s="3">
        <v>107</v>
      </c>
      <c r="O20" s="3">
        <f t="shared" si="3"/>
        <v>3.0233644859813082E-2</v>
      </c>
      <c r="P20" s="3">
        <f t="shared" si="4"/>
        <v>7.0224299065420555</v>
      </c>
      <c r="Q20" s="3">
        <f t="shared" si="5"/>
        <v>19.594859813084113</v>
      </c>
      <c r="R20" s="3">
        <f t="shared" si="6"/>
        <v>10.844859813084113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A820-45B3-48B2-B012-967F9B94E1BC}">
  <dimension ref="A1:AA20"/>
  <sheetViews>
    <sheetView workbookViewId="0">
      <selection activeCell="E12" sqref="E12"/>
    </sheetView>
  </sheetViews>
  <sheetFormatPr defaultColWidth="15.77734375"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 t="s">
        <v>26</v>
      </c>
      <c r="B2" s="2">
        <v>44830</v>
      </c>
      <c r="C2">
        <v>1</v>
      </c>
      <c r="D2" s="1">
        <v>2.6160000000000001</v>
      </c>
      <c r="E2">
        <v>718.86</v>
      </c>
      <c r="F2">
        <v>1699.22</v>
      </c>
      <c r="G2">
        <v>942.9</v>
      </c>
      <c r="H2">
        <v>95</v>
      </c>
      <c r="I2">
        <v>31174.22</v>
      </c>
      <c r="J2" t="s">
        <v>107</v>
      </c>
      <c r="K2" s="3">
        <f t="shared" ref="K2:K20" si="0">E2/D2</f>
        <v>274.79357798165137</v>
      </c>
      <c r="L2" s="3">
        <f t="shared" ref="L2:L20" si="1">F2/G2</f>
        <v>1.802121115706862</v>
      </c>
      <c r="M2" s="3">
        <f t="shared" ref="M2:M20" si="2">I2/H2</f>
        <v>328.14968421052635</v>
      </c>
      <c r="N2" s="3">
        <v>106.88333333333333</v>
      </c>
      <c r="O2" s="3">
        <f t="shared" ref="O2:O20" si="3">D2/$N2</f>
        <v>2.4475284578200533E-2</v>
      </c>
      <c r="P2" s="3">
        <f t="shared" ref="P2:P20" si="4">E2/$N2</f>
        <v>6.7256510213628573</v>
      </c>
      <c r="Q2" s="3">
        <f t="shared" ref="Q2:Q20" si="5">F2/$N2</f>
        <v>15.897894900982381</v>
      </c>
      <c r="R2" s="3">
        <f t="shared" ref="R2:R20" si="6">G2/$N2</f>
        <v>8.8217682831748014</v>
      </c>
    </row>
    <row r="3" spans="1:27" x14ac:dyDescent="0.3">
      <c r="A3" t="s">
        <v>26</v>
      </c>
      <c r="B3" s="2">
        <v>44831</v>
      </c>
      <c r="C3">
        <v>2</v>
      </c>
      <c r="D3" s="1">
        <v>1.956</v>
      </c>
      <c r="E3">
        <v>577.04999999999995</v>
      </c>
      <c r="F3">
        <v>1481.45</v>
      </c>
      <c r="G3">
        <v>705</v>
      </c>
      <c r="H3">
        <v>60</v>
      </c>
      <c r="I3">
        <v>21648.34</v>
      </c>
      <c r="J3" t="s">
        <v>108</v>
      </c>
      <c r="K3" s="3">
        <f t="shared" si="0"/>
        <v>295.01533742331287</v>
      </c>
      <c r="L3" s="3">
        <f t="shared" si="1"/>
        <v>2.1013475177304963</v>
      </c>
      <c r="M3" s="3">
        <f t="shared" si="2"/>
        <v>360.8056666666667</v>
      </c>
      <c r="N3" s="3">
        <v>108.81666666666599</v>
      </c>
      <c r="O3" s="3">
        <f t="shared" si="3"/>
        <v>1.7975187624444895E-2</v>
      </c>
      <c r="P3" s="3">
        <f t="shared" si="4"/>
        <v>5.3029560422729682</v>
      </c>
      <c r="Q3" s="3">
        <f t="shared" si="5"/>
        <v>13.614182876397695</v>
      </c>
      <c r="R3" s="3">
        <f t="shared" si="6"/>
        <v>6.4787869505284519</v>
      </c>
    </row>
    <row r="4" spans="1:27" x14ac:dyDescent="0.3">
      <c r="A4" t="s">
        <v>26</v>
      </c>
      <c r="B4" s="2">
        <v>44833</v>
      </c>
      <c r="C4">
        <v>3</v>
      </c>
      <c r="D4" s="1">
        <v>2.5310000000000001</v>
      </c>
      <c r="E4">
        <v>739.41</v>
      </c>
      <c r="F4">
        <v>1879.66</v>
      </c>
      <c r="G4">
        <v>912.3</v>
      </c>
      <c r="H4">
        <v>90</v>
      </c>
      <c r="I4">
        <v>30245.52</v>
      </c>
      <c r="J4" t="s">
        <v>109</v>
      </c>
      <c r="K4" s="3">
        <f t="shared" si="0"/>
        <v>292.14144606874748</v>
      </c>
      <c r="L4" s="3">
        <f t="shared" si="1"/>
        <v>2.0603529540721257</v>
      </c>
      <c r="M4" s="3">
        <f t="shared" si="2"/>
        <v>336.06133333333332</v>
      </c>
      <c r="N4" s="3">
        <v>125.56666666666599</v>
      </c>
      <c r="O4" s="3">
        <f t="shared" si="3"/>
        <v>2.0156623307671998E-2</v>
      </c>
      <c r="P4" s="3">
        <f t="shared" si="4"/>
        <v>5.8885850809663172</v>
      </c>
      <c r="Q4" s="3">
        <f t="shared" si="5"/>
        <v>14.969418635519061</v>
      </c>
      <c r="R4" s="3">
        <f t="shared" si="6"/>
        <v>7.2654632333422207</v>
      </c>
      <c r="S4" s="3" t="e">
        <f>AVERAGE(#REF!,#REF!)</f>
        <v>#REF!</v>
      </c>
      <c r="T4" s="3" t="e">
        <f>AVERAGE(#REF!,#REF!)</f>
        <v>#REF!</v>
      </c>
    </row>
    <row r="5" spans="1:27" x14ac:dyDescent="0.3">
      <c r="A5" t="s">
        <v>26</v>
      </c>
      <c r="B5" s="2">
        <v>44834</v>
      </c>
      <c r="C5">
        <v>4</v>
      </c>
      <c r="D5" s="1">
        <v>2.2469999999999999</v>
      </c>
      <c r="E5">
        <v>690.12</v>
      </c>
      <c r="F5">
        <v>1694.97</v>
      </c>
      <c r="G5">
        <v>809.9</v>
      </c>
      <c r="H5">
        <v>107</v>
      </c>
      <c r="I5">
        <v>30113.62</v>
      </c>
      <c r="J5" t="s">
        <v>110</v>
      </c>
      <c r="K5" s="3">
        <f t="shared" si="0"/>
        <v>307.12950600801071</v>
      </c>
      <c r="L5" s="3">
        <f t="shared" si="1"/>
        <v>2.0928139276453885</v>
      </c>
      <c r="M5" s="3">
        <f t="shared" si="2"/>
        <v>281.43570093457942</v>
      </c>
      <c r="N5" s="3">
        <v>128.166666666666</v>
      </c>
      <c r="O5" s="3">
        <f t="shared" si="3"/>
        <v>1.753185955786745E-2</v>
      </c>
      <c r="P5" s="3">
        <f t="shared" si="4"/>
        <v>5.3845513654096511</v>
      </c>
      <c r="Q5" s="3">
        <f t="shared" si="5"/>
        <v>13.224733420026077</v>
      </c>
      <c r="R5" s="3">
        <f t="shared" si="6"/>
        <v>6.319115734720449</v>
      </c>
    </row>
    <row r="6" spans="1:27" x14ac:dyDescent="0.3">
      <c r="A6" t="s">
        <v>26</v>
      </c>
      <c r="B6" s="2">
        <v>44835</v>
      </c>
      <c r="C6">
        <v>5</v>
      </c>
      <c r="D6" s="1">
        <v>1.1279999999999999</v>
      </c>
      <c r="E6">
        <v>387.45</v>
      </c>
      <c r="F6">
        <v>1153.5899999999999</v>
      </c>
      <c r="G6">
        <v>406.6</v>
      </c>
      <c r="H6">
        <v>29</v>
      </c>
      <c r="I6">
        <v>9938.6299999999992</v>
      </c>
      <c r="J6" t="s">
        <v>111</v>
      </c>
      <c r="K6" s="3">
        <f t="shared" si="0"/>
        <v>343.4840425531915</v>
      </c>
      <c r="L6" s="3">
        <f t="shared" si="1"/>
        <v>2.8371618298081649</v>
      </c>
      <c r="M6" s="3">
        <f t="shared" si="2"/>
        <v>342.7113793103448</v>
      </c>
      <c r="N6" s="3">
        <v>92.25</v>
      </c>
      <c r="O6" s="3">
        <f t="shared" si="3"/>
        <v>1.2227642276422764E-2</v>
      </c>
      <c r="P6" s="3">
        <f t="shared" si="4"/>
        <v>4.2</v>
      </c>
      <c r="Q6" s="3">
        <f t="shared" si="5"/>
        <v>12.505040650406503</v>
      </c>
      <c r="R6" s="3">
        <f t="shared" si="6"/>
        <v>4.4075880758807591</v>
      </c>
    </row>
    <row r="7" spans="1:27" x14ac:dyDescent="0.3">
      <c r="A7" t="s">
        <v>26</v>
      </c>
      <c r="B7" s="2">
        <v>44837</v>
      </c>
      <c r="C7">
        <v>6</v>
      </c>
      <c r="D7" s="1">
        <v>2.6970000000000001</v>
      </c>
      <c r="E7">
        <v>819.6</v>
      </c>
      <c r="F7">
        <v>1933.33</v>
      </c>
      <c r="G7">
        <v>972</v>
      </c>
      <c r="H7">
        <v>182</v>
      </c>
      <c r="I7">
        <v>39693.879999999997</v>
      </c>
      <c r="J7" t="s">
        <v>112</v>
      </c>
      <c r="K7" s="3">
        <f t="shared" si="0"/>
        <v>303.89321468298107</v>
      </c>
      <c r="L7" s="3">
        <f t="shared" si="1"/>
        <v>1.989022633744856</v>
      </c>
      <c r="M7" s="3">
        <f t="shared" si="2"/>
        <v>218.09824175824176</v>
      </c>
      <c r="N7" s="3">
        <v>137.11666666666599</v>
      </c>
      <c r="O7" s="3">
        <f t="shared" si="3"/>
        <v>1.9669381305457735E-2</v>
      </c>
      <c r="P7" s="3">
        <f t="shared" si="4"/>
        <v>5.9773915157408828</v>
      </c>
      <c r="Q7" s="3">
        <f t="shared" si="5"/>
        <v>14.099890604108491</v>
      </c>
      <c r="R7" s="3">
        <f t="shared" si="6"/>
        <v>7.0888537741582942</v>
      </c>
      <c r="AA7" s="9"/>
    </row>
    <row r="8" spans="1:27" x14ac:dyDescent="0.3">
      <c r="A8" t="s">
        <v>26</v>
      </c>
      <c r="B8" s="2">
        <v>44838</v>
      </c>
      <c r="C8">
        <v>7</v>
      </c>
      <c r="D8" s="1">
        <v>1.218</v>
      </c>
      <c r="E8">
        <v>527.12</v>
      </c>
      <c r="F8">
        <v>311.43</v>
      </c>
      <c r="G8">
        <v>439.1</v>
      </c>
      <c r="H8">
        <v>33</v>
      </c>
      <c r="I8">
        <v>8762.99</v>
      </c>
      <c r="J8" t="s">
        <v>113</v>
      </c>
      <c r="K8" s="3">
        <f t="shared" si="0"/>
        <v>432.77504105090316</v>
      </c>
      <c r="L8" s="3">
        <f t="shared" si="1"/>
        <v>0.70924618537918471</v>
      </c>
      <c r="M8" s="3">
        <f t="shared" si="2"/>
        <v>265.54515151515153</v>
      </c>
      <c r="N8" s="3">
        <v>111.23</v>
      </c>
      <c r="O8" s="3">
        <f t="shared" si="3"/>
        <v>1.0950283196979231E-2</v>
      </c>
      <c r="P8" s="3">
        <f t="shared" si="4"/>
        <v>4.7390092600917013</v>
      </c>
      <c r="Q8" s="3">
        <f t="shared" si="5"/>
        <v>2.7998741346758966</v>
      </c>
      <c r="R8" s="3">
        <f t="shared" si="6"/>
        <v>3.9476759866942372</v>
      </c>
      <c r="AA8" s="9"/>
    </row>
    <row r="9" spans="1:27" x14ac:dyDescent="0.3">
      <c r="A9" t="s">
        <v>26</v>
      </c>
      <c r="B9" s="2">
        <v>44840</v>
      </c>
      <c r="C9">
        <v>8</v>
      </c>
      <c r="D9" s="1">
        <v>3.1440000000000001</v>
      </c>
      <c r="E9">
        <v>964.9</v>
      </c>
      <c r="F9">
        <v>2559.88</v>
      </c>
      <c r="G9">
        <v>1133.0999999999999</v>
      </c>
      <c r="H9">
        <v>292</v>
      </c>
      <c r="I9">
        <v>48966</v>
      </c>
      <c r="J9" t="s">
        <v>114</v>
      </c>
      <c r="K9" s="3">
        <f t="shared" si="0"/>
        <v>306.90203562340963</v>
      </c>
      <c r="L9" s="3">
        <f t="shared" si="1"/>
        <v>2.2591827729238374</v>
      </c>
      <c r="M9" s="3">
        <f t="shared" si="2"/>
        <v>167.6917808219178</v>
      </c>
      <c r="N9" s="3">
        <f>145.4+27.5</f>
        <v>172.9</v>
      </c>
      <c r="O9" s="3">
        <f t="shared" si="3"/>
        <v>1.8183921341816078E-2</v>
      </c>
      <c r="P9" s="3">
        <f t="shared" si="4"/>
        <v>5.5806824754193176</v>
      </c>
      <c r="Q9" s="3">
        <f t="shared" si="5"/>
        <v>14.805552342394448</v>
      </c>
      <c r="R9" s="3">
        <f t="shared" si="6"/>
        <v>6.5534991324465004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  <c r="AA9" s="9"/>
    </row>
    <row r="10" spans="1:27" x14ac:dyDescent="0.3">
      <c r="A10" t="s">
        <v>26</v>
      </c>
      <c r="B10" s="2">
        <v>44841</v>
      </c>
      <c r="C10">
        <v>9</v>
      </c>
      <c r="D10" s="1">
        <v>2.4350000000000001</v>
      </c>
      <c r="E10">
        <v>708.21</v>
      </c>
      <c r="F10">
        <v>1699.9</v>
      </c>
      <c r="G10">
        <v>877.5</v>
      </c>
      <c r="H10">
        <v>63</v>
      </c>
      <c r="I10">
        <v>15980.62</v>
      </c>
      <c r="J10" t="s">
        <v>115</v>
      </c>
      <c r="K10" s="3">
        <f t="shared" si="0"/>
        <v>290.8459958932238</v>
      </c>
      <c r="L10" s="3">
        <f t="shared" si="1"/>
        <v>1.9372079772079773</v>
      </c>
      <c r="M10" s="3">
        <f t="shared" si="2"/>
        <v>253.66063492063492</v>
      </c>
      <c r="N10" s="3">
        <v>115.583</v>
      </c>
      <c r="O10" s="3">
        <f t="shared" si="3"/>
        <v>2.1067111945528322E-2</v>
      </c>
      <c r="P10" s="3">
        <f t="shared" si="4"/>
        <v>6.1272851543912168</v>
      </c>
      <c r="Q10" s="3">
        <f t="shared" si="5"/>
        <v>14.707180121644187</v>
      </c>
      <c r="R10" s="3">
        <f t="shared" si="6"/>
        <v>7.5919469126082557</v>
      </c>
      <c r="AA10" s="9"/>
    </row>
    <row r="11" spans="1:27" x14ac:dyDescent="0.3">
      <c r="A11" t="s">
        <v>26</v>
      </c>
      <c r="B11" s="2">
        <v>44842</v>
      </c>
      <c r="C11">
        <v>10</v>
      </c>
      <c r="D11" s="1">
        <v>2.355</v>
      </c>
      <c r="E11">
        <v>614.36</v>
      </c>
      <c r="F11">
        <v>1405.55</v>
      </c>
      <c r="G11">
        <v>848.8</v>
      </c>
      <c r="H11">
        <v>157</v>
      </c>
      <c r="I11">
        <v>31542.37</v>
      </c>
      <c r="J11" t="s">
        <v>116</v>
      </c>
      <c r="K11" s="3">
        <f t="shared" si="0"/>
        <v>260.87473460721867</v>
      </c>
      <c r="L11" s="3">
        <f t="shared" si="1"/>
        <v>1.655926013195099</v>
      </c>
      <c r="M11" s="3">
        <f t="shared" si="2"/>
        <v>200.90681528662421</v>
      </c>
      <c r="N11" s="3">
        <v>101.733</v>
      </c>
      <c r="O11" s="3">
        <f t="shared" si="3"/>
        <v>2.31488307628793E-2</v>
      </c>
      <c r="P11" s="3">
        <f t="shared" si="4"/>
        <v>6.0389450817335577</v>
      </c>
      <c r="Q11" s="3">
        <f t="shared" si="5"/>
        <v>13.816067549369427</v>
      </c>
      <c r="R11" s="3">
        <f t="shared" si="6"/>
        <v>8.3434087267651584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0" si="7">(D11-S11)/S11</f>
        <v>#REF!</v>
      </c>
      <c r="X11" s="5" t="e">
        <f t="shared" ref="X11:X20" si="8">(E11-T11)/T11</f>
        <v>#REF!</v>
      </c>
      <c r="Y11" s="5" t="e">
        <f t="shared" ref="Y11:Y20" si="9">(F11-U11)/U11</f>
        <v>#REF!</v>
      </c>
      <c r="Z11" s="5" t="e">
        <f t="shared" ref="Z11:Z20" si="10">(G11-V11)/V11</f>
        <v>#REF!</v>
      </c>
      <c r="AA11" s="9"/>
    </row>
    <row r="12" spans="1:27" x14ac:dyDescent="0.3">
      <c r="A12" t="s">
        <v>26</v>
      </c>
      <c r="B12" s="2">
        <v>44844</v>
      </c>
      <c r="C12">
        <v>11</v>
      </c>
      <c r="D12" s="1">
        <v>2.1190000000000002</v>
      </c>
      <c r="E12">
        <v>785.99</v>
      </c>
      <c r="F12">
        <v>776.28</v>
      </c>
      <c r="G12">
        <v>763.7</v>
      </c>
      <c r="H12">
        <v>72</v>
      </c>
      <c r="I12">
        <v>19541.11</v>
      </c>
      <c r="J12" t="s">
        <v>117</v>
      </c>
      <c r="K12" s="3">
        <f t="shared" si="0"/>
        <v>370.92496460594617</v>
      </c>
      <c r="L12" s="3">
        <f t="shared" si="1"/>
        <v>1.016472436820741</v>
      </c>
      <c r="M12" s="3">
        <f t="shared" si="2"/>
        <v>271.40430555555554</v>
      </c>
      <c r="N12" s="3">
        <f>126.033+7+12</f>
        <v>145.03300000000002</v>
      </c>
      <c r="O12" s="3">
        <f t="shared" si="3"/>
        <v>1.4610467962463715E-2</v>
      </c>
      <c r="P12" s="3">
        <f t="shared" si="4"/>
        <v>5.4193873118531641</v>
      </c>
      <c r="Q12" s="3">
        <f t="shared" si="5"/>
        <v>5.3524370315721246</v>
      </c>
      <c r="R12" s="3">
        <f t="shared" si="6"/>
        <v>5.2656981514551857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  <c r="AA12" s="9"/>
    </row>
    <row r="13" spans="1:27" x14ac:dyDescent="0.3">
      <c r="A13" t="s">
        <v>26</v>
      </c>
      <c r="B13" s="2">
        <v>44845</v>
      </c>
      <c r="C13">
        <v>12</v>
      </c>
      <c r="D13">
        <v>0.25700000000000001</v>
      </c>
      <c r="E13">
        <v>301.31</v>
      </c>
      <c r="F13">
        <v>20.76</v>
      </c>
      <c r="G13">
        <v>92.7</v>
      </c>
      <c r="H13">
        <v>41</v>
      </c>
      <c r="I13">
        <v>6963.72</v>
      </c>
      <c r="J13" t="s">
        <v>118</v>
      </c>
      <c r="K13" s="3">
        <f t="shared" si="0"/>
        <v>1172.4124513618676</v>
      </c>
      <c r="L13" s="3">
        <f t="shared" si="1"/>
        <v>0.22394822006472492</v>
      </c>
      <c r="M13" s="3">
        <f t="shared" si="2"/>
        <v>169.84682926829268</v>
      </c>
      <c r="N13" s="3">
        <v>83.183000000000007</v>
      </c>
      <c r="O13" s="3">
        <f t="shared" si="3"/>
        <v>3.0895735907577266E-3</v>
      </c>
      <c r="P13" s="3">
        <f t="shared" si="4"/>
        <v>3.6222545472031542</v>
      </c>
      <c r="Q13" s="3">
        <f t="shared" si="5"/>
        <v>0.24957022468533233</v>
      </c>
      <c r="R13" s="3">
        <f t="shared" si="6"/>
        <v>1.1144103963550245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  <c r="AA13" s="9"/>
    </row>
    <row r="14" spans="1:27" x14ac:dyDescent="0.3">
      <c r="A14" t="s">
        <v>26</v>
      </c>
      <c r="B14" s="2">
        <v>44847</v>
      </c>
      <c r="C14">
        <v>13</v>
      </c>
      <c r="D14">
        <v>1.671</v>
      </c>
      <c r="E14">
        <v>522.88</v>
      </c>
      <c r="F14">
        <v>347.89</v>
      </c>
      <c r="G14">
        <v>602.4</v>
      </c>
      <c r="H14">
        <v>91</v>
      </c>
      <c r="I14">
        <v>17173.310000000001</v>
      </c>
      <c r="J14" t="s">
        <v>119</v>
      </c>
      <c r="K14" s="3">
        <f t="shared" si="0"/>
        <v>312.91442250149612</v>
      </c>
      <c r="L14" s="3">
        <f t="shared" si="1"/>
        <v>0.57750664010624175</v>
      </c>
      <c r="M14" s="3">
        <f t="shared" si="2"/>
        <v>188.71769230769232</v>
      </c>
      <c r="N14" s="3">
        <f>112.017</f>
        <v>112.017</v>
      </c>
      <c r="O14" s="3">
        <f t="shared" si="3"/>
        <v>1.4917378612174939E-2</v>
      </c>
      <c r="P14" s="3">
        <f t="shared" si="4"/>
        <v>4.6678629136648899</v>
      </c>
      <c r="Q14" s="3">
        <f t="shared" si="5"/>
        <v>3.1056893150146854</v>
      </c>
      <c r="R14" s="3">
        <f t="shared" si="6"/>
        <v>5.3777551621628863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  <c r="AA14" s="9"/>
    </row>
    <row r="15" spans="1:27" x14ac:dyDescent="0.3">
      <c r="A15" t="s">
        <v>26</v>
      </c>
      <c r="B15" s="2">
        <v>44852</v>
      </c>
      <c r="C15">
        <v>16</v>
      </c>
      <c r="D15" s="3">
        <v>3.3072181818181816</v>
      </c>
      <c r="E15" s="3">
        <v>943.51121818181821</v>
      </c>
      <c r="F15" s="3">
        <v>2237.7612181818181</v>
      </c>
      <c r="G15" s="3">
        <v>1090.9812181818181</v>
      </c>
      <c r="H15" s="3">
        <v>175</v>
      </c>
      <c r="I15" s="3">
        <v>40536.79</v>
      </c>
      <c r="J15" s="6">
        <v>4.9780092592592591E-2</v>
      </c>
      <c r="K15" s="3">
        <f t="shared" si="0"/>
        <v>285.28847094784413</v>
      </c>
      <c r="L15" s="3">
        <f t="shared" si="1"/>
        <v>2.0511455017632416</v>
      </c>
      <c r="M15" s="3">
        <f t="shared" si="2"/>
        <v>231.6388</v>
      </c>
      <c r="N15" s="3">
        <v>145</v>
      </c>
      <c r="O15" s="3">
        <f t="shared" si="3"/>
        <v>2.2808401253918493E-2</v>
      </c>
      <c r="P15" s="3">
        <f t="shared" si="4"/>
        <v>6.5069739184952979</v>
      </c>
      <c r="Q15" s="3">
        <f t="shared" si="5"/>
        <v>15.432835987460814</v>
      </c>
      <c r="R15" s="3">
        <f t="shared" si="6"/>
        <v>7.5240084012539183</v>
      </c>
      <c r="S15" s="1" t="e">
        <f>(SUMIF(#REF!,#REF!,D$103:D$157)/COUNTIF(#REF!,#REF!))</f>
        <v>#REF!</v>
      </c>
      <c r="T15" s="1" t="e">
        <f>(SUMIF(#REF!,#REF!,E$103:E$157)/COUNTIF(#REF!,#REF!))</f>
        <v>#REF!</v>
      </c>
      <c r="U15" s="1" t="e">
        <f>(SUMIF(#REF!,#REF!,F$103:F$157)/COUNTIF(#REF!,#REF!))</f>
        <v>#REF!</v>
      </c>
      <c r="V15" s="1" t="e">
        <f>(SUMIF(#REF!,#REF!,G$103:G$157)/COUNTIF(#REF!,#REF!))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  <c r="AA15" s="9"/>
    </row>
    <row r="16" spans="1:27" x14ac:dyDescent="0.3">
      <c r="A16" t="s">
        <v>26</v>
      </c>
      <c r="B16" s="2">
        <v>44854</v>
      </c>
      <c r="C16">
        <v>17</v>
      </c>
      <c r="D16">
        <v>5.1120000000000001</v>
      </c>
      <c r="E16">
        <v>1332.98</v>
      </c>
      <c r="F16">
        <v>3855.14</v>
      </c>
      <c r="G16">
        <v>1842.3</v>
      </c>
      <c r="H16">
        <v>202</v>
      </c>
      <c r="I16">
        <v>42606.63</v>
      </c>
      <c r="J16" t="s">
        <v>41</v>
      </c>
      <c r="K16" s="3">
        <f t="shared" si="0"/>
        <v>260.75508607198748</v>
      </c>
      <c r="L16" s="3">
        <f t="shared" si="1"/>
        <v>2.0925690712696086</v>
      </c>
      <c r="M16" s="3">
        <f t="shared" si="2"/>
        <v>210.92391089108909</v>
      </c>
      <c r="N16" s="3">
        <v>149.56700000000001</v>
      </c>
      <c r="O16" s="3">
        <f t="shared" si="3"/>
        <v>3.4178662405477143E-2</v>
      </c>
      <c r="P16" s="3">
        <f t="shared" si="4"/>
        <v>8.9122600573655948</v>
      </c>
      <c r="Q16" s="3">
        <f t="shared" si="5"/>
        <v>25.775338142772135</v>
      </c>
      <c r="R16" s="3">
        <f t="shared" si="6"/>
        <v>12.317556680283751</v>
      </c>
      <c r="S16" s="1" t="e">
        <f>(SUMIF(#REF!,#REF!,D$113:D$169)/COUNTIF(#REF!,#REF!))</f>
        <v>#REF!</v>
      </c>
      <c r="T16" s="1" t="e">
        <f>(SUMIF(#REF!,#REF!,E$113:E$169)/COUNTIF(#REF!,#REF!))</f>
        <v>#REF!</v>
      </c>
      <c r="U16" s="1" t="e">
        <f>(SUMIF(#REF!,#REF!,F$113:F$169)/COUNTIF(#REF!,#REF!))</f>
        <v>#REF!</v>
      </c>
      <c r="V16" s="1" t="e">
        <f>(SUMIF(#REF!,#REF!,G$113:G$169)/COUNTIF(#REF!,#REF!))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  <c r="AA16" s="9"/>
    </row>
    <row r="17" spans="1:27" x14ac:dyDescent="0.3">
      <c r="A17" t="s">
        <v>26</v>
      </c>
      <c r="B17" s="2">
        <v>44855</v>
      </c>
      <c r="C17">
        <v>18</v>
      </c>
      <c r="D17" s="7">
        <v>1.778</v>
      </c>
      <c r="E17" s="7">
        <v>929.2</v>
      </c>
      <c r="F17" s="7">
        <v>1529.64</v>
      </c>
      <c r="G17" s="7">
        <v>640.70000000000005</v>
      </c>
      <c r="H17" s="7">
        <v>232</v>
      </c>
      <c r="I17" s="7">
        <v>78213.100000000006</v>
      </c>
      <c r="J17" s="8">
        <v>3.3287037037037039E-2</v>
      </c>
      <c r="K17" s="3">
        <f t="shared" si="0"/>
        <v>522.60967379077613</v>
      </c>
      <c r="L17" s="3">
        <f t="shared" si="1"/>
        <v>2.3874512252224132</v>
      </c>
      <c r="M17" s="3">
        <f t="shared" si="2"/>
        <v>337.1254310344828</v>
      </c>
      <c r="N17" s="3">
        <v>86.533000000000001</v>
      </c>
      <c r="O17" s="3">
        <f t="shared" si="3"/>
        <v>2.0547074526481225E-2</v>
      </c>
      <c r="P17" s="3">
        <f t="shared" si="4"/>
        <v>10.73809991563912</v>
      </c>
      <c r="Q17" s="3">
        <f t="shared" si="5"/>
        <v>17.676955612309754</v>
      </c>
      <c r="R17" s="3">
        <f t="shared" si="6"/>
        <v>7.4041117261622738</v>
      </c>
      <c r="S17" s="1" t="e">
        <f>(SUMIF(#REF!,#REF!,D$125:D$181)/COUNTIF(#REF!,#REF!))</f>
        <v>#REF!</v>
      </c>
      <c r="T17" s="1" t="e">
        <f>(SUMIF(#REF!,#REF!,E$125:E$181)/COUNTIF(#REF!,#REF!))</f>
        <v>#REF!</v>
      </c>
      <c r="U17" s="1" t="e">
        <f>(SUMIF(#REF!,#REF!,F$125:F$181)/COUNTIF(#REF!,#REF!))</f>
        <v>#REF!</v>
      </c>
      <c r="V17" s="1" t="e">
        <f>(SUMIF(#REF!,#REF!,G$125:G$181)/COUNTIF(#REF!,#REF!))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  <c r="AA17" s="9"/>
    </row>
    <row r="18" spans="1:27" x14ac:dyDescent="0.3">
      <c r="A18" t="s">
        <v>58</v>
      </c>
      <c r="B18" s="2">
        <v>44856</v>
      </c>
      <c r="C18">
        <v>1</v>
      </c>
      <c r="D18">
        <v>3.17</v>
      </c>
      <c r="E18">
        <v>873.72</v>
      </c>
      <c r="F18">
        <v>2162.5500000000002</v>
      </c>
      <c r="G18">
        <v>1142.5999999999999</v>
      </c>
      <c r="H18">
        <v>139</v>
      </c>
      <c r="I18">
        <v>42424.65</v>
      </c>
      <c r="J18" t="s">
        <v>41</v>
      </c>
      <c r="K18" s="3">
        <f t="shared" si="0"/>
        <v>275.62145110410097</v>
      </c>
      <c r="L18" s="3">
        <f t="shared" si="1"/>
        <v>1.8926570978470159</v>
      </c>
      <c r="M18" s="3">
        <f t="shared" si="2"/>
        <v>305.21330935251802</v>
      </c>
      <c r="N18" s="3">
        <v>153</v>
      </c>
      <c r="O18" s="3">
        <f t="shared" si="3"/>
        <v>2.0718954248366013E-2</v>
      </c>
      <c r="P18" s="3">
        <f t="shared" si="4"/>
        <v>5.710588235294118</v>
      </c>
      <c r="Q18" s="3">
        <f t="shared" si="5"/>
        <v>14.134313725490196</v>
      </c>
      <c r="R18" s="3">
        <f t="shared" si="6"/>
        <v>7.4679738562091496</v>
      </c>
      <c r="S18" s="1" t="e">
        <f>(SUMIF(#REF!,#REF!,D$135:D$192)/COUNTIF(#REF!,#REF!))</f>
        <v>#REF!</v>
      </c>
      <c r="T18" s="1" t="e">
        <f>(SUMIF(#REF!,#REF!,E$135:E$192)/COUNTIF(#REF!,#REF!))</f>
        <v>#REF!</v>
      </c>
      <c r="U18" s="1" t="e">
        <f>(SUMIF(#REF!,#REF!,F$135:F$192)/COUNTIF(#REF!,#REF!))</f>
        <v>#REF!</v>
      </c>
      <c r="V18" s="1" t="e">
        <f>(SUMIF(#REF!,#REF!,G$135:G$192)/COUNTIF(#REF!,#REF!))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  <c r="AA18" s="9"/>
    </row>
    <row r="19" spans="1:27" x14ac:dyDescent="0.3">
      <c r="A19" t="s">
        <v>26</v>
      </c>
      <c r="B19" s="2">
        <v>44858</v>
      </c>
      <c r="C19">
        <v>19</v>
      </c>
      <c r="D19">
        <v>2.363</v>
      </c>
      <c r="E19">
        <v>2734.72</v>
      </c>
      <c r="F19">
        <v>1681.45</v>
      </c>
      <c r="G19">
        <v>851.6</v>
      </c>
      <c r="H19">
        <v>196</v>
      </c>
      <c r="I19">
        <v>76314.36</v>
      </c>
      <c r="J19" t="s">
        <v>120</v>
      </c>
      <c r="K19" s="3">
        <f t="shared" si="0"/>
        <v>1157.3085061362674</v>
      </c>
      <c r="L19" s="3">
        <f t="shared" si="1"/>
        <v>1.9744598403006106</v>
      </c>
      <c r="M19" s="3">
        <f t="shared" si="2"/>
        <v>389.35897959183671</v>
      </c>
      <c r="N19" s="3">
        <v>138.5</v>
      </c>
      <c r="O19" s="3">
        <f t="shared" si="3"/>
        <v>1.7061371841155235E-2</v>
      </c>
      <c r="P19" s="3">
        <f t="shared" si="4"/>
        <v>19.745270758122743</v>
      </c>
      <c r="Q19" s="3">
        <f t="shared" si="5"/>
        <v>12.14043321299639</v>
      </c>
      <c r="R19" s="3">
        <f t="shared" si="6"/>
        <v>6.1487364620938632</v>
      </c>
      <c r="S19" s="1" t="e">
        <f>(SUMIF(#REF!,#REF!,D$147:D$202)/COUNTIF(#REF!,#REF!))</f>
        <v>#REF!</v>
      </c>
      <c r="T19" s="1" t="e">
        <f>(SUMIF(#REF!,#REF!,E$147:E$202)/COUNTIF(#REF!,#REF!))</f>
        <v>#REF!</v>
      </c>
      <c r="U19" s="1" t="e">
        <f>(SUMIF(#REF!,#REF!,F$147:F$202)/COUNTIF(#REF!,#REF!))</f>
        <v>#REF!</v>
      </c>
      <c r="V19" s="1" t="e">
        <f>(SUMIF(#REF!,#REF!,G$147:G$202)/COUNTIF(#REF!,#REF!))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  <c r="AA19" s="9"/>
    </row>
    <row r="20" spans="1:27" x14ac:dyDescent="0.3">
      <c r="A20" t="s">
        <v>26</v>
      </c>
      <c r="B20" s="2">
        <v>44861</v>
      </c>
      <c r="C20">
        <v>21</v>
      </c>
      <c r="D20">
        <v>2.5750000000000002</v>
      </c>
      <c r="E20">
        <v>757.52</v>
      </c>
      <c r="F20">
        <v>1711.24</v>
      </c>
      <c r="G20">
        <v>927.9</v>
      </c>
      <c r="H20">
        <v>64</v>
      </c>
      <c r="I20">
        <v>21009.4</v>
      </c>
      <c r="J20" t="s">
        <v>121</v>
      </c>
      <c r="K20" s="3">
        <f t="shared" si="0"/>
        <v>294.18252427184461</v>
      </c>
      <c r="L20" s="3">
        <f t="shared" si="1"/>
        <v>1.8442073499299494</v>
      </c>
      <c r="M20" s="3">
        <f t="shared" si="2"/>
        <v>328.27187500000002</v>
      </c>
      <c r="N20" s="3">
        <v>107</v>
      </c>
      <c r="O20" s="3">
        <f t="shared" si="3"/>
        <v>2.4065420560747664E-2</v>
      </c>
      <c r="P20" s="3">
        <f t="shared" si="4"/>
        <v>7.0796261682242987</v>
      </c>
      <c r="Q20" s="3">
        <f t="shared" si="5"/>
        <v>15.992897196261682</v>
      </c>
      <c r="R20" s="3">
        <f t="shared" si="6"/>
        <v>8.6719626168224302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  <c r="AA20" s="9"/>
    </row>
  </sheetData>
  <conditionalFormatting sqref="W7:Z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3D8A-6D04-4782-A350-0AE2981E6046}">
  <dimension ref="A1:AA20"/>
  <sheetViews>
    <sheetView workbookViewId="0">
      <selection activeCell="A14" sqref="A14"/>
    </sheetView>
  </sheetViews>
  <sheetFormatPr defaultRowHeight="14.4" x14ac:dyDescent="0.3"/>
  <cols>
    <col min="1" max="27" width="15.77734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 t="s">
        <v>26</v>
      </c>
      <c r="B2" s="2">
        <v>44830</v>
      </c>
      <c r="C2">
        <v>1</v>
      </c>
      <c r="D2" s="1">
        <v>2.2480000000000002</v>
      </c>
      <c r="E2">
        <v>1167.25</v>
      </c>
      <c r="F2">
        <v>1570.77</v>
      </c>
      <c r="G2">
        <v>859.9</v>
      </c>
      <c r="H2">
        <v>329</v>
      </c>
      <c r="I2">
        <v>110200.6</v>
      </c>
      <c r="J2" t="s">
        <v>122</v>
      </c>
      <c r="K2" s="3">
        <f t="shared" ref="K2:K20" si="0">E2/D2</f>
        <v>519.23932384341629</v>
      </c>
      <c r="L2" s="3">
        <f t="shared" ref="L2:L20" si="1">F2/G2</f>
        <v>1.8266891499011513</v>
      </c>
      <c r="M2" s="3">
        <f t="shared" ref="M2:M20" si="2">I2/H2</f>
        <v>334.95623100303953</v>
      </c>
      <c r="N2" s="3">
        <v>106.88333333333333</v>
      </c>
      <c r="O2" s="3">
        <f t="shared" ref="O2:O20" si="3">D2/$N2</f>
        <v>2.1032278184936852E-2</v>
      </c>
      <c r="P2" s="3">
        <f t="shared" ref="P2:P20" si="4">E2/$N2</f>
        <v>10.920785903633245</v>
      </c>
      <c r="Q2" s="3">
        <f t="shared" ref="Q2:Q20" si="5">F2/$N2</f>
        <v>14.696117261811946</v>
      </c>
      <c r="R2" s="3">
        <f t="shared" ref="R2:R20" si="6">G2/$N2</f>
        <v>8.045220645563699</v>
      </c>
      <c r="AA2" s="9"/>
    </row>
    <row r="3" spans="1:27" x14ac:dyDescent="0.3">
      <c r="A3" t="s">
        <v>26</v>
      </c>
      <c r="B3" s="2">
        <v>44831</v>
      </c>
      <c r="C3">
        <v>2</v>
      </c>
      <c r="D3" s="1">
        <v>2.0449999999999999</v>
      </c>
      <c r="E3">
        <v>1048.1600000000001</v>
      </c>
      <c r="F3">
        <v>1534.89</v>
      </c>
      <c r="G3">
        <v>782</v>
      </c>
      <c r="H3">
        <v>333</v>
      </c>
      <c r="I3">
        <v>109417.8</v>
      </c>
      <c r="J3" t="s">
        <v>123</v>
      </c>
      <c r="K3" s="3">
        <f t="shared" si="0"/>
        <v>512.54767726161379</v>
      </c>
      <c r="L3" s="3">
        <f t="shared" si="1"/>
        <v>1.9627749360613811</v>
      </c>
      <c r="M3" s="3">
        <f t="shared" si="2"/>
        <v>328.58198198198198</v>
      </c>
      <c r="N3" s="3">
        <v>108.81666666666599</v>
      </c>
      <c r="O3" s="3">
        <f t="shared" si="3"/>
        <v>1.8793077040894585E-2</v>
      </c>
      <c r="P3" s="3">
        <f t="shared" si="4"/>
        <v>9.6323479859090817</v>
      </c>
      <c r="Q3" s="3">
        <f t="shared" si="5"/>
        <v>14.105284117016476</v>
      </c>
      <c r="R3" s="3">
        <f t="shared" si="6"/>
        <v>7.1863991422882965</v>
      </c>
      <c r="AA3" s="9"/>
    </row>
    <row r="4" spans="1:27" x14ac:dyDescent="0.3">
      <c r="A4" t="s">
        <v>26</v>
      </c>
      <c r="B4" s="2">
        <v>44833</v>
      </c>
      <c r="C4">
        <v>3</v>
      </c>
      <c r="D4" s="1">
        <v>1.673</v>
      </c>
      <c r="E4">
        <v>526.55999999999995</v>
      </c>
      <c r="F4">
        <v>661.56</v>
      </c>
      <c r="G4">
        <v>639.79999999999995</v>
      </c>
      <c r="H4">
        <v>67</v>
      </c>
      <c r="I4">
        <v>19762.419999999998</v>
      </c>
      <c r="J4" t="s">
        <v>44</v>
      </c>
      <c r="K4" s="3">
        <f t="shared" si="0"/>
        <v>314.73998804542731</v>
      </c>
      <c r="L4" s="3">
        <f t="shared" si="1"/>
        <v>1.0340106283213504</v>
      </c>
      <c r="M4" s="3">
        <f t="shared" si="2"/>
        <v>294.9614925373134</v>
      </c>
      <c r="N4" s="3">
        <v>125.56666666666599</v>
      </c>
      <c r="O4" s="3">
        <f t="shared" si="3"/>
        <v>1.3323599681444191E-2</v>
      </c>
      <c r="P4" s="3">
        <f t="shared" si="4"/>
        <v>4.1934696044598043</v>
      </c>
      <c r="Q4" s="3">
        <f t="shared" si="5"/>
        <v>5.2685956994956475</v>
      </c>
      <c r="R4" s="3">
        <f t="shared" si="6"/>
        <v>5.0953013007698704</v>
      </c>
      <c r="S4" s="3" t="e">
        <f>AVERAGE(#REF!,#REF!)</f>
        <v>#REF!</v>
      </c>
      <c r="T4" s="3" t="e">
        <f>AVERAGE(#REF!,#REF!)</f>
        <v>#REF!</v>
      </c>
      <c r="AA4" s="9"/>
    </row>
    <row r="5" spans="1:27" x14ac:dyDescent="0.3">
      <c r="A5" t="s">
        <v>26</v>
      </c>
      <c r="B5" s="2">
        <v>44834</v>
      </c>
      <c r="C5">
        <v>4</v>
      </c>
      <c r="D5" s="1">
        <v>2.399</v>
      </c>
      <c r="E5">
        <v>1205.6500000000001</v>
      </c>
      <c r="F5">
        <v>1765.2</v>
      </c>
      <c r="G5">
        <v>917.6</v>
      </c>
      <c r="H5">
        <v>371</v>
      </c>
      <c r="I5">
        <v>122907.97</v>
      </c>
      <c r="J5" t="s">
        <v>124</v>
      </c>
      <c r="K5" s="3">
        <f t="shared" si="0"/>
        <v>502.56356815339728</v>
      </c>
      <c r="L5" s="3">
        <f t="shared" si="1"/>
        <v>1.9237140366172625</v>
      </c>
      <c r="M5" s="3">
        <f t="shared" si="2"/>
        <v>331.28832884097034</v>
      </c>
      <c r="N5" s="3">
        <v>128.166666666666</v>
      </c>
      <c r="O5" s="3">
        <f t="shared" si="3"/>
        <v>1.8717815344603476E-2</v>
      </c>
      <c r="P5" s="3">
        <f t="shared" si="4"/>
        <v>9.4068920676203351</v>
      </c>
      <c r="Q5" s="3">
        <f t="shared" si="5"/>
        <v>13.772691807542333</v>
      </c>
      <c r="R5" s="3">
        <f t="shared" si="6"/>
        <v>7.1594278283485417</v>
      </c>
      <c r="AA5" s="9"/>
    </row>
    <row r="6" spans="1:27" x14ac:dyDescent="0.3">
      <c r="A6" t="s">
        <v>26</v>
      </c>
      <c r="B6" s="2">
        <v>44835</v>
      </c>
      <c r="C6">
        <v>5</v>
      </c>
      <c r="D6" s="1">
        <v>1.169</v>
      </c>
      <c r="E6">
        <v>635.33000000000004</v>
      </c>
      <c r="F6">
        <v>1174.96</v>
      </c>
      <c r="G6">
        <v>447.2</v>
      </c>
      <c r="H6">
        <v>146</v>
      </c>
      <c r="I6">
        <v>48045.99</v>
      </c>
      <c r="J6" t="s">
        <v>125</v>
      </c>
      <c r="K6" s="3">
        <f t="shared" si="0"/>
        <v>543.48160821214719</v>
      </c>
      <c r="L6" s="3">
        <f t="shared" si="1"/>
        <v>2.6273703041144905</v>
      </c>
      <c r="M6" s="3">
        <f t="shared" si="2"/>
        <v>329.08212328767121</v>
      </c>
      <c r="N6" s="3">
        <v>92.25</v>
      </c>
      <c r="O6" s="3">
        <f t="shared" si="3"/>
        <v>1.2672086720867209E-2</v>
      </c>
      <c r="P6" s="3">
        <f t="shared" si="4"/>
        <v>6.8870460704607055</v>
      </c>
      <c r="Q6" s="3">
        <f t="shared" si="5"/>
        <v>12.73669376693767</v>
      </c>
      <c r="R6" s="3">
        <f t="shared" si="6"/>
        <v>4.8476964769647699</v>
      </c>
      <c r="AA6" s="9"/>
    </row>
    <row r="7" spans="1:27" x14ac:dyDescent="0.3">
      <c r="A7" t="s">
        <v>26</v>
      </c>
      <c r="B7" s="2">
        <v>44837</v>
      </c>
      <c r="C7">
        <v>6</v>
      </c>
      <c r="D7" s="1">
        <v>2.7639999999999998</v>
      </c>
      <c r="E7">
        <v>746.59</v>
      </c>
      <c r="F7">
        <v>1991.28</v>
      </c>
      <c r="G7">
        <v>1057.2</v>
      </c>
      <c r="H7">
        <v>64</v>
      </c>
      <c r="I7">
        <v>18020.28</v>
      </c>
      <c r="J7" t="s">
        <v>126</v>
      </c>
      <c r="K7" s="3">
        <f t="shared" si="0"/>
        <v>270.11215629522434</v>
      </c>
      <c r="L7" s="3">
        <f t="shared" si="1"/>
        <v>1.8835414301929625</v>
      </c>
      <c r="M7" s="3">
        <f t="shared" si="2"/>
        <v>281.56687499999998</v>
      </c>
      <c r="N7" s="3">
        <v>137.11666666666599</v>
      </c>
      <c r="O7" s="3">
        <f t="shared" si="3"/>
        <v>2.0158016287832845E-2</v>
      </c>
      <c r="P7" s="3">
        <f t="shared" si="4"/>
        <v>5.4449252461407829</v>
      </c>
      <c r="Q7" s="3">
        <f t="shared" si="5"/>
        <v>14.52252339856577</v>
      </c>
      <c r="R7" s="3">
        <f t="shared" si="6"/>
        <v>7.7102224383129103</v>
      </c>
      <c r="AA7" s="9"/>
    </row>
    <row r="8" spans="1:27" x14ac:dyDescent="0.3">
      <c r="A8" t="s">
        <v>26</v>
      </c>
      <c r="B8" s="2">
        <v>44840</v>
      </c>
      <c r="C8">
        <v>8</v>
      </c>
      <c r="D8" s="1">
        <v>1.802</v>
      </c>
      <c r="E8">
        <v>1008.49</v>
      </c>
      <c r="F8">
        <v>1635.53</v>
      </c>
      <c r="G8">
        <v>689.4</v>
      </c>
      <c r="H8">
        <v>263</v>
      </c>
      <c r="I8">
        <v>92112.7</v>
      </c>
      <c r="J8" t="s">
        <v>127</v>
      </c>
      <c r="K8" s="3">
        <f t="shared" si="0"/>
        <v>559.65038845726974</v>
      </c>
      <c r="L8" s="3">
        <f t="shared" si="1"/>
        <v>2.3723962866260515</v>
      </c>
      <c r="M8" s="3">
        <f t="shared" si="2"/>
        <v>350.23840304182511</v>
      </c>
      <c r="N8" s="3">
        <f>145.4</f>
        <v>145.4</v>
      </c>
      <c r="O8" s="3">
        <f t="shared" si="3"/>
        <v>1.2393397524071526E-2</v>
      </c>
      <c r="P8" s="3">
        <f t="shared" si="4"/>
        <v>6.9359697386519947</v>
      </c>
      <c r="Q8" s="3">
        <f t="shared" si="5"/>
        <v>11.248486932599723</v>
      </c>
      <c r="R8" s="3">
        <f t="shared" si="6"/>
        <v>4.7414030261348001</v>
      </c>
      <c r="S8" s="3" t="e">
        <f>AVERAGE(#REF!,#REF!,#REF!,#REF!)</f>
        <v>#REF!</v>
      </c>
      <c r="T8" s="3" t="e">
        <f>AVERAGE(#REF!,#REF!,#REF!,#REF!)</f>
        <v>#REF!</v>
      </c>
      <c r="U8" s="3" t="e">
        <f>AVERAGE(#REF!,#REF!,#REF!,#REF!)</f>
        <v>#REF!</v>
      </c>
      <c r="V8" s="3" t="e">
        <f>AVERAGE(#REF!,#REF!,#REF!,#REF!)</f>
        <v>#REF!</v>
      </c>
      <c r="AA8" s="9"/>
    </row>
    <row r="9" spans="1:27" x14ac:dyDescent="0.3">
      <c r="A9" t="s">
        <v>26</v>
      </c>
      <c r="B9" s="2">
        <v>44841</v>
      </c>
      <c r="C9">
        <v>9</v>
      </c>
      <c r="D9" s="1">
        <v>2.0579999999999998</v>
      </c>
      <c r="E9">
        <v>1024.1500000000001</v>
      </c>
      <c r="F9">
        <v>1713.59</v>
      </c>
      <c r="G9">
        <v>787.4</v>
      </c>
      <c r="H9">
        <v>357</v>
      </c>
      <c r="I9">
        <v>111076.32</v>
      </c>
      <c r="J9" t="s">
        <v>128</v>
      </c>
      <c r="K9" s="3">
        <f t="shared" si="0"/>
        <v>497.64334305150641</v>
      </c>
      <c r="L9" s="3">
        <f t="shared" si="1"/>
        <v>2.1762636525273051</v>
      </c>
      <c r="M9" s="3">
        <f t="shared" si="2"/>
        <v>311.13815126050423</v>
      </c>
      <c r="N9" s="3">
        <v>115.583</v>
      </c>
      <c r="O9" s="3">
        <f t="shared" si="3"/>
        <v>1.7805386605296625E-2</v>
      </c>
      <c r="P9" s="3">
        <f t="shared" si="4"/>
        <v>8.8607321145843247</v>
      </c>
      <c r="Q9" s="3">
        <f t="shared" si="5"/>
        <v>14.825623145272228</v>
      </c>
      <c r="R9" s="3">
        <f t="shared" si="6"/>
        <v>6.8124205116669403</v>
      </c>
      <c r="AA9" s="9"/>
    </row>
    <row r="10" spans="1:27" x14ac:dyDescent="0.3">
      <c r="A10" t="s">
        <v>26</v>
      </c>
      <c r="B10" s="2">
        <v>44842</v>
      </c>
      <c r="C10">
        <v>10</v>
      </c>
      <c r="D10" s="1">
        <v>2.476</v>
      </c>
      <c r="E10">
        <v>1138.95</v>
      </c>
      <c r="F10">
        <v>1566.26</v>
      </c>
      <c r="G10">
        <v>946.9</v>
      </c>
      <c r="H10">
        <v>453</v>
      </c>
      <c r="I10">
        <v>138818.4</v>
      </c>
      <c r="J10" t="s">
        <v>129</v>
      </c>
      <c r="K10" s="3">
        <f t="shared" si="0"/>
        <v>459.99596122778678</v>
      </c>
      <c r="L10" s="3">
        <f t="shared" si="1"/>
        <v>1.6540923011933679</v>
      </c>
      <c r="M10" s="3">
        <f t="shared" si="2"/>
        <v>306.44238410596023</v>
      </c>
      <c r="N10" s="3">
        <v>101.733</v>
      </c>
      <c r="O10" s="3">
        <f t="shared" si="3"/>
        <v>2.4338218670441253E-2</v>
      </c>
      <c r="P10" s="3">
        <f t="shared" si="4"/>
        <v>11.195482291881691</v>
      </c>
      <c r="Q10" s="3">
        <f t="shared" si="5"/>
        <v>15.395790942958527</v>
      </c>
      <c r="R10" s="3">
        <f t="shared" si="6"/>
        <v>9.3076976005819141</v>
      </c>
      <c r="S10" s="1" t="e">
        <f>(SUMIF(#REF!,#REF!,D$47:D$102)/COUNTIF(#REF!,#REF!))</f>
        <v>#REF!</v>
      </c>
      <c r="T10" s="4" t="e">
        <f>(SUMIF(#REF!,#REF!,E$47:E$102)/COUNTIF(#REF!,#REF!))</f>
        <v>#REF!</v>
      </c>
      <c r="U10" s="4" t="e">
        <f>(SUMIF(#REF!,#REF!,F$47:F$102)/COUNTIF(#REF!,#REF!))</f>
        <v>#REF!</v>
      </c>
      <c r="V10" s="4" t="e">
        <f>(SUMIF(#REF!,#REF!,G$47:G$102)/COUNTIF(#REF!,#REF!))</f>
        <v>#REF!</v>
      </c>
      <c r="W10" s="5" t="e">
        <f t="shared" ref="W10:W20" si="7">(D10-S10)/S10</f>
        <v>#REF!</v>
      </c>
      <c r="X10" s="5" t="e">
        <f t="shared" ref="X10:X20" si="8">(E10-T10)/T10</f>
        <v>#REF!</v>
      </c>
      <c r="Y10" s="5" t="e">
        <f t="shared" ref="Y10:Y20" si="9">(F10-U10)/U10</f>
        <v>#REF!</v>
      </c>
      <c r="Z10" s="5" t="e">
        <f t="shared" ref="Z10:Z20" si="10">(G10-V10)/V10</f>
        <v>#REF!</v>
      </c>
    </row>
    <row r="11" spans="1:27" x14ac:dyDescent="0.3">
      <c r="A11" t="s">
        <v>26</v>
      </c>
      <c r="B11" s="2">
        <v>44844</v>
      </c>
      <c r="C11">
        <v>11</v>
      </c>
      <c r="D11" s="1">
        <v>1.167</v>
      </c>
      <c r="E11">
        <v>709.98</v>
      </c>
      <c r="F11">
        <v>1224.76</v>
      </c>
      <c r="G11">
        <v>446.5</v>
      </c>
      <c r="H11">
        <v>221</v>
      </c>
      <c r="I11">
        <v>63437.8</v>
      </c>
      <c r="J11" t="s">
        <v>130</v>
      </c>
      <c r="K11" s="3">
        <f t="shared" si="0"/>
        <v>608.38046272493568</v>
      </c>
      <c r="L11" s="3">
        <f t="shared" si="1"/>
        <v>2.7430235162374021</v>
      </c>
      <c r="M11" s="3">
        <f t="shared" si="2"/>
        <v>287.04886877828056</v>
      </c>
      <c r="N11" s="3">
        <v>126.033</v>
      </c>
      <c r="O11" s="3">
        <f t="shared" si="3"/>
        <v>9.2594796600890244E-3</v>
      </c>
      <c r="P11" s="3">
        <f t="shared" si="4"/>
        <v>5.6332865201970916</v>
      </c>
      <c r="Q11" s="3">
        <f t="shared" si="5"/>
        <v>9.7177723294692662</v>
      </c>
      <c r="R11" s="3">
        <f t="shared" si="6"/>
        <v>3.5427229376433158</v>
      </c>
      <c r="S11" s="1" t="e">
        <f>(SUMIF(#REF!,#REF!,D$58:D$112)/COUNTIF(#REF!,#REF!))</f>
        <v>#REF!</v>
      </c>
      <c r="T11" s="4" t="e">
        <f>(SUMIF(#REF!,#REF!,E$58:E$112)/COUNTIF(#REF!,#REF!))</f>
        <v>#REF!</v>
      </c>
      <c r="U11" s="4" t="e">
        <f>(SUMIF(#REF!,#REF!,F$58:F$112)/COUNTIF(#REF!,#REF!))</f>
        <v>#REF!</v>
      </c>
      <c r="V11" s="4" t="e">
        <f>(SUMIF(#REF!,#REF!,G$58:G$112)/COUNTIF(#REF!,#REF!))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7" x14ac:dyDescent="0.3">
      <c r="A12" t="s">
        <v>26</v>
      </c>
      <c r="B12" s="2">
        <v>44847</v>
      </c>
      <c r="C12">
        <v>13</v>
      </c>
      <c r="D12">
        <v>1.9770000000000001</v>
      </c>
      <c r="E12">
        <v>1043.54</v>
      </c>
      <c r="F12">
        <v>1436.2</v>
      </c>
      <c r="G12">
        <v>756.1</v>
      </c>
      <c r="H12">
        <v>325</v>
      </c>
      <c r="I12">
        <v>101577.1</v>
      </c>
      <c r="J12" t="s">
        <v>131</v>
      </c>
      <c r="K12" s="3">
        <f t="shared" si="0"/>
        <v>527.84016186140616</v>
      </c>
      <c r="L12" s="3">
        <f t="shared" si="1"/>
        <v>1.8994841952122734</v>
      </c>
      <c r="M12" s="3">
        <f t="shared" si="2"/>
        <v>312.54492307692311</v>
      </c>
      <c r="N12" s="3">
        <f>112.017</f>
        <v>112.017</v>
      </c>
      <c r="O12" s="3">
        <f t="shared" si="3"/>
        <v>1.7649106831998718E-2</v>
      </c>
      <c r="P12" s="3">
        <f t="shared" si="4"/>
        <v>9.3159074069114514</v>
      </c>
      <c r="Q12" s="3">
        <f t="shared" si="5"/>
        <v>12.821268200362447</v>
      </c>
      <c r="R12" s="3">
        <f t="shared" si="6"/>
        <v>6.7498683235580321</v>
      </c>
      <c r="S12" s="1" t="e">
        <f>(SUMIF(#REF!,#REF!,D$81:D$134)/COUNTIF(#REF!,#REF!))</f>
        <v>#REF!</v>
      </c>
      <c r="T12" s="1" t="e">
        <f>(SUMIF(#REF!,#REF!,E$81:E$134)/COUNTIF(#REF!,#REF!))</f>
        <v>#REF!</v>
      </c>
      <c r="U12" s="1" t="e">
        <f>(SUMIF(#REF!,#REF!,F$81:F$134)/COUNTIF(#REF!,#REF!))</f>
        <v>#REF!</v>
      </c>
      <c r="V12" s="1" t="e">
        <f>(SUMIF(#REF!,#REF!,G$81:G$134)/COUNTIF(#REF!,#REF!))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7" x14ac:dyDescent="0.3">
      <c r="A13" t="s">
        <v>26</v>
      </c>
      <c r="B13" s="2">
        <v>44849</v>
      </c>
      <c r="C13">
        <v>15</v>
      </c>
      <c r="D13">
        <v>2.2559999999999998</v>
      </c>
      <c r="E13">
        <v>1158.18</v>
      </c>
      <c r="F13">
        <v>1725.64</v>
      </c>
      <c r="G13">
        <v>862.8</v>
      </c>
      <c r="H13">
        <v>392</v>
      </c>
      <c r="I13">
        <v>144359.98000000001</v>
      </c>
      <c r="J13" t="s">
        <v>132</v>
      </c>
      <c r="K13" s="3">
        <f t="shared" si="0"/>
        <v>513.37765957446811</v>
      </c>
      <c r="L13" s="3">
        <f t="shared" si="1"/>
        <v>2.0000463606861385</v>
      </c>
      <c r="M13" s="3">
        <f t="shared" si="2"/>
        <v>368.26525510204084</v>
      </c>
      <c r="N13" s="3">
        <v>119.95</v>
      </c>
      <c r="O13" s="3">
        <f t="shared" si="3"/>
        <v>1.880783659858274E-2</v>
      </c>
      <c r="P13" s="3">
        <f t="shared" si="4"/>
        <v>9.6555231346394326</v>
      </c>
      <c r="Q13" s="3">
        <f t="shared" si="5"/>
        <v>14.386327636515215</v>
      </c>
      <c r="R13" s="3">
        <f t="shared" si="6"/>
        <v>7.1929970821175484</v>
      </c>
      <c r="S13" s="1" t="e">
        <f>(SUMIF(#REF!,#REF!,D$93:D$146)/COUNTIF(#REF!,#REF!))</f>
        <v>#REF!</v>
      </c>
      <c r="T13" s="1" t="e">
        <f>(SUMIF(#REF!,#REF!,E$93:E$146)/COUNTIF(#REF!,#REF!))</f>
        <v>#REF!</v>
      </c>
      <c r="U13" s="1" t="e">
        <f>(SUMIF(#REF!,#REF!,F$93:F$146)/COUNTIF(#REF!,#REF!))</f>
        <v>#REF!</v>
      </c>
      <c r="V13" s="1" t="e">
        <f>(SUMIF(#REF!,#REF!,G$93:G$146)/COUNTIF(#REF!,#REF!))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7" x14ac:dyDescent="0.3">
      <c r="A14" t="s">
        <v>26</v>
      </c>
      <c r="B14" s="2">
        <v>44852</v>
      </c>
      <c r="C14">
        <v>16</v>
      </c>
      <c r="D14" s="3">
        <v>3.481218181818182</v>
      </c>
      <c r="E14" s="3">
        <v>1314.2812181818181</v>
      </c>
      <c r="F14" s="3">
        <v>2231.7312181818179</v>
      </c>
      <c r="G14" s="3">
        <v>1224.4812181818181</v>
      </c>
      <c r="H14" s="3">
        <v>520</v>
      </c>
      <c r="I14" s="3">
        <v>139432.33000000002</v>
      </c>
      <c r="J14" s="6">
        <v>3.7210648148148145E-2</v>
      </c>
      <c r="K14" s="3">
        <f t="shared" si="0"/>
        <v>377.53485979307135</v>
      </c>
      <c r="L14" s="3">
        <f t="shared" si="1"/>
        <v>1.8225932623904382</v>
      </c>
      <c r="M14" s="3">
        <f t="shared" si="2"/>
        <v>268.1390961538462</v>
      </c>
      <c r="N14" s="3">
        <v>145</v>
      </c>
      <c r="O14" s="3">
        <f t="shared" si="3"/>
        <v>2.4008401253918496E-2</v>
      </c>
      <c r="P14" s="3">
        <f t="shared" si="4"/>
        <v>9.0640084012539184</v>
      </c>
      <c r="Q14" s="3">
        <f t="shared" si="5"/>
        <v>15.391249780564261</v>
      </c>
      <c r="R14" s="3">
        <f t="shared" si="6"/>
        <v>8.4446980564263328</v>
      </c>
      <c r="S14" s="1" t="e">
        <f>(SUMIF(#REF!,#REF!,D$103:D$157)/COUNTIF(#REF!,#REF!))</f>
        <v>#REF!</v>
      </c>
      <c r="T14" s="1" t="e">
        <f>(SUMIF(#REF!,#REF!,E$103:E$157)/COUNTIF(#REF!,#REF!))</f>
        <v>#REF!</v>
      </c>
      <c r="U14" s="1" t="e">
        <f>(SUMIF(#REF!,#REF!,F$103:F$157)/COUNTIF(#REF!,#REF!))</f>
        <v>#REF!</v>
      </c>
      <c r="V14" s="1" t="e">
        <f>(SUMIF(#REF!,#REF!,G$103:G$157)/COUNTIF(#REF!,#REF!))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7" x14ac:dyDescent="0.3">
      <c r="A15" t="s">
        <v>26</v>
      </c>
      <c r="B15" s="2">
        <v>44854</v>
      </c>
      <c r="C15">
        <v>17</v>
      </c>
      <c r="D15">
        <v>3.6040000000000001</v>
      </c>
      <c r="E15">
        <v>1604.58</v>
      </c>
      <c r="F15">
        <v>3410</v>
      </c>
      <c r="G15">
        <v>1378.4</v>
      </c>
      <c r="H15">
        <v>435</v>
      </c>
      <c r="I15">
        <v>122490.62</v>
      </c>
      <c r="J15" t="s">
        <v>41</v>
      </c>
      <c r="K15" s="3">
        <f t="shared" si="0"/>
        <v>445.2219755826859</v>
      </c>
      <c r="L15" s="3">
        <f t="shared" si="1"/>
        <v>2.4738827626233313</v>
      </c>
      <c r="M15" s="3">
        <f t="shared" si="2"/>
        <v>281.58763218390806</v>
      </c>
      <c r="N15" s="3">
        <v>149.56700000000001</v>
      </c>
      <c r="O15" s="3">
        <f t="shared" si="3"/>
        <v>2.4096224434534356E-2</v>
      </c>
      <c r="P15" s="3">
        <f t="shared" si="4"/>
        <v>10.728168646827173</v>
      </c>
      <c r="Q15" s="3">
        <f t="shared" si="5"/>
        <v>22.799146870633226</v>
      </c>
      <c r="R15" s="3">
        <f t="shared" si="6"/>
        <v>9.2159366705222414</v>
      </c>
      <c r="S15" s="1" t="e">
        <f>(SUMIF(#REF!,#REF!,D$113:D$169)/COUNTIF(#REF!,#REF!))</f>
        <v>#REF!</v>
      </c>
      <c r="T15" s="1" t="e">
        <f>(SUMIF(#REF!,#REF!,E$113:E$169)/COUNTIF(#REF!,#REF!))</f>
        <v>#REF!</v>
      </c>
      <c r="U15" s="1" t="e">
        <f>(SUMIF(#REF!,#REF!,F$113:F$169)/COUNTIF(#REF!,#REF!))</f>
        <v>#REF!</v>
      </c>
      <c r="V15" s="1" t="e">
        <f>(SUMIF(#REF!,#REF!,G$113:G$169)/COUNTIF(#REF!,#REF!))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7" x14ac:dyDescent="0.3">
      <c r="A16" t="s">
        <v>26</v>
      </c>
      <c r="B16" s="2">
        <v>44855</v>
      </c>
      <c r="C16">
        <v>18</v>
      </c>
      <c r="D16" s="7">
        <v>1.8260000000000001</v>
      </c>
      <c r="E16" s="7">
        <v>1022.14</v>
      </c>
      <c r="F16" s="7">
        <v>1286.1099999999999</v>
      </c>
      <c r="G16" s="7">
        <v>698.5</v>
      </c>
      <c r="H16" s="7">
        <v>283</v>
      </c>
      <c r="I16" s="7">
        <v>100653.8</v>
      </c>
      <c r="J16" s="8">
        <v>3.2511574074074075E-2</v>
      </c>
      <c r="K16" s="3">
        <f t="shared" si="0"/>
        <v>559.7699890470974</v>
      </c>
      <c r="L16" s="3">
        <f t="shared" si="1"/>
        <v>1.8412455261274157</v>
      </c>
      <c r="M16" s="3">
        <f t="shared" si="2"/>
        <v>355.6671378091873</v>
      </c>
      <c r="N16" s="3">
        <v>86.533000000000001</v>
      </c>
      <c r="O16" s="3">
        <f t="shared" si="3"/>
        <v>2.1101776200986907E-2</v>
      </c>
      <c r="P16" s="3">
        <f t="shared" si="4"/>
        <v>11.812141032900742</v>
      </c>
      <c r="Q16" s="3">
        <f t="shared" si="5"/>
        <v>14.862653554135415</v>
      </c>
      <c r="R16" s="3">
        <f t="shared" si="6"/>
        <v>8.0720649925461956</v>
      </c>
      <c r="S16" s="1" t="e">
        <f>(SUMIF(#REF!,#REF!,D$125:D$181)/COUNTIF(#REF!,#REF!))</f>
        <v>#REF!</v>
      </c>
      <c r="T16" s="1" t="e">
        <f>(SUMIF(#REF!,#REF!,E$125:E$181)/COUNTIF(#REF!,#REF!))</f>
        <v>#REF!</v>
      </c>
      <c r="U16" s="1" t="e">
        <f>(SUMIF(#REF!,#REF!,F$125:F$181)/COUNTIF(#REF!,#REF!))</f>
        <v>#REF!</v>
      </c>
      <c r="V16" s="1" t="e">
        <f>(SUMIF(#REF!,#REF!,G$125:G$181)/COUNTIF(#REF!,#REF!))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58</v>
      </c>
      <c r="B17" s="2">
        <v>44856</v>
      </c>
      <c r="C17">
        <v>1</v>
      </c>
      <c r="D17">
        <v>2.5499999999999998</v>
      </c>
      <c r="E17">
        <v>635.79</v>
      </c>
      <c r="F17">
        <v>1803.18</v>
      </c>
      <c r="G17">
        <v>975.3</v>
      </c>
      <c r="H17">
        <v>142</v>
      </c>
      <c r="I17">
        <v>45884.82</v>
      </c>
      <c r="J17" t="s">
        <v>41</v>
      </c>
      <c r="K17" s="3">
        <f t="shared" si="0"/>
        <v>249.3294117647059</v>
      </c>
      <c r="L17" s="3">
        <f t="shared" si="1"/>
        <v>1.8488465087665336</v>
      </c>
      <c r="M17" s="3">
        <f t="shared" si="2"/>
        <v>323.13253521126762</v>
      </c>
      <c r="N17" s="3">
        <v>153</v>
      </c>
      <c r="O17" s="3">
        <f t="shared" si="3"/>
        <v>1.6666666666666666E-2</v>
      </c>
      <c r="P17" s="3">
        <f t="shared" si="4"/>
        <v>4.1554901960784312</v>
      </c>
      <c r="Q17" s="3">
        <f t="shared" si="5"/>
        <v>11.785490196078431</v>
      </c>
      <c r="R17" s="3">
        <f t="shared" si="6"/>
        <v>6.3745098039215682</v>
      </c>
      <c r="S17" s="1" t="e">
        <f>(SUMIF(#REF!,#REF!,D$135:D$192)/COUNTIF(#REF!,#REF!))</f>
        <v>#REF!</v>
      </c>
      <c r="T17" s="1" t="e">
        <f>(SUMIF(#REF!,#REF!,E$135:E$192)/COUNTIF(#REF!,#REF!))</f>
        <v>#REF!</v>
      </c>
      <c r="U17" s="1" t="e">
        <f>(SUMIF(#REF!,#REF!,F$135:F$192)/COUNTIF(#REF!,#REF!))</f>
        <v>#REF!</v>
      </c>
      <c r="V17" s="1" t="e">
        <f>(SUMIF(#REF!,#REF!,G$135:G$192)/COUNTIF(#REF!,#REF!))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44858</v>
      </c>
      <c r="C18">
        <v>19</v>
      </c>
      <c r="D18">
        <v>3.1659999999999999</v>
      </c>
      <c r="E18">
        <v>1482.24</v>
      </c>
      <c r="F18">
        <v>2304.85</v>
      </c>
      <c r="G18">
        <v>1211.0999999999999</v>
      </c>
      <c r="H18">
        <v>474</v>
      </c>
      <c r="I18">
        <v>159746.64000000001</v>
      </c>
      <c r="J18" t="s">
        <v>133</v>
      </c>
      <c r="K18" s="3">
        <f t="shared" si="0"/>
        <v>468.17435249526216</v>
      </c>
      <c r="L18" s="3">
        <f t="shared" si="1"/>
        <v>1.9031046156386757</v>
      </c>
      <c r="M18" s="3">
        <f t="shared" si="2"/>
        <v>337.01822784810128</v>
      </c>
      <c r="N18" s="3">
        <v>138.5</v>
      </c>
      <c r="O18" s="3">
        <f t="shared" si="3"/>
        <v>2.2859205776173286E-2</v>
      </c>
      <c r="P18" s="3">
        <f t="shared" si="4"/>
        <v>10.702093862815884</v>
      </c>
      <c r="Q18" s="3">
        <f t="shared" si="5"/>
        <v>16.641516245487363</v>
      </c>
      <c r="R18" s="3">
        <f t="shared" si="6"/>
        <v>8.7444043321299638</v>
      </c>
      <c r="S18" s="1" t="e">
        <f>(SUMIF(#REF!,#REF!,D$147:D$202)/COUNTIF(#REF!,#REF!))</f>
        <v>#REF!</v>
      </c>
      <c r="T18" s="1" t="e">
        <f>(SUMIF(#REF!,#REF!,E$147:E$202)/COUNTIF(#REF!,#REF!))</f>
        <v>#REF!</v>
      </c>
      <c r="U18" s="1" t="e">
        <f>(SUMIF(#REF!,#REF!,F$147:F$202)/COUNTIF(#REF!,#REF!))</f>
        <v>#REF!</v>
      </c>
      <c r="V18" s="1" t="e">
        <f>(SUMIF(#REF!,#REF!,G$147:G$202)/COUNTIF(#REF!,#REF!))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44859</v>
      </c>
      <c r="C19">
        <v>20</v>
      </c>
      <c r="D19">
        <v>1.7270000000000001</v>
      </c>
      <c r="E19">
        <v>860.57</v>
      </c>
      <c r="F19">
        <v>1136.3599999999999</v>
      </c>
      <c r="G19">
        <v>660.4</v>
      </c>
      <c r="H19">
        <v>23</v>
      </c>
      <c r="I19">
        <v>6974</v>
      </c>
      <c r="J19" t="s">
        <v>134</v>
      </c>
      <c r="K19" s="3">
        <f t="shared" si="0"/>
        <v>498.30341632889406</v>
      </c>
      <c r="L19" s="3">
        <f t="shared" si="1"/>
        <v>1.7207147183525136</v>
      </c>
      <c r="M19" s="3">
        <f t="shared" si="2"/>
        <v>303.21739130434781</v>
      </c>
      <c r="N19" s="3">
        <v>88.1</v>
      </c>
      <c r="O19" s="3">
        <f t="shared" si="3"/>
        <v>1.9602724177071512E-2</v>
      </c>
      <c r="P19" s="3">
        <f t="shared" si="4"/>
        <v>9.7681044267877422</v>
      </c>
      <c r="Q19" s="3">
        <f t="shared" si="5"/>
        <v>12.898524404086265</v>
      </c>
      <c r="R19" s="3">
        <f t="shared" si="6"/>
        <v>7.4960272417707152</v>
      </c>
      <c r="S19" s="1" t="e">
        <f>(SUMIF(#REF!,#REF!,D$158:D$212)/COUNTIF(#REF!,#REF!))</f>
        <v>#REF!</v>
      </c>
      <c r="T19" s="1" t="e">
        <f>(SUMIF(#REF!,#REF!,E$158:E$212)/COUNTIF(#REF!,#REF!))</f>
        <v>#REF!</v>
      </c>
      <c r="U19" s="1" t="e">
        <f>(SUMIF(#REF!,#REF!,F$158:F$212)/COUNTIF(#REF!,#REF!))</f>
        <v>#REF!</v>
      </c>
      <c r="V19" s="1" t="e">
        <f>(SUMIF(#REF!,#REF!,G$158:G$212)/COUNTIF(#REF!,#REF!))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1.9319999999999999</v>
      </c>
      <c r="E20">
        <v>938.38</v>
      </c>
      <c r="F20">
        <v>793.9</v>
      </c>
      <c r="G20">
        <v>738.9</v>
      </c>
      <c r="H20">
        <v>20</v>
      </c>
      <c r="I20">
        <v>6184.3</v>
      </c>
      <c r="J20" t="s">
        <v>135</v>
      </c>
      <c r="K20" s="3">
        <f t="shared" si="0"/>
        <v>485.70393374741201</v>
      </c>
      <c r="L20" s="3">
        <f t="shared" si="1"/>
        <v>1.0744349709026932</v>
      </c>
      <c r="M20" s="3">
        <f t="shared" si="2"/>
        <v>309.21500000000003</v>
      </c>
      <c r="N20" s="3">
        <v>107</v>
      </c>
      <c r="O20" s="3">
        <f t="shared" si="3"/>
        <v>1.8056074766355141E-2</v>
      </c>
      <c r="P20" s="3">
        <f t="shared" si="4"/>
        <v>8.7699065420560753</v>
      </c>
      <c r="Q20" s="3">
        <f t="shared" si="5"/>
        <v>7.4196261682242985</v>
      </c>
      <c r="R20" s="3">
        <f t="shared" si="6"/>
        <v>6.905607476635514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conditionalFormatting sqref="W2:Z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4F30-AAAA-4599-A2B2-E9F9C807DA8B}">
  <dimension ref="A1:Z20"/>
  <sheetViews>
    <sheetView workbookViewId="0">
      <selection activeCell="A17" sqref="A17"/>
    </sheetView>
  </sheetViews>
  <sheetFormatPr defaultColWidth="15.77734375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1.258</v>
      </c>
      <c r="E2">
        <v>407.97</v>
      </c>
      <c r="F2">
        <v>983.83</v>
      </c>
      <c r="G2">
        <v>421.3</v>
      </c>
      <c r="H2">
        <v>169</v>
      </c>
      <c r="I2">
        <v>36448.400000000001</v>
      </c>
      <c r="J2" t="s">
        <v>136</v>
      </c>
      <c r="K2" s="3">
        <f t="shared" ref="K2:K20" si="0">E2/D2</f>
        <v>324.3004769475358</v>
      </c>
      <c r="L2" s="3">
        <f t="shared" ref="L2:L20" si="1">F2/G2</f>
        <v>2.3352243057203892</v>
      </c>
      <c r="M2" s="3">
        <f t="shared" ref="M2:M20" si="2">I2/H2</f>
        <v>215.67100591715976</v>
      </c>
      <c r="N2" s="3">
        <v>106.88333333333333</v>
      </c>
      <c r="O2" s="3">
        <f t="shared" ref="O2:O20" si="3">D2/$N2</f>
        <v>1.1769842507406831E-2</v>
      </c>
      <c r="P2" s="3">
        <f t="shared" ref="P2:P20" si="4">E2/$N2</f>
        <v>3.8169655387494159</v>
      </c>
      <c r="Q2" s="3">
        <f t="shared" ref="Q2:Q20" si="5">F2/$N2</f>
        <v>9.2047091844690474</v>
      </c>
      <c r="R2" s="3">
        <f t="shared" ref="R2:R20" si="6">G2/$N2</f>
        <v>3.9416809605488856</v>
      </c>
    </row>
    <row r="3" spans="1:26" x14ac:dyDescent="0.3">
      <c r="A3" t="s">
        <v>26</v>
      </c>
      <c r="B3" s="2">
        <v>44831</v>
      </c>
      <c r="C3">
        <v>2</v>
      </c>
      <c r="D3" s="1">
        <v>2.9279999999999999</v>
      </c>
      <c r="E3">
        <v>592.9</v>
      </c>
      <c r="F3">
        <v>1925.8</v>
      </c>
      <c r="G3">
        <v>980.7</v>
      </c>
      <c r="H3">
        <v>116</v>
      </c>
      <c r="I3">
        <v>19667.98</v>
      </c>
      <c r="J3" t="s">
        <v>137</v>
      </c>
      <c r="K3" s="3">
        <f t="shared" si="0"/>
        <v>202.4931693989071</v>
      </c>
      <c r="L3" s="3">
        <f t="shared" si="1"/>
        <v>1.9636993983889057</v>
      </c>
      <c r="M3" s="3">
        <f t="shared" si="2"/>
        <v>169.55155172413794</v>
      </c>
      <c r="N3" s="3">
        <v>108.81666666666599</v>
      </c>
      <c r="O3" s="3">
        <f t="shared" si="3"/>
        <v>2.6907642824322418E-2</v>
      </c>
      <c r="P3" s="3">
        <f t="shared" si="4"/>
        <v>5.448613876550807</v>
      </c>
      <c r="Q3" s="3">
        <f t="shared" si="5"/>
        <v>17.69765660897545</v>
      </c>
      <c r="R3" s="3">
        <f t="shared" si="6"/>
        <v>9.012406187777664</v>
      </c>
    </row>
    <row r="4" spans="1:26" x14ac:dyDescent="0.3">
      <c r="A4" t="s">
        <v>26</v>
      </c>
      <c r="B4" s="2">
        <v>44833</v>
      </c>
      <c r="C4">
        <v>3</v>
      </c>
      <c r="D4" s="1">
        <v>1.931</v>
      </c>
      <c r="E4">
        <v>685.21</v>
      </c>
      <c r="F4">
        <v>531.83000000000004</v>
      </c>
      <c r="G4">
        <v>646.70000000000005</v>
      </c>
      <c r="H4">
        <v>152</v>
      </c>
      <c r="I4">
        <v>33534.49</v>
      </c>
      <c r="J4" t="s">
        <v>138</v>
      </c>
      <c r="K4" s="3">
        <f t="shared" si="0"/>
        <v>354.84722941481101</v>
      </c>
      <c r="L4" s="3">
        <f t="shared" si="1"/>
        <v>0.82237513530230399</v>
      </c>
      <c r="M4" s="3">
        <f t="shared" si="2"/>
        <v>220.62164473684209</v>
      </c>
      <c r="N4" s="3">
        <v>125.56666666666599</v>
      </c>
      <c r="O4" s="3">
        <f t="shared" si="3"/>
        <v>1.5378285107512692E-2</v>
      </c>
      <c r="P4" s="3">
        <f t="shared" si="4"/>
        <v>5.4569418635519273</v>
      </c>
      <c r="Q4" s="3">
        <f t="shared" si="5"/>
        <v>4.2354393416512046</v>
      </c>
      <c r="R4" s="3">
        <f t="shared" si="6"/>
        <v>5.1502521900717033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3.4670000000000001</v>
      </c>
      <c r="E5">
        <v>972.37</v>
      </c>
      <c r="F5">
        <v>2559.16</v>
      </c>
      <c r="G5">
        <v>1161.2</v>
      </c>
      <c r="H5">
        <v>428</v>
      </c>
      <c r="I5">
        <v>93318.35</v>
      </c>
      <c r="J5" t="s">
        <v>139</v>
      </c>
      <c r="K5" s="3">
        <f t="shared" si="0"/>
        <v>280.46437842515144</v>
      </c>
      <c r="L5" s="3">
        <f t="shared" si="1"/>
        <v>2.2038925249741643</v>
      </c>
      <c r="M5" s="3">
        <f t="shared" si="2"/>
        <v>218.03352803738318</v>
      </c>
      <c r="N5" s="3">
        <v>165.916666666666</v>
      </c>
      <c r="O5" s="3">
        <f t="shared" si="3"/>
        <v>2.0896032144651012E-2</v>
      </c>
      <c r="P5" s="3">
        <f t="shared" si="4"/>
        <v>5.86059266700153</v>
      </c>
      <c r="Q5" s="3">
        <f t="shared" si="5"/>
        <v>15.424369663485747</v>
      </c>
      <c r="R5" s="3">
        <f t="shared" si="6"/>
        <v>6.9986941235560298</v>
      </c>
    </row>
    <row r="6" spans="1:26" x14ac:dyDescent="0.3">
      <c r="A6" t="s">
        <v>26</v>
      </c>
      <c r="B6" s="2">
        <v>44835</v>
      </c>
      <c r="C6">
        <v>5</v>
      </c>
      <c r="D6" s="1">
        <v>2.0859999999999999</v>
      </c>
      <c r="E6">
        <v>583</v>
      </c>
      <c r="F6">
        <v>1603.11</v>
      </c>
      <c r="G6">
        <v>698.5</v>
      </c>
      <c r="H6">
        <v>94</v>
      </c>
      <c r="I6">
        <v>17923.55</v>
      </c>
      <c r="J6" t="s">
        <v>140</v>
      </c>
      <c r="K6" s="3">
        <f t="shared" si="0"/>
        <v>279.48226270373925</v>
      </c>
      <c r="L6" s="3">
        <f t="shared" si="1"/>
        <v>2.2950751610594127</v>
      </c>
      <c r="M6" s="3">
        <f t="shared" si="2"/>
        <v>190.67606382978724</v>
      </c>
      <c r="N6" s="3">
        <v>92.25</v>
      </c>
      <c r="O6" s="3">
        <f t="shared" si="3"/>
        <v>2.2612466124661244E-2</v>
      </c>
      <c r="P6" s="3">
        <f t="shared" si="4"/>
        <v>6.3197831978319785</v>
      </c>
      <c r="Q6" s="3">
        <f t="shared" si="5"/>
        <v>17.377886178861786</v>
      </c>
      <c r="R6" s="3">
        <f t="shared" si="6"/>
        <v>7.5718157181571817</v>
      </c>
    </row>
    <row r="7" spans="1:26" x14ac:dyDescent="0.3">
      <c r="A7" t="s">
        <v>26</v>
      </c>
      <c r="B7" s="2">
        <v>44837</v>
      </c>
      <c r="C7">
        <v>6</v>
      </c>
      <c r="D7" s="1">
        <v>1.8620000000000001</v>
      </c>
      <c r="E7">
        <v>545.78</v>
      </c>
      <c r="F7">
        <v>727.91</v>
      </c>
      <c r="G7">
        <v>623.5</v>
      </c>
      <c r="H7">
        <v>97</v>
      </c>
      <c r="I7">
        <v>18226.400000000001</v>
      </c>
      <c r="J7" t="s">
        <v>141</v>
      </c>
      <c r="K7" s="3">
        <f t="shared" si="0"/>
        <v>293.11493018259932</v>
      </c>
      <c r="L7" s="3">
        <f t="shared" si="1"/>
        <v>1.167457898957498</v>
      </c>
      <c r="M7" s="3">
        <f t="shared" si="2"/>
        <v>187.90103092783508</v>
      </c>
      <c r="N7" s="3">
        <v>137.11666666666599</v>
      </c>
      <c r="O7" s="3">
        <f t="shared" si="3"/>
        <v>1.3579676674364964E-2</v>
      </c>
      <c r="P7" s="3">
        <f t="shared" si="4"/>
        <v>3.9804059803087588</v>
      </c>
      <c r="Q7" s="3">
        <f t="shared" si="5"/>
        <v>5.3086908958308268</v>
      </c>
      <c r="R7" s="3">
        <f t="shared" si="6"/>
        <v>4.5472225598638856</v>
      </c>
    </row>
    <row r="8" spans="1:26" x14ac:dyDescent="0.3">
      <c r="A8" t="s">
        <v>26</v>
      </c>
      <c r="B8" s="2">
        <v>44838</v>
      </c>
      <c r="C8">
        <v>7</v>
      </c>
      <c r="D8" s="1">
        <v>2.4849999999999999</v>
      </c>
      <c r="E8">
        <v>681.79</v>
      </c>
      <c r="F8">
        <v>1670.16</v>
      </c>
      <c r="G8">
        <v>832.4</v>
      </c>
      <c r="H8">
        <v>178</v>
      </c>
      <c r="I8">
        <v>29269.45</v>
      </c>
      <c r="J8" t="s">
        <v>142</v>
      </c>
      <c r="K8" s="3">
        <f t="shared" si="0"/>
        <v>274.3621730382294</v>
      </c>
      <c r="L8" s="3">
        <f t="shared" si="1"/>
        <v>2.0064392119173475</v>
      </c>
      <c r="M8" s="3">
        <f t="shared" si="2"/>
        <v>164.43511235955057</v>
      </c>
      <c r="N8" s="3">
        <v>111.23</v>
      </c>
      <c r="O8" s="3">
        <f t="shared" si="3"/>
        <v>2.2341095028319696E-2</v>
      </c>
      <c r="P8" s="3">
        <f t="shared" si="4"/>
        <v>6.1295513800233747</v>
      </c>
      <c r="Q8" s="3">
        <f t="shared" si="5"/>
        <v>15.015373550301177</v>
      </c>
      <c r="R8" s="3">
        <f t="shared" si="6"/>
        <v>7.4835925559651164</v>
      </c>
    </row>
    <row r="9" spans="1:26" x14ac:dyDescent="0.3">
      <c r="A9" t="s">
        <v>26</v>
      </c>
      <c r="B9" s="2">
        <v>44840</v>
      </c>
      <c r="C9">
        <v>8</v>
      </c>
      <c r="D9" s="1">
        <v>3.1579999999999999</v>
      </c>
      <c r="E9">
        <v>854.54</v>
      </c>
      <c r="F9">
        <v>2179.1</v>
      </c>
      <c r="G9">
        <v>1057.5999999999999</v>
      </c>
      <c r="H9">
        <v>273</v>
      </c>
      <c r="I9">
        <v>58563.199999999997</v>
      </c>
      <c r="J9" t="s">
        <v>143</v>
      </c>
      <c r="K9" s="3">
        <f t="shared" si="0"/>
        <v>270.59531348955034</v>
      </c>
      <c r="L9" s="3">
        <f t="shared" si="1"/>
        <v>2.0604198184568836</v>
      </c>
      <c r="M9" s="3">
        <f t="shared" si="2"/>
        <v>214.51721611721609</v>
      </c>
      <c r="N9" s="3">
        <f>145.4+8.5</f>
        <v>153.9</v>
      </c>
      <c r="O9" s="3">
        <f t="shared" si="3"/>
        <v>2.0519818063677711E-2</v>
      </c>
      <c r="P9" s="3">
        <f t="shared" si="4"/>
        <v>5.5525666016894082</v>
      </c>
      <c r="Q9" s="3">
        <f t="shared" si="5"/>
        <v>14.159194282001298</v>
      </c>
      <c r="R9" s="3">
        <f t="shared" si="6"/>
        <v>6.871994801819362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44844</v>
      </c>
      <c r="C10">
        <v>11</v>
      </c>
      <c r="D10" s="1">
        <v>3.7509999999999999</v>
      </c>
      <c r="E10">
        <v>1004.22</v>
      </c>
      <c r="F10">
        <v>2422.19</v>
      </c>
      <c r="G10">
        <v>1256.3</v>
      </c>
      <c r="H10">
        <v>293</v>
      </c>
      <c r="I10">
        <v>60161.16</v>
      </c>
      <c r="J10" t="s">
        <v>144</v>
      </c>
      <c r="K10" s="3">
        <f t="shared" si="0"/>
        <v>267.72060783790988</v>
      </c>
      <c r="L10" s="3">
        <f t="shared" si="1"/>
        <v>1.9280347050863649</v>
      </c>
      <c r="M10" s="3">
        <f t="shared" si="2"/>
        <v>205.32819112627988</v>
      </c>
      <c r="N10" s="3">
        <f>126.033+7+12</f>
        <v>145.03300000000002</v>
      </c>
      <c r="O10" s="3">
        <f t="shared" si="3"/>
        <v>2.5863079437093622E-2</v>
      </c>
      <c r="P10" s="3">
        <f t="shared" si="4"/>
        <v>6.9240793474588536</v>
      </c>
      <c r="Q10" s="3">
        <f t="shared" si="5"/>
        <v>16.700957713072196</v>
      </c>
      <c r="R10" s="3">
        <f t="shared" si="6"/>
        <v>8.6621665414078155</v>
      </c>
      <c r="S10" s="1" t="e">
        <f>(SUMIF(#REF!,#REF!,D$58:D$112)/COUNTIF(#REF!,#REF!))</f>
        <v>#REF!</v>
      </c>
      <c r="T10" s="4" t="e">
        <f>(SUMIF(#REF!,#REF!,E$58:E$112)/COUNTIF(#REF!,#REF!))</f>
        <v>#REF!</v>
      </c>
      <c r="U10" s="4" t="e">
        <f>(SUMIF(#REF!,#REF!,F$58:F$112)/COUNTIF(#REF!,#REF!))</f>
        <v>#REF!</v>
      </c>
      <c r="V10" s="4" t="e">
        <f>(SUMIF(#REF!,#REF!,G$58:G$112)/COUNTIF(#REF!,#REF!))</f>
        <v>#REF!</v>
      </c>
      <c r="W10" s="5" t="e">
        <f t="shared" ref="W10:W20" si="7">(D10-S10)/S10</f>
        <v>#REF!</v>
      </c>
      <c r="X10" s="5" t="e">
        <f t="shared" ref="X10:X20" si="8">(E10-T10)/T10</f>
        <v>#REF!</v>
      </c>
      <c r="Y10" s="5" t="e">
        <f t="shared" ref="Y10:Y20" si="9">(F10-U10)/U10</f>
        <v>#REF!</v>
      </c>
      <c r="Z10" s="5" t="e">
        <f t="shared" ref="Z10:Z20" si="10">(G10-V10)/V10</f>
        <v>#REF!</v>
      </c>
    </row>
    <row r="11" spans="1:26" x14ac:dyDescent="0.3">
      <c r="A11" t="s">
        <v>26</v>
      </c>
      <c r="B11" s="2">
        <v>44845</v>
      </c>
      <c r="C11">
        <v>12</v>
      </c>
      <c r="D11">
        <v>1.173</v>
      </c>
      <c r="E11">
        <v>422.32</v>
      </c>
      <c r="F11">
        <v>167.74</v>
      </c>
      <c r="G11">
        <v>393</v>
      </c>
      <c r="H11">
        <v>65</v>
      </c>
      <c r="I11">
        <v>12649.81</v>
      </c>
      <c r="J11" t="s">
        <v>145</v>
      </c>
      <c r="K11" s="3">
        <f t="shared" si="0"/>
        <v>360.03410059676042</v>
      </c>
      <c r="L11" s="3">
        <f t="shared" si="1"/>
        <v>0.42681933842239189</v>
      </c>
      <c r="M11" s="3">
        <f t="shared" si="2"/>
        <v>194.61246153846153</v>
      </c>
      <c r="N11" s="3">
        <v>83.183000000000007</v>
      </c>
      <c r="O11" s="3">
        <f t="shared" si="3"/>
        <v>1.4101438995948691E-2</v>
      </c>
      <c r="P11" s="3">
        <f t="shared" si="4"/>
        <v>5.0769989060264713</v>
      </c>
      <c r="Q11" s="3">
        <f t="shared" si="5"/>
        <v>2.0165177981077864</v>
      </c>
      <c r="R11" s="3">
        <f t="shared" si="6"/>
        <v>4.7245230395633717</v>
      </c>
      <c r="S11" s="1" t="e">
        <f>(SUMIF(#REF!,#REF!,D$70:D$124)/COUNTIF(#REF!,#REF!))</f>
        <v>#REF!</v>
      </c>
      <c r="T11" s="4" t="e">
        <f>(SUMIF(#REF!,#REF!,E$70:E$124)/COUNTIF(#REF!,#REF!))</f>
        <v>#REF!</v>
      </c>
      <c r="U11" s="4" t="e">
        <f>(SUMIF(#REF!,#REF!,F$70:F$124)/COUNTIF(#REF!,#REF!))</f>
        <v>#REF!</v>
      </c>
      <c r="V11" s="4" t="e">
        <f>(SUMIF(#REF!,#REF!,G$70:G$124)/COUNTIF(#REF!,#REF!))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6" x14ac:dyDescent="0.3">
      <c r="A12" t="s">
        <v>26</v>
      </c>
      <c r="B12" s="2">
        <v>44847</v>
      </c>
      <c r="C12">
        <v>13</v>
      </c>
      <c r="D12">
        <v>2.9079999999999999</v>
      </c>
      <c r="E12">
        <v>773.84</v>
      </c>
      <c r="F12">
        <v>1954.3</v>
      </c>
      <c r="G12">
        <v>974</v>
      </c>
      <c r="H12">
        <v>320</v>
      </c>
      <c r="I12">
        <v>79005.19</v>
      </c>
      <c r="J12" t="s">
        <v>146</v>
      </c>
      <c r="K12" s="3">
        <f t="shared" si="0"/>
        <v>266.10729023383772</v>
      </c>
      <c r="L12" s="3">
        <f t="shared" si="1"/>
        <v>2.0064681724845994</v>
      </c>
      <c r="M12" s="3">
        <f t="shared" si="2"/>
        <v>246.89121875000001</v>
      </c>
      <c r="N12" s="3">
        <f>112.017+20</f>
        <v>132.017</v>
      </c>
      <c r="O12" s="3">
        <f t="shared" si="3"/>
        <v>2.2027466159661255E-2</v>
      </c>
      <c r="P12" s="3">
        <f t="shared" si="4"/>
        <v>5.8616693304650163</v>
      </c>
      <c r="Q12" s="3">
        <f t="shared" si="5"/>
        <v>14.803396532264784</v>
      </c>
      <c r="R12" s="3">
        <f t="shared" si="6"/>
        <v>7.3778377027201048</v>
      </c>
      <c r="S12" s="1" t="e">
        <f>(SUMIF(#REF!,#REF!,D$81:D$134)/COUNTIF(#REF!,#REF!))</f>
        <v>#REF!</v>
      </c>
      <c r="T12" s="1" t="e">
        <f>(SUMIF(#REF!,#REF!,E$81:E$134)/COUNTIF(#REF!,#REF!))</f>
        <v>#REF!</v>
      </c>
      <c r="U12" s="1" t="e">
        <f>(SUMIF(#REF!,#REF!,F$81:F$134)/COUNTIF(#REF!,#REF!))</f>
        <v>#REF!</v>
      </c>
      <c r="V12" s="1" t="e">
        <f>(SUMIF(#REF!,#REF!,G$81:G$134)/COUNTIF(#REF!,#REF!))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44849</v>
      </c>
      <c r="C13">
        <v>15</v>
      </c>
      <c r="D13">
        <v>2.9020000000000001</v>
      </c>
      <c r="E13">
        <v>788.11</v>
      </c>
      <c r="F13">
        <v>1985.86</v>
      </c>
      <c r="G13">
        <v>971.9</v>
      </c>
      <c r="H13">
        <v>139</v>
      </c>
      <c r="I13">
        <v>22037.82</v>
      </c>
      <c r="J13" t="s">
        <v>147</v>
      </c>
      <c r="K13" s="3">
        <f t="shared" si="0"/>
        <v>271.57477601654028</v>
      </c>
      <c r="L13" s="3">
        <f t="shared" si="1"/>
        <v>2.0432760572075317</v>
      </c>
      <c r="M13" s="3">
        <f t="shared" si="2"/>
        <v>158.54546762589928</v>
      </c>
      <c r="N13" s="3">
        <v>119.95</v>
      </c>
      <c r="O13" s="3">
        <f t="shared" si="3"/>
        <v>2.4193413922467696E-2</v>
      </c>
      <c r="P13" s="3">
        <f t="shared" si="4"/>
        <v>6.5703209670696125</v>
      </c>
      <c r="Q13" s="3">
        <f t="shared" si="5"/>
        <v>16.555731554814503</v>
      </c>
      <c r="R13" s="3">
        <f t="shared" si="6"/>
        <v>8.1025427261358889</v>
      </c>
      <c r="S13" s="1" t="e">
        <f>(SUMIF(#REF!,#REF!,D$93:D$146)/COUNTIF(#REF!,#REF!))</f>
        <v>#REF!</v>
      </c>
      <c r="T13" s="1" t="e">
        <f>(SUMIF(#REF!,#REF!,E$93:E$146)/COUNTIF(#REF!,#REF!))</f>
        <v>#REF!</v>
      </c>
      <c r="U13" s="1" t="e">
        <f>(SUMIF(#REF!,#REF!,F$93:F$146)/COUNTIF(#REF!,#REF!))</f>
        <v>#REF!</v>
      </c>
      <c r="V13" s="1" t="e">
        <f>(SUMIF(#REF!,#REF!,G$93:G$146)/COUNTIF(#REF!,#REF!))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44852</v>
      </c>
      <c r="C14">
        <v>16</v>
      </c>
      <c r="D14" s="3">
        <v>3.9312181818181817</v>
      </c>
      <c r="E14" s="3">
        <v>905.43121818181817</v>
      </c>
      <c r="F14" s="3">
        <v>2522.4112181818182</v>
      </c>
      <c r="G14" s="3">
        <v>1222.581218181818</v>
      </c>
      <c r="H14" s="3">
        <v>258</v>
      </c>
      <c r="I14" s="3">
        <v>53361.4</v>
      </c>
      <c r="J14" s="6">
        <v>7.4502314814814813E-2</v>
      </c>
      <c r="K14" s="3">
        <f t="shared" si="0"/>
        <v>230.31823122141182</v>
      </c>
      <c r="L14" s="3">
        <f t="shared" si="1"/>
        <v>2.0631849898144714</v>
      </c>
      <c r="M14" s="3">
        <f t="shared" si="2"/>
        <v>206.82713178294574</v>
      </c>
      <c r="N14" s="3">
        <v>145</v>
      </c>
      <c r="O14" s="3">
        <f t="shared" si="3"/>
        <v>2.7111849529780564E-2</v>
      </c>
      <c r="P14" s="3">
        <f t="shared" si="4"/>
        <v>6.2443532288401249</v>
      </c>
      <c r="Q14" s="3">
        <f t="shared" si="5"/>
        <v>17.395939435736675</v>
      </c>
      <c r="R14" s="3">
        <f t="shared" si="6"/>
        <v>8.4315946081504691</v>
      </c>
      <c r="S14" s="1" t="e">
        <f>(SUMIF(#REF!,#REF!,D$103:D$157)/COUNTIF(#REF!,#REF!))</f>
        <v>#REF!</v>
      </c>
      <c r="T14" s="1" t="e">
        <f>(SUMIF(#REF!,#REF!,E$103:E$157)/COUNTIF(#REF!,#REF!))</f>
        <v>#REF!</v>
      </c>
      <c r="U14" s="1" t="e">
        <f>(SUMIF(#REF!,#REF!,F$103:F$157)/COUNTIF(#REF!,#REF!))</f>
        <v>#REF!</v>
      </c>
      <c r="V14" s="1" t="e">
        <f>(SUMIF(#REF!,#REF!,G$103:G$157)/COUNTIF(#REF!,#REF!))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44854</v>
      </c>
      <c r="C15">
        <v>17</v>
      </c>
      <c r="D15">
        <v>5.18</v>
      </c>
      <c r="E15">
        <v>1272.3900000000001</v>
      </c>
      <c r="F15">
        <v>3492.41</v>
      </c>
      <c r="G15">
        <v>1734.8</v>
      </c>
      <c r="H15">
        <v>448</v>
      </c>
      <c r="I15">
        <v>102219.59</v>
      </c>
      <c r="J15" t="s">
        <v>41</v>
      </c>
      <c r="K15" s="3">
        <f t="shared" si="0"/>
        <v>245.63513513513516</v>
      </c>
      <c r="L15" s="3">
        <f t="shared" si="1"/>
        <v>2.0131484897394514</v>
      </c>
      <c r="M15" s="3">
        <f t="shared" si="2"/>
        <v>228.16872767857143</v>
      </c>
      <c r="N15" s="3">
        <v>149.56700000000001</v>
      </c>
      <c r="O15" s="3">
        <f t="shared" si="3"/>
        <v>3.4633308149524956E-2</v>
      </c>
      <c r="P15" s="3">
        <f t="shared" si="4"/>
        <v>8.5071573274853414</v>
      </c>
      <c r="Q15" s="3">
        <f t="shared" si="5"/>
        <v>23.350137396618237</v>
      </c>
      <c r="R15" s="3">
        <f t="shared" si="6"/>
        <v>11.598815246678745</v>
      </c>
      <c r="S15" s="1" t="e">
        <f>(SUMIF(#REF!,#REF!,D$113:D$169)/COUNTIF(#REF!,#REF!))</f>
        <v>#REF!</v>
      </c>
      <c r="T15" s="1" t="e">
        <f>(SUMIF(#REF!,#REF!,E$113:E$169)/COUNTIF(#REF!,#REF!))</f>
        <v>#REF!</v>
      </c>
      <c r="U15" s="1" t="e">
        <f>(SUMIF(#REF!,#REF!,F$113:F$169)/COUNTIF(#REF!,#REF!))</f>
        <v>#REF!</v>
      </c>
      <c r="V15" s="1" t="e">
        <f>(SUMIF(#REF!,#REF!,G$113:G$169)/COUNTIF(#REF!,#REF!))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44855</v>
      </c>
      <c r="C16">
        <v>18</v>
      </c>
      <c r="D16" s="7">
        <v>1.754</v>
      </c>
      <c r="E16" s="7">
        <v>491.98</v>
      </c>
      <c r="F16" s="7">
        <v>1286.8800000000001</v>
      </c>
      <c r="G16" s="7">
        <v>587.5</v>
      </c>
      <c r="H16" s="7">
        <v>175</v>
      </c>
      <c r="I16" s="7">
        <v>42479.1</v>
      </c>
      <c r="J16" s="8">
        <v>4.1076388888888891E-2</v>
      </c>
      <c r="K16" s="3">
        <f t="shared" si="0"/>
        <v>280.49030786773091</v>
      </c>
      <c r="L16" s="3">
        <f t="shared" si="1"/>
        <v>2.1904340425531919</v>
      </c>
      <c r="M16" s="3">
        <f t="shared" si="2"/>
        <v>242.73771428571428</v>
      </c>
      <c r="N16" s="3">
        <v>86.533000000000001</v>
      </c>
      <c r="O16" s="3">
        <f t="shared" si="3"/>
        <v>2.0269723689228386E-2</v>
      </c>
      <c r="P16" s="3">
        <f t="shared" si="4"/>
        <v>5.6854610379855082</v>
      </c>
      <c r="Q16" s="3">
        <f t="shared" si="5"/>
        <v>14.87155189349728</v>
      </c>
      <c r="R16" s="3">
        <f t="shared" si="6"/>
        <v>6.789317370251811</v>
      </c>
      <c r="S16" s="1" t="e">
        <f>(SUMIF(#REF!,#REF!,D$125:D$181)/COUNTIF(#REF!,#REF!))</f>
        <v>#REF!</v>
      </c>
      <c r="T16" s="1" t="e">
        <f>(SUMIF(#REF!,#REF!,E$125:E$181)/COUNTIF(#REF!,#REF!))</f>
        <v>#REF!</v>
      </c>
      <c r="U16" s="1" t="e">
        <f>(SUMIF(#REF!,#REF!,F$125:F$181)/COUNTIF(#REF!,#REF!))</f>
        <v>#REF!</v>
      </c>
      <c r="V16" s="1" t="e">
        <f>(SUMIF(#REF!,#REF!,G$125:G$181)/COUNTIF(#REF!,#REF!))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58</v>
      </c>
      <c r="B17" s="2">
        <v>44856</v>
      </c>
      <c r="C17">
        <v>1</v>
      </c>
      <c r="D17">
        <v>4.0330000000000004</v>
      </c>
      <c r="E17">
        <v>897.01</v>
      </c>
      <c r="F17">
        <v>2498.77</v>
      </c>
      <c r="G17">
        <v>1350.7</v>
      </c>
      <c r="H17">
        <v>249</v>
      </c>
      <c r="I17">
        <v>48342.5</v>
      </c>
      <c r="J17" t="s">
        <v>41</v>
      </c>
      <c r="K17" s="3">
        <f t="shared" si="0"/>
        <v>222.41755516984873</v>
      </c>
      <c r="L17" s="3">
        <f t="shared" si="1"/>
        <v>1.8499814910786998</v>
      </c>
      <c r="M17" s="3">
        <f t="shared" si="2"/>
        <v>194.14658634538154</v>
      </c>
      <c r="N17" s="3">
        <v>153</v>
      </c>
      <c r="O17" s="3">
        <f t="shared" si="3"/>
        <v>2.635947712418301E-2</v>
      </c>
      <c r="P17" s="3">
        <f t="shared" si="4"/>
        <v>5.86281045751634</v>
      </c>
      <c r="Q17" s="3">
        <f t="shared" si="5"/>
        <v>16.331830065359476</v>
      </c>
      <c r="R17" s="3">
        <f t="shared" si="6"/>
        <v>8.8281045751633993</v>
      </c>
      <c r="S17" s="1" t="e">
        <f>(SUMIF(#REF!,#REF!,D$135:D$192)/COUNTIF(#REF!,#REF!))</f>
        <v>#REF!</v>
      </c>
      <c r="T17" s="1" t="e">
        <f>(SUMIF(#REF!,#REF!,E$135:E$192)/COUNTIF(#REF!,#REF!))</f>
        <v>#REF!</v>
      </c>
      <c r="U17" s="1" t="e">
        <f>(SUMIF(#REF!,#REF!,F$135:F$192)/COUNTIF(#REF!,#REF!))</f>
        <v>#REF!</v>
      </c>
      <c r="V17" s="1" t="e">
        <f>(SUMIF(#REF!,#REF!,G$135:G$192)/COUNTIF(#REF!,#REF!))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44858</v>
      </c>
      <c r="C18">
        <v>19</v>
      </c>
      <c r="D18">
        <v>3.121</v>
      </c>
      <c r="E18">
        <v>946.85</v>
      </c>
      <c r="F18">
        <v>2247.5700000000002</v>
      </c>
      <c r="G18">
        <v>1045.2</v>
      </c>
      <c r="H18">
        <v>410</v>
      </c>
      <c r="I18">
        <v>96738.83</v>
      </c>
      <c r="J18" t="s">
        <v>148</v>
      </c>
      <c r="K18" s="3">
        <f t="shared" si="0"/>
        <v>303.38032681832749</v>
      </c>
      <c r="L18" s="3">
        <f t="shared" si="1"/>
        <v>2.1503731343283583</v>
      </c>
      <c r="M18" s="3">
        <f t="shared" si="2"/>
        <v>235.94836585365854</v>
      </c>
      <c r="N18" s="3">
        <v>138.5</v>
      </c>
      <c r="O18" s="3">
        <f t="shared" si="3"/>
        <v>2.2534296028880865E-2</v>
      </c>
      <c r="P18" s="3">
        <f t="shared" si="4"/>
        <v>6.8364620938628162</v>
      </c>
      <c r="Q18" s="3">
        <f t="shared" si="5"/>
        <v>16.227942238267151</v>
      </c>
      <c r="R18" s="3">
        <f t="shared" si="6"/>
        <v>7.546570397111914</v>
      </c>
      <c r="S18" s="1" t="e">
        <f>(SUMIF(#REF!,#REF!,D$147:D$202)/COUNTIF(#REF!,#REF!))</f>
        <v>#REF!</v>
      </c>
      <c r="T18" s="1" t="e">
        <f>(SUMIF(#REF!,#REF!,E$147:E$202)/COUNTIF(#REF!,#REF!))</f>
        <v>#REF!</v>
      </c>
      <c r="U18" s="1" t="e">
        <f>(SUMIF(#REF!,#REF!,F$147:F$202)/COUNTIF(#REF!,#REF!))</f>
        <v>#REF!</v>
      </c>
      <c r="V18" s="1" t="e">
        <f>(SUMIF(#REF!,#REF!,G$147:G$202)/COUNTIF(#REF!,#REF!))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44859</v>
      </c>
      <c r="C19">
        <v>20</v>
      </c>
      <c r="D19">
        <v>2.5979999999999999</v>
      </c>
      <c r="E19">
        <v>657.66</v>
      </c>
      <c r="F19">
        <v>1667.97</v>
      </c>
      <c r="G19">
        <v>870.1</v>
      </c>
      <c r="H19">
        <v>137</v>
      </c>
      <c r="I19">
        <v>31738.15</v>
      </c>
      <c r="J19" t="s">
        <v>149</v>
      </c>
      <c r="K19" s="3">
        <f t="shared" si="0"/>
        <v>253.14087759815243</v>
      </c>
      <c r="L19" s="3">
        <f t="shared" si="1"/>
        <v>1.916986553269739</v>
      </c>
      <c r="M19" s="3">
        <f t="shared" si="2"/>
        <v>231.6653284671533</v>
      </c>
      <c r="N19" s="3">
        <f>88.1+20</f>
        <v>108.1</v>
      </c>
      <c r="O19" s="3">
        <f t="shared" si="3"/>
        <v>2.4033302497687328E-2</v>
      </c>
      <c r="P19" s="3">
        <f t="shared" si="4"/>
        <v>6.0838112858464388</v>
      </c>
      <c r="Q19" s="3">
        <f t="shared" si="5"/>
        <v>15.429879740980574</v>
      </c>
      <c r="R19" s="3">
        <f t="shared" si="6"/>
        <v>8.0490286771507868</v>
      </c>
      <c r="S19" s="1" t="e">
        <f>(SUMIF(#REF!,#REF!,D$158:D$212)/COUNTIF(#REF!,#REF!))</f>
        <v>#REF!</v>
      </c>
      <c r="T19" s="1" t="e">
        <f>(SUMIF(#REF!,#REF!,E$158:E$212)/COUNTIF(#REF!,#REF!))</f>
        <v>#REF!</v>
      </c>
      <c r="U19" s="1" t="e">
        <f>(SUMIF(#REF!,#REF!,F$158:F$212)/COUNTIF(#REF!,#REF!))</f>
        <v>#REF!</v>
      </c>
      <c r="V19" s="1" t="e">
        <f>(SUMIF(#REF!,#REF!,G$158:G$212)/COUNTIF(#REF!,#REF!))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2.8809999999999998</v>
      </c>
      <c r="E20">
        <v>767.98</v>
      </c>
      <c r="F20">
        <v>1912.98</v>
      </c>
      <c r="G20">
        <v>964.7</v>
      </c>
      <c r="H20">
        <v>253</v>
      </c>
      <c r="I20">
        <v>42286.48</v>
      </c>
      <c r="J20" t="s">
        <v>150</v>
      </c>
      <c r="K20" s="3">
        <f t="shared" si="0"/>
        <v>266.56716417910451</v>
      </c>
      <c r="L20" s="3">
        <f t="shared" si="1"/>
        <v>1.9829791645071007</v>
      </c>
      <c r="M20" s="3">
        <f t="shared" si="2"/>
        <v>167.14023715415021</v>
      </c>
      <c r="N20" s="3">
        <v>107</v>
      </c>
      <c r="O20" s="3">
        <f t="shared" si="3"/>
        <v>2.6925233644859811E-2</v>
      </c>
      <c r="P20" s="3">
        <f t="shared" si="4"/>
        <v>7.1773831775700936</v>
      </c>
      <c r="Q20" s="3">
        <f t="shared" si="5"/>
        <v>17.878317757009345</v>
      </c>
      <c r="R20" s="3">
        <f t="shared" si="6"/>
        <v>9.0158878504672906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conditionalFormatting sqref="W2:Z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Drill Load Baselines</vt:lpstr>
      <vt:lpstr>Cyril Martynov</vt:lpstr>
      <vt:lpstr>Deebo Coleman</vt:lpstr>
      <vt:lpstr>Deivon Smith</vt:lpstr>
      <vt:lpstr>Freds Bagatskis</vt:lpstr>
      <vt:lpstr>Jalon Moore</vt:lpstr>
      <vt:lpstr>Ja'Von Franklin</vt:lpstr>
      <vt:lpstr>Jordan Meka</vt:lpstr>
      <vt:lpstr>Kyle Sturdivant</vt:lpstr>
      <vt:lpstr>Lance Terry</vt:lpstr>
      <vt:lpstr>Miles Kelly</vt:lpstr>
      <vt:lpstr>Rodney Howard</vt:lpstr>
      <vt:lpstr>Tristan Maxwell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2023-01-17T17:50:01Z</dcterms:created>
  <dcterms:modified xsi:type="dcterms:W3CDTF">2023-01-24T15:22:35Z</dcterms:modified>
</cp:coreProperties>
</file>