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esktop\9 cuatrimestre\productos derivados\SEGUNDO PARCIAL\"/>
    </mc:Choice>
  </mc:AlternateContent>
  <xr:revisionPtr revIDLastSave="0" documentId="13_ncr:1_{BA598F82-01C1-49E7-BA71-FE122BF83B44}" xr6:coauthVersionLast="47" xr6:coauthVersionMax="47" xr10:uidLastSave="{00000000-0000-0000-0000-000000000000}"/>
  <bookViews>
    <workbookView xWindow="0" yWindow="600" windowWidth="20490" windowHeight="10920" firstSheet="1" activeTab="2" xr2:uid="{0CC445BD-72EF-49BD-AA5A-95D0D6A06426}"/>
  </bookViews>
  <sheets>
    <sheet name="ARBITRAJE FINANCIERO" sheetId="1" r:id="rId1"/>
    <sheet name="ej7" sheetId="2" r:id="rId2"/>
    <sheet name="repaso 2do parcial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G80" i="3" s="1"/>
  <c r="G108" i="3"/>
  <c r="G107" i="3"/>
  <c r="G81" i="3"/>
  <c r="D80" i="3"/>
  <c r="F71" i="3"/>
  <c r="C63" i="3"/>
  <c r="C66" i="3"/>
  <c r="C59" i="3" s="1"/>
  <c r="C65" i="3"/>
  <c r="C64" i="3"/>
  <c r="H54" i="3"/>
  <c r="E54" i="3"/>
  <c r="F51" i="3"/>
  <c r="G48" i="3"/>
  <c r="F39" i="3"/>
  <c r="D26" i="3"/>
  <c r="D17" i="3"/>
  <c r="C9" i="3"/>
  <c r="C90" i="2"/>
  <c r="F88" i="2"/>
  <c r="F86" i="2"/>
  <c r="F87" i="2"/>
  <c r="F85" i="2"/>
  <c r="C89" i="2"/>
  <c r="E88" i="2"/>
  <c r="E86" i="2"/>
  <c r="E87" i="2"/>
  <c r="E85" i="2"/>
  <c r="C88" i="2"/>
  <c r="C82" i="2"/>
  <c r="G53" i="2"/>
  <c r="F50" i="2"/>
  <c r="F64" i="2"/>
  <c r="G74" i="2" s="1"/>
  <c r="G73" i="2"/>
  <c r="C75" i="2"/>
  <c r="C60" i="2"/>
  <c r="N39" i="2"/>
  <c r="I44" i="2"/>
  <c r="K27" i="2"/>
  <c r="K29" i="2"/>
  <c r="M29" i="2"/>
  <c r="C34" i="2"/>
  <c r="C26" i="2"/>
  <c r="F39" i="1"/>
  <c r="F35" i="1"/>
  <c r="C34" i="1"/>
  <c r="C25" i="1"/>
  <c r="J17" i="1"/>
  <c r="J15" i="1"/>
  <c r="C19" i="1"/>
  <c r="J6" i="1"/>
  <c r="C10" i="1"/>
  <c r="J8" i="1" s="1"/>
  <c r="J10" i="1" s="1"/>
  <c r="D81" i="3" l="1"/>
  <c r="J19" i="1"/>
  <c r="G109" i="3" l="1"/>
  <c r="D75" i="3"/>
  <c r="G82" i="3"/>
  <c r="F123" i="3" l="1"/>
  <c r="F96" i="3"/>
  <c r="F9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tc={AAED18B3-AC4A-4D03-8262-8210714F97B8}</author>
  </authors>
  <commentList>
    <comment ref="C90" authorId="0" shapeId="0" xr:uid="{AAED18B3-AC4A-4D03-8262-8210714F97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2da forma de resolverlo</t>
      </text>
    </comment>
  </commentList>
</comments>
</file>

<file path=xl/sharedStrings.xml><?xml version="1.0" encoding="utf-8"?>
<sst xmlns="http://schemas.openxmlformats.org/spreadsheetml/2006/main" count="285" uniqueCount="167">
  <si>
    <t>ARBITRAJE FINANCIERO</t>
  </si>
  <si>
    <t>1)</t>
  </si>
  <si>
    <t>IBB*</t>
  </si>
  <si>
    <t>NY</t>
  </si>
  <si>
    <t>USD</t>
  </si>
  <si>
    <t>GBP</t>
  </si>
  <si>
    <t>LND</t>
  </si>
  <si>
    <t>GBP/USD</t>
  </si>
  <si>
    <t>TITULOS</t>
  </si>
  <si>
    <t>1) COMPRAR BARATO</t>
  </si>
  <si>
    <t>COMPRA 100 TITULOS DE IBB* EN NY A $152 USD</t>
  </si>
  <si>
    <t>2) VENDER CARO</t>
  </si>
  <si>
    <t>VENDES 100 TITULOS DE IBB* EN LND A $100 GPB ($155USD)</t>
  </si>
  <si>
    <t>UTILIDAD</t>
  </si>
  <si>
    <t>2)</t>
  </si>
  <si>
    <t>NAFTRAC*</t>
  </si>
  <si>
    <t>MEXICO</t>
  </si>
  <si>
    <t>PESOS</t>
  </si>
  <si>
    <t>USD/MXN</t>
  </si>
  <si>
    <t xml:space="preserve">COMPRA 500,000 TITULOS DE NAFTRAC* EN NY A $2.55 USD = $48.65 PESOS </t>
  </si>
  <si>
    <t xml:space="preserve">VENDES 500,000 TITULOS DE NAFTRAC* EN MEXICO A $48.86 PESOS </t>
  </si>
  <si>
    <t xml:space="preserve">TASAS DE INTERES </t>
  </si>
  <si>
    <t>VP</t>
  </si>
  <si>
    <t>VF</t>
  </si>
  <si>
    <t>n</t>
  </si>
  <si>
    <t>años</t>
  </si>
  <si>
    <t>i</t>
  </si>
  <si>
    <t>vp</t>
  </si>
  <si>
    <t>vf</t>
  </si>
  <si>
    <t>b)</t>
  </si>
  <si>
    <t>VP 1</t>
  </si>
  <si>
    <t>i1</t>
  </si>
  <si>
    <t>n1</t>
  </si>
  <si>
    <t>n2</t>
  </si>
  <si>
    <t>año</t>
  </si>
  <si>
    <t>i2</t>
  </si>
  <si>
    <t>VF1</t>
  </si>
  <si>
    <t>S&amp;P 500</t>
  </si>
  <si>
    <t>S0</t>
  </si>
  <si>
    <t>q</t>
  </si>
  <si>
    <t>F0</t>
  </si>
  <si>
    <t>MESES</t>
  </si>
  <si>
    <t>ANUAL</t>
  </si>
  <si>
    <t>7)</t>
  </si>
  <si>
    <t>8)</t>
  </si>
  <si>
    <t>DJI</t>
  </si>
  <si>
    <t>9)</t>
  </si>
  <si>
    <t>U</t>
  </si>
  <si>
    <t xml:space="preserve">DLLS X ONZA </t>
  </si>
  <si>
    <t>AL AÑO</t>
  </si>
  <si>
    <t>COBRE</t>
  </si>
  <si>
    <t>FO=</t>
  </si>
  <si>
    <t>10)</t>
  </si>
  <si>
    <t>WTI</t>
  </si>
  <si>
    <t>i 1 (3MESES)</t>
  </si>
  <si>
    <t>i 2 (6MESES)</t>
  </si>
  <si>
    <t>i 2 (7MESES)</t>
  </si>
  <si>
    <t>A LOS 3 MESES</t>
  </si>
  <si>
    <t>U (VP)</t>
  </si>
  <si>
    <t>13)</t>
  </si>
  <si>
    <t xml:space="preserve">FORWARDS/ FUTUROS TIPO DE CAMBIO </t>
  </si>
  <si>
    <t>HOY</t>
  </si>
  <si>
    <t>VENCIMIENTO</t>
  </si>
  <si>
    <t xml:space="preserve">MISMO DIA </t>
  </si>
  <si>
    <t>48 HORAS</t>
  </si>
  <si>
    <t xml:space="preserve">I  MN </t>
  </si>
  <si>
    <t>I  ME</t>
  </si>
  <si>
    <t>N=</t>
  </si>
  <si>
    <t>DIAS</t>
  </si>
  <si>
    <t>TC FWD=</t>
  </si>
  <si>
    <t>14)</t>
  </si>
  <si>
    <t>VENCIMIENTO}</t>
  </si>
  <si>
    <t>MISMO DIA</t>
  </si>
  <si>
    <t>24 HORAS</t>
  </si>
  <si>
    <t xml:space="preserve">NOCIONAL </t>
  </si>
  <si>
    <t>i MN</t>
  </si>
  <si>
    <t>i ME</t>
  </si>
  <si>
    <t>FORWARD AMERICANO</t>
  </si>
  <si>
    <t>FORWARD EUROPEO</t>
  </si>
  <si>
    <t>15)</t>
  </si>
  <si>
    <t>F  24 de julio</t>
  </si>
  <si>
    <t xml:space="preserve">F  22 de agosto </t>
  </si>
  <si>
    <t xml:space="preserve">F  20 de noviembre </t>
  </si>
  <si>
    <t>FECHAS</t>
  </si>
  <si>
    <t xml:space="preserve">PRECIOS </t>
  </si>
  <si>
    <t>PAR FORWARD</t>
  </si>
  <si>
    <t>16)</t>
  </si>
  <si>
    <t>F  13 de julio</t>
  </si>
  <si>
    <t xml:space="preserve">F  15 de agosto </t>
  </si>
  <si>
    <t xml:space="preserve">F  15 de septiembre </t>
  </si>
  <si>
    <t xml:space="preserve">Nocional </t>
  </si>
  <si>
    <t>precio</t>
  </si>
  <si>
    <t>ponderacion</t>
  </si>
  <si>
    <t xml:space="preserve">total en  pesos </t>
  </si>
  <si>
    <t xml:space="preserve">REPASO SEGUNDO PARCIAL </t>
  </si>
  <si>
    <t>anual</t>
  </si>
  <si>
    <t>Precio forwaed un activo de inversion que no genera intereses</t>
  </si>
  <si>
    <t>F0=</t>
  </si>
  <si>
    <t>meses</t>
  </si>
  <si>
    <t xml:space="preserve">anual </t>
  </si>
  <si>
    <t xml:space="preserve">valor presente </t>
  </si>
  <si>
    <t>3)</t>
  </si>
  <si>
    <t xml:space="preserve">arbitraje con activos de inversion </t>
  </si>
  <si>
    <t>s0=</t>
  </si>
  <si>
    <t>ESCENARIO A)</t>
  </si>
  <si>
    <t>PRECIO FORWARD ALTO</t>
  </si>
  <si>
    <t>POSICION CORTA EN EL CONTRATO FORWARD A 5 MESES A  $34</t>
  </si>
  <si>
    <t xml:space="preserve">PIDO PRESTAMO DE $27.OO USD A 5 MESES </t>
  </si>
  <si>
    <t>COMPRO LA ACCION A $27 USD</t>
  </si>
  <si>
    <t xml:space="preserve">DENTRO DE 5 MESES </t>
  </si>
  <si>
    <t>1) RECIBO EL FLUJO POR LA VENTA DE LA ACCION AL PRECIO PREVIO ACORDADO CON EL FORWARD A $34</t>
  </si>
  <si>
    <t>2*) PAGO EL PRESTAMO DE HACE 5 MESES</t>
  </si>
  <si>
    <t xml:space="preserve">3) ARBITRAJE </t>
  </si>
  <si>
    <t>ESCENARIO B)</t>
  </si>
  <si>
    <t>1) POSCION LARGA EL CONTRATO FORWARD A 5 MESES A $22 USD</t>
  </si>
  <si>
    <t>2)VENTA EN CORTO EL DIA DE HOY A PRECIO DE MERCADO $27 USD</t>
  </si>
  <si>
    <t xml:space="preserve">3) INVIERTO EL FLUJO DE LA VENTA EN CORTO A 5 MESES </t>
  </si>
  <si>
    <t xml:space="preserve">1) RECIBO LA INVERSION HECHA HACE 5 MESES </t>
  </si>
  <si>
    <t>2)PAGO LA COMPRA DE LA ACCION AL PRECIO PREVIO PACTAD CON EL FORWARD A $22 USD / REGRESO ACCION AL DUEÑO</t>
  </si>
  <si>
    <t>3)ARBITRAJE</t>
  </si>
  <si>
    <t xml:space="preserve">4) </t>
  </si>
  <si>
    <t xml:space="preserve">Dividendos </t>
  </si>
  <si>
    <t xml:space="preserve">trimestral </t>
  </si>
  <si>
    <t>I (ingresos VP)</t>
  </si>
  <si>
    <t xml:space="preserve">DIV 1 </t>
  </si>
  <si>
    <t xml:space="preserve">DIV 2 </t>
  </si>
  <si>
    <t>DIV 3</t>
  </si>
  <si>
    <t xml:space="preserve">SUMATORIA </t>
  </si>
  <si>
    <t>5)</t>
  </si>
  <si>
    <t xml:space="preserve">CON DIVIDENDOS </t>
  </si>
  <si>
    <t xml:space="preserve">ARBITRAJE CON ACTIVOS DE INVERSION CON INGRESO CONOCIDO CON VP </t>
  </si>
  <si>
    <t>S0=</t>
  </si>
  <si>
    <t>i 1 (3 meses)</t>
  </si>
  <si>
    <t>i 1 (6 meses)</t>
  </si>
  <si>
    <t>i 1 (7 meses)</t>
  </si>
  <si>
    <t xml:space="preserve">CUPONES </t>
  </si>
  <si>
    <t xml:space="preserve">MES 3 Y 6 </t>
  </si>
  <si>
    <t>CUPON 1</t>
  </si>
  <si>
    <t>CUPON 2</t>
  </si>
  <si>
    <t xml:space="preserve">HOY </t>
  </si>
  <si>
    <t>1)POSICION CORTA EN EL FORWARD A 7 MESES A $99</t>
  </si>
  <si>
    <t>2) PIDO PRESTAMO PARA COMPRARLO A $95 USD</t>
  </si>
  <si>
    <t xml:space="preserve">A 3 MESES </t>
  </si>
  <si>
    <t xml:space="preserve">6 MESES </t>
  </si>
  <si>
    <t xml:space="preserve">A 7 MESES </t>
  </si>
  <si>
    <t xml:space="preserve">DENTRO DE 3 MESES </t>
  </si>
  <si>
    <t>3) COMPRO EL BNO HOY A $95</t>
  </si>
  <si>
    <t>1) RECIBO CUPON DEL BONO DE $.81 USD</t>
  </si>
  <si>
    <t>2) PAGO EL PRESTAMO A 3 MESES $.81</t>
  </si>
  <si>
    <t xml:space="preserve">DENTRO DE6 MESES </t>
  </si>
  <si>
    <t>2) PAGO EL PRESTAMO A 6 MESES $.81</t>
  </si>
  <si>
    <t xml:space="preserve">DENTRO DE7  MESES </t>
  </si>
  <si>
    <t>1) RECIBO EL FLUJO POR VENTA  PACTADA PREVIAMENTE CON EL FORWARD HACE 7 MESES A $99</t>
  </si>
  <si>
    <t xml:space="preserve">2) PAGO EL PRESTAM A 7 MESES </t>
  </si>
  <si>
    <t xml:space="preserve">PRECIO FORWARD BAJO </t>
  </si>
  <si>
    <t xml:space="preserve">1)POSICION LARGA  EN EL CONTRATO FORWARD A 7 MESES A $91 </t>
  </si>
  <si>
    <t>2)VENTA EN CORTO A PRECIO DEL MERCADO  $95</t>
  </si>
  <si>
    <t xml:space="preserve">3) INVIERTO EL FLUJO DE LA VENTA EN CRTO </t>
  </si>
  <si>
    <t xml:space="preserve">3 MESES </t>
  </si>
  <si>
    <t xml:space="preserve">7 MESES </t>
  </si>
  <si>
    <t xml:space="preserve">1) RECIBO INVERSION A 3 MESES DE $.81 </t>
  </si>
  <si>
    <t>2) PAAGO EL CUPON A QUIEN ME PRESTO BONO POR $.81</t>
  </si>
  <si>
    <t xml:space="preserve">DENTRO DE 6 MESES </t>
  </si>
  <si>
    <t xml:space="preserve">1) RECIBO INVERSION A 6 MESES DE $.81 </t>
  </si>
  <si>
    <t xml:space="preserve">DENTRO DE 7 MESES </t>
  </si>
  <si>
    <t>1) RECIBO INVERSION A 7 MESES $97.02</t>
  </si>
  <si>
    <t>2) PAGO LA COMPRA PACTADA PREVIAMENTE DEL BONO CON EL FORWARD A $91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</si>
</sst>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_-&quot;$&quot;* #,##0.0000_-;\-&quot;$&quot;* #,##0.0000_-;_-&quot;$&quot;* &quot;-&quot;??_-;_-@_-"/>
    <numFmt numFmtId="166" formatCode="0.0000%"/>
    <numFmt numFmtId="167" formatCode="0.00000%"/>
    <numFmt numFmtId="168" formatCode="_-&quot;$&quot;* #,##0.00000_-;\-&quot;$&quot;* #,##0.000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44" fontId="0" fillId="0" borderId="0" xfId="2" applyFont="1"/>
    <xf numFmtId="44" fontId="0" fillId="0" borderId="0" xfId="0" applyNumberFormat="1"/>
    <xf numFmtId="44" fontId="0" fillId="0" borderId="3" xfId="0" applyNumberFormat="1" applyBorder="1"/>
    <xf numFmtId="0" fontId="0" fillId="0" borderId="4" xfId="0" applyBorder="1"/>
    <xf numFmtId="164" fontId="0" fillId="0" borderId="0" xfId="0" applyNumberFormat="1"/>
    <xf numFmtId="43" fontId="0" fillId="0" borderId="0" xfId="1" applyFont="1"/>
    <xf numFmtId="9" fontId="0" fillId="0" borderId="0" xfId="0" applyNumberFormat="1"/>
    <xf numFmtId="8" fontId="0" fillId="0" borderId="0" xfId="2" applyNumberFormat="1" applyFon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44" fontId="2" fillId="2" borderId="1" xfId="0" applyNumberFormat="1" applyFont="1" applyFill="1" applyBorder="1"/>
    <xf numFmtId="10" fontId="0" fillId="0" borderId="0" xfId="0" applyNumberFormat="1"/>
    <xf numFmtId="0" fontId="0" fillId="0" borderId="1" xfId="0" applyBorder="1"/>
    <xf numFmtId="44" fontId="2" fillId="2" borderId="1" xfId="2" applyFont="1" applyFill="1" applyBorder="1"/>
    <xf numFmtId="0" fontId="0" fillId="2" borderId="1" xfId="0" applyFill="1" applyBorder="1"/>
    <xf numFmtId="165" fontId="0" fillId="0" borderId="0" xfId="2" applyNumberFormat="1" applyFont="1"/>
    <xf numFmtId="14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2" fillId="2" borderId="0" xfId="0" applyFont="1" applyFill="1"/>
    <xf numFmtId="168" fontId="0" fillId="0" borderId="1" xfId="2" applyNumberFormat="1" applyFont="1" applyBorder="1"/>
    <xf numFmtId="168" fontId="0" fillId="2" borderId="1" xfId="0" applyNumberFormat="1" applyFill="1" applyBorder="1"/>
    <xf numFmtId="44" fontId="0" fillId="0" borderId="1" xfId="2" applyFont="1" applyBorder="1"/>
    <xf numFmtId="168" fontId="0" fillId="0" borderId="2" xfId="2" applyNumberFormat="1" applyFont="1" applyBorder="1"/>
    <xf numFmtId="10" fontId="0" fillId="0" borderId="1" xfId="3" applyNumberFormat="1" applyFont="1" applyBorder="1"/>
    <xf numFmtId="44" fontId="0" fillId="0" borderId="1" xfId="0" applyNumberFormat="1" applyBorder="1"/>
    <xf numFmtId="165" fontId="0" fillId="2" borderId="1" xfId="2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44" fontId="2" fillId="2" borderId="0" xfId="0" applyNumberFormat="1" applyFont="1" applyFill="1"/>
    <xf numFmtId="44" fontId="2" fillId="2" borderId="0" xfId="2" applyFont="1" applyFill="1"/>
    <xf numFmtId="0" fontId="2" fillId="2" borderId="1" xfId="0" applyFont="1" applyFill="1" applyBorder="1"/>
    <xf numFmtId="6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723900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B2A0BF-28D7-469F-9B52-6F2983E88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29" t="26436" r="25393" b="26162"/>
        <a:stretch/>
      </xdr:blipFill>
      <xdr:spPr>
        <a:xfrm>
          <a:off x="0" y="0"/>
          <a:ext cx="5057775" cy="3467100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542926</xdr:colOff>
      <xdr:row>0</xdr:row>
      <xdr:rowOff>0</xdr:rowOff>
    </xdr:from>
    <xdr:to>
      <xdr:col>14</xdr:col>
      <xdr:colOff>352426</xdr:colOff>
      <xdr:row>18</xdr:row>
      <xdr:rowOff>111111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65C3DC-20D2-40B5-BF62-CBA8A48EC8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256" t="30082" r="8626" b="30070"/>
        <a:stretch/>
      </xdr:blipFill>
      <xdr:spPr>
        <a:xfrm>
          <a:off x="5876926" y="0"/>
          <a:ext cx="5391150" cy="3540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" id="{1BB97432-E671-42E0-9CBC-6243F671CA80}" userId="8e85cd9e66912ce3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0" dT="2021-07-01T01:23:26.90" personId="{1BB97432-E671-42E0-9CBC-6243F671CA80}" id="{AAED18B3-AC4A-4D03-8262-8210714F97B8}">
    <text>2da forma de resolverlo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8480-B906-4791-8BFF-137EEA32273E}">
  <dimension ref="B3:K39"/>
  <sheetViews>
    <sheetView topLeftCell="A21" workbookViewId="0">
      <selection activeCell="H30" sqref="H30"/>
    </sheetView>
  </sheetViews>
  <sheetFormatPr baseColWidth="10" defaultRowHeight="15" x14ac:dyDescent="0.25"/>
  <cols>
    <col min="10" max="10" width="15.140625" bestFit="1" customWidth="1"/>
  </cols>
  <sheetData>
    <row r="3" spans="2:11" x14ac:dyDescent="0.25">
      <c r="B3" s="1" t="s">
        <v>0</v>
      </c>
    </row>
    <row r="5" spans="2:11" x14ac:dyDescent="0.25">
      <c r="B5" t="s">
        <v>1</v>
      </c>
      <c r="E5" t="s">
        <v>9</v>
      </c>
    </row>
    <row r="6" spans="2:11" x14ac:dyDescent="0.25">
      <c r="B6" t="s">
        <v>2</v>
      </c>
      <c r="C6">
        <v>100</v>
      </c>
      <c r="D6" t="s">
        <v>8</v>
      </c>
      <c r="E6" t="s">
        <v>10</v>
      </c>
      <c r="J6" s="3">
        <f>C6*C8</f>
        <v>15200</v>
      </c>
      <c r="K6" t="s">
        <v>4</v>
      </c>
    </row>
    <row r="7" spans="2:11" x14ac:dyDescent="0.25">
      <c r="E7" t="s">
        <v>11</v>
      </c>
    </row>
    <row r="8" spans="2:11" x14ac:dyDescent="0.25">
      <c r="B8" t="s">
        <v>3</v>
      </c>
      <c r="C8" s="2">
        <v>152</v>
      </c>
      <c r="D8" t="s">
        <v>4</v>
      </c>
      <c r="E8" t="s">
        <v>12</v>
      </c>
      <c r="J8" s="2">
        <f>C10*C6</f>
        <v>15500</v>
      </c>
      <c r="K8" t="s">
        <v>4</v>
      </c>
    </row>
    <row r="9" spans="2:11" x14ac:dyDescent="0.25">
      <c r="B9" t="s">
        <v>6</v>
      </c>
      <c r="C9" s="2">
        <v>100</v>
      </c>
      <c r="D9" t="s">
        <v>5</v>
      </c>
    </row>
    <row r="10" spans="2:11" x14ac:dyDescent="0.25">
      <c r="C10">
        <f>C9*C11</f>
        <v>155</v>
      </c>
      <c r="D10" t="s">
        <v>4</v>
      </c>
      <c r="E10" s="31" t="s">
        <v>13</v>
      </c>
      <c r="F10" s="31"/>
      <c r="G10" s="31"/>
      <c r="H10" s="31"/>
      <c r="I10" s="32"/>
      <c r="J10" s="4">
        <f>J8-J6</f>
        <v>300</v>
      </c>
      <c r="K10" s="5" t="s">
        <v>4</v>
      </c>
    </row>
    <row r="11" spans="2:11" x14ac:dyDescent="0.25">
      <c r="B11" t="s">
        <v>7</v>
      </c>
      <c r="C11" s="2">
        <v>1.55</v>
      </c>
    </row>
    <row r="14" spans="2:11" x14ac:dyDescent="0.25">
      <c r="B14" t="s">
        <v>14</v>
      </c>
      <c r="E14" t="s">
        <v>9</v>
      </c>
    </row>
    <row r="15" spans="2:11" x14ac:dyDescent="0.25">
      <c r="B15" t="s">
        <v>15</v>
      </c>
      <c r="C15" s="7">
        <v>500000</v>
      </c>
      <c r="D15" t="s">
        <v>8</v>
      </c>
      <c r="E15" t="s">
        <v>19</v>
      </c>
      <c r="J15" s="3">
        <f>C15*C19</f>
        <v>24326999.999999996</v>
      </c>
      <c r="K15" t="s">
        <v>17</v>
      </c>
    </row>
    <row r="16" spans="2:11" x14ac:dyDescent="0.25">
      <c r="E16" t="s">
        <v>11</v>
      </c>
    </row>
    <row r="17" spans="2:11" x14ac:dyDescent="0.25">
      <c r="B17" t="s">
        <v>16</v>
      </c>
      <c r="C17" s="2">
        <v>48.86</v>
      </c>
      <c r="D17" t="s">
        <v>17</v>
      </c>
      <c r="E17" t="s">
        <v>20</v>
      </c>
      <c r="J17" s="2">
        <f>C17*C15</f>
        <v>24430000</v>
      </c>
      <c r="K17" t="s">
        <v>17</v>
      </c>
    </row>
    <row r="18" spans="2:11" x14ac:dyDescent="0.25">
      <c r="B18" s="33" t="s">
        <v>3</v>
      </c>
      <c r="C18" s="2">
        <v>2.5499999999999998</v>
      </c>
      <c r="D18" t="s">
        <v>4</v>
      </c>
    </row>
    <row r="19" spans="2:11" x14ac:dyDescent="0.25">
      <c r="B19" s="33"/>
      <c r="C19" s="6">
        <f>C18*C20</f>
        <v>48.653999999999989</v>
      </c>
      <c r="D19" t="s">
        <v>17</v>
      </c>
      <c r="E19" s="32" t="s">
        <v>13</v>
      </c>
      <c r="F19" s="34"/>
      <c r="G19" s="34"/>
      <c r="H19" s="34"/>
      <c r="I19" s="34"/>
      <c r="J19" s="4">
        <f>J17-J15</f>
        <v>103000.00000000373</v>
      </c>
      <c r="K19" s="5" t="s">
        <v>17</v>
      </c>
    </row>
    <row r="20" spans="2:11" x14ac:dyDescent="0.25">
      <c r="B20" t="s">
        <v>18</v>
      </c>
      <c r="C20" s="2">
        <v>19.079999999999998</v>
      </c>
    </row>
    <row r="22" spans="2:11" x14ac:dyDescent="0.25">
      <c r="B22" s="1" t="s">
        <v>21</v>
      </c>
    </row>
    <row r="24" spans="2:11" x14ac:dyDescent="0.25">
      <c r="B24" t="s">
        <v>1</v>
      </c>
    </row>
    <row r="25" spans="2:11" x14ac:dyDescent="0.25">
      <c r="B25" t="s">
        <v>22</v>
      </c>
      <c r="C25" s="3">
        <f>C26/(EXP(C28*C27))</f>
        <v>99.998020546368394</v>
      </c>
      <c r="D25" s="3"/>
    </row>
    <row r="26" spans="2:11" x14ac:dyDescent="0.25">
      <c r="B26" t="s">
        <v>23</v>
      </c>
      <c r="C26" s="2">
        <v>128.4</v>
      </c>
    </row>
    <row r="27" spans="2:11" x14ac:dyDescent="0.25">
      <c r="B27" t="s">
        <v>24</v>
      </c>
      <c r="C27">
        <v>5</v>
      </c>
      <c r="D27" t="s">
        <v>25</v>
      </c>
    </row>
    <row r="28" spans="2:11" x14ac:dyDescent="0.25">
      <c r="B28" t="s">
        <v>26</v>
      </c>
      <c r="C28" s="8">
        <v>0.05</v>
      </c>
    </row>
    <row r="30" spans="2:11" x14ac:dyDescent="0.25">
      <c r="B30" t="s">
        <v>14</v>
      </c>
    </row>
    <row r="31" spans="2:11" x14ac:dyDescent="0.25">
      <c r="B31" t="s">
        <v>27</v>
      </c>
      <c r="C31">
        <v>100</v>
      </c>
      <c r="E31" t="s">
        <v>29</v>
      </c>
    </row>
    <row r="32" spans="2:11" x14ac:dyDescent="0.25">
      <c r="B32" t="s">
        <v>24</v>
      </c>
      <c r="C32">
        <v>2</v>
      </c>
      <c r="D32" s="3" t="s">
        <v>25</v>
      </c>
      <c r="E32" s="3" t="s">
        <v>30</v>
      </c>
      <c r="F32">
        <v>100</v>
      </c>
    </row>
    <row r="33" spans="2:7" x14ac:dyDescent="0.25">
      <c r="B33" t="s">
        <v>26</v>
      </c>
      <c r="C33" s="8">
        <v>0.04</v>
      </c>
      <c r="D33" s="9"/>
      <c r="E33" t="s">
        <v>31</v>
      </c>
      <c r="F33" s="8">
        <v>0.03</v>
      </c>
    </row>
    <row r="34" spans="2:7" x14ac:dyDescent="0.25">
      <c r="B34" s="10" t="s">
        <v>28</v>
      </c>
      <c r="C34" s="2">
        <f>C31*(EXP(C32*C33))</f>
        <v>108.32870676749586</v>
      </c>
      <c r="E34" t="s">
        <v>32</v>
      </c>
      <c r="F34">
        <v>1</v>
      </c>
      <c r="G34" t="s">
        <v>34</v>
      </c>
    </row>
    <row r="35" spans="2:7" x14ac:dyDescent="0.25">
      <c r="D35" s="8"/>
      <c r="E35" s="10" t="s">
        <v>36</v>
      </c>
      <c r="F35" s="12">
        <f>F32*(EXP(F33*F34))</f>
        <v>103.0454533953517</v>
      </c>
    </row>
    <row r="36" spans="2:7" x14ac:dyDescent="0.25">
      <c r="E36" t="s">
        <v>33</v>
      </c>
      <c r="F36">
        <v>1</v>
      </c>
      <c r="G36" t="s">
        <v>34</v>
      </c>
    </row>
    <row r="37" spans="2:7" x14ac:dyDescent="0.25">
      <c r="E37" t="s">
        <v>35</v>
      </c>
      <c r="F37" s="8">
        <v>0.05</v>
      </c>
    </row>
    <row r="39" spans="2:7" x14ac:dyDescent="0.25">
      <c r="E39" s="10" t="s">
        <v>23</v>
      </c>
      <c r="F39" s="11">
        <f>F35*EXP(F36*F37)</f>
        <v>108.32870676749587</v>
      </c>
    </row>
  </sheetData>
  <mergeCells count="3">
    <mergeCell ref="E10:I10"/>
    <mergeCell ref="B18:B19"/>
    <mergeCell ref="E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9564-9038-44F7-A0FF-643B8ED7B7D2}">
  <dimension ref="A21:Y90"/>
  <sheetViews>
    <sheetView topLeftCell="A83" workbookViewId="0">
      <selection activeCell="C92" sqref="C92"/>
    </sheetView>
  </sheetViews>
  <sheetFormatPr baseColWidth="10" defaultRowHeight="15" x14ac:dyDescent="0.25"/>
  <cols>
    <col min="2" max="2" width="18.140625" customWidth="1"/>
    <col min="3" max="3" width="12.5703125" bestFit="1" customWidth="1"/>
    <col min="6" max="6" width="14.140625" bestFit="1" customWidth="1"/>
    <col min="11" max="11" width="14" customWidth="1"/>
    <col min="12" max="12" width="12.5703125" bestFit="1" customWidth="1"/>
  </cols>
  <sheetData>
    <row r="21" spans="1:25" x14ac:dyDescent="0.25">
      <c r="A21" t="s">
        <v>43</v>
      </c>
      <c r="B21" t="s">
        <v>37</v>
      </c>
      <c r="I21" t="s">
        <v>46</v>
      </c>
      <c r="J21" t="s">
        <v>50</v>
      </c>
    </row>
    <row r="22" spans="1:25" x14ac:dyDescent="0.25">
      <c r="B22" t="s">
        <v>38</v>
      </c>
      <c r="C22" s="2">
        <v>1300</v>
      </c>
      <c r="D22" t="s">
        <v>4</v>
      </c>
      <c r="J22" t="s">
        <v>38</v>
      </c>
      <c r="K22" s="2">
        <v>1600</v>
      </c>
      <c r="L22" t="s">
        <v>4</v>
      </c>
    </row>
    <row r="23" spans="1:25" x14ac:dyDescent="0.25">
      <c r="B23" t="s">
        <v>24</v>
      </c>
      <c r="C23">
        <v>3</v>
      </c>
      <c r="D23" t="s">
        <v>41</v>
      </c>
      <c r="J23" t="s">
        <v>24</v>
      </c>
      <c r="K23">
        <v>12</v>
      </c>
      <c r="L23" t="s">
        <v>41</v>
      </c>
    </row>
    <row r="24" spans="1:25" x14ac:dyDescent="0.25">
      <c r="B24" t="s">
        <v>39</v>
      </c>
      <c r="C24" s="8">
        <v>0.01</v>
      </c>
      <c r="D24" t="s">
        <v>42</v>
      </c>
      <c r="J24" t="s">
        <v>47</v>
      </c>
      <c r="K24" s="2">
        <v>2</v>
      </c>
      <c r="L24" t="s">
        <v>48</v>
      </c>
      <c r="M24" t="s">
        <v>49</v>
      </c>
    </row>
    <row r="25" spans="1:25" x14ac:dyDescent="0.25">
      <c r="B25" t="s">
        <v>26</v>
      </c>
      <c r="C25" s="8">
        <v>0.05</v>
      </c>
      <c r="D25" t="s">
        <v>42</v>
      </c>
      <c r="J25" t="s">
        <v>26</v>
      </c>
      <c r="K25" s="8">
        <v>0.05</v>
      </c>
    </row>
    <row r="26" spans="1:25" x14ac:dyDescent="0.25">
      <c r="B26" t="s">
        <v>40</v>
      </c>
      <c r="C26" s="13">
        <f>C22*(EXP(((C25-C24)/12)*C23))</f>
        <v>1313.0652172094183</v>
      </c>
      <c r="D26" t="s">
        <v>4</v>
      </c>
    </row>
    <row r="27" spans="1:25" x14ac:dyDescent="0.25">
      <c r="J27" s="15" t="s">
        <v>51</v>
      </c>
      <c r="K27" s="16">
        <f>(K22+M29)*EXP((K25/12)*K23)</f>
        <v>1684.0337542016387</v>
      </c>
      <c r="L27" t="s">
        <v>4</v>
      </c>
      <c r="M27">
        <v>0</v>
      </c>
      <c r="N27">
        <v>1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10</v>
      </c>
      <c r="X27">
        <v>11</v>
      </c>
      <c r="Y27">
        <v>12</v>
      </c>
    </row>
    <row r="28" spans="1:25" x14ac:dyDescent="0.25">
      <c r="A28" t="s">
        <v>44</v>
      </c>
      <c r="M28" s="2">
        <v>1600</v>
      </c>
      <c r="Y28" s="2">
        <v>2</v>
      </c>
    </row>
    <row r="29" spans="1:25" x14ac:dyDescent="0.25">
      <c r="B29" t="s">
        <v>45</v>
      </c>
      <c r="J29" s="17" t="s">
        <v>51</v>
      </c>
      <c r="K29" s="13">
        <f>((K22)*EXP(((K25/12)*K23)))+K24</f>
        <v>1684.0337542016387</v>
      </c>
      <c r="L29" t="s">
        <v>4</v>
      </c>
      <c r="M29" s="2">
        <f>Y28/EXP((K25/12)*12)</f>
        <v>1.9024588490014278</v>
      </c>
    </row>
    <row r="30" spans="1:25" x14ac:dyDescent="0.25">
      <c r="B30" t="s">
        <v>38</v>
      </c>
      <c r="C30" s="2">
        <v>21450</v>
      </c>
      <c r="D30" t="s">
        <v>4</v>
      </c>
    </row>
    <row r="31" spans="1:25" x14ac:dyDescent="0.25">
      <c r="B31" t="s">
        <v>24</v>
      </c>
      <c r="C31">
        <v>8</v>
      </c>
      <c r="D31" t="s">
        <v>41</v>
      </c>
    </row>
    <row r="32" spans="1:25" x14ac:dyDescent="0.25">
      <c r="B32" t="s">
        <v>39</v>
      </c>
      <c r="C32" s="14">
        <v>2.5000000000000001E-2</v>
      </c>
      <c r="D32" t="s">
        <v>42</v>
      </c>
      <c r="I32" t="s">
        <v>52</v>
      </c>
      <c r="J32" t="s">
        <v>53</v>
      </c>
    </row>
    <row r="33" spans="1:21" x14ac:dyDescent="0.25">
      <c r="B33" t="s">
        <v>26</v>
      </c>
      <c r="C33" s="8">
        <v>7.0000000000000007E-2</v>
      </c>
      <c r="D33" t="s">
        <v>42</v>
      </c>
      <c r="J33" t="s">
        <v>38</v>
      </c>
      <c r="K33" s="2">
        <v>48</v>
      </c>
      <c r="L33" t="s">
        <v>4</v>
      </c>
    </row>
    <row r="34" spans="1:21" x14ac:dyDescent="0.25">
      <c r="B34" t="s">
        <v>40</v>
      </c>
      <c r="C34" s="13">
        <f>C30*(EXP(((C33-C32)/12)*C31))</f>
        <v>22103.249753302938</v>
      </c>
      <c r="D34" t="s">
        <v>4</v>
      </c>
      <c r="J34" t="s">
        <v>24</v>
      </c>
      <c r="K34">
        <v>7</v>
      </c>
      <c r="L34" t="s">
        <v>41</v>
      </c>
    </row>
    <row r="35" spans="1:21" x14ac:dyDescent="0.25">
      <c r="J35" t="s">
        <v>47</v>
      </c>
      <c r="K35" s="2">
        <v>1.3</v>
      </c>
      <c r="L35" t="s">
        <v>48</v>
      </c>
      <c r="M35" t="s">
        <v>57</v>
      </c>
    </row>
    <row r="36" spans="1:21" x14ac:dyDescent="0.25">
      <c r="J36" t="s">
        <v>54</v>
      </c>
      <c r="K36" s="14">
        <v>1.4999999999999999E-2</v>
      </c>
      <c r="L36" t="s">
        <v>42</v>
      </c>
    </row>
    <row r="37" spans="1:21" x14ac:dyDescent="0.25">
      <c r="J37" t="s">
        <v>55</v>
      </c>
      <c r="K37" s="14">
        <v>0.02</v>
      </c>
      <c r="L37" t="s">
        <v>42</v>
      </c>
    </row>
    <row r="38" spans="1:21" x14ac:dyDescent="0.25">
      <c r="J38" t="s">
        <v>56</v>
      </c>
      <c r="K38" s="14">
        <v>2.3E-2</v>
      </c>
      <c r="L38" t="s">
        <v>42</v>
      </c>
    </row>
    <row r="39" spans="1:21" x14ac:dyDescent="0.25">
      <c r="M39" s="15" t="s">
        <v>51</v>
      </c>
      <c r="N39" s="16">
        <f>(K33+I44)*EXP((K38/12)*K34)</f>
        <v>49.960967154134963</v>
      </c>
      <c r="O39" t="s">
        <v>4</v>
      </c>
    </row>
    <row r="41" spans="1:21" x14ac:dyDescent="0.25">
      <c r="M41" s="17"/>
      <c r="N41" s="13"/>
    </row>
    <row r="42" spans="1:21" x14ac:dyDescent="0.25">
      <c r="I42">
        <v>0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  <c r="T42">
        <v>11</v>
      </c>
      <c r="U42">
        <v>12</v>
      </c>
    </row>
    <row r="43" spans="1:21" x14ac:dyDescent="0.25">
      <c r="I43" s="2">
        <v>48</v>
      </c>
      <c r="L43" s="2">
        <v>1.3</v>
      </c>
      <c r="U43" s="2"/>
    </row>
    <row r="44" spans="1:21" x14ac:dyDescent="0.25">
      <c r="H44" t="s">
        <v>58</v>
      </c>
      <c r="I44" s="18">
        <f>L43/EXP((K36/12)*L42)</f>
        <v>1.2951341292099225</v>
      </c>
    </row>
    <row r="46" spans="1:21" x14ac:dyDescent="0.25">
      <c r="B46" t="s">
        <v>60</v>
      </c>
    </row>
    <row r="47" spans="1:21" x14ac:dyDescent="0.25">
      <c r="A47" t="s">
        <v>59</v>
      </c>
    </row>
    <row r="50" spans="1:7" x14ac:dyDescent="0.25">
      <c r="B50" t="s">
        <v>61</v>
      </c>
      <c r="C50" s="19">
        <v>44403</v>
      </c>
      <c r="E50" t="s">
        <v>69</v>
      </c>
      <c r="F50" s="18">
        <f>C55*(((1+C57)/(1+C58))^(C60/360))</f>
        <v>20.002879789795433</v>
      </c>
    </row>
    <row r="51" spans="1:7" x14ac:dyDescent="0.25">
      <c r="B51" t="s">
        <v>62</v>
      </c>
      <c r="C51" s="19">
        <v>44439</v>
      </c>
    </row>
    <row r="53" spans="1:7" x14ac:dyDescent="0.25">
      <c r="E53" t="s">
        <v>77</v>
      </c>
      <c r="G53" s="21">
        <f>F50</f>
        <v>20.002879789795433</v>
      </c>
    </row>
    <row r="54" spans="1:7" x14ac:dyDescent="0.25">
      <c r="B54" t="s">
        <v>63</v>
      </c>
      <c r="C54" s="2">
        <v>19.899999999999999</v>
      </c>
      <c r="E54" t="s">
        <v>78</v>
      </c>
      <c r="G54" s="21">
        <v>20.002879789795433</v>
      </c>
    </row>
    <row r="55" spans="1:7" x14ac:dyDescent="0.25">
      <c r="B55" t="s">
        <v>64</v>
      </c>
      <c r="C55" s="2">
        <v>19.920000000000002</v>
      </c>
    </row>
    <row r="57" spans="1:7" x14ac:dyDescent="0.25">
      <c r="B57" t="s">
        <v>65</v>
      </c>
      <c r="C57" s="14">
        <v>4.4999999999999998E-2</v>
      </c>
    </row>
    <row r="58" spans="1:7" x14ac:dyDescent="0.25">
      <c r="B58" t="s">
        <v>66</v>
      </c>
      <c r="C58" s="14">
        <v>2.5000000000000001E-3</v>
      </c>
    </row>
    <row r="60" spans="1:7" x14ac:dyDescent="0.25">
      <c r="B60" t="s">
        <v>67</v>
      </c>
      <c r="C60">
        <f>C51-C50</f>
        <v>36</v>
      </c>
      <c r="D60" t="s">
        <v>68</v>
      </c>
    </row>
    <row r="61" spans="1:7" x14ac:dyDescent="0.25">
      <c r="A61" t="s">
        <v>70</v>
      </c>
      <c r="B61" t="s">
        <v>60</v>
      </c>
    </row>
    <row r="63" spans="1:7" x14ac:dyDescent="0.25">
      <c r="B63" t="s">
        <v>61</v>
      </c>
      <c r="C63" s="19">
        <v>44379</v>
      </c>
    </row>
    <row r="64" spans="1:7" x14ac:dyDescent="0.25">
      <c r="B64" t="s">
        <v>71</v>
      </c>
      <c r="C64" s="19">
        <v>44509</v>
      </c>
      <c r="E64" t="s">
        <v>69</v>
      </c>
      <c r="F64" s="21">
        <f>C70*(((1+C72)/(1+C73))^(C75/360))</f>
        <v>20.20586314911214</v>
      </c>
    </row>
    <row r="66" spans="1:7" x14ac:dyDescent="0.25">
      <c r="B66" t="s">
        <v>74</v>
      </c>
      <c r="C66" s="2">
        <v>215680</v>
      </c>
      <c r="D66" t="s">
        <v>4</v>
      </c>
    </row>
    <row r="68" spans="1:7" x14ac:dyDescent="0.25">
      <c r="B68" t="s">
        <v>72</v>
      </c>
      <c r="C68" s="18">
        <v>19.8215</v>
      </c>
    </row>
    <row r="69" spans="1:7" x14ac:dyDescent="0.25">
      <c r="B69" t="s">
        <v>73</v>
      </c>
      <c r="C69" s="18">
        <v>19.829999999999998</v>
      </c>
    </row>
    <row r="70" spans="1:7" x14ac:dyDescent="0.25">
      <c r="B70" t="s">
        <v>64</v>
      </c>
      <c r="C70" s="18">
        <v>19.838000000000001</v>
      </c>
    </row>
    <row r="72" spans="1:7" x14ac:dyDescent="0.25">
      <c r="B72" t="s">
        <v>75</v>
      </c>
      <c r="C72" s="22">
        <v>5.5579999999999997E-2</v>
      </c>
    </row>
    <row r="73" spans="1:7" x14ac:dyDescent="0.25">
      <c r="B73" t="s">
        <v>76</v>
      </c>
      <c r="C73" s="20">
        <v>3.215E-3</v>
      </c>
      <c r="E73" t="s">
        <v>77</v>
      </c>
      <c r="G73" s="21">
        <f>C70</f>
        <v>19.838000000000001</v>
      </c>
    </row>
    <row r="74" spans="1:7" x14ac:dyDescent="0.25">
      <c r="E74" t="s">
        <v>78</v>
      </c>
      <c r="G74" s="21">
        <f>F64</f>
        <v>20.20586314911214</v>
      </c>
    </row>
    <row r="75" spans="1:7" x14ac:dyDescent="0.25">
      <c r="B75" t="s">
        <v>67</v>
      </c>
      <c r="C75">
        <f>C64-C63</f>
        <v>130</v>
      </c>
    </row>
    <row r="77" spans="1:7" x14ac:dyDescent="0.25">
      <c r="A77" t="s">
        <v>79</v>
      </c>
      <c r="B77" s="23" t="s">
        <v>83</v>
      </c>
      <c r="C77" s="23" t="s">
        <v>84</v>
      </c>
    </row>
    <row r="78" spans="1:7" x14ac:dyDescent="0.25">
      <c r="B78" s="15" t="s">
        <v>80</v>
      </c>
      <c r="C78" s="24">
        <v>20.124300000000002</v>
      </c>
    </row>
    <row r="79" spans="1:7" x14ac:dyDescent="0.25">
      <c r="B79" s="15" t="s">
        <v>81</v>
      </c>
      <c r="C79" s="24">
        <v>20.221</v>
      </c>
    </row>
    <row r="80" spans="1:7" x14ac:dyDescent="0.25">
      <c r="B80" s="15" t="s">
        <v>82</v>
      </c>
      <c r="C80" s="24">
        <v>20.538799999999998</v>
      </c>
    </row>
    <row r="82" spans="1:6" x14ac:dyDescent="0.25">
      <c r="B82" s="15" t="s">
        <v>85</v>
      </c>
      <c r="C82" s="25">
        <f>AVERAGE(C78:C80)</f>
        <v>20.294700000000002</v>
      </c>
    </row>
    <row r="84" spans="1:6" x14ac:dyDescent="0.25">
      <c r="A84" t="s">
        <v>86</v>
      </c>
      <c r="B84" s="23" t="s">
        <v>83</v>
      </c>
      <c r="C84" s="23" t="s">
        <v>90</v>
      </c>
      <c r="D84" s="23" t="s">
        <v>91</v>
      </c>
      <c r="E84" s="23" t="s">
        <v>92</v>
      </c>
      <c r="F84" s="23" t="s">
        <v>93</v>
      </c>
    </row>
    <row r="85" spans="1:6" x14ac:dyDescent="0.25">
      <c r="B85" s="15" t="s">
        <v>87</v>
      </c>
      <c r="C85" s="26">
        <v>15000</v>
      </c>
      <c r="D85" s="27">
        <v>23.614999999999998</v>
      </c>
      <c r="E85" s="28">
        <f>C85/$C$88</f>
        <v>6.8181818181818177E-2</v>
      </c>
      <c r="F85" s="2">
        <f>C85*D85</f>
        <v>354225</v>
      </c>
    </row>
    <row r="86" spans="1:6" x14ac:dyDescent="0.25">
      <c r="B86" s="15" t="s">
        <v>88</v>
      </c>
      <c r="C86" s="26">
        <v>55000</v>
      </c>
      <c r="D86" s="27">
        <v>23.743600000000001</v>
      </c>
      <c r="E86" s="28">
        <f t="shared" ref="E86:E87" si="0">C86/$C$88</f>
        <v>0.25</v>
      </c>
      <c r="F86" s="2">
        <f t="shared" ref="F86:F87" si="1">C86*D86</f>
        <v>1305898</v>
      </c>
    </row>
    <row r="87" spans="1:6" x14ac:dyDescent="0.25">
      <c r="B87" s="15" t="s">
        <v>89</v>
      </c>
      <c r="C87" s="26">
        <v>150000</v>
      </c>
      <c r="D87" s="27">
        <v>23.8612</v>
      </c>
      <c r="E87" s="28">
        <f t="shared" si="0"/>
        <v>0.68181818181818177</v>
      </c>
      <c r="F87" s="2">
        <f t="shared" si="1"/>
        <v>3579180</v>
      </c>
    </row>
    <row r="88" spans="1:6" x14ac:dyDescent="0.25">
      <c r="C88" s="29">
        <f>SUM(C85:C87)</f>
        <v>220000</v>
      </c>
      <c r="E88" s="28">
        <f>SUM(E85:E87)</f>
        <v>1</v>
      </c>
      <c r="F88" s="3">
        <f>SUM(F85:F87)</f>
        <v>5239303</v>
      </c>
    </row>
    <row r="89" spans="1:6" x14ac:dyDescent="0.25">
      <c r="B89" s="15" t="s">
        <v>85</v>
      </c>
      <c r="C89" s="25">
        <f>(D85*E85)+(D86*E86)+(D87*E87)</f>
        <v>23.815013636363634</v>
      </c>
    </row>
    <row r="90" spans="1:6" x14ac:dyDescent="0.25">
      <c r="C90" s="30">
        <f>F88/C88</f>
        <v>23.815013636363638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7D91-DB45-4A8E-AC71-3DF3ACD03F11}">
  <dimension ref="B2:N123"/>
  <sheetViews>
    <sheetView tabSelected="1" topLeftCell="A64" workbookViewId="0">
      <selection activeCell="D80" sqref="D80"/>
    </sheetView>
  </sheetViews>
  <sheetFormatPr baseColWidth="10" defaultRowHeight="15" x14ac:dyDescent="0.25"/>
  <cols>
    <col min="6" max="6" width="38.140625" customWidth="1"/>
    <col min="7" max="7" width="22.28515625" bestFit="1" customWidth="1"/>
  </cols>
  <sheetData>
    <row r="2" spans="2:5" x14ac:dyDescent="0.25">
      <c r="B2" s="35" t="s">
        <v>94</v>
      </c>
    </row>
    <row r="4" spans="2:5" x14ac:dyDescent="0.25">
      <c r="B4" t="s">
        <v>1</v>
      </c>
      <c r="C4" t="s">
        <v>100</v>
      </c>
    </row>
    <row r="5" spans="2:5" x14ac:dyDescent="0.25">
      <c r="B5" t="s">
        <v>23</v>
      </c>
      <c r="C5" s="2">
        <v>112.5</v>
      </c>
    </row>
    <row r="6" spans="2:5" x14ac:dyDescent="0.25">
      <c r="B6" t="s">
        <v>24</v>
      </c>
      <c r="C6">
        <v>6</v>
      </c>
      <c r="D6" t="s">
        <v>25</v>
      </c>
    </row>
    <row r="7" spans="2:5" x14ac:dyDescent="0.25">
      <c r="B7" t="s">
        <v>26</v>
      </c>
      <c r="C7" s="8">
        <v>0.04</v>
      </c>
      <c r="D7" t="s">
        <v>95</v>
      </c>
    </row>
    <row r="9" spans="2:5" x14ac:dyDescent="0.25">
      <c r="B9" t="s">
        <v>22</v>
      </c>
      <c r="C9" s="36">
        <f>C5/EXP(C7*C6)</f>
        <v>88.495634369987258</v>
      </c>
    </row>
    <row r="12" spans="2:5" x14ac:dyDescent="0.25">
      <c r="B12" t="s">
        <v>14</v>
      </c>
      <c r="C12" t="s">
        <v>96</v>
      </c>
    </row>
    <row r="13" spans="2:5" x14ac:dyDescent="0.25">
      <c r="C13" t="s">
        <v>38</v>
      </c>
      <c r="D13">
        <v>976</v>
      </c>
    </row>
    <row r="14" spans="2:5" x14ac:dyDescent="0.25">
      <c r="C14" t="s">
        <v>24</v>
      </c>
      <c r="D14">
        <v>7</v>
      </c>
      <c r="E14" t="s">
        <v>98</v>
      </c>
    </row>
    <row r="15" spans="2:5" x14ac:dyDescent="0.25">
      <c r="C15" t="s">
        <v>26</v>
      </c>
      <c r="D15" s="8">
        <v>0.03</v>
      </c>
      <c r="E15" t="s">
        <v>99</v>
      </c>
    </row>
    <row r="17" spans="2:8" x14ac:dyDescent="0.25">
      <c r="C17" s="10" t="s">
        <v>97</v>
      </c>
      <c r="D17" s="37">
        <f>(D13)*EXP((D15/12)*D14)</f>
        <v>993.2303256191434</v>
      </c>
    </row>
    <row r="18" spans="2:8" x14ac:dyDescent="0.25">
      <c r="C18" s="10"/>
      <c r="D18" s="10"/>
    </row>
    <row r="20" spans="2:8" x14ac:dyDescent="0.25">
      <c r="B20" t="s">
        <v>101</v>
      </c>
      <c r="C20" t="s">
        <v>102</v>
      </c>
    </row>
    <row r="22" spans="2:8" x14ac:dyDescent="0.25">
      <c r="C22" t="s">
        <v>103</v>
      </c>
      <c r="D22" s="2">
        <v>27</v>
      </c>
    </row>
    <row r="23" spans="2:8" x14ac:dyDescent="0.25">
      <c r="C23" t="s">
        <v>26</v>
      </c>
      <c r="D23" s="14">
        <v>4.4999999999999998E-2</v>
      </c>
      <c r="E23" t="s">
        <v>95</v>
      </c>
    </row>
    <row r="24" spans="2:8" x14ac:dyDescent="0.25">
      <c r="C24" t="s">
        <v>24</v>
      </c>
      <c r="D24">
        <v>5</v>
      </c>
      <c r="E24" t="s">
        <v>98</v>
      </c>
    </row>
    <row r="26" spans="2:8" x14ac:dyDescent="0.25">
      <c r="C26" t="s">
        <v>97</v>
      </c>
      <c r="D26" s="11">
        <f>D22*EXP((D23/12)*D24)</f>
        <v>27.511025896404711</v>
      </c>
      <c r="G26" t="s">
        <v>104</v>
      </c>
      <c r="H26" s="2">
        <v>34</v>
      </c>
    </row>
    <row r="27" spans="2:8" x14ac:dyDescent="0.25">
      <c r="G27" t="s">
        <v>105</v>
      </c>
    </row>
    <row r="29" spans="2:8" x14ac:dyDescent="0.25">
      <c r="G29" t="s">
        <v>61</v>
      </c>
    </row>
    <row r="30" spans="2:8" x14ac:dyDescent="0.25">
      <c r="F30" t="s">
        <v>1</v>
      </c>
      <c r="G30" t="s">
        <v>106</v>
      </c>
    </row>
    <row r="31" spans="2:8" x14ac:dyDescent="0.25">
      <c r="F31" t="s">
        <v>14</v>
      </c>
      <c r="G31" t="s">
        <v>107</v>
      </c>
    </row>
    <row r="32" spans="2:8" x14ac:dyDescent="0.25">
      <c r="F32" t="s">
        <v>101</v>
      </c>
      <c r="G32" t="s">
        <v>108</v>
      </c>
    </row>
    <row r="34" spans="5:8" x14ac:dyDescent="0.25">
      <c r="G34" t="s">
        <v>109</v>
      </c>
    </row>
    <row r="35" spans="5:8" x14ac:dyDescent="0.25">
      <c r="F35" t="s">
        <v>110</v>
      </c>
    </row>
    <row r="36" spans="5:8" x14ac:dyDescent="0.25">
      <c r="F36" t="s">
        <v>111</v>
      </c>
    </row>
    <row r="37" spans="5:8" x14ac:dyDescent="0.25">
      <c r="F37" t="s">
        <v>23</v>
      </c>
      <c r="G37" s="2">
        <v>27.51</v>
      </c>
      <c r="H37" t="s">
        <v>4</v>
      </c>
    </row>
    <row r="38" spans="5:8" x14ac:dyDescent="0.25">
      <c r="E38" t="s">
        <v>112</v>
      </c>
    </row>
    <row r="39" spans="5:8" x14ac:dyDescent="0.25">
      <c r="F39" s="3">
        <f>H26-G37</f>
        <v>6.4899999999999984</v>
      </c>
      <c r="G39" t="s">
        <v>4</v>
      </c>
    </row>
    <row r="41" spans="5:8" x14ac:dyDescent="0.25">
      <c r="F41" t="s">
        <v>113</v>
      </c>
      <c r="G41">
        <v>22</v>
      </c>
    </row>
    <row r="42" spans="5:8" x14ac:dyDescent="0.25">
      <c r="F42" t="s">
        <v>114</v>
      </c>
    </row>
    <row r="43" spans="5:8" x14ac:dyDescent="0.25">
      <c r="F43" t="s">
        <v>115</v>
      </c>
    </row>
    <row r="44" spans="5:8" x14ac:dyDescent="0.25">
      <c r="F44" t="s">
        <v>116</v>
      </c>
    </row>
    <row r="46" spans="5:8" x14ac:dyDescent="0.25">
      <c r="F46" t="s">
        <v>109</v>
      </c>
    </row>
    <row r="47" spans="5:8" x14ac:dyDescent="0.25">
      <c r="F47" t="s">
        <v>117</v>
      </c>
    </row>
    <row r="48" spans="5:8" x14ac:dyDescent="0.25">
      <c r="F48" t="s">
        <v>23</v>
      </c>
      <c r="G48" s="3">
        <f>D26</f>
        <v>27.511025896404711</v>
      </c>
    </row>
    <row r="49" spans="2:14" x14ac:dyDescent="0.25">
      <c r="F49" t="s">
        <v>118</v>
      </c>
    </row>
    <row r="50" spans="2:14" x14ac:dyDescent="0.25">
      <c r="F50" t="s">
        <v>119</v>
      </c>
    </row>
    <row r="51" spans="2:14" x14ac:dyDescent="0.25">
      <c r="F51" s="3">
        <f>G48-G41</f>
        <v>5.5110258964047105</v>
      </c>
      <c r="G51" t="s">
        <v>4</v>
      </c>
    </row>
    <row r="53" spans="2:14" x14ac:dyDescent="0.25">
      <c r="B53" t="s">
        <v>120</v>
      </c>
      <c r="C53" t="s">
        <v>129</v>
      </c>
      <c r="E53">
        <v>0</v>
      </c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  <c r="N53">
        <v>9</v>
      </c>
    </row>
    <row r="54" spans="2:14" x14ac:dyDescent="0.25">
      <c r="B54" t="s">
        <v>38</v>
      </c>
      <c r="C54" s="2">
        <v>93</v>
      </c>
      <c r="E54" s="3">
        <f>C54</f>
        <v>93</v>
      </c>
      <c r="H54" s="3">
        <f>C57</f>
        <v>0.45</v>
      </c>
      <c r="K54" s="3">
        <v>0.45</v>
      </c>
      <c r="N54" s="3">
        <v>0.45</v>
      </c>
    </row>
    <row r="55" spans="2:14" x14ac:dyDescent="0.25">
      <c r="B55" t="s">
        <v>24</v>
      </c>
      <c r="C55">
        <v>9</v>
      </c>
      <c r="D55" t="s">
        <v>98</v>
      </c>
      <c r="E55" t="s">
        <v>27</v>
      </c>
      <c r="N55" t="s">
        <v>51</v>
      </c>
    </row>
    <row r="56" spans="2:14" x14ac:dyDescent="0.25">
      <c r="B56" t="s">
        <v>26</v>
      </c>
      <c r="C56" s="8">
        <v>0.05</v>
      </c>
      <c r="D56" t="s">
        <v>95</v>
      </c>
    </row>
    <row r="57" spans="2:14" x14ac:dyDescent="0.25">
      <c r="B57" t="s">
        <v>121</v>
      </c>
      <c r="C57" s="2">
        <v>0.45</v>
      </c>
      <c r="D57" t="s">
        <v>122</v>
      </c>
    </row>
    <row r="59" spans="2:14" x14ac:dyDescent="0.25">
      <c r="B59" s="17" t="s">
        <v>97</v>
      </c>
      <c r="C59" s="13">
        <f>(C54-C66)*EXP((C56/12)*C55)</f>
        <v>95.186663621180458</v>
      </c>
    </row>
    <row r="62" spans="2:14" x14ac:dyDescent="0.25">
      <c r="B62" t="s">
        <v>123</v>
      </c>
    </row>
    <row r="63" spans="2:14" x14ac:dyDescent="0.25">
      <c r="B63" t="s">
        <v>124</v>
      </c>
      <c r="C63" s="21">
        <f>H54/EXP((C56/12)*H53)</f>
        <v>0.44441001022224663</v>
      </c>
    </row>
    <row r="64" spans="2:14" x14ac:dyDescent="0.25">
      <c r="B64" t="s">
        <v>125</v>
      </c>
      <c r="C64" s="21">
        <f>H54/EXP((C56/12)*K53)</f>
        <v>0.43888946041274968</v>
      </c>
    </row>
    <row r="65" spans="2:13" x14ac:dyDescent="0.25">
      <c r="B65" t="s">
        <v>126</v>
      </c>
      <c r="C65" s="21">
        <f>H54/EXP((C56/12)*N53)</f>
        <v>0.43343748797436982</v>
      </c>
    </row>
    <row r="66" spans="2:13" x14ac:dyDescent="0.25">
      <c r="B66" t="s">
        <v>127</v>
      </c>
      <c r="C66" s="21">
        <f>SUM(C63:C65)</f>
        <v>1.3167369586093662</v>
      </c>
    </row>
    <row r="68" spans="2:13" x14ac:dyDescent="0.25">
      <c r="B68" t="s">
        <v>128</v>
      </c>
      <c r="C68" t="s">
        <v>130</v>
      </c>
    </row>
    <row r="70" spans="2:13" x14ac:dyDescent="0.25">
      <c r="C70" t="s">
        <v>131</v>
      </c>
      <c r="D70" s="2">
        <v>95</v>
      </c>
      <c r="F70">
        <v>0</v>
      </c>
      <c r="G70">
        <v>1</v>
      </c>
      <c r="H70">
        <v>2</v>
      </c>
      <c r="I70">
        <v>3</v>
      </c>
      <c r="J70">
        <v>4</v>
      </c>
      <c r="K70">
        <v>5</v>
      </c>
      <c r="L70">
        <v>6</v>
      </c>
      <c r="M70">
        <v>7</v>
      </c>
    </row>
    <row r="71" spans="2:13" x14ac:dyDescent="0.25">
      <c r="C71" t="s">
        <v>24</v>
      </c>
      <c r="D71">
        <v>7</v>
      </c>
      <c r="E71" t="s">
        <v>41</v>
      </c>
      <c r="F71">
        <f>D70</f>
        <v>95</v>
      </c>
      <c r="I71" s="2">
        <v>0.81</v>
      </c>
      <c r="L71" s="2">
        <v>0.81</v>
      </c>
      <c r="M71" t="s">
        <v>51</v>
      </c>
    </row>
    <row r="72" spans="2:13" x14ac:dyDescent="0.25">
      <c r="C72" t="s">
        <v>132</v>
      </c>
      <c r="D72" s="8">
        <v>0.04</v>
      </c>
      <c r="E72" t="s">
        <v>99</v>
      </c>
    </row>
    <row r="73" spans="2:13" x14ac:dyDescent="0.25">
      <c r="C73" t="s">
        <v>133</v>
      </c>
      <c r="D73" s="8">
        <v>0.06</v>
      </c>
      <c r="E73" t="s">
        <v>99</v>
      </c>
    </row>
    <row r="74" spans="2:13" x14ac:dyDescent="0.25">
      <c r="C74" t="s">
        <v>134</v>
      </c>
      <c r="D74" s="14">
        <v>6.5000000000000002E-2</v>
      </c>
      <c r="E74" t="s">
        <v>99</v>
      </c>
      <c r="F74" t="s">
        <v>104</v>
      </c>
      <c r="G74" s="39">
        <v>99</v>
      </c>
    </row>
    <row r="75" spans="2:13" x14ac:dyDescent="0.25">
      <c r="C75" s="38" t="s">
        <v>97</v>
      </c>
      <c r="D75" s="13">
        <f>(D70-D81)*EXP((D74/12)*D71)</f>
        <v>97.021875136665201</v>
      </c>
      <c r="F75" t="s">
        <v>105</v>
      </c>
    </row>
    <row r="77" spans="2:13" x14ac:dyDescent="0.25">
      <c r="C77" t="s">
        <v>135</v>
      </c>
      <c r="D77" s="2">
        <v>0.81</v>
      </c>
      <c r="E77" t="s">
        <v>136</v>
      </c>
      <c r="F77" t="s">
        <v>139</v>
      </c>
    </row>
    <row r="78" spans="2:13" x14ac:dyDescent="0.25">
      <c r="C78" t="s">
        <v>123</v>
      </c>
      <c r="F78" t="s">
        <v>140</v>
      </c>
    </row>
    <row r="79" spans="2:13" x14ac:dyDescent="0.25">
      <c r="C79" t="s">
        <v>137</v>
      </c>
      <c r="D79" s="21">
        <f>(I71)/EXP((D72/12)*I70)</f>
        <v>0.80194036533682622</v>
      </c>
      <c r="F79" t="s">
        <v>141</v>
      </c>
    </row>
    <row r="80" spans="2:13" x14ac:dyDescent="0.25">
      <c r="C80" t="s">
        <v>138</v>
      </c>
      <c r="D80" s="21">
        <f>(I71)/EXP((D73/12)*L70)</f>
        <v>0.7860608821742916</v>
      </c>
      <c r="F80" t="s">
        <v>142</v>
      </c>
      <c r="G80" s="21">
        <f>+D79</f>
        <v>0.80194036533682622</v>
      </c>
    </row>
    <row r="81" spans="4:7" x14ac:dyDescent="0.25">
      <c r="D81" s="21">
        <f>SUM(D79:D80)</f>
        <v>1.5880012475111178</v>
      </c>
      <c r="F81" t="s">
        <v>143</v>
      </c>
      <c r="G81" s="21">
        <f>D80</f>
        <v>0.7860608821742916</v>
      </c>
    </row>
    <row r="82" spans="4:7" x14ac:dyDescent="0.25">
      <c r="F82" t="s">
        <v>144</v>
      </c>
      <c r="G82" s="3">
        <f>D70-D81</f>
        <v>93.411998752488884</v>
      </c>
    </row>
    <row r="83" spans="4:7" x14ac:dyDescent="0.25">
      <c r="F83" t="s">
        <v>146</v>
      </c>
    </row>
    <row r="85" spans="4:7" x14ac:dyDescent="0.25">
      <c r="F85" t="s">
        <v>145</v>
      </c>
    </row>
    <row r="86" spans="4:7" x14ac:dyDescent="0.25">
      <c r="F86" s="3" t="s">
        <v>147</v>
      </c>
    </row>
    <row r="87" spans="4:7" x14ac:dyDescent="0.25">
      <c r="F87" t="s">
        <v>148</v>
      </c>
    </row>
    <row r="89" spans="4:7" x14ac:dyDescent="0.25">
      <c r="F89" t="s">
        <v>149</v>
      </c>
    </row>
    <row r="90" spans="4:7" x14ac:dyDescent="0.25">
      <c r="F90" s="3" t="s">
        <v>147</v>
      </c>
    </row>
    <row r="91" spans="4:7" x14ac:dyDescent="0.25">
      <c r="F91" t="s">
        <v>150</v>
      </c>
    </row>
    <row r="93" spans="4:7" x14ac:dyDescent="0.25">
      <c r="F93" t="s">
        <v>151</v>
      </c>
    </row>
    <row r="94" spans="4:7" x14ac:dyDescent="0.25">
      <c r="F94" s="3" t="s">
        <v>152</v>
      </c>
    </row>
    <row r="95" spans="4:7" x14ac:dyDescent="0.25">
      <c r="F95" t="s">
        <v>153</v>
      </c>
    </row>
    <row r="96" spans="4:7" x14ac:dyDescent="0.25">
      <c r="F96" s="3">
        <f>D75</f>
        <v>97.021875136665201</v>
      </c>
    </row>
    <row r="97" spans="6:7" x14ac:dyDescent="0.25">
      <c r="F97" t="s">
        <v>112</v>
      </c>
    </row>
    <row r="98" spans="6:7" x14ac:dyDescent="0.25">
      <c r="F98" s="3">
        <f>F96-G74</f>
        <v>-1.9781248633347985</v>
      </c>
      <c r="G98" t="s">
        <v>4</v>
      </c>
    </row>
    <row r="100" spans="6:7" x14ac:dyDescent="0.25">
      <c r="F100" t="s">
        <v>113</v>
      </c>
      <c r="G100" s="39">
        <v>91</v>
      </c>
    </row>
    <row r="101" spans="6:7" x14ac:dyDescent="0.25">
      <c r="F101" t="s">
        <v>154</v>
      </c>
    </row>
    <row r="103" spans="6:7" x14ac:dyDescent="0.25">
      <c r="F103" t="s">
        <v>139</v>
      </c>
    </row>
    <row r="104" spans="6:7" x14ac:dyDescent="0.25">
      <c r="F104" t="s">
        <v>155</v>
      </c>
    </row>
    <row r="105" spans="6:7" x14ac:dyDescent="0.25">
      <c r="F105" t="s">
        <v>156</v>
      </c>
    </row>
    <row r="106" spans="6:7" x14ac:dyDescent="0.25">
      <c r="F106" t="s">
        <v>157</v>
      </c>
    </row>
    <row r="107" spans="6:7" x14ac:dyDescent="0.25">
      <c r="F107" t="s">
        <v>158</v>
      </c>
      <c r="G107" s="21">
        <f>D79</f>
        <v>0.80194036533682622</v>
      </c>
    </row>
    <row r="108" spans="6:7" x14ac:dyDescent="0.25">
      <c r="F108" t="s">
        <v>143</v>
      </c>
      <c r="G108" s="21">
        <f>D80</f>
        <v>0.7860608821742916</v>
      </c>
    </row>
    <row r="109" spans="6:7" x14ac:dyDescent="0.25">
      <c r="F109" t="s">
        <v>159</v>
      </c>
      <c r="G109" s="3">
        <f>D70-D81</f>
        <v>93.411998752488884</v>
      </c>
    </row>
    <row r="111" spans="6:7" x14ac:dyDescent="0.25">
      <c r="F111" t="s">
        <v>145</v>
      </c>
    </row>
    <row r="112" spans="6:7" x14ac:dyDescent="0.25">
      <c r="F112" t="s">
        <v>160</v>
      </c>
    </row>
    <row r="113" spans="6:7" x14ac:dyDescent="0.25">
      <c r="F113" t="s">
        <v>161</v>
      </c>
    </row>
    <row r="115" spans="6:7" x14ac:dyDescent="0.25">
      <c r="F115" t="s">
        <v>162</v>
      </c>
    </row>
    <row r="116" spans="6:7" x14ac:dyDescent="0.25">
      <c r="F116" t="s">
        <v>163</v>
      </c>
    </row>
    <row r="117" spans="6:7" x14ac:dyDescent="0.25">
      <c r="F117" t="s">
        <v>161</v>
      </c>
    </row>
    <row r="119" spans="6:7" x14ac:dyDescent="0.25">
      <c r="F119" t="s">
        <v>164</v>
      </c>
    </row>
    <row r="120" spans="6:7" x14ac:dyDescent="0.25">
      <c r="F120" t="s">
        <v>165</v>
      </c>
    </row>
    <row r="121" spans="6:7" x14ac:dyDescent="0.25">
      <c r="F121" t="s">
        <v>166</v>
      </c>
    </row>
    <row r="122" spans="6:7" x14ac:dyDescent="0.25">
      <c r="F122" t="s">
        <v>112</v>
      </c>
    </row>
    <row r="123" spans="6:7" x14ac:dyDescent="0.25">
      <c r="F123" s="3">
        <f>D75-G100</f>
        <v>6.0218751366652015</v>
      </c>
      <c r="G1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ARBITRAJE FINANCIERO</vt:lpstr>
      <vt:lpstr>ej7</vt:lpstr>
      <vt:lpstr>repaso 2do parcial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guereña</dc:creator>
  <cp:lastModifiedBy>alex guereña</cp:lastModifiedBy>
  <dcterms:created xsi:type="dcterms:W3CDTF">2021-06-15T01:19:09Z</dcterms:created>
  <dcterms:modified xsi:type="dcterms:W3CDTF">2021-07-06T01:54:32Z</dcterms:modified>
</cp:coreProperties>
</file>