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O:\DOING BUSINESS\15. SELLING TO THE GVT\ROCKS update\Website materials\"/>
    </mc:Choice>
  </mc:AlternateContent>
  <xr:revisionPtr revIDLastSave="0" documentId="10_ncr:100000_{475CDE94-64D6-4A37-986F-483CF8D1531E}" xr6:coauthVersionLast="31" xr6:coauthVersionMax="31" xr10:uidLastSave="{00000000-0000-0000-0000-000000000000}"/>
  <bookViews>
    <workbookView xWindow="0" yWindow="0" windowWidth="26610" windowHeight="12180" tabRatio="844" activeTab="1" xr2:uid="{00000000-000D-0000-FFFF-FFFF00000000}"/>
  </bookViews>
  <sheets>
    <sheet name="All" sheetId="1" r:id="rId1"/>
    <sheet name="All Ratios" sheetId="2" r:id="rId2"/>
    <sheet name="Ratios_estimate_vs_actual" sheetId="14" r:id="rId3"/>
    <sheet name="Ratios_outliers_per_region" sheetId="16" r:id="rId4"/>
    <sheet name="Outliers_by_type" sheetId="20" r:id="rId5"/>
    <sheet name="Unit_costs_per_region" sheetId="25" r:id="rId6"/>
    <sheet name="Project_type_outliers" sheetId="22" r:id="rId7"/>
  </sheets>
  <externalReferences>
    <externalReference r:id="rId8"/>
    <externalReference r:id="rId9"/>
  </externalReferences>
  <definedNames>
    <definedName name="_xlnm._FilterDatabase" localSheetId="0" hidden="1">All!$A$3:$V$1686</definedName>
    <definedName name="_xlnm._FilterDatabase" localSheetId="1" hidden="1">'All Ratios'!$A$3:$AE$564</definedName>
    <definedName name="_xlcn.WorksheetConnection_Unit_costs_per_regionH18J241" hidden="1">Unit_costs_per_region!$H$18:$J$24</definedName>
    <definedName name="_xlnm.Print_Titles" localSheetId="0">All!$3:$3</definedName>
    <definedName name="vActivity">'[1]Auxiliary Tables'!$O$7:$O$100</definedName>
    <definedName name="vContract">'[1]Auxiliary Tables'!$H$7:$H$16</definedName>
    <definedName name="vCostFinan">'[1]Auxiliary Tables'!$G$7:$G$26</definedName>
    <definedName name="vCostSource">'[1]Auxiliary Tables'!$E$7:$E$10</definedName>
    <definedName name="vCosttype">'[1]Auxiliary Tables'!$D$7:$D$9</definedName>
    <definedName name="vCurrency">'[2]Auxiliary Tables'!$F$7:$F$212</definedName>
    <definedName name="vReportType">'[1]Auxiliary Tables'!$C$7:$C$20</definedName>
    <definedName name="vTerrain">'[1]Auxiliary Tables'!$P$7:$P$11</definedName>
    <definedName name="vType">'[1]Auxiliary Tables'!$N$7:$N$44</definedName>
    <definedName name="Z_78188308_F572_48A6_9ED7_74E1A1D5F9AE_.wvu.FilterData" localSheetId="0" hidden="1">All!$A$3:$V$3</definedName>
    <definedName name="Z_78188308_F572_48A6_9ED7_74E1A1D5F9AE_.wvu.FilterData" localSheetId="1" hidden="1">'All Ratios'!$A$3:$AE$540</definedName>
    <definedName name="Z_EBEF4F14_0814_42BF_9FD9_01AC38B537C6_.wvu.FilterData" localSheetId="0" hidden="1">All!$A$3:$V$3</definedName>
    <definedName name="Z_EBEF4F14_0814_42BF_9FD9_01AC38B537C6_.wvu.FilterData" localSheetId="1" hidden="1">'All Ratios'!$A$3:$AE$540</definedName>
  </definedNames>
  <calcPr calcId="179017"/>
  <customWorkbookViews>
    <customWorkbookView name="Jean Nicolas Arlet - Personal View" guid="{78188308-F572-48A6-9ED7-74E1A1D5F9AE}" mergeInterval="0" personalView="1" xWindow="32" windowWidth="1886" windowHeight="1040" activeSheetId="6"/>
    <customWorkbookView name="Philip Christopher Zager - Personal View" guid="{EBEF4F14-0814-42BF-9FD9-01AC38B537C6}" mergeInterval="0" personalView="1" maximized="1" xWindow="-8" yWindow="-8" windowWidth="1936" windowHeight="1096" activeSheetId="4"/>
  </customWorkbookViews>
  <pivotCaches>
    <pivotCache cacheId="30" r:id="rId10"/>
    <pivotCache cacheId="31" r:id="rId11"/>
    <pivotCache cacheId="32" r:id="rId12"/>
    <pivotCache cacheId="33" r:id="rId13"/>
    <pivotCache cacheId="34" r:id="rId14"/>
    <pivotCache cacheId="35" r:id="rId15"/>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Unit_costs_per_region!$H$18:$J$24"/>
        </x15:modelTables>
      </x15:dataModel>
    </ext>
  </extLst>
</workbook>
</file>

<file path=xl/calcChain.xml><?xml version="1.0" encoding="utf-8"?>
<calcChain xmlns="http://schemas.openxmlformats.org/spreadsheetml/2006/main">
  <c r="H1686" i="1" l="1"/>
  <c r="H1683" i="1"/>
  <c r="H1680" i="1"/>
  <c r="H1677" i="1"/>
  <c r="H1674" i="1"/>
  <c r="H1671" i="1"/>
  <c r="H1668" i="1"/>
  <c r="H1665" i="1"/>
  <c r="H1662" i="1"/>
  <c r="H1659" i="1"/>
  <c r="H1656" i="1"/>
  <c r="H1653" i="1"/>
  <c r="H1650" i="1"/>
  <c r="H1647" i="1"/>
  <c r="H1644" i="1"/>
  <c r="H1641" i="1"/>
  <c r="H1638" i="1"/>
  <c r="H1635" i="1"/>
  <c r="H1632" i="1"/>
  <c r="H1629" i="1"/>
  <c r="H1626" i="1"/>
  <c r="H1623" i="1"/>
  <c r="H1620" i="1"/>
  <c r="H1617" i="1"/>
  <c r="H1614" i="1"/>
  <c r="H1611" i="1"/>
  <c r="H1608" i="1"/>
  <c r="H1605" i="1"/>
  <c r="H1602" i="1"/>
  <c r="H1599" i="1"/>
  <c r="H1596" i="1"/>
  <c r="H1593" i="1"/>
  <c r="H1590" i="1"/>
  <c r="H1587" i="1"/>
  <c r="H1584" i="1"/>
  <c r="H1581" i="1"/>
  <c r="H1578" i="1"/>
  <c r="H1575" i="1"/>
  <c r="H1572" i="1"/>
  <c r="H1569" i="1"/>
  <c r="H1566" i="1"/>
  <c r="H1563" i="1"/>
  <c r="H1560" i="1"/>
  <c r="H1557" i="1"/>
  <c r="H1554" i="1"/>
  <c r="H1551" i="1"/>
  <c r="H1548" i="1"/>
  <c r="H1545" i="1"/>
  <c r="H1542" i="1"/>
  <c r="H1539" i="1"/>
  <c r="H1536" i="1"/>
  <c r="H1533" i="1"/>
  <c r="H1530" i="1"/>
  <c r="H1527" i="1"/>
  <c r="H1524" i="1"/>
  <c r="H1521" i="1"/>
  <c r="H1518" i="1"/>
  <c r="H1515" i="1"/>
  <c r="H1512" i="1"/>
  <c r="H1509" i="1"/>
  <c r="H1506" i="1"/>
  <c r="H1503" i="1"/>
  <c r="H1500" i="1"/>
  <c r="H1497" i="1"/>
  <c r="H1494" i="1"/>
  <c r="H1491" i="1"/>
  <c r="H1488" i="1"/>
  <c r="H1485" i="1"/>
  <c r="H1482" i="1"/>
  <c r="H1479" i="1"/>
  <c r="H1476" i="1"/>
  <c r="H1473" i="1"/>
  <c r="H1470" i="1"/>
  <c r="H1467" i="1"/>
  <c r="H1464" i="1"/>
  <c r="H1461" i="1"/>
  <c r="H1458" i="1"/>
  <c r="H1455" i="1"/>
  <c r="H1452" i="1"/>
  <c r="H1449" i="1"/>
  <c r="H1446" i="1"/>
  <c r="H1443" i="1"/>
  <c r="H1440" i="1"/>
  <c r="H1437" i="1"/>
  <c r="H1434" i="1"/>
  <c r="H1431" i="1"/>
  <c r="H1428" i="1"/>
  <c r="H1425" i="1"/>
  <c r="H1422" i="1"/>
  <c r="H1419" i="1"/>
  <c r="H1416" i="1"/>
  <c r="H1413" i="1"/>
  <c r="H1410" i="1"/>
  <c r="H1407" i="1"/>
  <c r="H1404" i="1"/>
  <c r="H1401" i="1"/>
  <c r="H1398" i="1"/>
  <c r="H1395" i="1"/>
  <c r="H1392" i="1"/>
  <c r="H1389" i="1"/>
  <c r="H1386" i="1"/>
  <c r="H1383" i="1"/>
  <c r="H1380" i="1"/>
  <c r="H1377" i="1"/>
  <c r="H1374" i="1"/>
  <c r="H1371" i="1"/>
  <c r="H1368" i="1"/>
  <c r="H1365" i="1"/>
  <c r="H1362" i="1"/>
  <c r="H1359" i="1"/>
  <c r="H1356" i="1"/>
  <c r="H1353" i="1"/>
  <c r="H1350" i="1"/>
  <c r="H1347" i="1"/>
  <c r="H1344" i="1"/>
  <c r="H1341" i="1"/>
  <c r="H1338" i="1"/>
  <c r="H1335" i="1"/>
  <c r="H1332" i="1"/>
  <c r="H1329" i="1"/>
  <c r="H1326" i="1"/>
  <c r="H1323" i="1"/>
  <c r="H1320" i="1"/>
  <c r="H1317" i="1"/>
  <c r="H1314" i="1"/>
  <c r="H1311" i="1"/>
  <c r="H1308" i="1"/>
  <c r="H1305" i="1"/>
  <c r="H1302" i="1"/>
  <c r="H1299" i="1"/>
  <c r="H1296" i="1"/>
  <c r="H1293" i="1"/>
  <c r="H1290" i="1"/>
  <c r="H1287" i="1"/>
  <c r="H1284" i="1"/>
  <c r="H1281" i="1"/>
  <c r="H1278" i="1"/>
  <c r="H1275" i="1"/>
  <c r="H1272" i="1"/>
  <c r="H1269" i="1"/>
  <c r="H1266" i="1"/>
  <c r="H1263" i="1"/>
  <c r="H1260" i="1"/>
  <c r="H1257" i="1"/>
  <c r="H1254" i="1"/>
  <c r="H1251" i="1"/>
  <c r="H1248" i="1"/>
  <c r="H1245" i="1"/>
  <c r="H1242" i="1"/>
  <c r="H1239" i="1"/>
  <c r="H1236" i="1"/>
  <c r="H1233" i="1"/>
  <c r="H1230" i="1"/>
  <c r="H1227" i="1"/>
  <c r="H1224" i="1"/>
  <c r="H1221" i="1"/>
  <c r="H1218" i="1"/>
  <c r="H1215" i="1"/>
  <c r="H1212" i="1"/>
  <c r="H1209" i="1"/>
  <c r="H1206" i="1"/>
  <c r="H1203" i="1"/>
  <c r="H1200" i="1"/>
  <c r="H1197" i="1"/>
  <c r="H1194" i="1"/>
  <c r="H1191" i="1"/>
  <c r="H1188" i="1"/>
  <c r="H1185" i="1"/>
  <c r="H1182" i="1"/>
  <c r="H1179" i="1"/>
  <c r="H1176" i="1"/>
  <c r="H1173" i="1"/>
  <c r="H1170" i="1"/>
  <c r="H1167" i="1"/>
  <c r="H1164" i="1"/>
  <c r="H1161" i="1"/>
  <c r="H1158" i="1"/>
  <c r="H1155" i="1"/>
  <c r="H1152" i="1"/>
  <c r="H1149" i="1"/>
  <c r="H1146" i="1"/>
  <c r="H1143" i="1"/>
  <c r="H1140" i="1"/>
  <c r="H1137" i="1"/>
  <c r="H1134" i="1"/>
  <c r="H1131" i="1"/>
  <c r="H1128" i="1"/>
  <c r="H1125" i="1"/>
  <c r="H1122" i="1"/>
  <c r="H1119" i="1"/>
  <c r="H1116" i="1"/>
  <c r="H1113" i="1"/>
  <c r="H1110" i="1"/>
  <c r="H1107" i="1"/>
  <c r="H1104" i="1"/>
  <c r="H1101" i="1"/>
  <c r="H1098" i="1"/>
  <c r="H1095" i="1"/>
  <c r="H1092" i="1"/>
  <c r="H1089" i="1"/>
  <c r="H1086" i="1"/>
  <c r="H1083" i="1"/>
  <c r="H1080" i="1"/>
  <c r="H1077" i="1"/>
  <c r="H1074" i="1"/>
  <c r="H1071" i="1"/>
  <c r="H1068" i="1"/>
  <c r="H1065" i="1"/>
  <c r="H1062" i="1"/>
  <c r="H1059" i="1"/>
  <c r="H1056" i="1"/>
  <c r="H1053" i="1"/>
  <c r="H1050" i="1"/>
  <c r="H1047" i="1"/>
  <c r="H1044" i="1"/>
  <c r="H1041" i="1"/>
  <c r="H1038" i="1"/>
  <c r="H1035" i="1"/>
  <c r="H1032" i="1"/>
  <c r="H1029" i="1"/>
  <c r="H1026" i="1"/>
  <c r="H1023" i="1"/>
  <c r="H1020" i="1"/>
  <c r="H1017" i="1"/>
  <c r="H1014" i="1"/>
  <c r="H1011" i="1"/>
  <c r="H1008" i="1"/>
  <c r="H1005" i="1"/>
  <c r="H1002" i="1"/>
  <c r="H999" i="1"/>
  <c r="H996" i="1"/>
  <c r="H993" i="1"/>
  <c r="H990" i="1"/>
  <c r="H987" i="1"/>
  <c r="H984" i="1"/>
  <c r="H981" i="1"/>
  <c r="H978" i="1"/>
  <c r="H975" i="1"/>
  <c r="H972" i="1"/>
  <c r="H969" i="1"/>
  <c r="H966" i="1"/>
  <c r="H963" i="1"/>
  <c r="H960" i="1"/>
  <c r="H957" i="1"/>
  <c r="H954" i="1"/>
  <c r="H951" i="1"/>
  <c r="H948" i="1"/>
  <c r="H945" i="1"/>
  <c r="H942" i="1"/>
  <c r="H939" i="1"/>
  <c r="H936" i="1"/>
  <c r="H933" i="1"/>
  <c r="H930" i="1"/>
  <c r="H927" i="1"/>
  <c r="H924" i="1"/>
  <c r="H921" i="1"/>
  <c r="H918" i="1"/>
  <c r="H915" i="1"/>
  <c r="H912" i="1"/>
  <c r="H909" i="1"/>
  <c r="H906" i="1"/>
  <c r="H903" i="1"/>
  <c r="H900" i="1"/>
  <c r="H897" i="1"/>
  <c r="H894" i="1"/>
  <c r="H891" i="1"/>
  <c r="H888" i="1"/>
  <c r="H885" i="1"/>
  <c r="H882" i="1"/>
  <c r="H879" i="1"/>
  <c r="H876" i="1"/>
  <c r="H873" i="1"/>
  <c r="H870" i="1"/>
  <c r="H867" i="1"/>
  <c r="H864" i="1"/>
  <c r="H861" i="1"/>
  <c r="H858" i="1"/>
  <c r="H855" i="1"/>
  <c r="H852" i="1"/>
  <c r="H849" i="1"/>
  <c r="H846" i="1"/>
  <c r="H843" i="1"/>
  <c r="H840" i="1"/>
  <c r="H837" i="1"/>
  <c r="H834" i="1"/>
  <c r="H831" i="1"/>
  <c r="H828" i="1"/>
  <c r="H825" i="1"/>
  <c r="H822" i="1"/>
  <c r="H819" i="1"/>
  <c r="H816" i="1"/>
  <c r="H813" i="1"/>
  <c r="H810" i="1"/>
  <c r="H807" i="1"/>
  <c r="H804" i="1"/>
  <c r="H801" i="1"/>
  <c r="H798" i="1"/>
  <c r="H795" i="1"/>
  <c r="H792" i="1"/>
  <c r="H789" i="1"/>
  <c r="H786" i="1"/>
  <c r="H783" i="1"/>
  <c r="H780" i="1"/>
  <c r="H777" i="1"/>
  <c r="H774" i="1"/>
  <c r="H771" i="1"/>
  <c r="H768" i="1"/>
  <c r="H765" i="1"/>
  <c r="H762" i="1"/>
  <c r="H759" i="1"/>
  <c r="H756" i="1"/>
  <c r="H753" i="1"/>
  <c r="H750" i="1"/>
  <c r="H747" i="1"/>
  <c r="H744" i="1"/>
  <c r="H741" i="1"/>
  <c r="H738" i="1"/>
  <c r="H735" i="1"/>
  <c r="H732" i="1"/>
  <c r="H729" i="1"/>
  <c r="H726" i="1"/>
  <c r="H723" i="1"/>
  <c r="H720" i="1"/>
  <c r="H717" i="1"/>
  <c r="H714" i="1"/>
  <c r="H711" i="1"/>
  <c r="H708" i="1"/>
  <c r="H705" i="1"/>
  <c r="H702" i="1"/>
  <c r="H699" i="1"/>
  <c r="H696" i="1"/>
  <c r="H693" i="1"/>
  <c r="H690" i="1"/>
  <c r="H687" i="1"/>
  <c r="H684" i="1"/>
  <c r="H681" i="1"/>
  <c r="H678" i="1"/>
  <c r="H675" i="1"/>
  <c r="H672" i="1"/>
  <c r="H669" i="1"/>
  <c r="H666" i="1"/>
  <c r="H663" i="1"/>
  <c r="H660" i="1"/>
  <c r="H657" i="1"/>
  <c r="H654" i="1"/>
  <c r="H651" i="1"/>
  <c r="H648" i="1"/>
  <c r="H645" i="1"/>
  <c r="H642" i="1"/>
  <c r="H639" i="1"/>
  <c r="H636" i="1"/>
  <c r="H633" i="1"/>
  <c r="H630" i="1"/>
  <c r="H627" i="1"/>
  <c r="H624" i="1"/>
  <c r="H621" i="1"/>
  <c r="H618" i="1"/>
  <c r="H615" i="1"/>
  <c r="H612" i="1"/>
  <c r="H609" i="1"/>
  <c r="H606" i="1"/>
  <c r="H603" i="1"/>
  <c r="H600" i="1"/>
  <c r="H597" i="1"/>
  <c r="H594" i="1"/>
  <c r="H591" i="1"/>
  <c r="H588" i="1"/>
  <c r="H585" i="1"/>
  <c r="H582" i="1"/>
  <c r="H579" i="1"/>
  <c r="H576" i="1"/>
  <c r="H573" i="1"/>
  <c r="H570" i="1"/>
  <c r="H567" i="1"/>
  <c r="H564" i="1"/>
  <c r="H561" i="1"/>
  <c r="H558" i="1"/>
  <c r="H555" i="1"/>
  <c r="H552" i="1"/>
  <c r="H549" i="1"/>
  <c r="H546" i="1"/>
  <c r="H543" i="1"/>
  <c r="H540" i="1"/>
  <c r="H537" i="1"/>
  <c r="H534" i="1"/>
  <c r="H531" i="1"/>
  <c r="H528" i="1"/>
  <c r="H525" i="1"/>
  <c r="H522" i="1"/>
  <c r="H519" i="1"/>
  <c r="H516" i="1"/>
  <c r="H513" i="1"/>
  <c r="H510" i="1"/>
  <c r="H507" i="1"/>
  <c r="H504" i="1"/>
  <c r="H501" i="1"/>
  <c r="H498" i="1"/>
  <c r="H495" i="1"/>
  <c r="H492" i="1"/>
  <c r="H489" i="1"/>
  <c r="H486" i="1"/>
  <c r="H483" i="1"/>
  <c r="H480" i="1"/>
  <c r="H477" i="1"/>
  <c r="H474" i="1"/>
  <c r="H471" i="1"/>
  <c r="H468" i="1"/>
  <c r="H465" i="1"/>
  <c r="H462" i="1"/>
  <c r="H459" i="1"/>
  <c r="H456" i="1"/>
  <c r="H453" i="1"/>
  <c r="H450" i="1"/>
  <c r="H447" i="1"/>
  <c r="H444" i="1"/>
  <c r="H441" i="1"/>
  <c r="H438" i="1"/>
  <c r="H435" i="1"/>
  <c r="H432" i="1"/>
  <c r="H429" i="1"/>
  <c r="H426" i="1"/>
  <c r="H423" i="1"/>
  <c r="H420" i="1"/>
  <c r="H417" i="1"/>
  <c r="H414" i="1"/>
  <c r="H411" i="1"/>
  <c r="H408" i="1"/>
  <c r="H405" i="1"/>
  <c r="H402" i="1"/>
  <c r="H399" i="1"/>
  <c r="H396" i="1"/>
  <c r="H393" i="1"/>
  <c r="H390" i="1"/>
  <c r="H387" i="1"/>
  <c r="H384" i="1"/>
  <c r="H381" i="1"/>
  <c r="H378" i="1"/>
  <c r="H375" i="1"/>
  <c r="H372" i="1"/>
  <c r="H369" i="1"/>
  <c r="H366" i="1"/>
  <c r="H363" i="1"/>
  <c r="H360" i="1"/>
  <c r="H357" i="1"/>
  <c r="H354" i="1"/>
  <c r="H351" i="1"/>
  <c r="H348" i="1"/>
  <c r="H345" i="1"/>
  <c r="H342" i="1"/>
  <c r="H339" i="1"/>
  <c r="H336" i="1"/>
  <c r="H333" i="1"/>
  <c r="H330" i="1"/>
  <c r="H327" i="1"/>
  <c r="H324" i="1"/>
  <c r="H321" i="1"/>
  <c r="H318" i="1"/>
  <c r="H315" i="1"/>
  <c r="H312" i="1"/>
  <c r="H309" i="1"/>
  <c r="H306" i="1"/>
  <c r="H303" i="1"/>
  <c r="H300" i="1"/>
  <c r="H297" i="1"/>
  <c r="H294" i="1"/>
  <c r="H291" i="1"/>
  <c r="H288" i="1"/>
  <c r="H285" i="1"/>
  <c r="H282" i="1"/>
  <c r="H279" i="1"/>
  <c r="H276" i="1"/>
  <c r="H273" i="1"/>
  <c r="H270" i="1"/>
  <c r="H267" i="1"/>
  <c r="H264" i="1"/>
  <c r="H261" i="1"/>
  <c r="H258" i="1"/>
  <c r="H255" i="1"/>
  <c r="H252" i="1"/>
  <c r="H249" i="1"/>
  <c r="H246" i="1"/>
  <c r="H243" i="1"/>
  <c r="H240" i="1"/>
  <c r="H237" i="1"/>
  <c r="H234" i="1"/>
  <c r="H231" i="1"/>
  <c r="H228" i="1"/>
  <c r="H225" i="1"/>
  <c r="H222" i="1"/>
  <c r="H219" i="1"/>
  <c r="H216" i="1"/>
  <c r="H213" i="1"/>
  <c r="H210" i="1"/>
  <c r="H207" i="1"/>
  <c r="H204" i="1"/>
  <c r="H201" i="1"/>
  <c r="H198" i="1"/>
  <c r="H195" i="1"/>
  <c r="H192" i="1"/>
  <c r="H189" i="1"/>
  <c r="H186" i="1"/>
  <c r="H183" i="1"/>
  <c r="H180" i="1"/>
  <c r="H177" i="1"/>
  <c r="H174" i="1"/>
  <c r="H171" i="1"/>
  <c r="H168" i="1"/>
  <c r="H165" i="1"/>
  <c r="H162" i="1"/>
  <c r="H159" i="1"/>
  <c r="H156" i="1"/>
  <c r="H153" i="1"/>
  <c r="H150" i="1"/>
  <c r="H147" i="1"/>
  <c r="H144" i="1"/>
  <c r="H141" i="1"/>
  <c r="H138" i="1"/>
  <c r="H135" i="1"/>
  <c r="H132" i="1"/>
  <c r="H129" i="1"/>
  <c r="H126" i="1"/>
  <c r="H123" i="1"/>
  <c r="H120" i="1"/>
  <c r="H117" i="1"/>
  <c r="H114" i="1"/>
  <c r="H111" i="1"/>
  <c r="H108" i="1"/>
  <c r="H105" i="1"/>
  <c r="H102" i="1"/>
  <c r="H99" i="1"/>
  <c r="H96" i="1"/>
  <c r="H93" i="1"/>
  <c r="H90" i="1"/>
  <c r="H87" i="1"/>
  <c r="H84" i="1"/>
  <c r="H81" i="1"/>
  <c r="H78" i="1"/>
  <c r="H75" i="1"/>
  <c r="H72" i="1"/>
  <c r="H69" i="1"/>
  <c r="H66" i="1"/>
  <c r="H63" i="1"/>
  <c r="H60" i="1"/>
  <c r="H57" i="1"/>
  <c r="H54" i="1"/>
  <c r="H51" i="1"/>
  <c r="H48" i="1"/>
  <c r="H45" i="1"/>
  <c r="H42" i="1"/>
  <c r="H39" i="1"/>
  <c r="H36" i="1"/>
  <c r="H33" i="1"/>
  <c r="H30" i="1"/>
  <c r="H27" i="1"/>
  <c r="H24" i="1"/>
  <c r="H21" i="1"/>
  <c r="H18" i="1"/>
  <c r="H15" i="1"/>
  <c r="H12" i="1"/>
  <c r="H9" i="1"/>
  <c r="H6" i="1"/>
  <c r="O846" i="1" l="1"/>
  <c r="N846" i="1"/>
  <c r="L846" i="1"/>
  <c r="K846" i="1"/>
  <c r="J846" i="1"/>
  <c r="I846" i="1"/>
  <c r="F846" i="1"/>
  <c r="C846" i="1"/>
  <c r="B846" i="1"/>
  <c r="A846" i="1"/>
  <c r="O279" i="1"/>
  <c r="N279" i="1"/>
  <c r="L279" i="1"/>
  <c r="K279" i="1"/>
  <c r="J279" i="1"/>
  <c r="I279" i="1"/>
  <c r="F279" i="1"/>
  <c r="C279" i="1"/>
  <c r="B279" i="1"/>
  <c r="A279" i="1"/>
  <c r="O843" i="1"/>
  <c r="N843" i="1"/>
  <c r="L843" i="1"/>
  <c r="K843" i="1"/>
  <c r="J843" i="1"/>
  <c r="I843" i="1"/>
  <c r="F843" i="1"/>
  <c r="C843" i="1"/>
  <c r="B843" i="1"/>
  <c r="A843" i="1"/>
  <c r="O486" i="1"/>
  <c r="N486" i="1"/>
  <c r="L486" i="1"/>
  <c r="K486" i="1"/>
  <c r="J486" i="1"/>
  <c r="I486" i="1"/>
  <c r="F486" i="1"/>
  <c r="C486" i="1"/>
  <c r="B486" i="1"/>
  <c r="A486" i="1"/>
  <c r="O483" i="1"/>
  <c r="N483" i="1"/>
  <c r="L483" i="1"/>
  <c r="K483" i="1"/>
  <c r="J483" i="1"/>
  <c r="I483" i="1"/>
  <c r="F483" i="1"/>
  <c r="C483" i="1"/>
  <c r="B483" i="1"/>
  <c r="A483" i="1"/>
  <c r="O480" i="1"/>
  <c r="N480" i="1"/>
  <c r="L480" i="1"/>
  <c r="K480" i="1"/>
  <c r="J480" i="1"/>
  <c r="I480" i="1"/>
  <c r="F480" i="1"/>
  <c r="C480" i="1"/>
  <c r="B480" i="1"/>
  <c r="A480" i="1"/>
  <c r="O240" i="1"/>
  <c r="N240" i="1"/>
  <c r="L240" i="1"/>
  <c r="K240" i="1"/>
  <c r="J240" i="1"/>
  <c r="I240" i="1"/>
  <c r="F240" i="1"/>
  <c r="C240" i="1"/>
  <c r="B240" i="1"/>
  <c r="A240" i="1"/>
  <c r="O1101" i="1"/>
  <c r="N1101" i="1"/>
  <c r="L1101" i="1"/>
  <c r="K1101" i="1"/>
  <c r="J1101" i="1"/>
  <c r="I1101" i="1"/>
  <c r="F1101" i="1"/>
  <c r="C1101" i="1"/>
  <c r="B1101" i="1"/>
  <c r="A1101" i="1"/>
  <c r="O174" i="1"/>
  <c r="N174" i="1"/>
  <c r="L174" i="1"/>
  <c r="K174" i="1"/>
  <c r="J174" i="1"/>
  <c r="I174" i="1"/>
  <c r="F174" i="1"/>
  <c r="C174" i="1"/>
  <c r="B174" i="1"/>
  <c r="A174" i="1"/>
  <c r="O171" i="1"/>
  <c r="N171" i="1"/>
  <c r="L171" i="1"/>
  <c r="K171" i="1"/>
  <c r="J171" i="1"/>
  <c r="I171" i="1"/>
  <c r="F171" i="1"/>
  <c r="C171" i="1"/>
  <c r="B171" i="1"/>
  <c r="A171" i="1"/>
  <c r="O1047" i="1"/>
  <c r="N1047" i="1"/>
  <c r="L1047" i="1"/>
  <c r="K1047" i="1"/>
  <c r="J1047" i="1"/>
  <c r="I1047" i="1"/>
  <c r="F1047" i="1"/>
  <c r="C1047" i="1"/>
  <c r="B1047" i="1"/>
  <c r="A1047" i="1"/>
  <c r="O1329" i="1"/>
  <c r="N1329" i="1"/>
  <c r="L1329" i="1"/>
  <c r="K1329" i="1"/>
  <c r="J1329" i="1"/>
  <c r="I1329" i="1"/>
  <c r="F1329" i="1"/>
  <c r="C1329" i="1"/>
  <c r="B1329" i="1"/>
  <c r="A1329" i="1"/>
  <c r="O1323" i="1"/>
  <c r="N1323" i="1"/>
  <c r="L1323" i="1"/>
  <c r="K1323" i="1"/>
  <c r="J1323" i="1"/>
  <c r="I1323" i="1"/>
  <c r="F1323" i="1"/>
  <c r="C1323" i="1"/>
  <c r="B1323" i="1"/>
  <c r="A1323" i="1"/>
  <c r="O1044" i="1"/>
  <c r="N1044" i="1"/>
  <c r="L1044" i="1"/>
  <c r="K1044" i="1"/>
  <c r="J1044" i="1"/>
  <c r="I1044" i="1"/>
  <c r="F1044" i="1"/>
  <c r="C1044" i="1"/>
  <c r="B1044" i="1"/>
  <c r="A1044" i="1"/>
  <c r="O237" i="1"/>
  <c r="N237" i="1"/>
  <c r="L237" i="1"/>
  <c r="K237" i="1"/>
  <c r="J237" i="1"/>
  <c r="I237" i="1"/>
  <c r="F237" i="1"/>
  <c r="C237" i="1"/>
  <c r="B237" i="1"/>
  <c r="A237" i="1"/>
  <c r="O288" i="1"/>
  <c r="N288" i="1"/>
  <c r="L288" i="1"/>
  <c r="K288" i="1"/>
  <c r="J288" i="1"/>
  <c r="I288" i="1"/>
  <c r="F288" i="1"/>
  <c r="C288" i="1"/>
  <c r="B288" i="1"/>
  <c r="A288" i="1"/>
  <c r="O285" i="1"/>
  <c r="N285" i="1"/>
  <c r="L285" i="1"/>
  <c r="K285" i="1"/>
  <c r="J285" i="1"/>
  <c r="I285" i="1"/>
  <c r="F285" i="1"/>
  <c r="C285" i="1"/>
  <c r="B285" i="1"/>
  <c r="A285" i="1"/>
  <c r="O168" i="1"/>
  <c r="N168" i="1"/>
  <c r="L168" i="1"/>
  <c r="K168" i="1"/>
  <c r="J168" i="1"/>
  <c r="I168" i="1"/>
  <c r="F168" i="1"/>
  <c r="C168" i="1"/>
  <c r="B168" i="1"/>
  <c r="A168" i="1"/>
  <c r="O573" i="1"/>
  <c r="N573" i="1"/>
  <c r="L573" i="1"/>
  <c r="K573" i="1"/>
  <c r="J573" i="1"/>
  <c r="I573" i="1"/>
  <c r="F573" i="1"/>
  <c r="C573" i="1"/>
  <c r="B573" i="1"/>
  <c r="A573" i="1"/>
  <c r="O864" i="1"/>
  <c r="N864" i="1"/>
  <c r="L864" i="1"/>
  <c r="K864" i="1"/>
  <c r="J864" i="1"/>
  <c r="I864" i="1"/>
  <c r="F864" i="1"/>
  <c r="C864" i="1"/>
  <c r="B864" i="1"/>
  <c r="A864" i="1"/>
  <c r="O1686" i="1"/>
  <c r="N1686" i="1"/>
  <c r="L1686" i="1"/>
  <c r="K1686" i="1"/>
  <c r="J1686" i="1"/>
  <c r="I1686" i="1"/>
  <c r="F1686" i="1"/>
  <c r="C1686" i="1"/>
  <c r="B1686" i="1"/>
  <c r="A1686" i="1"/>
  <c r="O1362" i="1"/>
  <c r="N1362" i="1"/>
  <c r="L1362" i="1"/>
  <c r="K1362" i="1"/>
  <c r="J1362" i="1"/>
  <c r="I1362" i="1"/>
  <c r="F1362" i="1"/>
  <c r="C1362" i="1"/>
  <c r="B1362" i="1"/>
  <c r="A1362" i="1"/>
  <c r="O1584" i="1"/>
  <c r="N1584" i="1"/>
  <c r="L1584" i="1"/>
  <c r="K1584" i="1"/>
  <c r="J1584" i="1"/>
  <c r="I1584" i="1"/>
  <c r="F1584" i="1"/>
  <c r="C1584" i="1"/>
  <c r="B1584" i="1"/>
  <c r="A1584" i="1"/>
  <c r="O309" i="1"/>
  <c r="N309" i="1"/>
  <c r="L309" i="1"/>
  <c r="K309" i="1"/>
  <c r="J309" i="1"/>
  <c r="I309" i="1"/>
  <c r="F309" i="1"/>
  <c r="C309" i="1"/>
  <c r="B309" i="1"/>
  <c r="A309" i="1"/>
  <c r="O1683" i="1"/>
  <c r="N1683" i="1"/>
  <c r="L1683" i="1"/>
  <c r="K1683" i="1"/>
  <c r="J1683" i="1"/>
  <c r="I1683" i="1"/>
  <c r="F1683" i="1"/>
  <c r="C1683" i="1"/>
  <c r="B1683" i="1"/>
  <c r="A1683" i="1"/>
  <c r="O1680" i="1"/>
  <c r="N1680" i="1"/>
  <c r="L1680" i="1"/>
  <c r="K1680" i="1"/>
  <c r="J1680" i="1"/>
  <c r="I1680" i="1"/>
  <c r="F1680" i="1"/>
  <c r="C1680" i="1"/>
  <c r="B1680" i="1"/>
  <c r="A1680" i="1"/>
  <c r="O1677" i="1"/>
  <c r="N1677" i="1"/>
  <c r="L1677" i="1"/>
  <c r="K1677" i="1"/>
  <c r="J1677" i="1"/>
  <c r="I1677" i="1"/>
  <c r="F1677" i="1"/>
  <c r="C1677" i="1"/>
  <c r="B1677" i="1"/>
  <c r="A1677" i="1"/>
  <c r="O1674" i="1"/>
  <c r="N1674" i="1"/>
  <c r="L1674" i="1"/>
  <c r="K1674" i="1"/>
  <c r="J1674" i="1"/>
  <c r="I1674" i="1"/>
  <c r="F1674" i="1"/>
  <c r="C1674" i="1"/>
  <c r="B1674" i="1"/>
  <c r="A1674" i="1"/>
  <c r="O1671" i="1"/>
  <c r="N1671" i="1"/>
  <c r="L1671" i="1"/>
  <c r="K1671" i="1"/>
  <c r="J1671" i="1"/>
  <c r="I1671" i="1"/>
  <c r="F1671" i="1"/>
  <c r="C1671" i="1"/>
  <c r="B1671" i="1"/>
  <c r="A1671" i="1"/>
  <c r="O1668" i="1"/>
  <c r="N1668" i="1"/>
  <c r="L1668" i="1"/>
  <c r="K1668" i="1"/>
  <c r="J1668" i="1"/>
  <c r="I1668" i="1"/>
  <c r="F1668" i="1"/>
  <c r="C1668" i="1"/>
  <c r="B1668" i="1"/>
  <c r="A1668" i="1"/>
  <c r="O1665" i="1"/>
  <c r="N1665" i="1"/>
  <c r="L1665" i="1"/>
  <c r="K1665" i="1"/>
  <c r="J1665" i="1"/>
  <c r="I1665" i="1"/>
  <c r="F1665" i="1"/>
  <c r="C1665" i="1"/>
  <c r="B1665" i="1"/>
  <c r="A1665" i="1"/>
  <c r="O1662" i="1"/>
  <c r="N1662" i="1"/>
  <c r="L1662" i="1"/>
  <c r="K1662" i="1"/>
  <c r="J1662" i="1"/>
  <c r="I1662" i="1"/>
  <c r="F1662" i="1"/>
  <c r="C1662" i="1"/>
  <c r="B1662" i="1"/>
  <c r="A1662" i="1"/>
  <c r="O1659" i="1"/>
  <c r="N1659" i="1"/>
  <c r="L1659" i="1"/>
  <c r="K1659" i="1"/>
  <c r="J1659" i="1"/>
  <c r="I1659" i="1"/>
  <c r="F1659" i="1"/>
  <c r="C1659" i="1"/>
  <c r="B1659" i="1"/>
  <c r="A1659" i="1"/>
  <c r="O1656" i="1"/>
  <c r="N1656" i="1"/>
  <c r="L1656" i="1"/>
  <c r="K1656" i="1"/>
  <c r="J1656" i="1"/>
  <c r="I1656" i="1"/>
  <c r="F1656" i="1"/>
  <c r="C1656" i="1"/>
  <c r="B1656" i="1"/>
  <c r="A1656" i="1"/>
  <c r="O1653" i="1"/>
  <c r="N1653" i="1"/>
  <c r="L1653" i="1"/>
  <c r="K1653" i="1"/>
  <c r="J1653" i="1"/>
  <c r="I1653" i="1"/>
  <c r="F1653" i="1"/>
  <c r="C1653" i="1"/>
  <c r="B1653" i="1"/>
  <c r="A1653" i="1"/>
  <c r="O1650" i="1"/>
  <c r="N1650" i="1"/>
  <c r="L1650" i="1"/>
  <c r="K1650" i="1"/>
  <c r="J1650" i="1"/>
  <c r="I1650" i="1"/>
  <c r="F1650" i="1"/>
  <c r="C1650" i="1"/>
  <c r="B1650" i="1"/>
  <c r="A1650" i="1"/>
  <c r="O1647" i="1"/>
  <c r="N1647" i="1"/>
  <c r="L1647" i="1"/>
  <c r="K1647" i="1"/>
  <c r="J1647" i="1"/>
  <c r="I1647" i="1"/>
  <c r="F1647" i="1"/>
  <c r="C1647" i="1"/>
  <c r="B1647" i="1"/>
  <c r="A1647" i="1"/>
  <c r="O1644" i="1"/>
  <c r="N1644" i="1"/>
  <c r="L1644" i="1"/>
  <c r="K1644" i="1"/>
  <c r="J1644" i="1"/>
  <c r="I1644" i="1"/>
  <c r="F1644" i="1"/>
  <c r="C1644" i="1"/>
  <c r="B1644" i="1"/>
  <c r="A1644" i="1"/>
  <c r="O1641" i="1"/>
  <c r="N1641" i="1"/>
  <c r="L1641" i="1"/>
  <c r="K1641" i="1"/>
  <c r="J1641" i="1"/>
  <c r="I1641" i="1"/>
  <c r="F1641" i="1"/>
  <c r="C1641" i="1"/>
  <c r="B1641" i="1"/>
  <c r="A1641" i="1"/>
  <c r="O1638" i="1"/>
  <c r="N1638" i="1"/>
  <c r="L1638" i="1"/>
  <c r="K1638" i="1"/>
  <c r="J1638" i="1"/>
  <c r="I1638" i="1"/>
  <c r="F1638" i="1"/>
  <c r="C1638" i="1"/>
  <c r="B1638" i="1"/>
  <c r="A1638" i="1"/>
  <c r="O1635" i="1"/>
  <c r="N1635" i="1"/>
  <c r="L1635" i="1"/>
  <c r="K1635" i="1"/>
  <c r="J1635" i="1"/>
  <c r="I1635" i="1"/>
  <c r="F1635" i="1"/>
  <c r="C1635" i="1"/>
  <c r="B1635" i="1"/>
  <c r="A1635" i="1"/>
  <c r="O1632" i="1"/>
  <c r="N1632" i="1"/>
  <c r="L1632" i="1"/>
  <c r="K1632" i="1"/>
  <c r="J1632" i="1"/>
  <c r="I1632" i="1"/>
  <c r="F1632" i="1"/>
  <c r="C1632" i="1"/>
  <c r="B1632" i="1"/>
  <c r="A1632" i="1"/>
  <c r="O1629" i="1"/>
  <c r="N1629" i="1"/>
  <c r="L1629" i="1"/>
  <c r="K1629" i="1"/>
  <c r="J1629" i="1"/>
  <c r="I1629" i="1"/>
  <c r="F1629" i="1"/>
  <c r="C1629" i="1"/>
  <c r="B1629" i="1"/>
  <c r="A1629" i="1"/>
  <c r="O1626" i="1"/>
  <c r="N1626" i="1"/>
  <c r="L1626" i="1"/>
  <c r="K1626" i="1"/>
  <c r="J1626" i="1"/>
  <c r="I1626" i="1"/>
  <c r="F1626" i="1"/>
  <c r="C1626" i="1"/>
  <c r="B1626" i="1"/>
  <c r="A1626" i="1"/>
  <c r="O1623" i="1"/>
  <c r="N1623" i="1"/>
  <c r="L1623" i="1"/>
  <c r="K1623" i="1"/>
  <c r="J1623" i="1"/>
  <c r="I1623" i="1"/>
  <c r="F1623" i="1"/>
  <c r="C1623" i="1"/>
  <c r="B1623" i="1"/>
  <c r="A1623" i="1"/>
  <c r="O1620" i="1"/>
  <c r="N1620" i="1"/>
  <c r="L1620" i="1"/>
  <c r="K1620" i="1"/>
  <c r="J1620" i="1"/>
  <c r="I1620" i="1"/>
  <c r="F1620" i="1"/>
  <c r="C1620" i="1"/>
  <c r="B1620" i="1"/>
  <c r="A1620" i="1"/>
  <c r="O1617" i="1"/>
  <c r="N1617" i="1"/>
  <c r="L1617" i="1"/>
  <c r="K1617" i="1"/>
  <c r="J1617" i="1"/>
  <c r="I1617" i="1"/>
  <c r="F1617" i="1"/>
  <c r="C1617" i="1"/>
  <c r="B1617" i="1"/>
  <c r="A1617" i="1"/>
  <c r="O1614" i="1"/>
  <c r="N1614" i="1"/>
  <c r="L1614" i="1"/>
  <c r="K1614" i="1"/>
  <c r="J1614" i="1"/>
  <c r="I1614" i="1"/>
  <c r="F1614" i="1"/>
  <c r="C1614" i="1"/>
  <c r="B1614" i="1"/>
  <c r="A1614" i="1"/>
  <c r="O1611" i="1"/>
  <c r="N1611" i="1"/>
  <c r="L1611" i="1"/>
  <c r="K1611" i="1"/>
  <c r="J1611" i="1"/>
  <c r="I1611" i="1"/>
  <c r="F1611" i="1"/>
  <c r="C1611" i="1"/>
  <c r="B1611" i="1"/>
  <c r="A1611" i="1"/>
  <c r="O1608" i="1"/>
  <c r="N1608" i="1"/>
  <c r="L1608" i="1"/>
  <c r="K1608" i="1"/>
  <c r="J1608" i="1"/>
  <c r="I1608" i="1"/>
  <c r="F1608" i="1"/>
  <c r="C1608" i="1"/>
  <c r="B1608" i="1"/>
  <c r="A1608" i="1"/>
  <c r="O1605" i="1"/>
  <c r="N1605" i="1"/>
  <c r="L1605" i="1"/>
  <c r="K1605" i="1"/>
  <c r="J1605" i="1"/>
  <c r="I1605" i="1"/>
  <c r="F1605" i="1"/>
  <c r="C1605" i="1"/>
  <c r="B1605" i="1"/>
  <c r="A1605" i="1"/>
  <c r="O1602" i="1"/>
  <c r="N1602" i="1"/>
  <c r="L1602" i="1"/>
  <c r="K1602" i="1"/>
  <c r="J1602" i="1"/>
  <c r="I1602" i="1"/>
  <c r="F1602" i="1"/>
  <c r="C1602" i="1"/>
  <c r="B1602" i="1"/>
  <c r="A1602" i="1"/>
  <c r="O1599" i="1"/>
  <c r="N1599" i="1"/>
  <c r="L1599" i="1"/>
  <c r="K1599" i="1"/>
  <c r="J1599" i="1"/>
  <c r="I1599" i="1"/>
  <c r="F1599" i="1"/>
  <c r="C1599" i="1"/>
  <c r="B1599" i="1"/>
  <c r="A1599" i="1"/>
  <c r="O1596" i="1"/>
  <c r="N1596" i="1"/>
  <c r="L1596" i="1"/>
  <c r="K1596" i="1"/>
  <c r="J1596" i="1"/>
  <c r="I1596" i="1"/>
  <c r="F1596" i="1"/>
  <c r="C1596" i="1"/>
  <c r="B1596" i="1"/>
  <c r="A1596" i="1"/>
  <c r="O1593" i="1"/>
  <c r="N1593" i="1"/>
  <c r="L1593" i="1"/>
  <c r="K1593" i="1"/>
  <c r="J1593" i="1"/>
  <c r="I1593" i="1"/>
  <c r="F1593" i="1"/>
  <c r="C1593" i="1"/>
  <c r="B1593" i="1"/>
  <c r="A1593" i="1"/>
  <c r="O1590" i="1"/>
  <c r="N1590" i="1"/>
  <c r="L1590" i="1"/>
  <c r="K1590" i="1"/>
  <c r="J1590" i="1"/>
  <c r="I1590" i="1"/>
  <c r="F1590" i="1"/>
  <c r="C1590" i="1"/>
  <c r="B1590" i="1"/>
  <c r="A1590" i="1"/>
  <c r="O1587" i="1"/>
  <c r="N1587" i="1"/>
  <c r="L1587" i="1"/>
  <c r="K1587" i="1"/>
  <c r="J1587" i="1"/>
  <c r="I1587" i="1"/>
  <c r="F1587" i="1"/>
  <c r="C1587" i="1"/>
  <c r="B1587" i="1"/>
  <c r="A1587" i="1"/>
  <c r="O1581" i="1"/>
  <c r="N1581" i="1"/>
  <c r="L1581" i="1"/>
  <c r="K1581" i="1"/>
  <c r="J1581" i="1"/>
  <c r="I1581" i="1"/>
  <c r="F1581" i="1"/>
  <c r="C1581" i="1"/>
  <c r="B1581" i="1"/>
  <c r="A1581" i="1"/>
  <c r="O1575" i="1"/>
  <c r="N1575" i="1"/>
  <c r="L1575" i="1"/>
  <c r="K1575" i="1"/>
  <c r="J1575" i="1"/>
  <c r="I1575" i="1"/>
  <c r="F1575" i="1"/>
  <c r="C1575" i="1"/>
  <c r="B1575" i="1"/>
  <c r="A1575" i="1"/>
  <c r="O1578" i="1"/>
  <c r="N1578" i="1"/>
  <c r="L1578" i="1"/>
  <c r="K1578" i="1"/>
  <c r="J1578" i="1"/>
  <c r="I1578" i="1"/>
  <c r="F1578" i="1"/>
  <c r="C1578" i="1"/>
  <c r="B1578" i="1"/>
  <c r="A1578" i="1"/>
  <c r="O1572" i="1"/>
  <c r="N1572" i="1"/>
  <c r="L1572" i="1"/>
  <c r="K1572" i="1"/>
  <c r="J1572" i="1"/>
  <c r="I1572" i="1"/>
  <c r="F1572" i="1"/>
  <c r="C1572" i="1"/>
  <c r="B1572" i="1"/>
  <c r="A1572" i="1"/>
  <c r="O1569" i="1"/>
  <c r="N1569" i="1"/>
  <c r="L1569" i="1"/>
  <c r="K1569" i="1"/>
  <c r="J1569" i="1"/>
  <c r="I1569" i="1"/>
  <c r="F1569" i="1"/>
  <c r="C1569" i="1"/>
  <c r="B1569" i="1"/>
  <c r="A1569" i="1"/>
  <c r="O1566" i="1"/>
  <c r="N1566" i="1"/>
  <c r="L1566" i="1"/>
  <c r="K1566" i="1"/>
  <c r="J1566" i="1"/>
  <c r="I1566" i="1"/>
  <c r="F1566" i="1"/>
  <c r="C1566" i="1"/>
  <c r="B1566" i="1"/>
  <c r="A1566" i="1"/>
  <c r="O1563" i="1"/>
  <c r="N1563" i="1"/>
  <c r="L1563" i="1"/>
  <c r="K1563" i="1"/>
  <c r="J1563" i="1"/>
  <c r="I1563" i="1"/>
  <c r="F1563" i="1"/>
  <c r="C1563" i="1"/>
  <c r="B1563" i="1"/>
  <c r="A1563" i="1"/>
  <c r="O1560" i="1"/>
  <c r="N1560" i="1"/>
  <c r="L1560" i="1"/>
  <c r="K1560" i="1"/>
  <c r="J1560" i="1"/>
  <c r="I1560" i="1"/>
  <c r="F1560" i="1"/>
  <c r="C1560" i="1"/>
  <c r="B1560" i="1"/>
  <c r="A1560" i="1"/>
  <c r="O1557" i="1"/>
  <c r="N1557" i="1"/>
  <c r="L1557" i="1"/>
  <c r="K1557" i="1"/>
  <c r="J1557" i="1"/>
  <c r="I1557" i="1"/>
  <c r="F1557" i="1"/>
  <c r="C1557" i="1"/>
  <c r="B1557" i="1"/>
  <c r="A1557" i="1"/>
  <c r="O1554" i="1"/>
  <c r="N1554" i="1"/>
  <c r="L1554" i="1"/>
  <c r="K1554" i="1"/>
  <c r="J1554" i="1"/>
  <c r="I1554" i="1"/>
  <c r="F1554" i="1"/>
  <c r="C1554" i="1"/>
  <c r="B1554" i="1"/>
  <c r="A1554" i="1"/>
  <c r="O1551" i="1"/>
  <c r="N1551" i="1"/>
  <c r="L1551" i="1"/>
  <c r="K1551" i="1"/>
  <c r="J1551" i="1"/>
  <c r="I1551" i="1"/>
  <c r="F1551" i="1"/>
  <c r="C1551" i="1"/>
  <c r="B1551" i="1"/>
  <c r="A1551" i="1"/>
  <c r="O1548" i="1"/>
  <c r="N1548" i="1"/>
  <c r="L1548" i="1"/>
  <c r="K1548" i="1"/>
  <c r="J1548" i="1"/>
  <c r="I1548" i="1"/>
  <c r="F1548" i="1"/>
  <c r="C1548" i="1"/>
  <c r="B1548" i="1"/>
  <c r="A1548" i="1"/>
  <c r="O1545" i="1"/>
  <c r="N1545" i="1"/>
  <c r="L1545" i="1"/>
  <c r="K1545" i="1"/>
  <c r="J1545" i="1"/>
  <c r="I1545" i="1"/>
  <c r="F1545" i="1"/>
  <c r="C1545" i="1"/>
  <c r="B1545" i="1"/>
  <c r="A1545" i="1"/>
  <c r="O1542" i="1"/>
  <c r="N1542" i="1"/>
  <c r="L1542" i="1"/>
  <c r="K1542" i="1"/>
  <c r="J1542" i="1"/>
  <c r="I1542" i="1"/>
  <c r="F1542" i="1"/>
  <c r="C1542" i="1"/>
  <c r="B1542" i="1"/>
  <c r="A1542" i="1"/>
  <c r="O1539" i="1"/>
  <c r="N1539" i="1"/>
  <c r="L1539" i="1"/>
  <c r="K1539" i="1"/>
  <c r="J1539" i="1"/>
  <c r="I1539" i="1"/>
  <c r="F1539" i="1"/>
  <c r="C1539" i="1"/>
  <c r="B1539" i="1"/>
  <c r="A1539" i="1"/>
  <c r="O1536" i="1"/>
  <c r="N1536" i="1"/>
  <c r="L1536" i="1"/>
  <c r="K1536" i="1"/>
  <c r="J1536" i="1"/>
  <c r="I1536" i="1"/>
  <c r="F1536" i="1"/>
  <c r="C1536" i="1"/>
  <c r="B1536" i="1"/>
  <c r="A1536" i="1"/>
  <c r="O1533" i="1"/>
  <c r="N1533" i="1"/>
  <c r="L1533" i="1"/>
  <c r="K1533" i="1"/>
  <c r="J1533" i="1"/>
  <c r="I1533" i="1"/>
  <c r="F1533" i="1"/>
  <c r="C1533" i="1"/>
  <c r="B1533" i="1"/>
  <c r="A1533" i="1"/>
  <c r="O1530" i="1"/>
  <c r="N1530" i="1"/>
  <c r="L1530" i="1"/>
  <c r="K1530" i="1"/>
  <c r="J1530" i="1"/>
  <c r="I1530" i="1"/>
  <c r="F1530" i="1"/>
  <c r="C1530" i="1"/>
  <c r="B1530" i="1"/>
  <c r="A1530" i="1"/>
  <c r="O1527" i="1"/>
  <c r="N1527" i="1"/>
  <c r="L1527" i="1"/>
  <c r="K1527" i="1"/>
  <c r="J1527" i="1"/>
  <c r="I1527" i="1"/>
  <c r="F1527" i="1"/>
  <c r="C1527" i="1"/>
  <c r="B1527" i="1"/>
  <c r="A1527" i="1"/>
  <c r="O1524" i="1"/>
  <c r="N1524" i="1"/>
  <c r="L1524" i="1"/>
  <c r="K1524" i="1"/>
  <c r="J1524" i="1"/>
  <c r="I1524" i="1"/>
  <c r="F1524" i="1"/>
  <c r="C1524" i="1"/>
  <c r="B1524" i="1"/>
  <c r="A1524" i="1"/>
  <c r="O1521" i="1"/>
  <c r="N1521" i="1"/>
  <c r="L1521" i="1"/>
  <c r="K1521" i="1"/>
  <c r="J1521" i="1"/>
  <c r="I1521" i="1"/>
  <c r="F1521" i="1"/>
  <c r="C1521" i="1"/>
  <c r="B1521" i="1"/>
  <c r="A1521" i="1"/>
  <c r="O1518" i="1"/>
  <c r="N1518" i="1"/>
  <c r="L1518" i="1"/>
  <c r="K1518" i="1"/>
  <c r="J1518" i="1"/>
  <c r="I1518" i="1"/>
  <c r="F1518" i="1"/>
  <c r="C1518" i="1"/>
  <c r="B1518" i="1"/>
  <c r="A1518" i="1"/>
  <c r="O1515" i="1"/>
  <c r="N1515" i="1"/>
  <c r="L1515" i="1"/>
  <c r="K1515" i="1"/>
  <c r="J1515" i="1"/>
  <c r="I1515" i="1"/>
  <c r="F1515" i="1"/>
  <c r="C1515" i="1"/>
  <c r="B1515" i="1"/>
  <c r="A1515" i="1"/>
  <c r="O1512" i="1"/>
  <c r="N1512" i="1"/>
  <c r="L1512" i="1"/>
  <c r="K1512" i="1"/>
  <c r="J1512" i="1"/>
  <c r="I1512" i="1"/>
  <c r="F1512" i="1"/>
  <c r="C1512" i="1"/>
  <c r="B1512" i="1"/>
  <c r="A1512" i="1"/>
  <c r="O1509" i="1"/>
  <c r="N1509" i="1"/>
  <c r="L1509" i="1"/>
  <c r="K1509" i="1"/>
  <c r="J1509" i="1"/>
  <c r="I1509" i="1"/>
  <c r="F1509" i="1"/>
  <c r="C1509" i="1"/>
  <c r="B1509" i="1"/>
  <c r="A1509" i="1"/>
  <c r="O1506" i="1"/>
  <c r="N1506" i="1"/>
  <c r="L1506" i="1"/>
  <c r="K1506" i="1"/>
  <c r="J1506" i="1"/>
  <c r="I1506" i="1"/>
  <c r="F1506" i="1"/>
  <c r="C1506" i="1"/>
  <c r="B1506" i="1"/>
  <c r="A1506" i="1"/>
  <c r="O1503" i="1"/>
  <c r="N1503" i="1"/>
  <c r="L1503" i="1"/>
  <c r="K1503" i="1"/>
  <c r="J1503" i="1"/>
  <c r="I1503" i="1"/>
  <c r="F1503" i="1"/>
  <c r="C1503" i="1"/>
  <c r="B1503" i="1"/>
  <c r="A1503" i="1"/>
  <c r="O1500" i="1"/>
  <c r="N1500" i="1"/>
  <c r="L1500" i="1"/>
  <c r="K1500" i="1"/>
  <c r="J1500" i="1"/>
  <c r="I1500" i="1"/>
  <c r="F1500" i="1"/>
  <c r="C1500" i="1"/>
  <c r="B1500" i="1"/>
  <c r="A1500" i="1"/>
  <c r="O1497" i="1"/>
  <c r="N1497" i="1"/>
  <c r="L1497" i="1"/>
  <c r="K1497" i="1"/>
  <c r="J1497" i="1"/>
  <c r="I1497" i="1"/>
  <c r="F1497" i="1"/>
  <c r="C1497" i="1"/>
  <c r="B1497" i="1"/>
  <c r="A1497" i="1"/>
  <c r="O1494" i="1"/>
  <c r="N1494" i="1"/>
  <c r="L1494" i="1"/>
  <c r="K1494" i="1"/>
  <c r="J1494" i="1"/>
  <c r="I1494" i="1"/>
  <c r="F1494" i="1"/>
  <c r="C1494" i="1"/>
  <c r="B1494" i="1"/>
  <c r="A1494" i="1"/>
  <c r="O1491" i="1"/>
  <c r="N1491" i="1"/>
  <c r="L1491" i="1"/>
  <c r="K1491" i="1"/>
  <c r="J1491" i="1"/>
  <c r="I1491" i="1"/>
  <c r="F1491" i="1"/>
  <c r="C1491" i="1"/>
  <c r="B1491" i="1"/>
  <c r="A1491" i="1"/>
  <c r="O1488" i="1"/>
  <c r="N1488" i="1"/>
  <c r="L1488" i="1"/>
  <c r="K1488" i="1"/>
  <c r="J1488" i="1"/>
  <c r="I1488" i="1"/>
  <c r="F1488" i="1"/>
  <c r="C1488" i="1"/>
  <c r="B1488" i="1"/>
  <c r="A1488" i="1"/>
  <c r="O1485" i="1"/>
  <c r="N1485" i="1"/>
  <c r="L1485" i="1"/>
  <c r="K1485" i="1"/>
  <c r="J1485" i="1"/>
  <c r="I1485" i="1"/>
  <c r="F1485" i="1"/>
  <c r="C1485" i="1"/>
  <c r="B1485" i="1"/>
  <c r="A1485" i="1"/>
  <c r="O1482" i="1"/>
  <c r="N1482" i="1"/>
  <c r="L1482" i="1"/>
  <c r="K1482" i="1"/>
  <c r="J1482" i="1"/>
  <c r="I1482" i="1"/>
  <c r="F1482" i="1"/>
  <c r="C1482" i="1"/>
  <c r="B1482" i="1"/>
  <c r="A1482" i="1"/>
  <c r="O1479" i="1"/>
  <c r="N1479" i="1"/>
  <c r="L1479" i="1"/>
  <c r="K1479" i="1"/>
  <c r="J1479" i="1"/>
  <c r="I1479" i="1"/>
  <c r="F1479" i="1"/>
  <c r="C1479" i="1"/>
  <c r="B1479" i="1"/>
  <c r="A1479" i="1"/>
  <c r="O1476" i="1"/>
  <c r="N1476" i="1"/>
  <c r="L1476" i="1"/>
  <c r="K1476" i="1"/>
  <c r="J1476" i="1"/>
  <c r="I1476" i="1"/>
  <c r="F1476" i="1"/>
  <c r="C1476" i="1"/>
  <c r="B1476" i="1"/>
  <c r="A1476" i="1"/>
  <c r="O1473" i="1"/>
  <c r="N1473" i="1"/>
  <c r="L1473" i="1"/>
  <c r="K1473" i="1"/>
  <c r="J1473" i="1"/>
  <c r="I1473" i="1"/>
  <c r="F1473" i="1"/>
  <c r="C1473" i="1"/>
  <c r="B1473" i="1"/>
  <c r="A1473" i="1"/>
  <c r="O1470" i="1"/>
  <c r="N1470" i="1"/>
  <c r="L1470" i="1"/>
  <c r="K1470" i="1"/>
  <c r="J1470" i="1"/>
  <c r="I1470" i="1"/>
  <c r="F1470" i="1"/>
  <c r="C1470" i="1"/>
  <c r="B1470" i="1"/>
  <c r="A1470" i="1"/>
  <c r="O1467" i="1"/>
  <c r="N1467" i="1"/>
  <c r="L1467" i="1"/>
  <c r="K1467" i="1"/>
  <c r="J1467" i="1"/>
  <c r="I1467" i="1"/>
  <c r="F1467" i="1"/>
  <c r="C1467" i="1"/>
  <c r="B1467" i="1"/>
  <c r="A1467" i="1"/>
  <c r="O1464" i="1"/>
  <c r="N1464" i="1"/>
  <c r="L1464" i="1"/>
  <c r="K1464" i="1"/>
  <c r="J1464" i="1"/>
  <c r="I1464" i="1"/>
  <c r="F1464" i="1"/>
  <c r="C1464" i="1"/>
  <c r="B1464" i="1"/>
  <c r="A1464" i="1"/>
  <c r="O1461" i="1"/>
  <c r="N1461" i="1"/>
  <c r="L1461" i="1"/>
  <c r="K1461" i="1"/>
  <c r="J1461" i="1"/>
  <c r="I1461" i="1"/>
  <c r="F1461" i="1"/>
  <c r="C1461" i="1"/>
  <c r="B1461" i="1"/>
  <c r="A1461" i="1"/>
  <c r="O1458" i="1"/>
  <c r="N1458" i="1"/>
  <c r="L1458" i="1"/>
  <c r="K1458" i="1"/>
  <c r="J1458" i="1"/>
  <c r="I1458" i="1"/>
  <c r="F1458" i="1"/>
  <c r="C1458" i="1"/>
  <c r="B1458" i="1"/>
  <c r="A1458" i="1"/>
  <c r="O1455" i="1"/>
  <c r="N1455" i="1"/>
  <c r="L1455" i="1"/>
  <c r="K1455" i="1"/>
  <c r="J1455" i="1"/>
  <c r="I1455" i="1"/>
  <c r="F1455" i="1"/>
  <c r="C1455" i="1"/>
  <c r="B1455" i="1"/>
  <c r="A1455" i="1"/>
  <c r="O1452" i="1"/>
  <c r="N1452" i="1"/>
  <c r="L1452" i="1"/>
  <c r="K1452" i="1"/>
  <c r="J1452" i="1"/>
  <c r="I1452" i="1"/>
  <c r="F1452" i="1"/>
  <c r="C1452" i="1"/>
  <c r="B1452" i="1"/>
  <c r="A1452" i="1"/>
  <c r="O1449" i="1"/>
  <c r="N1449" i="1"/>
  <c r="L1449" i="1"/>
  <c r="K1449" i="1"/>
  <c r="J1449" i="1"/>
  <c r="I1449" i="1"/>
  <c r="F1449" i="1"/>
  <c r="C1449" i="1"/>
  <c r="B1449" i="1"/>
  <c r="A1449" i="1"/>
  <c r="O1446" i="1"/>
  <c r="N1446" i="1"/>
  <c r="L1446" i="1"/>
  <c r="K1446" i="1"/>
  <c r="J1446" i="1"/>
  <c r="I1446" i="1"/>
  <c r="F1446" i="1"/>
  <c r="C1446" i="1"/>
  <c r="B1446" i="1"/>
  <c r="A1446" i="1"/>
  <c r="O1443" i="1"/>
  <c r="N1443" i="1"/>
  <c r="L1443" i="1"/>
  <c r="K1443" i="1"/>
  <c r="J1443" i="1"/>
  <c r="I1443" i="1"/>
  <c r="F1443" i="1"/>
  <c r="C1443" i="1"/>
  <c r="B1443" i="1"/>
  <c r="A1443" i="1"/>
  <c r="O1440" i="1"/>
  <c r="N1440" i="1"/>
  <c r="L1440" i="1"/>
  <c r="K1440" i="1"/>
  <c r="J1440" i="1"/>
  <c r="I1440" i="1"/>
  <c r="F1440" i="1"/>
  <c r="C1440" i="1"/>
  <c r="B1440" i="1"/>
  <c r="A1440" i="1"/>
  <c r="O1437" i="1"/>
  <c r="N1437" i="1"/>
  <c r="L1437" i="1"/>
  <c r="K1437" i="1"/>
  <c r="J1437" i="1"/>
  <c r="I1437" i="1"/>
  <c r="F1437" i="1"/>
  <c r="C1437" i="1"/>
  <c r="B1437" i="1"/>
  <c r="A1437" i="1"/>
  <c r="O1434" i="1"/>
  <c r="N1434" i="1"/>
  <c r="L1434" i="1"/>
  <c r="K1434" i="1"/>
  <c r="J1434" i="1"/>
  <c r="I1434" i="1"/>
  <c r="F1434" i="1"/>
  <c r="C1434" i="1"/>
  <c r="B1434" i="1"/>
  <c r="A1434" i="1"/>
  <c r="O1431" i="1"/>
  <c r="N1431" i="1"/>
  <c r="L1431" i="1"/>
  <c r="K1431" i="1"/>
  <c r="J1431" i="1"/>
  <c r="I1431" i="1"/>
  <c r="F1431" i="1"/>
  <c r="C1431" i="1"/>
  <c r="B1431" i="1"/>
  <c r="A1431" i="1"/>
  <c r="O1428" i="1"/>
  <c r="N1428" i="1"/>
  <c r="L1428" i="1"/>
  <c r="K1428" i="1"/>
  <c r="J1428" i="1"/>
  <c r="I1428" i="1"/>
  <c r="F1428" i="1"/>
  <c r="C1428" i="1"/>
  <c r="B1428" i="1"/>
  <c r="A1428" i="1"/>
  <c r="O1425" i="1"/>
  <c r="N1425" i="1"/>
  <c r="L1425" i="1"/>
  <c r="K1425" i="1"/>
  <c r="J1425" i="1"/>
  <c r="I1425" i="1"/>
  <c r="F1425" i="1"/>
  <c r="C1425" i="1"/>
  <c r="B1425" i="1"/>
  <c r="A1425" i="1"/>
  <c r="O1422" i="1"/>
  <c r="N1422" i="1"/>
  <c r="L1422" i="1"/>
  <c r="K1422" i="1"/>
  <c r="J1422" i="1"/>
  <c r="I1422" i="1"/>
  <c r="F1422" i="1"/>
  <c r="C1422" i="1"/>
  <c r="B1422" i="1"/>
  <c r="A1422" i="1"/>
  <c r="O1419" i="1"/>
  <c r="N1419" i="1"/>
  <c r="L1419" i="1"/>
  <c r="K1419" i="1"/>
  <c r="J1419" i="1"/>
  <c r="I1419" i="1"/>
  <c r="F1419" i="1"/>
  <c r="C1419" i="1"/>
  <c r="B1419" i="1"/>
  <c r="A1419" i="1"/>
  <c r="O1416" i="1"/>
  <c r="N1416" i="1"/>
  <c r="L1416" i="1"/>
  <c r="K1416" i="1"/>
  <c r="J1416" i="1"/>
  <c r="I1416" i="1"/>
  <c r="F1416" i="1"/>
  <c r="C1416" i="1"/>
  <c r="B1416" i="1"/>
  <c r="A1416" i="1"/>
  <c r="O1413" i="1"/>
  <c r="N1413" i="1"/>
  <c r="L1413" i="1"/>
  <c r="K1413" i="1"/>
  <c r="J1413" i="1"/>
  <c r="I1413" i="1"/>
  <c r="F1413" i="1"/>
  <c r="C1413" i="1"/>
  <c r="B1413" i="1"/>
  <c r="A1413" i="1"/>
  <c r="O1410" i="1"/>
  <c r="N1410" i="1"/>
  <c r="L1410" i="1"/>
  <c r="K1410" i="1"/>
  <c r="J1410" i="1"/>
  <c r="I1410" i="1"/>
  <c r="F1410" i="1"/>
  <c r="C1410" i="1"/>
  <c r="B1410" i="1"/>
  <c r="A1410" i="1"/>
  <c r="O1407" i="1"/>
  <c r="N1407" i="1"/>
  <c r="L1407" i="1"/>
  <c r="K1407" i="1"/>
  <c r="J1407" i="1"/>
  <c r="I1407" i="1"/>
  <c r="F1407" i="1"/>
  <c r="C1407" i="1"/>
  <c r="B1407" i="1"/>
  <c r="A1407" i="1"/>
  <c r="O1404" i="1"/>
  <c r="N1404" i="1"/>
  <c r="L1404" i="1"/>
  <c r="K1404" i="1"/>
  <c r="J1404" i="1"/>
  <c r="I1404" i="1"/>
  <c r="F1404" i="1"/>
  <c r="C1404" i="1"/>
  <c r="B1404" i="1"/>
  <c r="A1404" i="1"/>
  <c r="O1401" i="1"/>
  <c r="N1401" i="1"/>
  <c r="L1401" i="1"/>
  <c r="K1401" i="1"/>
  <c r="J1401" i="1"/>
  <c r="I1401" i="1"/>
  <c r="F1401" i="1"/>
  <c r="C1401" i="1"/>
  <c r="B1401" i="1"/>
  <c r="A1401" i="1"/>
  <c r="O1398" i="1"/>
  <c r="N1398" i="1"/>
  <c r="L1398" i="1"/>
  <c r="K1398" i="1"/>
  <c r="J1398" i="1"/>
  <c r="I1398" i="1"/>
  <c r="F1398" i="1"/>
  <c r="C1398" i="1"/>
  <c r="B1398" i="1"/>
  <c r="A1398" i="1"/>
  <c r="O1395" i="1"/>
  <c r="N1395" i="1"/>
  <c r="L1395" i="1"/>
  <c r="K1395" i="1"/>
  <c r="J1395" i="1"/>
  <c r="I1395" i="1"/>
  <c r="F1395" i="1"/>
  <c r="C1395" i="1"/>
  <c r="B1395" i="1"/>
  <c r="A1395" i="1"/>
  <c r="O1392" i="1"/>
  <c r="N1392" i="1"/>
  <c r="L1392" i="1"/>
  <c r="K1392" i="1"/>
  <c r="J1392" i="1"/>
  <c r="I1392" i="1"/>
  <c r="F1392" i="1"/>
  <c r="C1392" i="1"/>
  <c r="B1392" i="1"/>
  <c r="A1392" i="1"/>
  <c r="O1389" i="1"/>
  <c r="N1389" i="1"/>
  <c r="L1389" i="1"/>
  <c r="K1389" i="1"/>
  <c r="J1389" i="1"/>
  <c r="I1389" i="1"/>
  <c r="F1389" i="1"/>
  <c r="C1389" i="1"/>
  <c r="B1389" i="1"/>
  <c r="A1389" i="1"/>
  <c r="O1386" i="1"/>
  <c r="N1386" i="1"/>
  <c r="L1386" i="1"/>
  <c r="K1386" i="1"/>
  <c r="J1386" i="1"/>
  <c r="I1386" i="1"/>
  <c r="F1386" i="1"/>
  <c r="C1386" i="1"/>
  <c r="B1386" i="1"/>
  <c r="A1386" i="1"/>
  <c r="O1383" i="1"/>
  <c r="N1383" i="1"/>
  <c r="L1383" i="1"/>
  <c r="K1383" i="1"/>
  <c r="J1383" i="1"/>
  <c r="I1383" i="1"/>
  <c r="F1383" i="1"/>
  <c r="C1383" i="1"/>
  <c r="B1383" i="1"/>
  <c r="A1383" i="1"/>
  <c r="O1380" i="1"/>
  <c r="N1380" i="1"/>
  <c r="L1380" i="1"/>
  <c r="K1380" i="1"/>
  <c r="J1380" i="1"/>
  <c r="I1380" i="1"/>
  <c r="F1380" i="1"/>
  <c r="C1380" i="1"/>
  <c r="B1380" i="1"/>
  <c r="A1380" i="1"/>
  <c r="O1377" i="1"/>
  <c r="N1377" i="1"/>
  <c r="L1377" i="1"/>
  <c r="K1377" i="1"/>
  <c r="J1377" i="1"/>
  <c r="I1377" i="1"/>
  <c r="F1377" i="1"/>
  <c r="C1377" i="1"/>
  <c r="B1377" i="1"/>
  <c r="A1377" i="1"/>
  <c r="O1374" i="1"/>
  <c r="N1374" i="1"/>
  <c r="L1374" i="1"/>
  <c r="K1374" i="1"/>
  <c r="J1374" i="1"/>
  <c r="I1374" i="1"/>
  <c r="F1374" i="1"/>
  <c r="C1374" i="1"/>
  <c r="B1374" i="1"/>
  <c r="A1374" i="1"/>
  <c r="O1371" i="1"/>
  <c r="N1371" i="1"/>
  <c r="L1371" i="1"/>
  <c r="K1371" i="1"/>
  <c r="J1371" i="1"/>
  <c r="I1371" i="1"/>
  <c r="F1371" i="1"/>
  <c r="C1371" i="1"/>
  <c r="B1371" i="1"/>
  <c r="A1371" i="1"/>
  <c r="O1368" i="1"/>
  <c r="N1368" i="1"/>
  <c r="L1368" i="1"/>
  <c r="K1368" i="1"/>
  <c r="J1368" i="1"/>
  <c r="I1368" i="1"/>
  <c r="F1368" i="1"/>
  <c r="C1368" i="1"/>
  <c r="B1368" i="1"/>
  <c r="A1368" i="1"/>
  <c r="O1365" i="1"/>
  <c r="N1365" i="1"/>
  <c r="L1365" i="1"/>
  <c r="K1365" i="1"/>
  <c r="J1365" i="1"/>
  <c r="I1365" i="1"/>
  <c r="F1365" i="1"/>
  <c r="C1365" i="1"/>
  <c r="B1365" i="1"/>
  <c r="A1365" i="1"/>
  <c r="O1359" i="1"/>
  <c r="N1359" i="1"/>
  <c r="L1359" i="1"/>
  <c r="K1359" i="1"/>
  <c r="J1359" i="1"/>
  <c r="I1359" i="1"/>
  <c r="F1359" i="1"/>
  <c r="C1359" i="1"/>
  <c r="B1359" i="1"/>
  <c r="A1359" i="1"/>
  <c r="O1356" i="1"/>
  <c r="N1356" i="1"/>
  <c r="L1356" i="1"/>
  <c r="K1356" i="1"/>
  <c r="J1356" i="1"/>
  <c r="I1356" i="1"/>
  <c r="F1356" i="1"/>
  <c r="C1356" i="1"/>
  <c r="B1356" i="1"/>
  <c r="A1356" i="1"/>
  <c r="O1353" i="1"/>
  <c r="N1353" i="1"/>
  <c r="L1353" i="1"/>
  <c r="K1353" i="1"/>
  <c r="J1353" i="1"/>
  <c r="I1353" i="1"/>
  <c r="F1353" i="1"/>
  <c r="C1353" i="1"/>
  <c r="B1353" i="1"/>
  <c r="A1353" i="1"/>
  <c r="O1350" i="1"/>
  <c r="N1350" i="1"/>
  <c r="L1350" i="1"/>
  <c r="K1350" i="1"/>
  <c r="J1350" i="1"/>
  <c r="I1350" i="1"/>
  <c r="F1350" i="1"/>
  <c r="C1350" i="1"/>
  <c r="B1350" i="1"/>
  <c r="A1350" i="1"/>
  <c r="O1347" i="1"/>
  <c r="N1347" i="1"/>
  <c r="L1347" i="1"/>
  <c r="K1347" i="1"/>
  <c r="J1347" i="1"/>
  <c r="I1347" i="1"/>
  <c r="F1347" i="1"/>
  <c r="C1347" i="1"/>
  <c r="B1347" i="1"/>
  <c r="A1347" i="1"/>
  <c r="O1344" i="1"/>
  <c r="N1344" i="1"/>
  <c r="L1344" i="1"/>
  <c r="K1344" i="1"/>
  <c r="J1344" i="1"/>
  <c r="I1344" i="1"/>
  <c r="F1344" i="1"/>
  <c r="C1344" i="1"/>
  <c r="B1344" i="1"/>
  <c r="A1344" i="1"/>
  <c r="O1341" i="1"/>
  <c r="N1341" i="1"/>
  <c r="L1341" i="1"/>
  <c r="K1341" i="1"/>
  <c r="J1341" i="1"/>
  <c r="I1341" i="1"/>
  <c r="F1341" i="1"/>
  <c r="C1341" i="1"/>
  <c r="B1341" i="1"/>
  <c r="A1341" i="1"/>
  <c r="O1338" i="1"/>
  <c r="N1338" i="1"/>
  <c r="L1338" i="1"/>
  <c r="K1338" i="1"/>
  <c r="J1338" i="1"/>
  <c r="I1338" i="1"/>
  <c r="F1338" i="1"/>
  <c r="C1338" i="1"/>
  <c r="B1338" i="1"/>
  <c r="A1338" i="1"/>
  <c r="O1335" i="1"/>
  <c r="N1335" i="1"/>
  <c r="L1335" i="1"/>
  <c r="K1335" i="1"/>
  <c r="J1335" i="1"/>
  <c r="I1335" i="1"/>
  <c r="F1335" i="1"/>
  <c r="C1335" i="1"/>
  <c r="B1335" i="1"/>
  <c r="A1335" i="1"/>
  <c r="O1332" i="1"/>
  <c r="N1332" i="1"/>
  <c r="L1332" i="1"/>
  <c r="K1332" i="1"/>
  <c r="J1332" i="1"/>
  <c r="I1332" i="1"/>
  <c r="F1332" i="1"/>
  <c r="C1332" i="1"/>
  <c r="B1332" i="1"/>
  <c r="A1332" i="1"/>
  <c r="O1326" i="1"/>
  <c r="N1326" i="1"/>
  <c r="L1326" i="1"/>
  <c r="K1326" i="1"/>
  <c r="I1326" i="1"/>
  <c r="F1326" i="1"/>
  <c r="C1326" i="1"/>
  <c r="B1326" i="1"/>
  <c r="A1326" i="1"/>
  <c r="O1320" i="1"/>
  <c r="N1320" i="1"/>
  <c r="L1320" i="1"/>
  <c r="K1320" i="1"/>
  <c r="J1320" i="1"/>
  <c r="I1320" i="1"/>
  <c r="F1320" i="1"/>
  <c r="C1320" i="1"/>
  <c r="B1320" i="1"/>
  <c r="A1320" i="1"/>
  <c r="O1317" i="1"/>
  <c r="N1317" i="1"/>
  <c r="L1317" i="1"/>
  <c r="K1317" i="1"/>
  <c r="J1317" i="1"/>
  <c r="I1317" i="1"/>
  <c r="F1317" i="1"/>
  <c r="C1317" i="1"/>
  <c r="B1317" i="1"/>
  <c r="A1317" i="1"/>
  <c r="O1314" i="1"/>
  <c r="N1314" i="1"/>
  <c r="L1314" i="1"/>
  <c r="K1314" i="1"/>
  <c r="J1314" i="1"/>
  <c r="I1314" i="1"/>
  <c r="F1314" i="1"/>
  <c r="C1314" i="1"/>
  <c r="B1314" i="1"/>
  <c r="A1314" i="1"/>
  <c r="O1311" i="1"/>
  <c r="N1311" i="1"/>
  <c r="L1311" i="1"/>
  <c r="K1311" i="1"/>
  <c r="J1311" i="1"/>
  <c r="I1311" i="1"/>
  <c r="F1311" i="1"/>
  <c r="C1311" i="1"/>
  <c r="B1311" i="1"/>
  <c r="A1311" i="1"/>
  <c r="O1308" i="1"/>
  <c r="N1308" i="1"/>
  <c r="L1308" i="1"/>
  <c r="K1308" i="1"/>
  <c r="J1308" i="1"/>
  <c r="I1308" i="1"/>
  <c r="F1308" i="1"/>
  <c r="C1308" i="1"/>
  <c r="B1308" i="1"/>
  <c r="A1308" i="1"/>
  <c r="O1305" i="1"/>
  <c r="N1305" i="1"/>
  <c r="L1305" i="1"/>
  <c r="K1305" i="1"/>
  <c r="J1305" i="1"/>
  <c r="I1305" i="1"/>
  <c r="F1305" i="1"/>
  <c r="C1305" i="1"/>
  <c r="B1305" i="1"/>
  <c r="A1305" i="1"/>
  <c r="O1302" i="1"/>
  <c r="N1302" i="1"/>
  <c r="L1302" i="1"/>
  <c r="K1302" i="1"/>
  <c r="J1302" i="1"/>
  <c r="I1302" i="1"/>
  <c r="F1302" i="1"/>
  <c r="C1302" i="1"/>
  <c r="B1302" i="1"/>
  <c r="A1302" i="1"/>
  <c r="O1299" i="1"/>
  <c r="N1299" i="1"/>
  <c r="L1299" i="1"/>
  <c r="K1299" i="1"/>
  <c r="J1299" i="1"/>
  <c r="I1299" i="1"/>
  <c r="F1299" i="1"/>
  <c r="C1299" i="1"/>
  <c r="B1299" i="1"/>
  <c r="A1299" i="1"/>
  <c r="O1296" i="1"/>
  <c r="N1296" i="1"/>
  <c r="L1296" i="1"/>
  <c r="K1296" i="1"/>
  <c r="J1296" i="1"/>
  <c r="I1296" i="1"/>
  <c r="F1296" i="1"/>
  <c r="C1296" i="1"/>
  <c r="B1296" i="1"/>
  <c r="A1296" i="1"/>
  <c r="O1293" i="1"/>
  <c r="N1293" i="1"/>
  <c r="L1293" i="1"/>
  <c r="K1293" i="1"/>
  <c r="J1293" i="1"/>
  <c r="I1293" i="1"/>
  <c r="F1293" i="1"/>
  <c r="C1293" i="1"/>
  <c r="B1293" i="1"/>
  <c r="A1293" i="1"/>
  <c r="O1290" i="1"/>
  <c r="N1290" i="1"/>
  <c r="L1290" i="1"/>
  <c r="K1290" i="1"/>
  <c r="J1290" i="1"/>
  <c r="I1290" i="1"/>
  <c r="F1290" i="1"/>
  <c r="C1290" i="1"/>
  <c r="B1290" i="1"/>
  <c r="A1290" i="1"/>
  <c r="O1287" i="1"/>
  <c r="N1287" i="1"/>
  <c r="L1287" i="1"/>
  <c r="K1287" i="1"/>
  <c r="J1287" i="1"/>
  <c r="I1287" i="1"/>
  <c r="F1287" i="1"/>
  <c r="C1287" i="1"/>
  <c r="B1287" i="1"/>
  <c r="A1287" i="1"/>
  <c r="O1284" i="1"/>
  <c r="N1284" i="1"/>
  <c r="L1284" i="1"/>
  <c r="K1284" i="1"/>
  <c r="J1284" i="1"/>
  <c r="I1284" i="1"/>
  <c r="F1284" i="1"/>
  <c r="C1284" i="1"/>
  <c r="B1284" i="1"/>
  <c r="A1284" i="1"/>
  <c r="O1281" i="1"/>
  <c r="N1281" i="1"/>
  <c r="L1281" i="1"/>
  <c r="K1281" i="1"/>
  <c r="J1281" i="1"/>
  <c r="I1281" i="1"/>
  <c r="F1281" i="1"/>
  <c r="C1281" i="1"/>
  <c r="B1281" i="1"/>
  <c r="A1281" i="1"/>
  <c r="O1278" i="1"/>
  <c r="N1278" i="1"/>
  <c r="L1278" i="1"/>
  <c r="K1278" i="1"/>
  <c r="J1278" i="1"/>
  <c r="I1278" i="1"/>
  <c r="F1278" i="1"/>
  <c r="C1278" i="1"/>
  <c r="B1278" i="1"/>
  <c r="A1278" i="1"/>
  <c r="O1275" i="1"/>
  <c r="N1275" i="1"/>
  <c r="L1275" i="1"/>
  <c r="K1275" i="1"/>
  <c r="J1275" i="1"/>
  <c r="I1275" i="1"/>
  <c r="F1275" i="1"/>
  <c r="C1275" i="1"/>
  <c r="B1275" i="1"/>
  <c r="A1275" i="1"/>
  <c r="O1272" i="1"/>
  <c r="N1272" i="1"/>
  <c r="L1272" i="1"/>
  <c r="K1272" i="1"/>
  <c r="J1272" i="1"/>
  <c r="I1272" i="1"/>
  <c r="F1272" i="1"/>
  <c r="C1272" i="1"/>
  <c r="B1272" i="1"/>
  <c r="A1272" i="1"/>
  <c r="O1269" i="1"/>
  <c r="N1269" i="1"/>
  <c r="L1269" i="1"/>
  <c r="K1269" i="1"/>
  <c r="J1269" i="1"/>
  <c r="I1269" i="1"/>
  <c r="F1269" i="1"/>
  <c r="C1269" i="1"/>
  <c r="B1269" i="1"/>
  <c r="A1269" i="1"/>
  <c r="O1266" i="1"/>
  <c r="N1266" i="1"/>
  <c r="L1266" i="1"/>
  <c r="K1266" i="1"/>
  <c r="J1266" i="1"/>
  <c r="I1266" i="1"/>
  <c r="F1266" i="1"/>
  <c r="C1266" i="1"/>
  <c r="B1266" i="1"/>
  <c r="A1266" i="1"/>
  <c r="O1263" i="1"/>
  <c r="N1263" i="1"/>
  <c r="L1263" i="1"/>
  <c r="K1263" i="1"/>
  <c r="J1263" i="1"/>
  <c r="I1263" i="1"/>
  <c r="F1263" i="1"/>
  <c r="C1263" i="1"/>
  <c r="B1263" i="1"/>
  <c r="A1263" i="1"/>
  <c r="O1260" i="1"/>
  <c r="N1260" i="1"/>
  <c r="L1260" i="1"/>
  <c r="K1260" i="1"/>
  <c r="J1260" i="1"/>
  <c r="I1260" i="1"/>
  <c r="F1260" i="1"/>
  <c r="C1260" i="1"/>
  <c r="B1260" i="1"/>
  <c r="A1260" i="1"/>
  <c r="O1257" i="1"/>
  <c r="N1257" i="1"/>
  <c r="L1257" i="1"/>
  <c r="K1257" i="1"/>
  <c r="J1257" i="1"/>
  <c r="I1257" i="1"/>
  <c r="F1257" i="1"/>
  <c r="C1257" i="1"/>
  <c r="B1257" i="1"/>
  <c r="A1257" i="1"/>
  <c r="O1254" i="1"/>
  <c r="N1254" i="1"/>
  <c r="L1254" i="1"/>
  <c r="K1254" i="1"/>
  <c r="J1254" i="1"/>
  <c r="I1254" i="1"/>
  <c r="F1254" i="1"/>
  <c r="C1254" i="1"/>
  <c r="B1254" i="1"/>
  <c r="A1254" i="1"/>
  <c r="O1251" i="1"/>
  <c r="N1251" i="1"/>
  <c r="L1251" i="1"/>
  <c r="K1251" i="1"/>
  <c r="J1251" i="1"/>
  <c r="I1251" i="1"/>
  <c r="F1251" i="1"/>
  <c r="C1251" i="1"/>
  <c r="B1251" i="1"/>
  <c r="A1251" i="1"/>
  <c r="O1248" i="1"/>
  <c r="N1248" i="1"/>
  <c r="L1248" i="1"/>
  <c r="K1248" i="1"/>
  <c r="J1248" i="1"/>
  <c r="I1248" i="1"/>
  <c r="F1248" i="1"/>
  <c r="C1248" i="1"/>
  <c r="B1248" i="1"/>
  <c r="A1248" i="1"/>
  <c r="O1245" i="1"/>
  <c r="N1245" i="1"/>
  <c r="L1245" i="1"/>
  <c r="K1245" i="1"/>
  <c r="J1245" i="1"/>
  <c r="I1245" i="1"/>
  <c r="F1245" i="1"/>
  <c r="C1245" i="1"/>
  <c r="B1245" i="1"/>
  <c r="A1245" i="1"/>
  <c r="O1242" i="1"/>
  <c r="N1242" i="1"/>
  <c r="L1242" i="1"/>
  <c r="K1242" i="1"/>
  <c r="J1242" i="1"/>
  <c r="I1242" i="1"/>
  <c r="F1242" i="1"/>
  <c r="C1242" i="1"/>
  <c r="B1242" i="1"/>
  <c r="A1242" i="1"/>
  <c r="O1239" i="1"/>
  <c r="N1239" i="1"/>
  <c r="L1239" i="1"/>
  <c r="K1239" i="1"/>
  <c r="J1239" i="1"/>
  <c r="I1239" i="1"/>
  <c r="F1239" i="1"/>
  <c r="C1239" i="1"/>
  <c r="B1239" i="1"/>
  <c r="A1239" i="1"/>
  <c r="O1236" i="1"/>
  <c r="N1236" i="1"/>
  <c r="L1236" i="1"/>
  <c r="K1236" i="1"/>
  <c r="J1236" i="1"/>
  <c r="I1236" i="1"/>
  <c r="F1236" i="1"/>
  <c r="C1236" i="1"/>
  <c r="B1236" i="1"/>
  <c r="A1236" i="1"/>
  <c r="O1233" i="1"/>
  <c r="N1233" i="1"/>
  <c r="L1233" i="1"/>
  <c r="K1233" i="1"/>
  <c r="J1233" i="1"/>
  <c r="I1233" i="1"/>
  <c r="F1233" i="1"/>
  <c r="C1233" i="1"/>
  <c r="B1233" i="1"/>
  <c r="A1233" i="1"/>
  <c r="O1230" i="1"/>
  <c r="N1230" i="1"/>
  <c r="L1230" i="1"/>
  <c r="K1230" i="1"/>
  <c r="J1230" i="1"/>
  <c r="I1230" i="1"/>
  <c r="F1230" i="1"/>
  <c r="C1230" i="1"/>
  <c r="B1230" i="1"/>
  <c r="A1230" i="1"/>
  <c r="O1227" i="1"/>
  <c r="N1227" i="1"/>
  <c r="L1227" i="1"/>
  <c r="K1227" i="1"/>
  <c r="J1227" i="1"/>
  <c r="I1227" i="1"/>
  <c r="F1227" i="1"/>
  <c r="C1227" i="1"/>
  <c r="B1227" i="1"/>
  <c r="A1227" i="1"/>
  <c r="O1224" i="1"/>
  <c r="N1224" i="1"/>
  <c r="L1224" i="1"/>
  <c r="K1224" i="1"/>
  <c r="J1224" i="1"/>
  <c r="I1224" i="1"/>
  <c r="F1224" i="1"/>
  <c r="C1224" i="1"/>
  <c r="B1224" i="1"/>
  <c r="A1224" i="1"/>
  <c r="O1221" i="1"/>
  <c r="N1221" i="1"/>
  <c r="L1221" i="1"/>
  <c r="K1221" i="1"/>
  <c r="J1221" i="1"/>
  <c r="I1221" i="1"/>
  <c r="F1221" i="1"/>
  <c r="C1221" i="1"/>
  <c r="B1221" i="1"/>
  <c r="A1221" i="1"/>
  <c r="O1218" i="1"/>
  <c r="N1218" i="1"/>
  <c r="L1218" i="1"/>
  <c r="K1218" i="1"/>
  <c r="J1218" i="1"/>
  <c r="I1218" i="1"/>
  <c r="F1218" i="1"/>
  <c r="C1218" i="1"/>
  <c r="B1218" i="1"/>
  <c r="A1218" i="1"/>
  <c r="O1215" i="1"/>
  <c r="N1215" i="1"/>
  <c r="L1215" i="1"/>
  <c r="K1215" i="1"/>
  <c r="J1215" i="1"/>
  <c r="I1215" i="1"/>
  <c r="F1215" i="1"/>
  <c r="C1215" i="1"/>
  <c r="B1215" i="1"/>
  <c r="A1215" i="1"/>
  <c r="O1212" i="1"/>
  <c r="N1212" i="1"/>
  <c r="L1212" i="1"/>
  <c r="K1212" i="1"/>
  <c r="J1212" i="1"/>
  <c r="I1212" i="1"/>
  <c r="F1212" i="1"/>
  <c r="C1212" i="1"/>
  <c r="B1212" i="1"/>
  <c r="A1212" i="1"/>
  <c r="O1209" i="1"/>
  <c r="N1209" i="1"/>
  <c r="L1209" i="1"/>
  <c r="K1209" i="1"/>
  <c r="J1209" i="1"/>
  <c r="I1209" i="1"/>
  <c r="F1209" i="1"/>
  <c r="C1209" i="1"/>
  <c r="B1209" i="1"/>
  <c r="A1209" i="1"/>
  <c r="O1206" i="1"/>
  <c r="N1206" i="1"/>
  <c r="L1206" i="1"/>
  <c r="K1206" i="1"/>
  <c r="J1206" i="1"/>
  <c r="I1206" i="1"/>
  <c r="F1206" i="1"/>
  <c r="C1206" i="1"/>
  <c r="B1206" i="1"/>
  <c r="A1206" i="1"/>
  <c r="O1203" i="1"/>
  <c r="N1203" i="1"/>
  <c r="L1203" i="1"/>
  <c r="K1203" i="1"/>
  <c r="J1203" i="1"/>
  <c r="I1203" i="1"/>
  <c r="F1203" i="1"/>
  <c r="C1203" i="1"/>
  <c r="B1203" i="1"/>
  <c r="A1203" i="1"/>
  <c r="O1200" i="1"/>
  <c r="N1200" i="1"/>
  <c r="L1200" i="1"/>
  <c r="K1200" i="1"/>
  <c r="J1200" i="1"/>
  <c r="I1200" i="1"/>
  <c r="F1200" i="1"/>
  <c r="C1200" i="1"/>
  <c r="B1200" i="1"/>
  <c r="A1200" i="1"/>
  <c r="O1197" i="1"/>
  <c r="N1197" i="1"/>
  <c r="L1197" i="1"/>
  <c r="K1197" i="1"/>
  <c r="J1197" i="1"/>
  <c r="I1197" i="1"/>
  <c r="F1197" i="1"/>
  <c r="C1197" i="1"/>
  <c r="B1197" i="1"/>
  <c r="A1197" i="1"/>
  <c r="O1194" i="1"/>
  <c r="N1194" i="1"/>
  <c r="L1194" i="1"/>
  <c r="K1194" i="1"/>
  <c r="J1194" i="1"/>
  <c r="I1194" i="1"/>
  <c r="F1194" i="1"/>
  <c r="C1194" i="1"/>
  <c r="B1194" i="1"/>
  <c r="A1194" i="1"/>
  <c r="O1191" i="1"/>
  <c r="N1191" i="1"/>
  <c r="L1191" i="1"/>
  <c r="K1191" i="1"/>
  <c r="J1191" i="1"/>
  <c r="I1191" i="1"/>
  <c r="F1191" i="1"/>
  <c r="C1191" i="1"/>
  <c r="B1191" i="1"/>
  <c r="A1191" i="1"/>
  <c r="O1188" i="1"/>
  <c r="N1188" i="1"/>
  <c r="L1188" i="1"/>
  <c r="K1188" i="1"/>
  <c r="J1188" i="1"/>
  <c r="I1188" i="1"/>
  <c r="F1188" i="1"/>
  <c r="C1188" i="1"/>
  <c r="B1188" i="1"/>
  <c r="A1188" i="1"/>
  <c r="O1185" i="1"/>
  <c r="N1185" i="1"/>
  <c r="L1185" i="1"/>
  <c r="K1185" i="1"/>
  <c r="J1185" i="1"/>
  <c r="I1185" i="1"/>
  <c r="F1185" i="1"/>
  <c r="C1185" i="1"/>
  <c r="B1185" i="1"/>
  <c r="A1185" i="1"/>
  <c r="O1182" i="1"/>
  <c r="N1182" i="1"/>
  <c r="L1182" i="1"/>
  <c r="K1182" i="1"/>
  <c r="J1182" i="1"/>
  <c r="I1182" i="1"/>
  <c r="F1182" i="1"/>
  <c r="C1182" i="1"/>
  <c r="B1182" i="1"/>
  <c r="A1182" i="1"/>
  <c r="O1179" i="1"/>
  <c r="N1179" i="1"/>
  <c r="L1179" i="1"/>
  <c r="K1179" i="1"/>
  <c r="J1179" i="1"/>
  <c r="I1179" i="1"/>
  <c r="F1179" i="1"/>
  <c r="C1179" i="1"/>
  <c r="B1179" i="1"/>
  <c r="A1179" i="1"/>
  <c r="O1176" i="1"/>
  <c r="N1176" i="1"/>
  <c r="L1176" i="1"/>
  <c r="K1176" i="1"/>
  <c r="J1176" i="1"/>
  <c r="I1176" i="1"/>
  <c r="F1176" i="1"/>
  <c r="C1176" i="1"/>
  <c r="B1176" i="1"/>
  <c r="A1176" i="1"/>
  <c r="O1173" i="1"/>
  <c r="N1173" i="1"/>
  <c r="L1173" i="1"/>
  <c r="K1173" i="1"/>
  <c r="J1173" i="1"/>
  <c r="I1173" i="1"/>
  <c r="F1173" i="1"/>
  <c r="C1173" i="1"/>
  <c r="B1173" i="1"/>
  <c r="A1173" i="1"/>
  <c r="O1170" i="1"/>
  <c r="N1170" i="1"/>
  <c r="L1170" i="1"/>
  <c r="K1170" i="1"/>
  <c r="J1170" i="1"/>
  <c r="I1170" i="1"/>
  <c r="F1170" i="1"/>
  <c r="C1170" i="1"/>
  <c r="B1170" i="1"/>
  <c r="A1170" i="1"/>
  <c r="O1167" i="1"/>
  <c r="N1167" i="1"/>
  <c r="L1167" i="1"/>
  <c r="K1167" i="1"/>
  <c r="J1167" i="1"/>
  <c r="I1167" i="1"/>
  <c r="F1167" i="1"/>
  <c r="C1167" i="1"/>
  <c r="B1167" i="1"/>
  <c r="A1167" i="1"/>
  <c r="O1164" i="1"/>
  <c r="N1164" i="1"/>
  <c r="L1164" i="1"/>
  <c r="K1164" i="1"/>
  <c r="J1164" i="1"/>
  <c r="I1164" i="1"/>
  <c r="F1164" i="1"/>
  <c r="C1164" i="1"/>
  <c r="B1164" i="1"/>
  <c r="A1164" i="1"/>
  <c r="O1161" i="1"/>
  <c r="N1161" i="1"/>
  <c r="L1161" i="1"/>
  <c r="K1161" i="1"/>
  <c r="J1161" i="1"/>
  <c r="I1161" i="1"/>
  <c r="F1161" i="1"/>
  <c r="C1161" i="1"/>
  <c r="B1161" i="1"/>
  <c r="A1161" i="1"/>
  <c r="O1158" i="1"/>
  <c r="N1158" i="1"/>
  <c r="L1158" i="1"/>
  <c r="K1158" i="1"/>
  <c r="J1158" i="1"/>
  <c r="I1158" i="1"/>
  <c r="F1158" i="1"/>
  <c r="C1158" i="1"/>
  <c r="B1158" i="1"/>
  <c r="A1158" i="1"/>
  <c r="O1155" i="1"/>
  <c r="N1155" i="1"/>
  <c r="L1155" i="1"/>
  <c r="K1155" i="1"/>
  <c r="J1155" i="1"/>
  <c r="I1155" i="1"/>
  <c r="F1155" i="1"/>
  <c r="C1155" i="1"/>
  <c r="B1155" i="1"/>
  <c r="A1155" i="1"/>
  <c r="O1152" i="1"/>
  <c r="N1152" i="1"/>
  <c r="L1152" i="1"/>
  <c r="K1152" i="1"/>
  <c r="J1152" i="1"/>
  <c r="I1152" i="1"/>
  <c r="F1152" i="1"/>
  <c r="C1152" i="1"/>
  <c r="B1152" i="1"/>
  <c r="A1152" i="1"/>
  <c r="O1149" i="1"/>
  <c r="N1149" i="1"/>
  <c r="L1149" i="1"/>
  <c r="K1149" i="1"/>
  <c r="J1149" i="1"/>
  <c r="I1149" i="1"/>
  <c r="F1149" i="1"/>
  <c r="C1149" i="1"/>
  <c r="B1149" i="1"/>
  <c r="A1149" i="1"/>
  <c r="O1146" i="1"/>
  <c r="N1146" i="1"/>
  <c r="L1146" i="1"/>
  <c r="K1146" i="1"/>
  <c r="J1146" i="1"/>
  <c r="I1146" i="1"/>
  <c r="F1146" i="1"/>
  <c r="C1146" i="1"/>
  <c r="B1146" i="1"/>
  <c r="A1146" i="1"/>
  <c r="O1143" i="1"/>
  <c r="N1143" i="1"/>
  <c r="L1143" i="1"/>
  <c r="K1143" i="1"/>
  <c r="J1143" i="1"/>
  <c r="I1143" i="1"/>
  <c r="F1143" i="1"/>
  <c r="C1143" i="1"/>
  <c r="B1143" i="1"/>
  <c r="A1143" i="1"/>
  <c r="O1140" i="1"/>
  <c r="N1140" i="1"/>
  <c r="L1140" i="1"/>
  <c r="K1140" i="1"/>
  <c r="J1140" i="1"/>
  <c r="I1140" i="1"/>
  <c r="F1140" i="1"/>
  <c r="C1140" i="1"/>
  <c r="B1140" i="1"/>
  <c r="A1140" i="1"/>
  <c r="O1137" i="1"/>
  <c r="N1137" i="1"/>
  <c r="L1137" i="1"/>
  <c r="K1137" i="1"/>
  <c r="J1137" i="1"/>
  <c r="I1137" i="1"/>
  <c r="F1137" i="1"/>
  <c r="C1137" i="1"/>
  <c r="B1137" i="1"/>
  <c r="A1137" i="1"/>
  <c r="O1134" i="1"/>
  <c r="N1134" i="1"/>
  <c r="L1134" i="1"/>
  <c r="K1134" i="1"/>
  <c r="J1134" i="1"/>
  <c r="I1134" i="1"/>
  <c r="F1134" i="1"/>
  <c r="C1134" i="1"/>
  <c r="B1134" i="1"/>
  <c r="A1134" i="1"/>
  <c r="O1131" i="1"/>
  <c r="N1131" i="1"/>
  <c r="L1131" i="1"/>
  <c r="K1131" i="1"/>
  <c r="J1131" i="1"/>
  <c r="I1131" i="1"/>
  <c r="F1131" i="1"/>
  <c r="C1131" i="1"/>
  <c r="B1131" i="1"/>
  <c r="A1131" i="1"/>
  <c r="O1128" i="1"/>
  <c r="N1128" i="1"/>
  <c r="L1128" i="1"/>
  <c r="K1128" i="1"/>
  <c r="J1128" i="1"/>
  <c r="I1128" i="1"/>
  <c r="F1128" i="1"/>
  <c r="C1128" i="1"/>
  <c r="B1128" i="1"/>
  <c r="A1128" i="1"/>
  <c r="O1125" i="1"/>
  <c r="N1125" i="1"/>
  <c r="L1125" i="1"/>
  <c r="K1125" i="1"/>
  <c r="J1125" i="1"/>
  <c r="I1125" i="1"/>
  <c r="F1125" i="1"/>
  <c r="C1125" i="1"/>
  <c r="B1125" i="1"/>
  <c r="A1125" i="1"/>
  <c r="O1122" i="1"/>
  <c r="N1122" i="1"/>
  <c r="L1122" i="1"/>
  <c r="K1122" i="1"/>
  <c r="J1122" i="1"/>
  <c r="I1122" i="1"/>
  <c r="F1122" i="1"/>
  <c r="C1122" i="1"/>
  <c r="B1122" i="1"/>
  <c r="A1122" i="1"/>
  <c r="O1116" i="1"/>
  <c r="N1116" i="1"/>
  <c r="L1116" i="1"/>
  <c r="K1116" i="1"/>
  <c r="J1116" i="1"/>
  <c r="I1116" i="1"/>
  <c r="F1116" i="1"/>
  <c r="C1116" i="1"/>
  <c r="B1116" i="1"/>
  <c r="A1116" i="1"/>
  <c r="O1119" i="1"/>
  <c r="N1119" i="1"/>
  <c r="L1119" i="1"/>
  <c r="K1119" i="1"/>
  <c r="J1119" i="1"/>
  <c r="I1119" i="1"/>
  <c r="F1119" i="1"/>
  <c r="C1119" i="1"/>
  <c r="B1119" i="1"/>
  <c r="A1119" i="1"/>
  <c r="O1113" i="1"/>
  <c r="N1113" i="1"/>
  <c r="L1113" i="1"/>
  <c r="K1113" i="1"/>
  <c r="J1113" i="1"/>
  <c r="I1113" i="1"/>
  <c r="F1113" i="1"/>
  <c r="C1113" i="1"/>
  <c r="B1113" i="1"/>
  <c r="A1113" i="1"/>
  <c r="O1107" i="1"/>
  <c r="N1107" i="1"/>
  <c r="L1107" i="1"/>
  <c r="K1107" i="1"/>
  <c r="J1107" i="1"/>
  <c r="I1107" i="1"/>
  <c r="F1107" i="1"/>
  <c r="C1107" i="1"/>
  <c r="B1107" i="1"/>
  <c r="A1107" i="1"/>
  <c r="O1110" i="1"/>
  <c r="N1110" i="1"/>
  <c r="L1110" i="1"/>
  <c r="K1110" i="1"/>
  <c r="J1110" i="1"/>
  <c r="I1110" i="1"/>
  <c r="F1110" i="1"/>
  <c r="C1110" i="1"/>
  <c r="B1110" i="1"/>
  <c r="A1110" i="1"/>
  <c r="O1104" i="1"/>
  <c r="N1104" i="1"/>
  <c r="L1104" i="1"/>
  <c r="K1104" i="1"/>
  <c r="J1104" i="1"/>
  <c r="I1104" i="1"/>
  <c r="F1104" i="1"/>
  <c r="C1104" i="1"/>
  <c r="B1104" i="1"/>
  <c r="A1104" i="1"/>
  <c r="O1098" i="1"/>
  <c r="N1098" i="1"/>
  <c r="L1098" i="1"/>
  <c r="K1098" i="1"/>
  <c r="J1098" i="1"/>
  <c r="I1098" i="1"/>
  <c r="F1098" i="1"/>
  <c r="C1098" i="1"/>
  <c r="B1098" i="1"/>
  <c r="A1098" i="1"/>
  <c r="O1095" i="1"/>
  <c r="N1095" i="1"/>
  <c r="L1095" i="1"/>
  <c r="K1095" i="1"/>
  <c r="J1095" i="1"/>
  <c r="I1095" i="1"/>
  <c r="F1095" i="1"/>
  <c r="C1095" i="1"/>
  <c r="B1095" i="1"/>
  <c r="A1095" i="1"/>
  <c r="O1092" i="1"/>
  <c r="N1092" i="1"/>
  <c r="L1092" i="1"/>
  <c r="K1092" i="1"/>
  <c r="J1092" i="1"/>
  <c r="I1092" i="1"/>
  <c r="F1092" i="1"/>
  <c r="C1092" i="1"/>
  <c r="B1092" i="1"/>
  <c r="A1092" i="1"/>
  <c r="O1089" i="1"/>
  <c r="N1089" i="1"/>
  <c r="L1089" i="1"/>
  <c r="K1089" i="1"/>
  <c r="J1089" i="1"/>
  <c r="I1089" i="1"/>
  <c r="F1089" i="1"/>
  <c r="C1089" i="1"/>
  <c r="B1089" i="1"/>
  <c r="A1089" i="1"/>
  <c r="O1086" i="1"/>
  <c r="N1086" i="1"/>
  <c r="L1086" i="1"/>
  <c r="K1086" i="1"/>
  <c r="J1086" i="1"/>
  <c r="I1086" i="1"/>
  <c r="F1086" i="1"/>
  <c r="C1086" i="1"/>
  <c r="B1086" i="1"/>
  <c r="A1086" i="1"/>
  <c r="O1083" i="1"/>
  <c r="N1083" i="1"/>
  <c r="L1083" i="1"/>
  <c r="K1083" i="1"/>
  <c r="J1083" i="1"/>
  <c r="I1083" i="1"/>
  <c r="F1083" i="1"/>
  <c r="C1083" i="1"/>
  <c r="B1083" i="1"/>
  <c r="A1083" i="1"/>
  <c r="O1080" i="1"/>
  <c r="N1080" i="1"/>
  <c r="L1080" i="1"/>
  <c r="K1080" i="1"/>
  <c r="J1080" i="1"/>
  <c r="I1080" i="1"/>
  <c r="F1080" i="1"/>
  <c r="C1080" i="1"/>
  <c r="B1080" i="1"/>
  <c r="A1080" i="1"/>
  <c r="O1077" i="1"/>
  <c r="N1077" i="1"/>
  <c r="L1077" i="1"/>
  <c r="K1077" i="1"/>
  <c r="J1077" i="1"/>
  <c r="I1077" i="1"/>
  <c r="F1077" i="1"/>
  <c r="C1077" i="1"/>
  <c r="B1077" i="1"/>
  <c r="A1077" i="1"/>
  <c r="O1074" i="1"/>
  <c r="N1074" i="1"/>
  <c r="L1074" i="1"/>
  <c r="K1074" i="1"/>
  <c r="J1074" i="1"/>
  <c r="I1074" i="1"/>
  <c r="F1074" i="1"/>
  <c r="C1074" i="1"/>
  <c r="B1074" i="1"/>
  <c r="A1074" i="1"/>
  <c r="O1071" i="1"/>
  <c r="N1071" i="1"/>
  <c r="L1071" i="1"/>
  <c r="K1071" i="1"/>
  <c r="J1071" i="1"/>
  <c r="I1071" i="1"/>
  <c r="F1071" i="1"/>
  <c r="C1071" i="1"/>
  <c r="B1071" i="1"/>
  <c r="A1071" i="1"/>
  <c r="O1068" i="1"/>
  <c r="N1068" i="1"/>
  <c r="L1068" i="1"/>
  <c r="K1068" i="1"/>
  <c r="J1068" i="1"/>
  <c r="I1068" i="1"/>
  <c r="F1068" i="1"/>
  <c r="C1068" i="1"/>
  <c r="B1068" i="1"/>
  <c r="A1068" i="1"/>
  <c r="O1065" i="1"/>
  <c r="N1065" i="1"/>
  <c r="L1065" i="1"/>
  <c r="K1065" i="1"/>
  <c r="J1065" i="1"/>
  <c r="I1065" i="1"/>
  <c r="F1065" i="1"/>
  <c r="C1065" i="1"/>
  <c r="B1065" i="1"/>
  <c r="A1065" i="1"/>
  <c r="O1062" i="1"/>
  <c r="N1062" i="1"/>
  <c r="L1062" i="1"/>
  <c r="K1062" i="1"/>
  <c r="J1062" i="1"/>
  <c r="I1062" i="1"/>
  <c r="F1062" i="1"/>
  <c r="C1062" i="1"/>
  <c r="B1062" i="1"/>
  <c r="A1062" i="1"/>
  <c r="O1059" i="1"/>
  <c r="N1059" i="1"/>
  <c r="L1059" i="1"/>
  <c r="K1059" i="1"/>
  <c r="J1059" i="1"/>
  <c r="I1059" i="1"/>
  <c r="F1059" i="1"/>
  <c r="C1059" i="1"/>
  <c r="B1059" i="1"/>
  <c r="A1059" i="1"/>
  <c r="O1056" i="1"/>
  <c r="N1056" i="1"/>
  <c r="L1056" i="1"/>
  <c r="K1056" i="1"/>
  <c r="J1056" i="1"/>
  <c r="I1056" i="1"/>
  <c r="F1056" i="1"/>
  <c r="C1056" i="1"/>
  <c r="B1056" i="1"/>
  <c r="A1056" i="1"/>
  <c r="O1053" i="1"/>
  <c r="N1053" i="1"/>
  <c r="L1053" i="1"/>
  <c r="K1053" i="1"/>
  <c r="J1053" i="1"/>
  <c r="I1053" i="1"/>
  <c r="F1053" i="1"/>
  <c r="C1053" i="1"/>
  <c r="B1053" i="1"/>
  <c r="A1053" i="1"/>
  <c r="O1050" i="1"/>
  <c r="N1050" i="1"/>
  <c r="L1050" i="1"/>
  <c r="K1050" i="1"/>
  <c r="J1050" i="1"/>
  <c r="I1050" i="1"/>
  <c r="F1050" i="1"/>
  <c r="C1050" i="1"/>
  <c r="B1050" i="1"/>
  <c r="A1050" i="1"/>
  <c r="O1041" i="1"/>
  <c r="N1041" i="1"/>
  <c r="L1041" i="1"/>
  <c r="K1041" i="1"/>
  <c r="J1041" i="1"/>
  <c r="I1041" i="1"/>
  <c r="F1041" i="1"/>
  <c r="C1041" i="1"/>
  <c r="B1041" i="1"/>
  <c r="A1041" i="1"/>
  <c r="O1038" i="1"/>
  <c r="N1038" i="1"/>
  <c r="L1038" i="1"/>
  <c r="K1038" i="1"/>
  <c r="J1038" i="1"/>
  <c r="I1038" i="1"/>
  <c r="F1038" i="1"/>
  <c r="C1038" i="1"/>
  <c r="B1038" i="1"/>
  <c r="A1038" i="1"/>
  <c r="O1035" i="1"/>
  <c r="N1035" i="1"/>
  <c r="L1035" i="1"/>
  <c r="K1035" i="1"/>
  <c r="J1035" i="1"/>
  <c r="I1035" i="1"/>
  <c r="F1035" i="1"/>
  <c r="C1035" i="1"/>
  <c r="B1035" i="1"/>
  <c r="A1035" i="1"/>
  <c r="O1032" i="1"/>
  <c r="N1032" i="1"/>
  <c r="L1032" i="1"/>
  <c r="K1032" i="1"/>
  <c r="J1032" i="1"/>
  <c r="I1032" i="1"/>
  <c r="F1032" i="1"/>
  <c r="C1032" i="1"/>
  <c r="B1032" i="1"/>
  <c r="A1032" i="1"/>
  <c r="O1029" i="1"/>
  <c r="N1029" i="1"/>
  <c r="L1029" i="1"/>
  <c r="K1029" i="1"/>
  <c r="J1029" i="1"/>
  <c r="I1029" i="1"/>
  <c r="F1029" i="1"/>
  <c r="C1029" i="1"/>
  <c r="B1029" i="1"/>
  <c r="A1029" i="1"/>
  <c r="O1026" i="1"/>
  <c r="N1026" i="1"/>
  <c r="L1026" i="1"/>
  <c r="K1026" i="1"/>
  <c r="J1026" i="1"/>
  <c r="I1026" i="1"/>
  <c r="F1026" i="1"/>
  <c r="C1026" i="1"/>
  <c r="B1026" i="1"/>
  <c r="A1026" i="1"/>
  <c r="O1023" i="1"/>
  <c r="N1023" i="1"/>
  <c r="L1023" i="1"/>
  <c r="K1023" i="1"/>
  <c r="J1023" i="1"/>
  <c r="I1023" i="1"/>
  <c r="F1023" i="1"/>
  <c r="C1023" i="1"/>
  <c r="B1023" i="1"/>
  <c r="A1023" i="1"/>
  <c r="O1020" i="1"/>
  <c r="N1020" i="1"/>
  <c r="L1020" i="1"/>
  <c r="K1020" i="1"/>
  <c r="J1020" i="1"/>
  <c r="I1020" i="1"/>
  <c r="F1020" i="1"/>
  <c r="C1020" i="1"/>
  <c r="B1020" i="1"/>
  <c r="A1020" i="1"/>
  <c r="O1017" i="1"/>
  <c r="N1017" i="1"/>
  <c r="L1017" i="1"/>
  <c r="K1017" i="1"/>
  <c r="J1017" i="1"/>
  <c r="I1017" i="1"/>
  <c r="F1017" i="1"/>
  <c r="C1017" i="1"/>
  <c r="B1017" i="1"/>
  <c r="A1017" i="1"/>
  <c r="O1014" i="1"/>
  <c r="N1014" i="1"/>
  <c r="L1014" i="1"/>
  <c r="K1014" i="1"/>
  <c r="J1014" i="1"/>
  <c r="I1014" i="1"/>
  <c r="F1014" i="1"/>
  <c r="C1014" i="1"/>
  <c r="B1014" i="1"/>
  <c r="A1014" i="1"/>
  <c r="O1011" i="1"/>
  <c r="N1011" i="1"/>
  <c r="L1011" i="1"/>
  <c r="K1011" i="1"/>
  <c r="J1011" i="1"/>
  <c r="I1011" i="1"/>
  <c r="F1011" i="1"/>
  <c r="C1011" i="1"/>
  <c r="B1011" i="1"/>
  <c r="A1011" i="1"/>
  <c r="O1008" i="1"/>
  <c r="N1008" i="1"/>
  <c r="L1008" i="1"/>
  <c r="K1008" i="1"/>
  <c r="J1008" i="1"/>
  <c r="I1008" i="1"/>
  <c r="F1008" i="1"/>
  <c r="C1008" i="1"/>
  <c r="B1008" i="1"/>
  <c r="A1008" i="1"/>
  <c r="O1005" i="1"/>
  <c r="N1005" i="1"/>
  <c r="L1005" i="1"/>
  <c r="K1005" i="1"/>
  <c r="J1005" i="1"/>
  <c r="I1005" i="1"/>
  <c r="F1005" i="1"/>
  <c r="C1005" i="1"/>
  <c r="B1005" i="1"/>
  <c r="A1005" i="1"/>
  <c r="O1002" i="1"/>
  <c r="N1002" i="1"/>
  <c r="L1002" i="1"/>
  <c r="K1002" i="1"/>
  <c r="J1002" i="1"/>
  <c r="I1002" i="1"/>
  <c r="F1002" i="1"/>
  <c r="C1002" i="1"/>
  <c r="B1002" i="1"/>
  <c r="A1002" i="1"/>
  <c r="O999" i="1"/>
  <c r="N999" i="1"/>
  <c r="L999" i="1"/>
  <c r="K999" i="1"/>
  <c r="J999" i="1"/>
  <c r="I999" i="1"/>
  <c r="F999" i="1"/>
  <c r="C999" i="1"/>
  <c r="B999" i="1"/>
  <c r="A999" i="1"/>
  <c r="O996" i="1"/>
  <c r="N996" i="1"/>
  <c r="L996" i="1"/>
  <c r="K996" i="1"/>
  <c r="J996" i="1"/>
  <c r="I996" i="1"/>
  <c r="F996" i="1"/>
  <c r="C996" i="1"/>
  <c r="B996" i="1"/>
  <c r="A996" i="1"/>
  <c r="O993" i="1"/>
  <c r="N993" i="1"/>
  <c r="L993" i="1"/>
  <c r="K993" i="1"/>
  <c r="J993" i="1"/>
  <c r="I993" i="1"/>
  <c r="F993" i="1"/>
  <c r="C993" i="1"/>
  <c r="B993" i="1"/>
  <c r="A993" i="1"/>
  <c r="O990" i="1"/>
  <c r="N990" i="1"/>
  <c r="L990" i="1"/>
  <c r="K990" i="1"/>
  <c r="J990" i="1"/>
  <c r="I990" i="1"/>
  <c r="F990" i="1"/>
  <c r="C990" i="1"/>
  <c r="B990" i="1"/>
  <c r="A990" i="1"/>
  <c r="O987" i="1"/>
  <c r="N987" i="1"/>
  <c r="L987" i="1"/>
  <c r="K987" i="1"/>
  <c r="J987" i="1"/>
  <c r="I987" i="1"/>
  <c r="F987" i="1"/>
  <c r="C987" i="1"/>
  <c r="B987" i="1"/>
  <c r="A987" i="1"/>
  <c r="O984" i="1"/>
  <c r="N984" i="1"/>
  <c r="L984" i="1"/>
  <c r="K984" i="1"/>
  <c r="J984" i="1"/>
  <c r="I984" i="1"/>
  <c r="F984" i="1"/>
  <c r="C984" i="1"/>
  <c r="B984" i="1"/>
  <c r="A984" i="1"/>
  <c r="O981" i="1"/>
  <c r="N981" i="1"/>
  <c r="L981" i="1"/>
  <c r="K981" i="1"/>
  <c r="J981" i="1"/>
  <c r="I981" i="1"/>
  <c r="F981" i="1"/>
  <c r="C981" i="1"/>
  <c r="B981" i="1"/>
  <c r="A981" i="1"/>
  <c r="O978" i="1"/>
  <c r="N978" i="1"/>
  <c r="L978" i="1"/>
  <c r="K978" i="1"/>
  <c r="J978" i="1"/>
  <c r="I978" i="1"/>
  <c r="F978" i="1"/>
  <c r="C978" i="1"/>
  <c r="B978" i="1"/>
  <c r="A978" i="1"/>
  <c r="O975" i="1"/>
  <c r="N975" i="1"/>
  <c r="L975" i="1"/>
  <c r="K975" i="1"/>
  <c r="J975" i="1"/>
  <c r="I975" i="1"/>
  <c r="F975" i="1"/>
  <c r="C975" i="1"/>
  <c r="B975" i="1"/>
  <c r="A975" i="1"/>
  <c r="O972" i="1"/>
  <c r="N972" i="1"/>
  <c r="L972" i="1"/>
  <c r="K972" i="1"/>
  <c r="J972" i="1"/>
  <c r="I972" i="1"/>
  <c r="F972" i="1"/>
  <c r="C972" i="1"/>
  <c r="B972" i="1"/>
  <c r="A972" i="1"/>
  <c r="O969" i="1"/>
  <c r="N969" i="1"/>
  <c r="L969" i="1"/>
  <c r="K969" i="1"/>
  <c r="J969" i="1"/>
  <c r="I969" i="1"/>
  <c r="F969" i="1"/>
  <c r="C969" i="1"/>
  <c r="B969" i="1"/>
  <c r="A969" i="1"/>
  <c r="O966" i="1"/>
  <c r="N966" i="1"/>
  <c r="L966" i="1"/>
  <c r="K966" i="1"/>
  <c r="J966" i="1"/>
  <c r="I966" i="1"/>
  <c r="F966" i="1"/>
  <c r="C966" i="1"/>
  <c r="B966" i="1"/>
  <c r="A966" i="1"/>
  <c r="O963" i="1"/>
  <c r="N963" i="1"/>
  <c r="L963" i="1"/>
  <c r="K963" i="1"/>
  <c r="J963" i="1"/>
  <c r="I963" i="1"/>
  <c r="F963" i="1"/>
  <c r="C963" i="1"/>
  <c r="B963" i="1"/>
  <c r="A963" i="1"/>
  <c r="O960" i="1"/>
  <c r="N960" i="1"/>
  <c r="L960" i="1"/>
  <c r="K960" i="1"/>
  <c r="J960" i="1"/>
  <c r="I960" i="1"/>
  <c r="F960" i="1"/>
  <c r="C960" i="1"/>
  <c r="B960" i="1"/>
  <c r="A960" i="1"/>
  <c r="O957" i="1"/>
  <c r="N957" i="1"/>
  <c r="L957" i="1"/>
  <c r="K957" i="1"/>
  <c r="J957" i="1"/>
  <c r="I957" i="1"/>
  <c r="F957" i="1"/>
  <c r="C957" i="1"/>
  <c r="B957" i="1"/>
  <c r="A957" i="1"/>
  <c r="O954" i="1"/>
  <c r="N954" i="1"/>
  <c r="L954" i="1"/>
  <c r="K954" i="1"/>
  <c r="J954" i="1"/>
  <c r="I954" i="1"/>
  <c r="F954" i="1"/>
  <c r="C954" i="1"/>
  <c r="B954" i="1"/>
  <c r="A954" i="1"/>
  <c r="O951" i="1"/>
  <c r="N951" i="1"/>
  <c r="L951" i="1"/>
  <c r="K951" i="1"/>
  <c r="J951" i="1"/>
  <c r="I951" i="1"/>
  <c r="F951" i="1"/>
  <c r="C951" i="1"/>
  <c r="B951" i="1"/>
  <c r="A951" i="1"/>
  <c r="O948" i="1"/>
  <c r="N948" i="1"/>
  <c r="L948" i="1"/>
  <c r="K948" i="1"/>
  <c r="J948" i="1"/>
  <c r="I948" i="1"/>
  <c r="F948" i="1"/>
  <c r="C948" i="1"/>
  <c r="B948" i="1"/>
  <c r="A948" i="1"/>
  <c r="O945" i="1"/>
  <c r="N945" i="1"/>
  <c r="L945" i="1"/>
  <c r="K945" i="1"/>
  <c r="J945" i="1"/>
  <c r="I945" i="1"/>
  <c r="F945" i="1"/>
  <c r="C945" i="1"/>
  <c r="B945" i="1"/>
  <c r="A945" i="1"/>
  <c r="O942" i="1"/>
  <c r="N942" i="1"/>
  <c r="L942" i="1"/>
  <c r="K942" i="1"/>
  <c r="J942" i="1"/>
  <c r="I942" i="1"/>
  <c r="F942" i="1"/>
  <c r="C942" i="1"/>
  <c r="B942" i="1"/>
  <c r="A942" i="1"/>
  <c r="O939" i="1"/>
  <c r="N939" i="1"/>
  <c r="L939" i="1"/>
  <c r="K939" i="1"/>
  <c r="J939" i="1"/>
  <c r="I939" i="1"/>
  <c r="F939" i="1"/>
  <c r="C939" i="1"/>
  <c r="B939" i="1"/>
  <c r="A939" i="1"/>
  <c r="O936" i="1"/>
  <c r="N936" i="1"/>
  <c r="L936" i="1"/>
  <c r="K936" i="1"/>
  <c r="J936" i="1"/>
  <c r="I936" i="1"/>
  <c r="F936" i="1"/>
  <c r="C936" i="1"/>
  <c r="B936" i="1"/>
  <c r="A936" i="1"/>
  <c r="O933" i="1"/>
  <c r="N933" i="1"/>
  <c r="L933" i="1"/>
  <c r="K933" i="1"/>
  <c r="J933" i="1"/>
  <c r="I933" i="1"/>
  <c r="F933" i="1"/>
  <c r="C933" i="1"/>
  <c r="B933" i="1"/>
  <c r="A933" i="1"/>
  <c r="O930" i="1"/>
  <c r="N930" i="1"/>
  <c r="L930" i="1"/>
  <c r="K930" i="1"/>
  <c r="J930" i="1"/>
  <c r="I930" i="1"/>
  <c r="F930" i="1"/>
  <c r="C930" i="1"/>
  <c r="B930" i="1"/>
  <c r="A930" i="1"/>
  <c r="O927" i="1"/>
  <c r="N927" i="1"/>
  <c r="L927" i="1"/>
  <c r="K927" i="1"/>
  <c r="J927" i="1"/>
  <c r="I927" i="1"/>
  <c r="F927" i="1"/>
  <c r="C927" i="1"/>
  <c r="B927" i="1"/>
  <c r="A927" i="1"/>
  <c r="O924" i="1"/>
  <c r="N924" i="1"/>
  <c r="L924" i="1"/>
  <c r="K924" i="1"/>
  <c r="J924" i="1"/>
  <c r="I924" i="1"/>
  <c r="F924" i="1"/>
  <c r="C924" i="1"/>
  <c r="B924" i="1"/>
  <c r="A924" i="1"/>
  <c r="O921" i="1"/>
  <c r="N921" i="1"/>
  <c r="L921" i="1"/>
  <c r="K921" i="1"/>
  <c r="J921" i="1"/>
  <c r="I921" i="1"/>
  <c r="F921" i="1"/>
  <c r="C921" i="1"/>
  <c r="B921" i="1"/>
  <c r="A921" i="1"/>
  <c r="O918" i="1"/>
  <c r="N918" i="1"/>
  <c r="L918" i="1"/>
  <c r="K918" i="1"/>
  <c r="J918" i="1"/>
  <c r="I918" i="1"/>
  <c r="F918" i="1"/>
  <c r="C918" i="1"/>
  <c r="B918" i="1"/>
  <c r="A918" i="1"/>
  <c r="O915" i="1"/>
  <c r="N915" i="1"/>
  <c r="L915" i="1"/>
  <c r="K915" i="1"/>
  <c r="J915" i="1"/>
  <c r="I915" i="1"/>
  <c r="F915" i="1"/>
  <c r="C915" i="1"/>
  <c r="B915" i="1"/>
  <c r="A915" i="1"/>
  <c r="O912" i="1"/>
  <c r="N912" i="1"/>
  <c r="L912" i="1"/>
  <c r="K912" i="1"/>
  <c r="J912" i="1"/>
  <c r="I912" i="1"/>
  <c r="F912" i="1"/>
  <c r="C912" i="1"/>
  <c r="B912" i="1"/>
  <c r="A912" i="1"/>
  <c r="O909" i="1"/>
  <c r="N909" i="1"/>
  <c r="L909" i="1"/>
  <c r="K909" i="1"/>
  <c r="J909" i="1"/>
  <c r="I909" i="1"/>
  <c r="F909" i="1"/>
  <c r="C909" i="1"/>
  <c r="B909" i="1"/>
  <c r="A909" i="1"/>
  <c r="O906" i="1"/>
  <c r="N906" i="1"/>
  <c r="L906" i="1"/>
  <c r="K906" i="1"/>
  <c r="J906" i="1"/>
  <c r="I906" i="1"/>
  <c r="F906" i="1"/>
  <c r="C906" i="1"/>
  <c r="B906" i="1"/>
  <c r="A906" i="1"/>
  <c r="O903" i="1"/>
  <c r="N903" i="1"/>
  <c r="L903" i="1"/>
  <c r="K903" i="1"/>
  <c r="J903" i="1"/>
  <c r="I903" i="1"/>
  <c r="F903" i="1"/>
  <c r="C903" i="1"/>
  <c r="B903" i="1"/>
  <c r="A903" i="1"/>
  <c r="O900" i="1"/>
  <c r="N900" i="1"/>
  <c r="L900" i="1"/>
  <c r="K900" i="1"/>
  <c r="J900" i="1"/>
  <c r="I900" i="1"/>
  <c r="F900" i="1"/>
  <c r="C900" i="1"/>
  <c r="B900" i="1"/>
  <c r="A900" i="1"/>
  <c r="O897" i="1"/>
  <c r="N897" i="1"/>
  <c r="L897" i="1"/>
  <c r="K897" i="1"/>
  <c r="J897" i="1"/>
  <c r="I897" i="1"/>
  <c r="F897" i="1"/>
  <c r="C897" i="1"/>
  <c r="B897" i="1"/>
  <c r="A897" i="1"/>
  <c r="O894" i="1"/>
  <c r="N894" i="1"/>
  <c r="L894" i="1"/>
  <c r="K894" i="1"/>
  <c r="J894" i="1"/>
  <c r="I894" i="1"/>
  <c r="F894" i="1"/>
  <c r="C894" i="1"/>
  <c r="B894" i="1"/>
  <c r="A894" i="1"/>
  <c r="O891" i="1"/>
  <c r="N891" i="1"/>
  <c r="L891" i="1"/>
  <c r="K891" i="1"/>
  <c r="J891" i="1"/>
  <c r="I891" i="1"/>
  <c r="F891" i="1"/>
  <c r="C891" i="1"/>
  <c r="B891" i="1"/>
  <c r="A891" i="1"/>
  <c r="O888" i="1"/>
  <c r="N888" i="1"/>
  <c r="L888" i="1"/>
  <c r="K888" i="1"/>
  <c r="J888" i="1"/>
  <c r="I888" i="1"/>
  <c r="F888" i="1"/>
  <c r="C888" i="1"/>
  <c r="B888" i="1"/>
  <c r="A888" i="1"/>
  <c r="O885" i="1"/>
  <c r="N885" i="1"/>
  <c r="L885" i="1"/>
  <c r="K885" i="1"/>
  <c r="J885" i="1"/>
  <c r="I885" i="1"/>
  <c r="F885" i="1"/>
  <c r="C885" i="1"/>
  <c r="B885" i="1"/>
  <c r="A885" i="1"/>
  <c r="O882" i="1"/>
  <c r="N882" i="1"/>
  <c r="L882" i="1"/>
  <c r="K882" i="1"/>
  <c r="J882" i="1"/>
  <c r="I882" i="1"/>
  <c r="F882" i="1"/>
  <c r="C882" i="1"/>
  <c r="B882" i="1"/>
  <c r="A882" i="1"/>
  <c r="O879" i="1"/>
  <c r="N879" i="1"/>
  <c r="L879" i="1"/>
  <c r="K879" i="1"/>
  <c r="J879" i="1"/>
  <c r="I879" i="1"/>
  <c r="F879" i="1"/>
  <c r="C879" i="1"/>
  <c r="B879" i="1"/>
  <c r="A879" i="1"/>
  <c r="O876" i="1"/>
  <c r="N876" i="1"/>
  <c r="L876" i="1"/>
  <c r="K876" i="1"/>
  <c r="J876" i="1"/>
  <c r="I876" i="1"/>
  <c r="F876" i="1"/>
  <c r="C876" i="1"/>
  <c r="B876" i="1"/>
  <c r="A876" i="1"/>
  <c r="O873" i="1"/>
  <c r="N873" i="1"/>
  <c r="L873" i="1"/>
  <c r="K873" i="1"/>
  <c r="J873" i="1"/>
  <c r="I873" i="1"/>
  <c r="F873" i="1"/>
  <c r="C873" i="1"/>
  <c r="B873" i="1"/>
  <c r="A873" i="1"/>
  <c r="O870" i="1"/>
  <c r="N870" i="1"/>
  <c r="L870" i="1"/>
  <c r="K870" i="1"/>
  <c r="J870" i="1"/>
  <c r="I870" i="1"/>
  <c r="F870" i="1"/>
  <c r="C870" i="1"/>
  <c r="B870" i="1"/>
  <c r="A870" i="1"/>
  <c r="O867" i="1"/>
  <c r="N867" i="1"/>
  <c r="L867" i="1"/>
  <c r="K867" i="1"/>
  <c r="J867" i="1"/>
  <c r="I867" i="1"/>
  <c r="F867" i="1"/>
  <c r="C867" i="1"/>
  <c r="B867" i="1"/>
  <c r="A867" i="1"/>
  <c r="O861" i="1"/>
  <c r="N861" i="1"/>
  <c r="L861" i="1"/>
  <c r="K861" i="1"/>
  <c r="J861" i="1"/>
  <c r="I861" i="1"/>
  <c r="F861" i="1"/>
  <c r="C861" i="1"/>
  <c r="B861" i="1"/>
  <c r="A861" i="1"/>
  <c r="O858" i="1"/>
  <c r="N858" i="1"/>
  <c r="L858" i="1"/>
  <c r="K858" i="1"/>
  <c r="J858" i="1"/>
  <c r="I858" i="1"/>
  <c r="F858" i="1"/>
  <c r="C858" i="1"/>
  <c r="B858" i="1"/>
  <c r="A858" i="1"/>
  <c r="O855" i="1"/>
  <c r="N855" i="1"/>
  <c r="L855" i="1"/>
  <c r="K855" i="1"/>
  <c r="J855" i="1"/>
  <c r="I855" i="1"/>
  <c r="F855" i="1"/>
  <c r="C855" i="1"/>
  <c r="B855" i="1"/>
  <c r="A855" i="1"/>
  <c r="O852" i="1"/>
  <c r="N852" i="1"/>
  <c r="L852" i="1"/>
  <c r="K852" i="1"/>
  <c r="J852" i="1"/>
  <c r="I852" i="1"/>
  <c r="F852" i="1"/>
  <c r="C852" i="1"/>
  <c r="B852" i="1"/>
  <c r="A852" i="1"/>
  <c r="O849" i="1"/>
  <c r="N849" i="1"/>
  <c r="L849" i="1"/>
  <c r="K849" i="1"/>
  <c r="J849" i="1"/>
  <c r="I849" i="1"/>
  <c r="F849" i="1"/>
  <c r="C849" i="1"/>
  <c r="B849" i="1"/>
  <c r="A849" i="1"/>
  <c r="O840" i="1"/>
  <c r="N840" i="1"/>
  <c r="L840" i="1"/>
  <c r="K840" i="1"/>
  <c r="J840" i="1"/>
  <c r="I840" i="1"/>
  <c r="F840" i="1"/>
  <c r="C840" i="1"/>
  <c r="B840" i="1"/>
  <c r="A840" i="1"/>
  <c r="O837" i="1"/>
  <c r="N837" i="1"/>
  <c r="L837" i="1"/>
  <c r="K837" i="1"/>
  <c r="J837" i="1"/>
  <c r="I837" i="1"/>
  <c r="F837" i="1"/>
  <c r="C837" i="1"/>
  <c r="B837" i="1"/>
  <c r="A837" i="1"/>
  <c r="O834" i="1"/>
  <c r="N834" i="1"/>
  <c r="L834" i="1"/>
  <c r="K834" i="1"/>
  <c r="J834" i="1"/>
  <c r="I834" i="1"/>
  <c r="F834" i="1"/>
  <c r="C834" i="1"/>
  <c r="B834" i="1"/>
  <c r="A834" i="1"/>
  <c r="O831" i="1"/>
  <c r="N831" i="1"/>
  <c r="L831" i="1"/>
  <c r="K831" i="1"/>
  <c r="J831" i="1"/>
  <c r="I831" i="1"/>
  <c r="F831" i="1"/>
  <c r="C831" i="1"/>
  <c r="B831" i="1"/>
  <c r="A831" i="1"/>
  <c r="O828" i="1"/>
  <c r="N828" i="1"/>
  <c r="L828" i="1"/>
  <c r="K828" i="1"/>
  <c r="J828" i="1"/>
  <c r="I828" i="1"/>
  <c r="F828" i="1"/>
  <c r="C828" i="1"/>
  <c r="B828" i="1"/>
  <c r="A828" i="1"/>
  <c r="O825" i="1"/>
  <c r="N825" i="1"/>
  <c r="L825" i="1"/>
  <c r="K825" i="1"/>
  <c r="J825" i="1"/>
  <c r="I825" i="1"/>
  <c r="F825" i="1"/>
  <c r="C825" i="1"/>
  <c r="B825" i="1"/>
  <c r="A825" i="1"/>
  <c r="O822" i="1"/>
  <c r="N822" i="1"/>
  <c r="L822" i="1"/>
  <c r="K822" i="1"/>
  <c r="J822" i="1"/>
  <c r="I822" i="1"/>
  <c r="F822" i="1"/>
  <c r="C822" i="1"/>
  <c r="B822" i="1"/>
  <c r="A822" i="1"/>
  <c r="O819" i="1"/>
  <c r="N819" i="1"/>
  <c r="L819" i="1"/>
  <c r="K819" i="1"/>
  <c r="J819" i="1"/>
  <c r="I819" i="1"/>
  <c r="F819" i="1"/>
  <c r="C819" i="1"/>
  <c r="B819" i="1"/>
  <c r="A819" i="1"/>
  <c r="O816" i="1"/>
  <c r="N816" i="1"/>
  <c r="L816" i="1"/>
  <c r="K816" i="1"/>
  <c r="J816" i="1"/>
  <c r="I816" i="1"/>
  <c r="F816" i="1"/>
  <c r="C816" i="1"/>
  <c r="B816" i="1"/>
  <c r="A816" i="1"/>
  <c r="O813" i="1"/>
  <c r="N813" i="1"/>
  <c r="L813" i="1"/>
  <c r="K813" i="1"/>
  <c r="J813" i="1"/>
  <c r="I813" i="1"/>
  <c r="F813" i="1"/>
  <c r="C813" i="1"/>
  <c r="B813" i="1"/>
  <c r="A813" i="1"/>
  <c r="O810" i="1"/>
  <c r="N810" i="1"/>
  <c r="L810" i="1"/>
  <c r="K810" i="1"/>
  <c r="J810" i="1"/>
  <c r="I810" i="1"/>
  <c r="F810" i="1"/>
  <c r="C810" i="1"/>
  <c r="B810" i="1"/>
  <c r="A810" i="1"/>
  <c r="O807" i="1"/>
  <c r="N807" i="1"/>
  <c r="L807" i="1"/>
  <c r="K807" i="1"/>
  <c r="J807" i="1"/>
  <c r="I807" i="1"/>
  <c r="F807" i="1"/>
  <c r="C807" i="1"/>
  <c r="B807" i="1"/>
  <c r="A807" i="1"/>
  <c r="O804" i="1"/>
  <c r="N804" i="1"/>
  <c r="L804" i="1"/>
  <c r="K804" i="1"/>
  <c r="J804" i="1"/>
  <c r="I804" i="1"/>
  <c r="F804" i="1"/>
  <c r="C804" i="1"/>
  <c r="B804" i="1"/>
  <c r="A804" i="1"/>
  <c r="O801" i="1"/>
  <c r="N801" i="1"/>
  <c r="L801" i="1"/>
  <c r="K801" i="1"/>
  <c r="J801" i="1"/>
  <c r="I801" i="1"/>
  <c r="F801" i="1"/>
  <c r="C801" i="1"/>
  <c r="B801" i="1"/>
  <c r="A801" i="1"/>
  <c r="O798" i="1"/>
  <c r="N798" i="1"/>
  <c r="L798" i="1"/>
  <c r="K798" i="1"/>
  <c r="J798" i="1"/>
  <c r="I798" i="1"/>
  <c r="F798" i="1"/>
  <c r="C798" i="1"/>
  <c r="B798" i="1"/>
  <c r="A798" i="1"/>
  <c r="O795" i="1"/>
  <c r="N795" i="1"/>
  <c r="L795" i="1"/>
  <c r="K795" i="1"/>
  <c r="J795" i="1"/>
  <c r="I795" i="1"/>
  <c r="F795" i="1"/>
  <c r="C795" i="1"/>
  <c r="B795" i="1"/>
  <c r="A795" i="1"/>
  <c r="O792" i="1"/>
  <c r="N792" i="1"/>
  <c r="L792" i="1"/>
  <c r="K792" i="1"/>
  <c r="J792" i="1"/>
  <c r="I792" i="1"/>
  <c r="F792" i="1"/>
  <c r="C792" i="1"/>
  <c r="B792" i="1"/>
  <c r="A792" i="1"/>
  <c r="O789" i="1"/>
  <c r="N789" i="1"/>
  <c r="L789" i="1"/>
  <c r="K789" i="1"/>
  <c r="J789" i="1"/>
  <c r="I789" i="1"/>
  <c r="F789" i="1"/>
  <c r="C789" i="1"/>
  <c r="B789" i="1"/>
  <c r="A789" i="1"/>
  <c r="O786" i="1"/>
  <c r="N786" i="1"/>
  <c r="L786" i="1"/>
  <c r="K786" i="1"/>
  <c r="J786" i="1"/>
  <c r="I786" i="1"/>
  <c r="F786" i="1"/>
  <c r="C786" i="1"/>
  <c r="B786" i="1"/>
  <c r="A786" i="1"/>
  <c r="O783" i="1"/>
  <c r="N783" i="1"/>
  <c r="L783" i="1"/>
  <c r="K783" i="1"/>
  <c r="J783" i="1"/>
  <c r="I783" i="1"/>
  <c r="F783" i="1"/>
  <c r="C783" i="1"/>
  <c r="B783" i="1"/>
  <c r="A783" i="1"/>
  <c r="O780" i="1"/>
  <c r="N780" i="1"/>
  <c r="L780" i="1"/>
  <c r="K780" i="1"/>
  <c r="J780" i="1"/>
  <c r="I780" i="1"/>
  <c r="F780" i="1"/>
  <c r="C780" i="1"/>
  <c r="B780" i="1"/>
  <c r="A780" i="1"/>
  <c r="O777" i="1"/>
  <c r="N777" i="1"/>
  <c r="L777" i="1"/>
  <c r="K777" i="1"/>
  <c r="J777" i="1"/>
  <c r="I777" i="1"/>
  <c r="F777" i="1"/>
  <c r="C777" i="1"/>
  <c r="B777" i="1"/>
  <c r="A777" i="1"/>
  <c r="O774" i="1"/>
  <c r="N774" i="1"/>
  <c r="L774" i="1"/>
  <c r="K774" i="1"/>
  <c r="J774" i="1"/>
  <c r="I774" i="1"/>
  <c r="F774" i="1"/>
  <c r="C774" i="1"/>
  <c r="B774" i="1"/>
  <c r="A774" i="1"/>
  <c r="O771" i="1"/>
  <c r="N771" i="1"/>
  <c r="L771" i="1"/>
  <c r="K771" i="1"/>
  <c r="J771" i="1"/>
  <c r="I771" i="1"/>
  <c r="F771" i="1"/>
  <c r="C771" i="1"/>
  <c r="B771" i="1"/>
  <c r="A771" i="1"/>
  <c r="O768" i="1"/>
  <c r="N768" i="1"/>
  <c r="L768" i="1"/>
  <c r="K768" i="1"/>
  <c r="J768" i="1"/>
  <c r="I768" i="1"/>
  <c r="F768" i="1"/>
  <c r="C768" i="1"/>
  <c r="B768" i="1"/>
  <c r="A768" i="1"/>
  <c r="O765" i="1"/>
  <c r="N765" i="1"/>
  <c r="L765" i="1"/>
  <c r="K765" i="1"/>
  <c r="J765" i="1"/>
  <c r="I765" i="1"/>
  <c r="F765" i="1"/>
  <c r="C765" i="1"/>
  <c r="B765" i="1"/>
  <c r="A765" i="1"/>
  <c r="O762" i="1"/>
  <c r="N762" i="1"/>
  <c r="L762" i="1"/>
  <c r="K762" i="1"/>
  <c r="J762" i="1"/>
  <c r="I762" i="1"/>
  <c r="F762" i="1"/>
  <c r="C762" i="1"/>
  <c r="B762" i="1"/>
  <c r="A762" i="1"/>
  <c r="O759" i="1"/>
  <c r="N759" i="1"/>
  <c r="L759" i="1"/>
  <c r="K759" i="1"/>
  <c r="J759" i="1"/>
  <c r="I759" i="1"/>
  <c r="F759" i="1"/>
  <c r="C759" i="1"/>
  <c r="B759" i="1"/>
  <c r="A759" i="1"/>
  <c r="O756" i="1"/>
  <c r="N756" i="1"/>
  <c r="L756" i="1"/>
  <c r="K756" i="1"/>
  <c r="J756" i="1"/>
  <c r="I756" i="1"/>
  <c r="F756" i="1"/>
  <c r="C756" i="1"/>
  <c r="B756" i="1"/>
  <c r="A756" i="1"/>
  <c r="O753" i="1"/>
  <c r="N753" i="1"/>
  <c r="L753" i="1"/>
  <c r="K753" i="1"/>
  <c r="J753" i="1"/>
  <c r="I753" i="1"/>
  <c r="F753" i="1"/>
  <c r="C753" i="1"/>
  <c r="B753" i="1"/>
  <c r="A753" i="1"/>
  <c r="O750" i="1"/>
  <c r="N750" i="1"/>
  <c r="L750" i="1"/>
  <c r="K750" i="1"/>
  <c r="J750" i="1"/>
  <c r="I750" i="1"/>
  <c r="F750" i="1"/>
  <c r="C750" i="1"/>
  <c r="B750" i="1"/>
  <c r="A750" i="1"/>
  <c r="O747" i="1"/>
  <c r="N747" i="1"/>
  <c r="L747" i="1"/>
  <c r="K747" i="1"/>
  <c r="J747" i="1"/>
  <c r="I747" i="1"/>
  <c r="F747" i="1"/>
  <c r="C747" i="1"/>
  <c r="B747" i="1"/>
  <c r="A747" i="1"/>
  <c r="O744" i="1"/>
  <c r="N744" i="1"/>
  <c r="L744" i="1"/>
  <c r="K744" i="1"/>
  <c r="J744" i="1"/>
  <c r="I744" i="1"/>
  <c r="F744" i="1"/>
  <c r="C744" i="1"/>
  <c r="B744" i="1"/>
  <c r="A744" i="1"/>
  <c r="O741" i="1"/>
  <c r="N741" i="1"/>
  <c r="L741" i="1"/>
  <c r="K741" i="1"/>
  <c r="J741" i="1"/>
  <c r="I741" i="1"/>
  <c r="F741" i="1"/>
  <c r="C741" i="1"/>
  <c r="B741" i="1"/>
  <c r="A741" i="1"/>
  <c r="O738" i="1"/>
  <c r="N738" i="1"/>
  <c r="L738" i="1"/>
  <c r="K738" i="1"/>
  <c r="J738" i="1"/>
  <c r="I738" i="1"/>
  <c r="F738" i="1"/>
  <c r="C738" i="1"/>
  <c r="B738" i="1"/>
  <c r="A738" i="1"/>
  <c r="O735" i="1"/>
  <c r="N735" i="1"/>
  <c r="L735" i="1"/>
  <c r="K735" i="1"/>
  <c r="J735" i="1"/>
  <c r="I735" i="1"/>
  <c r="F735" i="1"/>
  <c r="C735" i="1"/>
  <c r="B735" i="1"/>
  <c r="A735" i="1"/>
  <c r="O732" i="1"/>
  <c r="N732" i="1"/>
  <c r="L732" i="1"/>
  <c r="K732" i="1"/>
  <c r="J732" i="1"/>
  <c r="I732" i="1"/>
  <c r="F732" i="1"/>
  <c r="C732" i="1"/>
  <c r="B732" i="1"/>
  <c r="A732" i="1"/>
  <c r="O729" i="1"/>
  <c r="N729" i="1"/>
  <c r="L729" i="1"/>
  <c r="K729" i="1"/>
  <c r="J729" i="1"/>
  <c r="I729" i="1"/>
  <c r="F729" i="1"/>
  <c r="C729" i="1"/>
  <c r="B729" i="1"/>
  <c r="A729" i="1"/>
  <c r="O726" i="1"/>
  <c r="N726" i="1"/>
  <c r="L726" i="1"/>
  <c r="K726" i="1"/>
  <c r="J726" i="1"/>
  <c r="I726" i="1"/>
  <c r="F726" i="1"/>
  <c r="C726" i="1"/>
  <c r="B726" i="1"/>
  <c r="A726" i="1"/>
  <c r="O723" i="1"/>
  <c r="N723" i="1"/>
  <c r="L723" i="1"/>
  <c r="K723" i="1"/>
  <c r="J723" i="1"/>
  <c r="I723" i="1"/>
  <c r="F723" i="1"/>
  <c r="C723" i="1"/>
  <c r="B723" i="1"/>
  <c r="A723" i="1"/>
  <c r="O720" i="1"/>
  <c r="N720" i="1"/>
  <c r="L720" i="1"/>
  <c r="K720" i="1"/>
  <c r="J720" i="1"/>
  <c r="I720" i="1"/>
  <c r="F720" i="1"/>
  <c r="C720" i="1"/>
  <c r="B720" i="1"/>
  <c r="A720" i="1"/>
  <c r="O717" i="1"/>
  <c r="N717" i="1"/>
  <c r="L717" i="1"/>
  <c r="K717" i="1"/>
  <c r="J717" i="1"/>
  <c r="I717" i="1"/>
  <c r="F717" i="1"/>
  <c r="C717" i="1"/>
  <c r="B717" i="1"/>
  <c r="A717" i="1"/>
  <c r="O714" i="1"/>
  <c r="N714" i="1"/>
  <c r="L714" i="1"/>
  <c r="K714" i="1"/>
  <c r="J714" i="1"/>
  <c r="I714" i="1"/>
  <c r="F714" i="1"/>
  <c r="C714" i="1"/>
  <c r="B714" i="1"/>
  <c r="A714" i="1"/>
  <c r="O711" i="1"/>
  <c r="N711" i="1"/>
  <c r="L711" i="1"/>
  <c r="K711" i="1"/>
  <c r="J711" i="1"/>
  <c r="I711" i="1"/>
  <c r="F711" i="1"/>
  <c r="C711" i="1"/>
  <c r="B711" i="1"/>
  <c r="A711" i="1"/>
  <c r="O708" i="1"/>
  <c r="N708" i="1"/>
  <c r="L708" i="1"/>
  <c r="K708" i="1"/>
  <c r="J708" i="1"/>
  <c r="I708" i="1"/>
  <c r="F708" i="1"/>
  <c r="C708" i="1"/>
  <c r="B708" i="1"/>
  <c r="A708" i="1"/>
  <c r="O705" i="1"/>
  <c r="N705" i="1"/>
  <c r="L705" i="1"/>
  <c r="K705" i="1"/>
  <c r="J705" i="1"/>
  <c r="I705" i="1"/>
  <c r="F705" i="1"/>
  <c r="C705" i="1"/>
  <c r="B705" i="1"/>
  <c r="A705" i="1"/>
  <c r="O702" i="1"/>
  <c r="N702" i="1"/>
  <c r="L702" i="1"/>
  <c r="K702" i="1"/>
  <c r="J702" i="1"/>
  <c r="I702" i="1"/>
  <c r="F702" i="1"/>
  <c r="C702" i="1"/>
  <c r="B702" i="1"/>
  <c r="A702" i="1"/>
  <c r="O699" i="1"/>
  <c r="N699" i="1"/>
  <c r="L699" i="1"/>
  <c r="K699" i="1"/>
  <c r="J699" i="1"/>
  <c r="I699" i="1"/>
  <c r="F699" i="1"/>
  <c r="C699" i="1"/>
  <c r="B699" i="1"/>
  <c r="A699" i="1"/>
  <c r="O696" i="1"/>
  <c r="N696" i="1"/>
  <c r="L696" i="1"/>
  <c r="K696" i="1"/>
  <c r="J696" i="1"/>
  <c r="I696" i="1"/>
  <c r="F696" i="1"/>
  <c r="C696" i="1"/>
  <c r="B696" i="1"/>
  <c r="A696" i="1"/>
  <c r="O693" i="1"/>
  <c r="N693" i="1"/>
  <c r="L693" i="1"/>
  <c r="K693" i="1"/>
  <c r="J693" i="1"/>
  <c r="I693" i="1"/>
  <c r="F693" i="1"/>
  <c r="C693" i="1"/>
  <c r="B693" i="1"/>
  <c r="A693" i="1"/>
  <c r="O690" i="1"/>
  <c r="N690" i="1"/>
  <c r="L690" i="1"/>
  <c r="K690" i="1"/>
  <c r="J690" i="1"/>
  <c r="I690" i="1"/>
  <c r="F690" i="1"/>
  <c r="C690" i="1"/>
  <c r="B690" i="1"/>
  <c r="A690" i="1"/>
  <c r="O687" i="1"/>
  <c r="N687" i="1"/>
  <c r="L687" i="1"/>
  <c r="K687" i="1"/>
  <c r="J687" i="1"/>
  <c r="I687" i="1"/>
  <c r="F687" i="1"/>
  <c r="C687" i="1"/>
  <c r="B687" i="1"/>
  <c r="A687" i="1"/>
  <c r="O684" i="1"/>
  <c r="N684" i="1"/>
  <c r="L684" i="1"/>
  <c r="K684" i="1"/>
  <c r="J684" i="1"/>
  <c r="I684" i="1"/>
  <c r="F684" i="1"/>
  <c r="C684" i="1"/>
  <c r="B684" i="1"/>
  <c r="A684" i="1"/>
  <c r="O681" i="1"/>
  <c r="N681" i="1"/>
  <c r="L681" i="1"/>
  <c r="K681" i="1"/>
  <c r="J681" i="1"/>
  <c r="I681" i="1"/>
  <c r="F681" i="1"/>
  <c r="C681" i="1"/>
  <c r="B681" i="1"/>
  <c r="A681" i="1"/>
  <c r="O678" i="1"/>
  <c r="N678" i="1"/>
  <c r="L678" i="1"/>
  <c r="K678" i="1"/>
  <c r="J678" i="1"/>
  <c r="I678" i="1"/>
  <c r="F678" i="1"/>
  <c r="C678" i="1"/>
  <c r="B678" i="1"/>
  <c r="A678" i="1"/>
  <c r="O675" i="1"/>
  <c r="N675" i="1"/>
  <c r="L675" i="1"/>
  <c r="K675" i="1"/>
  <c r="J675" i="1"/>
  <c r="I675" i="1"/>
  <c r="F675" i="1"/>
  <c r="C675" i="1"/>
  <c r="B675" i="1"/>
  <c r="A675" i="1"/>
  <c r="O672" i="1"/>
  <c r="N672" i="1"/>
  <c r="L672" i="1"/>
  <c r="K672" i="1"/>
  <c r="J672" i="1"/>
  <c r="I672" i="1"/>
  <c r="F672" i="1"/>
  <c r="C672" i="1"/>
  <c r="B672" i="1"/>
  <c r="A672" i="1"/>
  <c r="O669" i="1"/>
  <c r="N669" i="1"/>
  <c r="L669" i="1"/>
  <c r="K669" i="1"/>
  <c r="J669" i="1"/>
  <c r="I669" i="1"/>
  <c r="F669" i="1"/>
  <c r="C669" i="1"/>
  <c r="B669" i="1"/>
  <c r="A669" i="1"/>
  <c r="O666" i="1"/>
  <c r="N666" i="1"/>
  <c r="L666" i="1"/>
  <c r="K666" i="1"/>
  <c r="J666" i="1"/>
  <c r="I666" i="1"/>
  <c r="F666" i="1"/>
  <c r="C666" i="1"/>
  <c r="B666" i="1"/>
  <c r="A666" i="1"/>
  <c r="O663" i="1"/>
  <c r="N663" i="1"/>
  <c r="L663" i="1"/>
  <c r="K663" i="1"/>
  <c r="J663" i="1"/>
  <c r="I663" i="1"/>
  <c r="F663" i="1"/>
  <c r="C663" i="1"/>
  <c r="B663" i="1"/>
  <c r="A663" i="1"/>
  <c r="O660" i="1"/>
  <c r="N660" i="1"/>
  <c r="L660" i="1"/>
  <c r="K660" i="1"/>
  <c r="J660" i="1"/>
  <c r="I660" i="1"/>
  <c r="F660" i="1"/>
  <c r="C660" i="1"/>
  <c r="B660" i="1"/>
  <c r="A660" i="1"/>
  <c r="O657" i="1"/>
  <c r="N657" i="1"/>
  <c r="L657" i="1"/>
  <c r="K657" i="1"/>
  <c r="J657" i="1"/>
  <c r="I657" i="1"/>
  <c r="F657" i="1"/>
  <c r="C657" i="1"/>
  <c r="B657" i="1"/>
  <c r="A657" i="1"/>
  <c r="O654" i="1"/>
  <c r="N654" i="1"/>
  <c r="L654" i="1"/>
  <c r="K654" i="1"/>
  <c r="J654" i="1"/>
  <c r="I654" i="1"/>
  <c r="F654" i="1"/>
  <c r="C654" i="1"/>
  <c r="B654" i="1"/>
  <c r="A654" i="1"/>
  <c r="O651" i="1"/>
  <c r="N651" i="1"/>
  <c r="L651" i="1"/>
  <c r="K651" i="1"/>
  <c r="J651" i="1"/>
  <c r="I651" i="1"/>
  <c r="F651" i="1"/>
  <c r="C651" i="1"/>
  <c r="B651" i="1"/>
  <c r="A651" i="1"/>
  <c r="O648" i="1"/>
  <c r="N648" i="1"/>
  <c r="L648" i="1"/>
  <c r="K648" i="1"/>
  <c r="J648" i="1"/>
  <c r="I648" i="1"/>
  <c r="F648" i="1"/>
  <c r="C648" i="1"/>
  <c r="B648" i="1"/>
  <c r="A648" i="1"/>
  <c r="O645" i="1"/>
  <c r="N645" i="1"/>
  <c r="L645" i="1"/>
  <c r="K645" i="1"/>
  <c r="J645" i="1"/>
  <c r="I645" i="1"/>
  <c r="F645" i="1"/>
  <c r="C645" i="1"/>
  <c r="B645" i="1"/>
  <c r="A645" i="1"/>
  <c r="O642" i="1"/>
  <c r="N642" i="1"/>
  <c r="L642" i="1"/>
  <c r="K642" i="1"/>
  <c r="J642" i="1"/>
  <c r="I642" i="1"/>
  <c r="F642" i="1"/>
  <c r="C642" i="1"/>
  <c r="B642" i="1"/>
  <c r="A642" i="1"/>
  <c r="O639" i="1"/>
  <c r="N639" i="1"/>
  <c r="L639" i="1"/>
  <c r="K639" i="1"/>
  <c r="J639" i="1"/>
  <c r="I639" i="1"/>
  <c r="F639" i="1"/>
  <c r="C639" i="1"/>
  <c r="B639" i="1"/>
  <c r="A639" i="1"/>
  <c r="O636" i="1"/>
  <c r="N636" i="1"/>
  <c r="L636" i="1"/>
  <c r="K636" i="1"/>
  <c r="J636" i="1"/>
  <c r="I636" i="1"/>
  <c r="F636" i="1"/>
  <c r="C636" i="1"/>
  <c r="B636" i="1"/>
  <c r="A636" i="1"/>
  <c r="O633" i="1"/>
  <c r="N633" i="1"/>
  <c r="L633" i="1"/>
  <c r="K633" i="1"/>
  <c r="J633" i="1"/>
  <c r="I633" i="1"/>
  <c r="F633" i="1"/>
  <c r="C633" i="1"/>
  <c r="B633" i="1"/>
  <c r="A633" i="1"/>
  <c r="O630" i="1"/>
  <c r="N630" i="1"/>
  <c r="L630" i="1"/>
  <c r="K630" i="1"/>
  <c r="J630" i="1"/>
  <c r="I630" i="1"/>
  <c r="F630" i="1"/>
  <c r="C630" i="1"/>
  <c r="B630" i="1"/>
  <c r="A630" i="1"/>
  <c r="O627" i="1"/>
  <c r="N627" i="1"/>
  <c r="L627" i="1"/>
  <c r="K627" i="1"/>
  <c r="J627" i="1"/>
  <c r="I627" i="1"/>
  <c r="F627" i="1"/>
  <c r="C627" i="1"/>
  <c r="B627" i="1"/>
  <c r="A627" i="1"/>
  <c r="O624" i="1"/>
  <c r="N624" i="1"/>
  <c r="L624" i="1"/>
  <c r="K624" i="1"/>
  <c r="J624" i="1"/>
  <c r="I624" i="1"/>
  <c r="F624" i="1"/>
  <c r="C624" i="1"/>
  <c r="B624" i="1"/>
  <c r="A624" i="1"/>
  <c r="O621" i="1"/>
  <c r="N621" i="1"/>
  <c r="L621" i="1"/>
  <c r="K621" i="1"/>
  <c r="J621" i="1"/>
  <c r="I621" i="1"/>
  <c r="F621" i="1"/>
  <c r="C621" i="1"/>
  <c r="B621" i="1"/>
  <c r="A621" i="1"/>
  <c r="O618" i="1"/>
  <c r="N618" i="1"/>
  <c r="L618" i="1"/>
  <c r="K618" i="1"/>
  <c r="J618" i="1"/>
  <c r="I618" i="1"/>
  <c r="F618" i="1"/>
  <c r="C618" i="1"/>
  <c r="B618" i="1"/>
  <c r="A618" i="1"/>
  <c r="O615" i="1"/>
  <c r="N615" i="1"/>
  <c r="L615" i="1"/>
  <c r="K615" i="1"/>
  <c r="J615" i="1"/>
  <c r="I615" i="1"/>
  <c r="F615" i="1"/>
  <c r="C615" i="1"/>
  <c r="B615" i="1"/>
  <c r="A615" i="1"/>
  <c r="O612" i="1"/>
  <c r="N612" i="1"/>
  <c r="L612" i="1"/>
  <c r="K612" i="1"/>
  <c r="J612" i="1"/>
  <c r="I612" i="1"/>
  <c r="F612" i="1"/>
  <c r="C612" i="1"/>
  <c r="B612" i="1"/>
  <c r="A612" i="1"/>
  <c r="O609" i="1"/>
  <c r="N609" i="1"/>
  <c r="L609" i="1"/>
  <c r="K609" i="1"/>
  <c r="J609" i="1"/>
  <c r="I609" i="1"/>
  <c r="F609" i="1"/>
  <c r="C609" i="1"/>
  <c r="B609" i="1"/>
  <c r="A609" i="1"/>
  <c r="O606" i="1"/>
  <c r="N606" i="1"/>
  <c r="L606" i="1"/>
  <c r="K606" i="1"/>
  <c r="J606" i="1"/>
  <c r="I606" i="1"/>
  <c r="F606" i="1"/>
  <c r="C606" i="1"/>
  <c r="B606" i="1"/>
  <c r="A606" i="1"/>
  <c r="O603" i="1"/>
  <c r="N603" i="1"/>
  <c r="L603" i="1"/>
  <c r="K603" i="1"/>
  <c r="J603" i="1"/>
  <c r="I603" i="1"/>
  <c r="F603" i="1"/>
  <c r="C603" i="1"/>
  <c r="B603" i="1"/>
  <c r="A603" i="1"/>
  <c r="O600" i="1"/>
  <c r="N600" i="1"/>
  <c r="L600" i="1"/>
  <c r="K600" i="1"/>
  <c r="J600" i="1"/>
  <c r="I600" i="1"/>
  <c r="F600" i="1"/>
  <c r="C600" i="1"/>
  <c r="B600" i="1"/>
  <c r="A600" i="1"/>
  <c r="O597" i="1"/>
  <c r="N597" i="1"/>
  <c r="L597" i="1"/>
  <c r="K597" i="1"/>
  <c r="J597" i="1"/>
  <c r="I597" i="1"/>
  <c r="F597" i="1"/>
  <c r="C597" i="1"/>
  <c r="B597" i="1"/>
  <c r="A597" i="1"/>
  <c r="O594" i="1"/>
  <c r="N594" i="1"/>
  <c r="L594" i="1"/>
  <c r="K594" i="1"/>
  <c r="J594" i="1"/>
  <c r="I594" i="1"/>
  <c r="F594" i="1"/>
  <c r="C594" i="1"/>
  <c r="B594" i="1"/>
  <c r="A594" i="1"/>
  <c r="O591" i="1"/>
  <c r="N591" i="1"/>
  <c r="L591" i="1"/>
  <c r="K591" i="1"/>
  <c r="J591" i="1"/>
  <c r="I591" i="1"/>
  <c r="F591" i="1"/>
  <c r="C591" i="1"/>
  <c r="B591" i="1"/>
  <c r="A591" i="1"/>
  <c r="O588" i="1"/>
  <c r="N588" i="1"/>
  <c r="L588" i="1"/>
  <c r="K588" i="1"/>
  <c r="J588" i="1"/>
  <c r="I588" i="1"/>
  <c r="F588" i="1"/>
  <c r="C588" i="1"/>
  <c r="B588" i="1"/>
  <c r="A588" i="1"/>
  <c r="O585" i="1"/>
  <c r="N585" i="1"/>
  <c r="L585" i="1"/>
  <c r="K585" i="1"/>
  <c r="J585" i="1"/>
  <c r="I585" i="1"/>
  <c r="F585" i="1"/>
  <c r="C585" i="1"/>
  <c r="B585" i="1"/>
  <c r="A585" i="1"/>
  <c r="O582" i="1"/>
  <c r="N582" i="1"/>
  <c r="L582" i="1"/>
  <c r="K582" i="1"/>
  <c r="J582" i="1"/>
  <c r="I582" i="1"/>
  <c r="F582" i="1"/>
  <c r="C582" i="1"/>
  <c r="B582" i="1"/>
  <c r="A582" i="1"/>
  <c r="O579" i="1"/>
  <c r="N579" i="1"/>
  <c r="L579" i="1"/>
  <c r="K579" i="1"/>
  <c r="J579" i="1"/>
  <c r="I579" i="1"/>
  <c r="F579" i="1"/>
  <c r="C579" i="1"/>
  <c r="B579" i="1"/>
  <c r="A579" i="1"/>
  <c r="O576" i="1"/>
  <c r="N576" i="1"/>
  <c r="L576" i="1"/>
  <c r="K576" i="1"/>
  <c r="J576" i="1"/>
  <c r="I576" i="1"/>
  <c r="F576" i="1"/>
  <c r="C576" i="1"/>
  <c r="B576" i="1"/>
  <c r="A576" i="1"/>
  <c r="O570" i="1"/>
  <c r="N570" i="1"/>
  <c r="L570" i="1"/>
  <c r="K570" i="1"/>
  <c r="J570" i="1"/>
  <c r="I570" i="1"/>
  <c r="F570" i="1"/>
  <c r="C570" i="1"/>
  <c r="B570" i="1"/>
  <c r="A570" i="1"/>
  <c r="O567" i="1"/>
  <c r="N567" i="1"/>
  <c r="L567" i="1"/>
  <c r="K567" i="1"/>
  <c r="J567" i="1"/>
  <c r="I567" i="1"/>
  <c r="F567" i="1"/>
  <c r="C567" i="1"/>
  <c r="B567" i="1"/>
  <c r="A567" i="1"/>
  <c r="O564" i="1"/>
  <c r="N564" i="1"/>
  <c r="L564" i="1"/>
  <c r="K564" i="1"/>
  <c r="J564" i="1"/>
  <c r="I564" i="1"/>
  <c r="F564" i="1"/>
  <c r="C564" i="1"/>
  <c r="B564" i="1"/>
  <c r="A564" i="1"/>
  <c r="O561" i="1"/>
  <c r="N561" i="1"/>
  <c r="L561" i="1"/>
  <c r="K561" i="1"/>
  <c r="J561" i="1"/>
  <c r="I561" i="1"/>
  <c r="F561" i="1"/>
  <c r="C561" i="1"/>
  <c r="B561" i="1"/>
  <c r="A561" i="1"/>
  <c r="O558" i="1"/>
  <c r="N558" i="1"/>
  <c r="L558" i="1"/>
  <c r="K558" i="1"/>
  <c r="J558" i="1"/>
  <c r="I558" i="1"/>
  <c r="F558" i="1"/>
  <c r="C558" i="1"/>
  <c r="B558" i="1"/>
  <c r="A558" i="1"/>
  <c r="O555" i="1"/>
  <c r="N555" i="1"/>
  <c r="L555" i="1"/>
  <c r="K555" i="1"/>
  <c r="J555" i="1"/>
  <c r="I555" i="1"/>
  <c r="F555" i="1"/>
  <c r="C555" i="1"/>
  <c r="B555" i="1"/>
  <c r="A555" i="1"/>
  <c r="O549" i="1"/>
  <c r="N549" i="1"/>
  <c r="L549" i="1"/>
  <c r="K549" i="1"/>
  <c r="J549" i="1"/>
  <c r="I549" i="1"/>
  <c r="F549" i="1"/>
  <c r="C549" i="1"/>
  <c r="B549" i="1"/>
  <c r="A549" i="1"/>
  <c r="O546" i="1"/>
  <c r="N546" i="1"/>
  <c r="L546" i="1"/>
  <c r="K546" i="1"/>
  <c r="J546" i="1"/>
  <c r="I546" i="1"/>
  <c r="F546" i="1"/>
  <c r="C546" i="1"/>
  <c r="B546" i="1"/>
  <c r="A546" i="1"/>
  <c r="O543" i="1"/>
  <c r="N543" i="1"/>
  <c r="L543" i="1"/>
  <c r="K543" i="1"/>
  <c r="J543" i="1"/>
  <c r="I543" i="1"/>
  <c r="F543" i="1"/>
  <c r="C543" i="1"/>
  <c r="B543" i="1"/>
  <c r="A543" i="1"/>
  <c r="O540" i="1"/>
  <c r="N540" i="1"/>
  <c r="L540" i="1"/>
  <c r="K540" i="1"/>
  <c r="J540" i="1"/>
  <c r="I540" i="1"/>
  <c r="F540" i="1"/>
  <c r="C540" i="1"/>
  <c r="B540" i="1"/>
  <c r="A540" i="1"/>
  <c r="O537" i="1"/>
  <c r="N537" i="1"/>
  <c r="L537" i="1"/>
  <c r="K537" i="1"/>
  <c r="J537" i="1"/>
  <c r="I537" i="1"/>
  <c r="F537" i="1"/>
  <c r="C537" i="1"/>
  <c r="B537" i="1"/>
  <c r="A537" i="1"/>
  <c r="O534" i="1"/>
  <c r="N534" i="1"/>
  <c r="L534" i="1"/>
  <c r="K534" i="1"/>
  <c r="J534" i="1"/>
  <c r="I534" i="1"/>
  <c r="F534" i="1"/>
  <c r="C534" i="1"/>
  <c r="B534" i="1"/>
  <c r="A534" i="1"/>
  <c r="O531" i="1"/>
  <c r="N531" i="1"/>
  <c r="L531" i="1"/>
  <c r="K531" i="1"/>
  <c r="J531" i="1"/>
  <c r="I531" i="1"/>
  <c r="F531" i="1"/>
  <c r="C531" i="1"/>
  <c r="B531" i="1"/>
  <c r="A531" i="1"/>
  <c r="O528" i="1"/>
  <c r="N528" i="1"/>
  <c r="L528" i="1"/>
  <c r="K528" i="1"/>
  <c r="J528" i="1"/>
  <c r="I528" i="1"/>
  <c r="F528" i="1"/>
  <c r="C528" i="1"/>
  <c r="B528" i="1"/>
  <c r="A528" i="1"/>
  <c r="O525" i="1"/>
  <c r="N525" i="1"/>
  <c r="L525" i="1"/>
  <c r="K525" i="1"/>
  <c r="J525" i="1"/>
  <c r="I525" i="1"/>
  <c r="F525" i="1"/>
  <c r="C525" i="1"/>
  <c r="B525" i="1"/>
  <c r="A525" i="1"/>
  <c r="O522" i="1"/>
  <c r="N522" i="1"/>
  <c r="L522" i="1"/>
  <c r="K522" i="1"/>
  <c r="J522" i="1"/>
  <c r="I522" i="1"/>
  <c r="F522" i="1"/>
  <c r="C522" i="1"/>
  <c r="B522" i="1"/>
  <c r="A522" i="1"/>
  <c r="O519" i="1"/>
  <c r="N519" i="1"/>
  <c r="L519" i="1"/>
  <c r="K519" i="1"/>
  <c r="J519" i="1"/>
  <c r="I519" i="1"/>
  <c r="F519" i="1"/>
  <c r="C519" i="1"/>
  <c r="B519" i="1"/>
  <c r="A519" i="1"/>
  <c r="O516" i="1"/>
  <c r="N516" i="1"/>
  <c r="L516" i="1"/>
  <c r="K516" i="1"/>
  <c r="J516" i="1"/>
  <c r="I516" i="1"/>
  <c r="F516" i="1"/>
  <c r="C516" i="1"/>
  <c r="B516" i="1"/>
  <c r="A516" i="1"/>
  <c r="O513" i="1"/>
  <c r="N513" i="1"/>
  <c r="L513" i="1"/>
  <c r="K513" i="1"/>
  <c r="J513" i="1"/>
  <c r="I513" i="1"/>
  <c r="F513" i="1"/>
  <c r="C513" i="1"/>
  <c r="B513" i="1"/>
  <c r="A513" i="1"/>
  <c r="O510" i="1"/>
  <c r="N510" i="1"/>
  <c r="L510" i="1"/>
  <c r="K510" i="1"/>
  <c r="J510" i="1"/>
  <c r="I510" i="1"/>
  <c r="F510" i="1"/>
  <c r="C510" i="1"/>
  <c r="B510" i="1"/>
  <c r="A510" i="1"/>
  <c r="O507" i="1"/>
  <c r="N507" i="1"/>
  <c r="L507" i="1"/>
  <c r="K507" i="1"/>
  <c r="J507" i="1"/>
  <c r="I507" i="1"/>
  <c r="F507" i="1"/>
  <c r="C507" i="1"/>
  <c r="B507" i="1"/>
  <c r="A507" i="1"/>
  <c r="O504" i="1"/>
  <c r="N504" i="1"/>
  <c r="L504" i="1"/>
  <c r="K504" i="1"/>
  <c r="J504" i="1"/>
  <c r="I504" i="1"/>
  <c r="F504" i="1"/>
  <c r="C504" i="1"/>
  <c r="B504" i="1"/>
  <c r="A504" i="1"/>
  <c r="O501" i="1"/>
  <c r="N501" i="1"/>
  <c r="L501" i="1"/>
  <c r="K501" i="1"/>
  <c r="J501" i="1"/>
  <c r="I501" i="1"/>
  <c r="F501" i="1"/>
  <c r="C501" i="1"/>
  <c r="B501" i="1"/>
  <c r="A501" i="1"/>
  <c r="O498" i="1"/>
  <c r="N498" i="1"/>
  <c r="L498" i="1"/>
  <c r="K498" i="1"/>
  <c r="J498" i="1"/>
  <c r="I498" i="1"/>
  <c r="F498" i="1"/>
  <c r="C498" i="1"/>
  <c r="B498" i="1"/>
  <c r="A498" i="1"/>
  <c r="O495" i="1"/>
  <c r="N495" i="1"/>
  <c r="L495" i="1"/>
  <c r="K495" i="1"/>
  <c r="J495" i="1"/>
  <c r="I495" i="1"/>
  <c r="F495" i="1"/>
  <c r="C495" i="1"/>
  <c r="B495" i="1"/>
  <c r="A495" i="1"/>
  <c r="O492" i="1"/>
  <c r="N492" i="1"/>
  <c r="L492" i="1"/>
  <c r="K492" i="1"/>
  <c r="J492" i="1"/>
  <c r="I492" i="1"/>
  <c r="F492" i="1"/>
  <c r="C492" i="1"/>
  <c r="B492" i="1"/>
  <c r="A492" i="1"/>
  <c r="O489" i="1"/>
  <c r="N489" i="1"/>
  <c r="L489" i="1"/>
  <c r="K489" i="1"/>
  <c r="J489" i="1"/>
  <c r="I489" i="1"/>
  <c r="F489" i="1"/>
  <c r="C489" i="1"/>
  <c r="B489" i="1"/>
  <c r="A489" i="1"/>
  <c r="O477" i="1"/>
  <c r="N477" i="1"/>
  <c r="L477" i="1"/>
  <c r="K477" i="1"/>
  <c r="J477" i="1"/>
  <c r="I477" i="1"/>
  <c r="F477" i="1"/>
  <c r="C477" i="1"/>
  <c r="B477" i="1"/>
  <c r="A477" i="1"/>
  <c r="O474" i="1"/>
  <c r="N474" i="1"/>
  <c r="L474" i="1"/>
  <c r="K474" i="1"/>
  <c r="J474" i="1"/>
  <c r="I474" i="1"/>
  <c r="F474" i="1"/>
  <c r="C474" i="1"/>
  <c r="B474" i="1"/>
  <c r="A474" i="1"/>
  <c r="O471" i="1"/>
  <c r="N471" i="1"/>
  <c r="L471" i="1"/>
  <c r="K471" i="1"/>
  <c r="J471" i="1"/>
  <c r="I471" i="1"/>
  <c r="F471" i="1"/>
  <c r="C471" i="1"/>
  <c r="B471" i="1"/>
  <c r="A471" i="1"/>
  <c r="O468" i="1"/>
  <c r="N468" i="1"/>
  <c r="L468" i="1"/>
  <c r="K468" i="1"/>
  <c r="J468" i="1"/>
  <c r="I468" i="1"/>
  <c r="F468" i="1"/>
  <c r="C468" i="1"/>
  <c r="B468" i="1"/>
  <c r="A468" i="1"/>
  <c r="O465" i="1"/>
  <c r="N465" i="1"/>
  <c r="L465" i="1"/>
  <c r="K465" i="1"/>
  <c r="J465" i="1"/>
  <c r="I465" i="1"/>
  <c r="F465" i="1"/>
  <c r="C465" i="1"/>
  <c r="B465" i="1"/>
  <c r="A465" i="1"/>
  <c r="O462" i="1"/>
  <c r="N462" i="1"/>
  <c r="L462" i="1"/>
  <c r="K462" i="1"/>
  <c r="J462" i="1"/>
  <c r="I462" i="1"/>
  <c r="F462" i="1"/>
  <c r="C462" i="1"/>
  <c r="B462" i="1"/>
  <c r="A462" i="1"/>
  <c r="O459" i="1"/>
  <c r="N459" i="1"/>
  <c r="L459" i="1"/>
  <c r="K459" i="1"/>
  <c r="J459" i="1"/>
  <c r="I459" i="1"/>
  <c r="F459" i="1"/>
  <c r="C459" i="1"/>
  <c r="B459" i="1"/>
  <c r="A459" i="1"/>
  <c r="O456" i="1"/>
  <c r="N456" i="1"/>
  <c r="L456" i="1"/>
  <c r="K456" i="1"/>
  <c r="J456" i="1"/>
  <c r="I456" i="1"/>
  <c r="F456" i="1"/>
  <c r="C456" i="1"/>
  <c r="B456" i="1"/>
  <c r="A456" i="1"/>
  <c r="O453" i="1"/>
  <c r="N453" i="1"/>
  <c r="L453" i="1"/>
  <c r="K453" i="1"/>
  <c r="J453" i="1"/>
  <c r="I453" i="1"/>
  <c r="F453" i="1"/>
  <c r="C453" i="1"/>
  <c r="B453" i="1"/>
  <c r="A453" i="1"/>
  <c r="O450" i="1"/>
  <c r="N450" i="1"/>
  <c r="L450" i="1"/>
  <c r="K450" i="1"/>
  <c r="J450" i="1"/>
  <c r="I450" i="1"/>
  <c r="F450" i="1"/>
  <c r="C450" i="1"/>
  <c r="B450" i="1"/>
  <c r="A450" i="1"/>
  <c r="O447" i="1"/>
  <c r="N447" i="1"/>
  <c r="L447" i="1"/>
  <c r="K447" i="1"/>
  <c r="J447" i="1"/>
  <c r="I447" i="1"/>
  <c r="F447" i="1"/>
  <c r="C447" i="1"/>
  <c r="B447" i="1"/>
  <c r="A447" i="1"/>
  <c r="O444" i="1"/>
  <c r="N444" i="1"/>
  <c r="L444" i="1"/>
  <c r="K444" i="1"/>
  <c r="J444" i="1"/>
  <c r="I444" i="1"/>
  <c r="F444" i="1"/>
  <c r="C444" i="1"/>
  <c r="B444" i="1"/>
  <c r="A444" i="1"/>
  <c r="O441" i="1"/>
  <c r="N441" i="1"/>
  <c r="L441" i="1"/>
  <c r="K441" i="1"/>
  <c r="J441" i="1"/>
  <c r="I441" i="1"/>
  <c r="F441" i="1"/>
  <c r="C441" i="1"/>
  <c r="B441" i="1"/>
  <c r="A441" i="1"/>
  <c r="O438" i="1"/>
  <c r="N438" i="1"/>
  <c r="L438" i="1"/>
  <c r="K438" i="1"/>
  <c r="J438" i="1"/>
  <c r="I438" i="1"/>
  <c r="F438" i="1"/>
  <c r="C438" i="1"/>
  <c r="B438" i="1"/>
  <c r="A438" i="1"/>
  <c r="O435" i="1"/>
  <c r="N435" i="1"/>
  <c r="L435" i="1"/>
  <c r="K435" i="1"/>
  <c r="J435" i="1"/>
  <c r="I435" i="1"/>
  <c r="F435" i="1"/>
  <c r="C435" i="1"/>
  <c r="B435" i="1"/>
  <c r="A435" i="1"/>
  <c r="O432" i="1"/>
  <c r="N432" i="1"/>
  <c r="L432" i="1"/>
  <c r="K432" i="1"/>
  <c r="J432" i="1"/>
  <c r="I432" i="1"/>
  <c r="F432" i="1"/>
  <c r="C432" i="1"/>
  <c r="B432" i="1"/>
  <c r="A432" i="1"/>
  <c r="O429" i="1"/>
  <c r="N429" i="1"/>
  <c r="L429" i="1"/>
  <c r="K429" i="1"/>
  <c r="J429" i="1"/>
  <c r="I429" i="1"/>
  <c r="F429" i="1"/>
  <c r="C429" i="1"/>
  <c r="B429" i="1"/>
  <c r="A429" i="1"/>
  <c r="O426" i="1"/>
  <c r="N426" i="1"/>
  <c r="L426" i="1"/>
  <c r="K426" i="1"/>
  <c r="J426" i="1"/>
  <c r="I426" i="1"/>
  <c r="F426" i="1"/>
  <c r="C426" i="1"/>
  <c r="B426" i="1"/>
  <c r="A426" i="1"/>
  <c r="O423" i="1"/>
  <c r="N423" i="1"/>
  <c r="L423" i="1"/>
  <c r="K423" i="1"/>
  <c r="J423" i="1"/>
  <c r="I423" i="1"/>
  <c r="F423" i="1"/>
  <c r="C423" i="1"/>
  <c r="B423" i="1"/>
  <c r="A423" i="1"/>
  <c r="O420" i="1"/>
  <c r="N420" i="1"/>
  <c r="L420" i="1"/>
  <c r="K420" i="1"/>
  <c r="J420" i="1"/>
  <c r="I420" i="1"/>
  <c r="F420" i="1"/>
  <c r="C420" i="1"/>
  <c r="B420" i="1"/>
  <c r="A420" i="1"/>
  <c r="O417" i="1"/>
  <c r="N417" i="1"/>
  <c r="L417" i="1"/>
  <c r="K417" i="1"/>
  <c r="J417" i="1"/>
  <c r="I417" i="1"/>
  <c r="F417" i="1"/>
  <c r="C417" i="1"/>
  <c r="B417" i="1"/>
  <c r="A417" i="1"/>
  <c r="O414" i="1"/>
  <c r="N414" i="1"/>
  <c r="L414" i="1"/>
  <c r="K414" i="1"/>
  <c r="J414" i="1"/>
  <c r="I414" i="1"/>
  <c r="F414" i="1"/>
  <c r="C414" i="1"/>
  <c r="B414" i="1"/>
  <c r="A414" i="1"/>
  <c r="O411" i="1"/>
  <c r="N411" i="1"/>
  <c r="L411" i="1"/>
  <c r="K411" i="1"/>
  <c r="J411" i="1"/>
  <c r="I411" i="1"/>
  <c r="F411" i="1"/>
  <c r="C411" i="1"/>
  <c r="B411" i="1"/>
  <c r="A411" i="1"/>
  <c r="O408" i="1"/>
  <c r="N408" i="1"/>
  <c r="L408" i="1"/>
  <c r="K408" i="1"/>
  <c r="J408" i="1"/>
  <c r="I408" i="1"/>
  <c r="F408" i="1"/>
  <c r="C408" i="1"/>
  <c r="B408" i="1"/>
  <c r="A408" i="1"/>
  <c r="O405" i="1"/>
  <c r="N405" i="1"/>
  <c r="L405" i="1"/>
  <c r="K405" i="1"/>
  <c r="J405" i="1"/>
  <c r="I405" i="1"/>
  <c r="F405" i="1"/>
  <c r="C405" i="1"/>
  <c r="B405" i="1"/>
  <c r="A405" i="1"/>
  <c r="O402" i="1"/>
  <c r="N402" i="1"/>
  <c r="L402" i="1"/>
  <c r="K402" i="1"/>
  <c r="J402" i="1"/>
  <c r="I402" i="1"/>
  <c r="F402" i="1"/>
  <c r="C402" i="1"/>
  <c r="B402" i="1"/>
  <c r="A402" i="1"/>
  <c r="O399" i="1"/>
  <c r="N399" i="1"/>
  <c r="L399" i="1"/>
  <c r="K399" i="1"/>
  <c r="J399" i="1"/>
  <c r="I399" i="1"/>
  <c r="F399" i="1"/>
  <c r="C399" i="1"/>
  <c r="B399" i="1"/>
  <c r="A399" i="1"/>
  <c r="O396" i="1"/>
  <c r="N396" i="1"/>
  <c r="L396" i="1"/>
  <c r="K396" i="1"/>
  <c r="J396" i="1"/>
  <c r="I396" i="1"/>
  <c r="F396" i="1"/>
  <c r="C396" i="1"/>
  <c r="B396" i="1"/>
  <c r="A396" i="1"/>
  <c r="O393" i="1"/>
  <c r="N393" i="1"/>
  <c r="L393" i="1"/>
  <c r="K393" i="1"/>
  <c r="J393" i="1"/>
  <c r="I393" i="1"/>
  <c r="F393" i="1"/>
  <c r="C393" i="1"/>
  <c r="B393" i="1"/>
  <c r="A393" i="1"/>
  <c r="O390" i="1"/>
  <c r="N390" i="1"/>
  <c r="L390" i="1"/>
  <c r="K390" i="1"/>
  <c r="J390" i="1"/>
  <c r="I390" i="1"/>
  <c r="F390" i="1"/>
  <c r="C390" i="1"/>
  <c r="B390" i="1"/>
  <c r="A390" i="1"/>
  <c r="O387" i="1"/>
  <c r="N387" i="1"/>
  <c r="L387" i="1"/>
  <c r="K387" i="1"/>
  <c r="J387" i="1"/>
  <c r="I387" i="1"/>
  <c r="F387" i="1"/>
  <c r="C387" i="1"/>
  <c r="B387" i="1"/>
  <c r="A387" i="1"/>
  <c r="O384" i="1"/>
  <c r="N384" i="1"/>
  <c r="L384" i="1"/>
  <c r="K384" i="1"/>
  <c r="J384" i="1"/>
  <c r="I384" i="1"/>
  <c r="F384" i="1"/>
  <c r="C384" i="1"/>
  <c r="B384" i="1"/>
  <c r="A384" i="1"/>
  <c r="O381" i="1"/>
  <c r="N381" i="1"/>
  <c r="L381" i="1"/>
  <c r="K381" i="1"/>
  <c r="J381" i="1"/>
  <c r="I381" i="1"/>
  <c r="F381" i="1"/>
  <c r="C381" i="1"/>
  <c r="B381" i="1"/>
  <c r="A381" i="1"/>
  <c r="O378" i="1"/>
  <c r="N378" i="1"/>
  <c r="L378" i="1"/>
  <c r="K378" i="1"/>
  <c r="J378" i="1"/>
  <c r="I378" i="1"/>
  <c r="F378" i="1"/>
  <c r="C378" i="1"/>
  <c r="B378" i="1"/>
  <c r="A378" i="1"/>
  <c r="O375" i="1"/>
  <c r="N375" i="1"/>
  <c r="L375" i="1"/>
  <c r="K375" i="1"/>
  <c r="J375" i="1"/>
  <c r="I375" i="1"/>
  <c r="F375" i="1"/>
  <c r="C375" i="1"/>
  <c r="B375" i="1"/>
  <c r="A375" i="1"/>
  <c r="O372" i="1"/>
  <c r="N372" i="1"/>
  <c r="L372" i="1"/>
  <c r="K372" i="1"/>
  <c r="J372" i="1"/>
  <c r="I372" i="1"/>
  <c r="F372" i="1"/>
  <c r="C372" i="1"/>
  <c r="B372" i="1"/>
  <c r="A372" i="1"/>
  <c r="O369" i="1"/>
  <c r="N369" i="1"/>
  <c r="L369" i="1"/>
  <c r="K369" i="1"/>
  <c r="J369" i="1"/>
  <c r="I369" i="1"/>
  <c r="F369" i="1"/>
  <c r="C369" i="1"/>
  <c r="B369" i="1"/>
  <c r="A369" i="1"/>
  <c r="O366" i="1"/>
  <c r="N366" i="1"/>
  <c r="L366" i="1"/>
  <c r="K366" i="1"/>
  <c r="J366" i="1"/>
  <c r="I366" i="1"/>
  <c r="F366" i="1"/>
  <c r="C366" i="1"/>
  <c r="B366" i="1"/>
  <c r="A366" i="1"/>
  <c r="O363" i="1"/>
  <c r="N363" i="1"/>
  <c r="L363" i="1"/>
  <c r="K363" i="1"/>
  <c r="J363" i="1"/>
  <c r="I363" i="1"/>
  <c r="F363" i="1"/>
  <c r="C363" i="1"/>
  <c r="B363" i="1"/>
  <c r="A363" i="1"/>
  <c r="O360" i="1"/>
  <c r="N360" i="1"/>
  <c r="L360" i="1"/>
  <c r="K360" i="1"/>
  <c r="J360" i="1"/>
  <c r="I360" i="1"/>
  <c r="F360" i="1"/>
  <c r="C360" i="1"/>
  <c r="B360" i="1"/>
  <c r="A360" i="1"/>
  <c r="O357" i="1"/>
  <c r="N357" i="1"/>
  <c r="L357" i="1"/>
  <c r="K357" i="1"/>
  <c r="J357" i="1"/>
  <c r="I357" i="1"/>
  <c r="F357" i="1"/>
  <c r="C357" i="1"/>
  <c r="B357" i="1"/>
  <c r="A357" i="1"/>
  <c r="O354" i="1"/>
  <c r="N354" i="1"/>
  <c r="L354" i="1"/>
  <c r="K354" i="1"/>
  <c r="J354" i="1"/>
  <c r="I354" i="1"/>
  <c r="F354" i="1"/>
  <c r="C354" i="1"/>
  <c r="B354" i="1"/>
  <c r="A354" i="1"/>
  <c r="O351" i="1"/>
  <c r="N351" i="1"/>
  <c r="L351" i="1"/>
  <c r="K351" i="1"/>
  <c r="J351" i="1"/>
  <c r="I351" i="1"/>
  <c r="F351" i="1"/>
  <c r="C351" i="1"/>
  <c r="B351" i="1"/>
  <c r="A351" i="1"/>
  <c r="O348" i="1"/>
  <c r="N348" i="1"/>
  <c r="L348" i="1"/>
  <c r="K348" i="1"/>
  <c r="J348" i="1"/>
  <c r="I348" i="1"/>
  <c r="F348" i="1"/>
  <c r="C348" i="1"/>
  <c r="B348" i="1"/>
  <c r="A348" i="1"/>
  <c r="O345" i="1"/>
  <c r="N345" i="1"/>
  <c r="L345" i="1"/>
  <c r="K345" i="1"/>
  <c r="J345" i="1"/>
  <c r="I345" i="1"/>
  <c r="F345" i="1"/>
  <c r="C345" i="1"/>
  <c r="B345" i="1"/>
  <c r="A345" i="1"/>
  <c r="O342" i="1"/>
  <c r="N342" i="1"/>
  <c r="L342" i="1"/>
  <c r="K342" i="1"/>
  <c r="J342" i="1"/>
  <c r="I342" i="1"/>
  <c r="F342" i="1"/>
  <c r="C342" i="1"/>
  <c r="B342" i="1"/>
  <c r="A342" i="1"/>
  <c r="O339" i="1"/>
  <c r="N339" i="1"/>
  <c r="L339" i="1"/>
  <c r="K339" i="1"/>
  <c r="J339" i="1"/>
  <c r="I339" i="1"/>
  <c r="F339" i="1"/>
  <c r="C339" i="1"/>
  <c r="B339" i="1"/>
  <c r="A339" i="1"/>
  <c r="O336" i="1"/>
  <c r="N336" i="1"/>
  <c r="L336" i="1"/>
  <c r="K336" i="1"/>
  <c r="J336" i="1"/>
  <c r="I336" i="1"/>
  <c r="F336" i="1"/>
  <c r="C336" i="1"/>
  <c r="B336" i="1"/>
  <c r="A336" i="1"/>
  <c r="O333" i="1"/>
  <c r="N333" i="1"/>
  <c r="L333" i="1"/>
  <c r="K333" i="1"/>
  <c r="J333" i="1"/>
  <c r="I333" i="1"/>
  <c r="F333" i="1"/>
  <c r="C333" i="1"/>
  <c r="B333" i="1"/>
  <c r="A333" i="1"/>
  <c r="O330" i="1"/>
  <c r="N330" i="1"/>
  <c r="L330" i="1"/>
  <c r="K330" i="1"/>
  <c r="J330" i="1"/>
  <c r="I330" i="1"/>
  <c r="F330" i="1"/>
  <c r="C330" i="1"/>
  <c r="B330" i="1"/>
  <c r="A330" i="1"/>
  <c r="O327" i="1"/>
  <c r="N327" i="1"/>
  <c r="L327" i="1"/>
  <c r="K327" i="1"/>
  <c r="J327" i="1"/>
  <c r="I327" i="1"/>
  <c r="F327" i="1"/>
  <c r="C327" i="1"/>
  <c r="B327" i="1"/>
  <c r="A327" i="1"/>
  <c r="O324" i="1"/>
  <c r="N324" i="1"/>
  <c r="L324" i="1"/>
  <c r="K324" i="1"/>
  <c r="J324" i="1"/>
  <c r="I324" i="1"/>
  <c r="F324" i="1"/>
  <c r="C324" i="1"/>
  <c r="B324" i="1"/>
  <c r="A324" i="1"/>
  <c r="O321" i="1"/>
  <c r="N321" i="1"/>
  <c r="L321" i="1"/>
  <c r="K321" i="1"/>
  <c r="J321" i="1"/>
  <c r="I321" i="1"/>
  <c r="F321" i="1"/>
  <c r="C321" i="1"/>
  <c r="B321" i="1"/>
  <c r="A321" i="1"/>
  <c r="O318" i="1"/>
  <c r="N318" i="1"/>
  <c r="L318" i="1"/>
  <c r="K318" i="1"/>
  <c r="J318" i="1"/>
  <c r="I318" i="1"/>
  <c r="F318" i="1"/>
  <c r="C318" i="1"/>
  <c r="B318" i="1"/>
  <c r="A318" i="1"/>
  <c r="O315" i="1"/>
  <c r="N315" i="1"/>
  <c r="L315" i="1"/>
  <c r="K315" i="1"/>
  <c r="J315" i="1"/>
  <c r="I315" i="1"/>
  <c r="F315" i="1"/>
  <c r="C315" i="1"/>
  <c r="B315" i="1"/>
  <c r="A315" i="1"/>
  <c r="O312" i="1"/>
  <c r="N312" i="1"/>
  <c r="L312" i="1"/>
  <c r="K312" i="1"/>
  <c r="J312" i="1"/>
  <c r="I312" i="1"/>
  <c r="F312" i="1"/>
  <c r="C312" i="1"/>
  <c r="B312" i="1"/>
  <c r="A312" i="1"/>
  <c r="O306" i="1"/>
  <c r="N306" i="1"/>
  <c r="L306" i="1"/>
  <c r="K306" i="1"/>
  <c r="J306" i="1"/>
  <c r="I306" i="1"/>
  <c r="F306" i="1"/>
  <c r="C306" i="1"/>
  <c r="B306" i="1"/>
  <c r="A306" i="1"/>
  <c r="O303" i="1"/>
  <c r="N303" i="1"/>
  <c r="L303" i="1"/>
  <c r="K303" i="1"/>
  <c r="J303" i="1"/>
  <c r="I303" i="1"/>
  <c r="F303" i="1"/>
  <c r="C303" i="1"/>
  <c r="B303" i="1"/>
  <c r="A303" i="1"/>
  <c r="O300" i="1"/>
  <c r="N300" i="1"/>
  <c r="L300" i="1"/>
  <c r="K300" i="1"/>
  <c r="J300" i="1"/>
  <c r="I300" i="1"/>
  <c r="F300" i="1"/>
  <c r="C300" i="1"/>
  <c r="B300" i="1"/>
  <c r="A300" i="1"/>
  <c r="O297" i="1"/>
  <c r="N297" i="1"/>
  <c r="L297" i="1"/>
  <c r="K297" i="1"/>
  <c r="J297" i="1"/>
  <c r="I297" i="1"/>
  <c r="F297" i="1"/>
  <c r="C297" i="1"/>
  <c r="B297" i="1"/>
  <c r="A297" i="1"/>
  <c r="O294" i="1"/>
  <c r="N294" i="1"/>
  <c r="L294" i="1"/>
  <c r="K294" i="1"/>
  <c r="J294" i="1"/>
  <c r="I294" i="1"/>
  <c r="F294" i="1"/>
  <c r="C294" i="1"/>
  <c r="B294" i="1"/>
  <c r="A294" i="1"/>
  <c r="O291" i="1"/>
  <c r="N291" i="1"/>
  <c r="L291" i="1"/>
  <c r="K291" i="1"/>
  <c r="J291" i="1"/>
  <c r="I291" i="1"/>
  <c r="F291" i="1"/>
  <c r="C291" i="1"/>
  <c r="B291" i="1"/>
  <c r="A291" i="1"/>
  <c r="O282" i="1"/>
  <c r="N282" i="1"/>
  <c r="L282" i="1"/>
  <c r="K282" i="1"/>
  <c r="J282" i="1"/>
  <c r="I282" i="1"/>
  <c r="F282" i="1"/>
  <c r="C282" i="1"/>
  <c r="B282" i="1"/>
  <c r="A282" i="1"/>
  <c r="O276" i="1"/>
  <c r="N276" i="1"/>
  <c r="L276" i="1"/>
  <c r="K276" i="1"/>
  <c r="J276" i="1"/>
  <c r="I276" i="1"/>
  <c r="F276" i="1"/>
  <c r="C276" i="1"/>
  <c r="B276" i="1"/>
  <c r="A276" i="1"/>
  <c r="O273" i="1"/>
  <c r="N273" i="1"/>
  <c r="L273" i="1"/>
  <c r="K273" i="1"/>
  <c r="J273" i="1"/>
  <c r="I273" i="1"/>
  <c r="F273" i="1"/>
  <c r="C273" i="1"/>
  <c r="B273" i="1"/>
  <c r="A273" i="1"/>
  <c r="O270" i="1"/>
  <c r="N270" i="1"/>
  <c r="L270" i="1"/>
  <c r="K270" i="1"/>
  <c r="J270" i="1"/>
  <c r="I270" i="1"/>
  <c r="F270" i="1"/>
  <c r="C270" i="1"/>
  <c r="B270" i="1"/>
  <c r="A270" i="1"/>
  <c r="O267" i="1"/>
  <c r="N267" i="1"/>
  <c r="L267" i="1"/>
  <c r="K267" i="1"/>
  <c r="J267" i="1"/>
  <c r="I267" i="1"/>
  <c r="F267" i="1"/>
  <c r="C267" i="1"/>
  <c r="B267" i="1"/>
  <c r="A267" i="1"/>
  <c r="O264" i="1"/>
  <c r="N264" i="1"/>
  <c r="L264" i="1"/>
  <c r="K264" i="1"/>
  <c r="J264" i="1"/>
  <c r="I264" i="1"/>
  <c r="F264" i="1"/>
  <c r="C264" i="1"/>
  <c r="B264" i="1"/>
  <c r="A264" i="1"/>
  <c r="O261" i="1"/>
  <c r="N261" i="1"/>
  <c r="L261" i="1"/>
  <c r="K261" i="1"/>
  <c r="J261" i="1"/>
  <c r="I261" i="1"/>
  <c r="F261" i="1"/>
  <c r="C261" i="1"/>
  <c r="B261" i="1"/>
  <c r="A261" i="1"/>
  <c r="O258" i="1"/>
  <c r="N258" i="1"/>
  <c r="L258" i="1"/>
  <c r="K258" i="1"/>
  <c r="J258" i="1"/>
  <c r="I258" i="1"/>
  <c r="F258" i="1"/>
  <c r="C258" i="1"/>
  <c r="B258" i="1"/>
  <c r="A258" i="1"/>
  <c r="O255" i="1"/>
  <c r="N255" i="1"/>
  <c r="L255" i="1"/>
  <c r="K255" i="1"/>
  <c r="J255" i="1"/>
  <c r="I255" i="1"/>
  <c r="F255" i="1"/>
  <c r="C255" i="1"/>
  <c r="B255" i="1"/>
  <c r="A255" i="1"/>
  <c r="O252" i="1"/>
  <c r="N252" i="1"/>
  <c r="L252" i="1"/>
  <c r="K252" i="1"/>
  <c r="J252" i="1"/>
  <c r="I252" i="1"/>
  <c r="F252" i="1"/>
  <c r="C252" i="1"/>
  <c r="B252" i="1"/>
  <c r="A252" i="1"/>
  <c r="O249" i="1"/>
  <c r="N249" i="1"/>
  <c r="L249" i="1"/>
  <c r="K249" i="1"/>
  <c r="J249" i="1"/>
  <c r="I249" i="1"/>
  <c r="F249" i="1"/>
  <c r="C249" i="1"/>
  <c r="B249" i="1"/>
  <c r="A249" i="1"/>
  <c r="O246" i="1"/>
  <c r="N246" i="1"/>
  <c r="L246" i="1"/>
  <c r="K246" i="1"/>
  <c r="J246" i="1"/>
  <c r="I246" i="1"/>
  <c r="F246" i="1"/>
  <c r="C246" i="1"/>
  <c r="B246" i="1"/>
  <c r="A246" i="1"/>
  <c r="O243" i="1"/>
  <c r="N243" i="1"/>
  <c r="L243" i="1"/>
  <c r="K243" i="1"/>
  <c r="J243" i="1"/>
  <c r="I243" i="1"/>
  <c r="F243" i="1"/>
  <c r="C243" i="1"/>
  <c r="B243" i="1"/>
  <c r="A243" i="1"/>
  <c r="O234" i="1"/>
  <c r="N234" i="1"/>
  <c r="L234" i="1"/>
  <c r="K234" i="1"/>
  <c r="J234" i="1"/>
  <c r="I234" i="1"/>
  <c r="F234" i="1"/>
  <c r="C234" i="1"/>
  <c r="B234" i="1"/>
  <c r="A234" i="1"/>
  <c r="O231" i="1"/>
  <c r="N231" i="1"/>
  <c r="L231" i="1"/>
  <c r="K231" i="1"/>
  <c r="J231" i="1"/>
  <c r="I231" i="1"/>
  <c r="F231" i="1"/>
  <c r="C231" i="1"/>
  <c r="B231" i="1"/>
  <c r="A231" i="1"/>
  <c r="O228" i="1"/>
  <c r="N228" i="1"/>
  <c r="L228" i="1"/>
  <c r="K228" i="1"/>
  <c r="J228" i="1"/>
  <c r="I228" i="1"/>
  <c r="F228" i="1"/>
  <c r="C228" i="1"/>
  <c r="B228" i="1"/>
  <c r="A228" i="1"/>
  <c r="O225" i="1"/>
  <c r="N225" i="1"/>
  <c r="L225" i="1"/>
  <c r="K225" i="1"/>
  <c r="J225" i="1"/>
  <c r="I225" i="1"/>
  <c r="F225" i="1"/>
  <c r="C225" i="1"/>
  <c r="B225" i="1"/>
  <c r="A225" i="1"/>
  <c r="O222" i="1"/>
  <c r="N222" i="1"/>
  <c r="L222" i="1"/>
  <c r="K222" i="1"/>
  <c r="J222" i="1"/>
  <c r="I222" i="1"/>
  <c r="F222" i="1"/>
  <c r="C222" i="1"/>
  <c r="B222" i="1"/>
  <c r="A222" i="1"/>
  <c r="O219" i="1"/>
  <c r="N219" i="1"/>
  <c r="L219" i="1"/>
  <c r="K219" i="1"/>
  <c r="J219" i="1"/>
  <c r="I219" i="1"/>
  <c r="F219" i="1"/>
  <c r="C219" i="1"/>
  <c r="B219" i="1"/>
  <c r="A219" i="1"/>
  <c r="O216" i="1"/>
  <c r="N216" i="1"/>
  <c r="L216" i="1"/>
  <c r="K216" i="1"/>
  <c r="J216" i="1"/>
  <c r="I216" i="1"/>
  <c r="F216" i="1"/>
  <c r="C216" i="1"/>
  <c r="B216" i="1"/>
  <c r="A216" i="1"/>
  <c r="O213" i="1"/>
  <c r="N213" i="1"/>
  <c r="L213" i="1"/>
  <c r="K213" i="1"/>
  <c r="J213" i="1"/>
  <c r="I213" i="1"/>
  <c r="F213" i="1"/>
  <c r="C213" i="1"/>
  <c r="B213" i="1"/>
  <c r="A213" i="1"/>
  <c r="O210" i="1"/>
  <c r="N210" i="1"/>
  <c r="L210" i="1"/>
  <c r="K210" i="1"/>
  <c r="J210" i="1"/>
  <c r="I210" i="1"/>
  <c r="F210" i="1"/>
  <c r="C210" i="1"/>
  <c r="B210" i="1"/>
  <c r="A210" i="1"/>
  <c r="O207" i="1"/>
  <c r="N207" i="1"/>
  <c r="L207" i="1"/>
  <c r="K207" i="1"/>
  <c r="J207" i="1"/>
  <c r="I207" i="1"/>
  <c r="F207" i="1"/>
  <c r="C207" i="1"/>
  <c r="B207" i="1"/>
  <c r="A207" i="1"/>
  <c r="O204" i="1"/>
  <c r="N204" i="1"/>
  <c r="L204" i="1"/>
  <c r="K204" i="1"/>
  <c r="J204" i="1"/>
  <c r="I204" i="1"/>
  <c r="F204" i="1"/>
  <c r="C204" i="1"/>
  <c r="B204" i="1"/>
  <c r="A204" i="1"/>
  <c r="O201" i="1"/>
  <c r="N201" i="1"/>
  <c r="L201" i="1"/>
  <c r="K201" i="1"/>
  <c r="J201" i="1"/>
  <c r="I201" i="1"/>
  <c r="F201" i="1"/>
  <c r="C201" i="1"/>
  <c r="B201" i="1"/>
  <c r="A201" i="1"/>
  <c r="O198" i="1"/>
  <c r="N198" i="1"/>
  <c r="L198" i="1"/>
  <c r="K198" i="1"/>
  <c r="J198" i="1"/>
  <c r="I198" i="1"/>
  <c r="F198" i="1"/>
  <c r="C198" i="1"/>
  <c r="B198" i="1"/>
  <c r="A198" i="1"/>
  <c r="O195" i="1"/>
  <c r="N195" i="1"/>
  <c r="L195" i="1"/>
  <c r="K195" i="1"/>
  <c r="J195" i="1"/>
  <c r="I195" i="1"/>
  <c r="F195" i="1"/>
  <c r="C195" i="1"/>
  <c r="B195" i="1"/>
  <c r="A195" i="1"/>
  <c r="O192" i="1"/>
  <c r="N192" i="1"/>
  <c r="L192" i="1"/>
  <c r="K192" i="1"/>
  <c r="J192" i="1"/>
  <c r="I192" i="1"/>
  <c r="F192" i="1"/>
  <c r="C192" i="1"/>
  <c r="B192" i="1"/>
  <c r="A192" i="1"/>
  <c r="O189" i="1"/>
  <c r="N189" i="1"/>
  <c r="L189" i="1"/>
  <c r="K189" i="1"/>
  <c r="J189" i="1"/>
  <c r="I189" i="1"/>
  <c r="F189" i="1"/>
  <c r="C189" i="1"/>
  <c r="B189" i="1"/>
  <c r="A189" i="1"/>
  <c r="O186" i="1"/>
  <c r="N186" i="1"/>
  <c r="L186" i="1"/>
  <c r="K186" i="1"/>
  <c r="J186" i="1"/>
  <c r="I186" i="1"/>
  <c r="F186" i="1"/>
  <c r="C186" i="1"/>
  <c r="B186" i="1"/>
  <c r="A186" i="1"/>
  <c r="O183" i="1"/>
  <c r="N183" i="1"/>
  <c r="L183" i="1"/>
  <c r="K183" i="1"/>
  <c r="J183" i="1"/>
  <c r="I183" i="1"/>
  <c r="F183" i="1"/>
  <c r="C183" i="1"/>
  <c r="B183" i="1"/>
  <c r="A183" i="1"/>
  <c r="O180" i="1"/>
  <c r="N180" i="1"/>
  <c r="L180" i="1"/>
  <c r="K180" i="1"/>
  <c r="J180" i="1"/>
  <c r="I180" i="1"/>
  <c r="F180" i="1"/>
  <c r="C180" i="1"/>
  <c r="B180" i="1"/>
  <c r="A180" i="1"/>
  <c r="O177" i="1"/>
  <c r="N177" i="1"/>
  <c r="L177" i="1"/>
  <c r="K177" i="1"/>
  <c r="J177" i="1"/>
  <c r="I177" i="1"/>
  <c r="F177" i="1"/>
  <c r="C177" i="1"/>
  <c r="B177" i="1"/>
  <c r="A177" i="1"/>
  <c r="O165" i="1"/>
  <c r="N165" i="1"/>
  <c r="L165" i="1"/>
  <c r="K165" i="1"/>
  <c r="J165" i="1"/>
  <c r="I165" i="1"/>
  <c r="F165" i="1"/>
  <c r="C165" i="1"/>
  <c r="B165" i="1"/>
  <c r="A165" i="1"/>
  <c r="O162" i="1"/>
  <c r="N162" i="1"/>
  <c r="L162" i="1"/>
  <c r="K162" i="1"/>
  <c r="J162" i="1"/>
  <c r="I162" i="1"/>
  <c r="F162" i="1"/>
  <c r="C162" i="1"/>
  <c r="B162" i="1"/>
  <c r="A162" i="1"/>
  <c r="O159" i="1"/>
  <c r="N159" i="1"/>
  <c r="L159" i="1"/>
  <c r="K159" i="1"/>
  <c r="J159" i="1"/>
  <c r="I159" i="1"/>
  <c r="F159" i="1"/>
  <c r="C159" i="1"/>
  <c r="B159" i="1"/>
  <c r="A159" i="1"/>
  <c r="O156" i="1"/>
  <c r="N156" i="1"/>
  <c r="L156" i="1"/>
  <c r="K156" i="1"/>
  <c r="J156" i="1"/>
  <c r="I156" i="1"/>
  <c r="F156" i="1"/>
  <c r="C156" i="1"/>
  <c r="B156" i="1"/>
  <c r="A156" i="1"/>
  <c r="O153" i="1"/>
  <c r="N153" i="1"/>
  <c r="L153" i="1"/>
  <c r="K153" i="1"/>
  <c r="J153" i="1"/>
  <c r="I153" i="1"/>
  <c r="F153" i="1"/>
  <c r="C153" i="1"/>
  <c r="B153" i="1"/>
  <c r="A153" i="1"/>
  <c r="O150" i="1"/>
  <c r="N150" i="1"/>
  <c r="L150" i="1"/>
  <c r="K150" i="1"/>
  <c r="J150" i="1"/>
  <c r="I150" i="1"/>
  <c r="F150" i="1"/>
  <c r="C150" i="1"/>
  <c r="B150" i="1"/>
  <c r="A150" i="1"/>
  <c r="O147" i="1"/>
  <c r="N147" i="1"/>
  <c r="L147" i="1"/>
  <c r="K147" i="1"/>
  <c r="J147" i="1"/>
  <c r="I147" i="1"/>
  <c r="F147" i="1"/>
  <c r="C147" i="1"/>
  <c r="B147" i="1"/>
  <c r="A147" i="1"/>
  <c r="O144" i="1"/>
  <c r="N144" i="1"/>
  <c r="L144" i="1"/>
  <c r="K144" i="1"/>
  <c r="J144" i="1"/>
  <c r="I144" i="1"/>
  <c r="F144" i="1"/>
  <c r="C144" i="1"/>
  <c r="B144" i="1"/>
  <c r="A144" i="1"/>
  <c r="O141" i="1"/>
  <c r="N141" i="1"/>
  <c r="L141" i="1"/>
  <c r="K141" i="1"/>
  <c r="J141" i="1"/>
  <c r="I141" i="1"/>
  <c r="F141" i="1"/>
  <c r="C141" i="1"/>
  <c r="B141" i="1"/>
  <c r="A141" i="1"/>
  <c r="O138" i="1"/>
  <c r="N138" i="1"/>
  <c r="L138" i="1"/>
  <c r="K138" i="1"/>
  <c r="J138" i="1"/>
  <c r="I138" i="1"/>
  <c r="F138" i="1"/>
  <c r="C138" i="1"/>
  <c r="B138" i="1"/>
  <c r="A138" i="1"/>
  <c r="O135" i="1"/>
  <c r="N135" i="1"/>
  <c r="L135" i="1"/>
  <c r="K135" i="1"/>
  <c r="J135" i="1"/>
  <c r="I135" i="1"/>
  <c r="F135" i="1"/>
  <c r="C135" i="1"/>
  <c r="B135" i="1"/>
  <c r="A135" i="1"/>
  <c r="O132" i="1"/>
  <c r="N132" i="1"/>
  <c r="L132" i="1"/>
  <c r="K132" i="1"/>
  <c r="J132" i="1"/>
  <c r="I132" i="1"/>
  <c r="F132" i="1"/>
  <c r="C132" i="1"/>
  <c r="B132" i="1"/>
  <c r="A132" i="1"/>
  <c r="O129" i="1"/>
  <c r="N129" i="1"/>
  <c r="L129" i="1"/>
  <c r="K129" i="1"/>
  <c r="J129" i="1"/>
  <c r="I129" i="1"/>
  <c r="F129" i="1"/>
  <c r="C129" i="1"/>
  <c r="B129" i="1"/>
  <c r="A129" i="1"/>
  <c r="O126" i="1"/>
  <c r="N126" i="1"/>
  <c r="L126" i="1"/>
  <c r="K126" i="1"/>
  <c r="J126" i="1"/>
  <c r="I126" i="1"/>
  <c r="F126" i="1"/>
  <c r="C126" i="1"/>
  <c r="B126" i="1"/>
  <c r="A126" i="1"/>
  <c r="O123" i="1"/>
  <c r="N123" i="1"/>
  <c r="L123" i="1"/>
  <c r="K123" i="1"/>
  <c r="J123" i="1"/>
  <c r="I123" i="1"/>
  <c r="F123" i="1"/>
  <c r="C123" i="1"/>
  <c r="B123" i="1"/>
  <c r="A123" i="1"/>
  <c r="O120" i="1"/>
  <c r="N120" i="1"/>
  <c r="L120" i="1"/>
  <c r="K120" i="1"/>
  <c r="J120" i="1"/>
  <c r="I120" i="1"/>
  <c r="F120" i="1"/>
  <c r="C120" i="1"/>
  <c r="B120" i="1"/>
  <c r="A120" i="1"/>
  <c r="O117" i="1"/>
  <c r="N117" i="1"/>
  <c r="L117" i="1"/>
  <c r="K117" i="1"/>
  <c r="J117" i="1"/>
  <c r="I117" i="1"/>
  <c r="F117" i="1"/>
  <c r="C117" i="1"/>
  <c r="B117" i="1"/>
  <c r="A117" i="1"/>
  <c r="O114" i="1"/>
  <c r="N114" i="1"/>
  <c r="L114" i="1"/>
  <c r="K114" i="1"/>
  <c r="J114" i="1"/>
  <c r="I114" i="1"/>
  <c r="F114" i="1"/>
  <c r="C114" i="1"/>
  <c r="B114" i="1"/>
  <c r="A114" i="1"/>
  <c r="O111" i="1"/>
  <c r="N111" i="1"/>
  <c r="L111" i="1"/>
  <c r="K111" i="1"/>
  <c r="J111" i="1"/>
  <c r="I111" i="1"/>
  <c r="F111" i="1"/>
  <c r="C111" i="1"/>
  <c r="B111" i="1"/>
  <c r="A111" i="1"/>
  <c r="O108" i="1"/>
  <c r="N108" i="1"/>
  <c r="L108" i="1"/>
  <c r="K108" i="1"/>
  <c r="J108" i="1"/>
  <c r="I108" i="1"/>
  <c r="F108" i="1"/>
  <c r="C108" i="1"/>
  <c r="B108" i="1"/>
  <c r="A108" i="1"/>
  <c r="O105" i="1"/>
  <c r="N105" i="1"/>
  <c r="L105" i="1"/>
  <c r="K105" i="1"/>
  <c r="J105" i="1"/>
  <c r="I105" i="1"/>
  <c r="F105" i="1"/>
  <c r="C105" i="1"/>
  <c r="B105" i="1"/>
  <c r="A105" i="1"/>
  <c r="O102" i="1"/>
  <c r="N102" i="1"/>
  <c r="L102" i="1"/>
  <c r="K102" i="1"/>
  <c r="J102" i="1"/>
  <c r="I102" i="1"/>
  <c r="F102" i="1"/>
  <c r="C102" i="1"/>
  <c r="B102" i="1"/>
  <c r="A102" i="1"/>
  <c r="O99" i="1"/>
  <c r="N99" i="1"/>
  <c r="L99" i="1"/>
  <c r="K99" i="1"/>
  <c r="J99" i="1"/>
  <c r="I99" i="1"/>
  <c r="F99" i="1"/>
  <c r="C99" i="1"/>
  <c r="B99" i="1"/>
  <c r="A99" i="1"/>
  <c r="O96" i="1"/>
  <c r="N96" i="1"/>
  <c r="L96" i="1"/>
  <c r="K96" i="1"/>
  <c r="J96" i="1"/>
  <c r="I96" i="1"/>
  <c r="F96" i="1"/>
  <c r="C96" i="1"/>
  <c r="B96" i="1"/>
  <c r="A96" i="1"/>
  <c r="O93" i="1"/>
  <c r="N93" i="1"/>
  <c r="L93" i="1"/>
  <c r="K93" i="1"/>
  <c r="J93" i="1"/>
  <c r="I93" i="1"/>
  <c r="F93" i="1"/>
  <c r="C93" i="1"/>
  <c r="B93" i="1"/>
  <c r="A93" i="1"/>
  <c r="O90" i="1"/>
  <c r="N90" i="1"/>
  <c r="L90" i="1"/>
  <c r="K90" i="1"/>
  <c r="J90" i="1"/>
  <c r="I90" i="1"/>
  <c r="F90" i="1"/>
  <c r="C90" i="1"/>
  <c r="B90" i="1"/>
  <c r="A90" i="1"/>
  <c r="O87" i="1"/>
  <c r="N87" i="1"/>
  <c r="L87" i="1"/>
  <c r="K87" i="1"/>
  <c r="J87" i="1"/>
  <c r="I87" i="1"/>
  <c r="F87" i="1"/>
  <c r="C87" i="1"/>
  <c r="B87" i="1"/>
  <c r="A87" i="1"/>
  <c r="O84" i="1"/>
  <c r="N84" i="1"/>
  <c r="L84" i="1"/>
  <c r="K84" i="1"/>
  <c r="J84" i="1"/>
  <c r="I84" i="1"/>
  <c r="F84" i="1"/>
  <c r="C84" i="1"/>
  <c r="B84" i="1"/>
  <c r="A84" i="1"/>
  <c r="O81" i="1"/>
  <c r="N81" i="1"/>
  <c r="L81" i="1"/>
  <c r="K81" i="1"/>
  <c r="J81" i="1"/>
  <c r="I81" i="1"/>
  <c r="F81" i="1"/>
  <c r="C81" i="1"/>
  <c r="B81" i="1"/>
  <c r="A81" i="1"/>
  <c r="O78" i="1"/>
  <c r="N78" i="1"/>
  <c r="L78" i="1"/>
  <c r="K78" i="1"/>
  <c r="J78" i="1"/>
  <c r="I78" i="1"/>
  <c r="F78" i="1"/>
  <c r="C78" i="1"/>
  <c r="B78" i="1"/>
  <c r="A78" i="1"/>
  <c r="O75" i="1"/>
  <c r="N75" i="1"/>
  <c r="L75" i="1"/>
  <c r="K75" i="1"/>
  <c r="J75" i="1"/>
  <c r="I75" i="1"/>
  <c r="F75" i="1"/>
  <c r="C75" i="1"/>
  <c r="B75" i="1"/>
  <c r="A75" i="1"/>
  <c r="O72" i="1"/>
  <c r="N72" i="1"/>
  <c r="L72" i="1"/>
  <c r="K72" i="1"/>
  <c r="J72" i="1"/>
  <c r="I72" i="1"/>
  <c r="F72" i="1"/>
  <c r="C72" i="1"/>
  <c r="B72" i="1"/>
  <c r="A72" i="1"/>
  <c r="O69" i="1"/>
  <c r="N69" i="1"/>
  <c r="L69" i="1"/>
  <c r="K69" i="1"/>
  <c r="J69" i="1"/>
  <c r="I69" i="1"/>
  <c r="F69" i="1"/>
  <c r="C69" i="1"/>
  <c r="B69" i="1"/>
  <c r="A69" i="1"/>
  <c r="O66" i="1"/>
  <c r="N66" i="1"/>
  <c r="L66" i="1"/>
  <c r="K66" i="1"/>
  <c r="J66" i="1"/>
  <c r="I66" i="1"/>
  <c r="F66" i="1"/>
  <c r="C66" i="1"/>
  <c r="B66" i="1"/>
  <c r="A66" i="1"/>
  <c r="O63" i="1"/>
  <c r="N63" i="1"/>
  <c r="L63" i="1"/>
  <c r="K63" i="1"/>
  <c r="J63" i="1"/>
  <c r="I63" i="1"/>
  <c r="F63" i="1"/>
  <c r="C63" i="1"/>
  <c r="B63" i="1"/>
  <c r="A63" i="1"/>
  <c r="O60" i="1"/>
  <c r="N60" i="1"/>
  <c r="L60" i="1"/>
  <c r="K60" i="1"/>
  <c r="J60" i="1"/>
  <c r="I60" i="1"/>
  <c r="F60" i="1"/>
  <c r="C60" i="1"/>
  <c r="B60" i="1"/>
  <c r="A60" i="1"/>
  <c r="O57" i="1"/>
  <c r="N57" i="1"/>
  <c r="L57" i="1"/>
  <c r="K57" i="1"/>
  <c r="J57" i="1"/>
  <c r="I57" i="1"/>
  <c r="F57" i="1"/>
  <c r="C57" i="1"/>
  <c r="B57" i="1"/>
  <c r="A57" i="1"/>
  <c r="O54" i="1"/>
  <c r="N54" i="1"/>
  <c r="L54" i="1"/>
  <c r="K54" i="1"/>
  <c r="J54" i="1"/>
  <c r="I54" i="1"/>
  <c r="F54" i="1"/>
  <c r="C54" i="1"/>
  <c r="B54" i="1"/>
  <c r="A54" i="1"/>
  <c r="O51" i="1"/>
  <c r="N51" i="1"/>
  <c r="L51" i="1"/>
  <c r="K51" i="1"/>
  <c r="J51" i="1"/>
  <c r="I51" i="1"/>
  <c r="F51" i="1"/>
  <c r="C51" i="1"/>
  <c r="B51" i="1"/>
  <c r="A51" i="1"/>
  <c r="O48" i="1"/>
  <c r="N48" i="1"/>
  <c r="L48" i="1"/>
  <c r="K48" i="1"/>
  <c r="J48" i="1"/>
  <c r="I48" i="1"/>
  <c r="F48" i="1"/>
  <c r="C48" i="1"/>
  <c r="B48" i="1"/>
  <c r="A48" i="1"/>
  <c r="O45" i="1"/>
  <c r="N45" i="1"/>
  <c r="L45" i="1"/>
  <c r="K45" i="1"/>
  <c r="J45" i="1"/>
  <c r="I45" i="1"/>
  <c r="F45" i="1"/>
  <c r="C45" i="1"/>
  <c r="B45" i="1"/>
  <c r="A45" i="1"/>
  <c r="O42" i="1"/>
  <c r="N42" i="1"/>
  <c r="L42" i="1"/>
  <c r="K42" i="1"/>
  <c r="J42" i="1"/>
  <c r="I42" i="1"/>
  <c r="F42" i="1"/>
  <c r="C42" i="1"/>
  <c r="B42" i="1"/>
  <c r="A42" i="1"/>
  <c r="O39" i="1"/>
  <c r="N39" i="1"/>
  <c r="L39" i="1"/>
  <c r="K39" i="1"/>
  <c r="J39" i="1"/>
  <c r="I39" i="1"/>
  <c r="F39" i="1"/>
  <c r="C39" i="1"/>
  <c r="B39" i="1"/>
  <c r="A39" i="1"/>
  <c r="O36" i="1"/>
  <c r="N36" i="1"/>
  <c r="L36" i="1"/>
  <c r="K36" i="1"/>
  <c r="J36" i="1"/>
  <c r="I36" i="1"/>
  <c r="F36" i="1"/>
  <c r="C36" i="1"/>
  <c r="B36" i="1"/>
  <c r="A36" i="1"/>
  <c r="O33" i="1"/>
  <c r="N33" i="1"/>
  <c r="L33" i="1"/>
  <c r="K33" i="1"/>
  <c r="J33" i="1"/>
  <c r="I33" i="1"/>
  <c r="F33" i="1"/>
  <c r="C33" i="1"/>
  <c r="B33" i="1"/>
  <c r="A33" i="1"/>
  <c r="O30" i="1"/>
  <c r="N30" i="1"/>
  <c r="L30" i="1"/>
  <c r="K30" i="1"/>
  <c r="J30" i="1"/>
  <c r="I30" i="1"/>
  <c r="F30" i="1"/>
  <c r="C30" i="1"/>
  <c r="B30" i="1"/>
  <c r="A30" i="1"/>
  <c r="O27" i="1"/>
  <c r="N27" i="1"/>
  <c r="L27" i="1"/>
  <c r="K27" i="1"/>
  <c r="J27" i="1"/>
  <c r="I27" i="1"/>
  <c r="F27" i="1"/>
  <c r="C27" i="1"/>
  <c r="B27" i="1"/>
  <c r="A27" i="1"/>
  <c r="O24" i="1"/>
  <c r="N24" i="1"/>
  <c r="L24" i="1"/>
  <c r="K24" i="1"/>
  <c r="J24" i="1"/>
  <c r="I24" i="1"/>
  <c r="F24" i="1"/>
  <c r="C24" i="1"/>
  <c r="B24" i="1"/>
  <c r="A24" i="1"/>
  <c r="O21" i="1"/>
  <c r="N21" i="1"/>
  <c r="L21" i="1"/>
  <c r="K21" i="1"/>
  <c r="J21" i="1"/>
  <c r="I21" i="1"/>
  <c r="F21" i="1"/>
  <c r="C21" i="1"/>
  <c r="B21" i="1"/>
  <c r="A21" i="1"/>
  <c r="O18" i="1"/>
  <c r="N18" i="1"/>
  <c r="L18" i="1"/>
  <c r="K18" i="1"/>
  <c r="J18" i="1"/>
  <c r="I18" i="1"/>
  <c r="F18" i="1"/>
  <c r="C18" i="1"/>
  <c r="B18" i="1"/>
  <c r="A18" i="1"/>
  <c r="O15" i="1"/>
  <c r="S15" i="1" s="1"/>
  <c r="N15" i="1"/>
  <c r="L15" i="1"/>
  <c r="K15" i="1"/>
  <c r="P15" i="1" s="1"/>
  <c r="J15" i="1"/>
  <c r="I15" i="1"/>
  <c r="F15" i="1"/>
  <c r="C15" i="1"/>
  <c r="B15" i="1"/>
  <c r="A15" i="1"/>
  <c r="O12" i="1"/>
  <c r="R12" i="1" s="1"/>
  <c r="N12" i="1"/>
  <c r="L12" i="1"/>
  <c r="K12" i="1"/>
  <c r="Q12" i="1" s="1"/>
  <c r="J12" i="1"/>
  <c r="I12" i="1"/>
  <c r="F12" i="1"/>
  <c r="C12" i="1"/>
  <c r="B12" i="1"/>
  <c r="A12" i="1"/>
  <c r="O9" i="1"/>
  <c r="R9" i="1" s="1"/>
  <c r="N9" i="1"/>
  <c r="L9" i="1"/>
  <c r="K9" i="1"/>
  <c r="P9" i="1" s="1"/>
  <c r="J9" i="1"/>
  <c r="I9" i="1"/>
  <c r="F9" i="1"/>
  <c r="C9" i="1"/>
  <c r="B9" i="1"/>
  <c r="A9" i="1"/>
  <c r="L6" i="1"/>
  <c r="J6" i="1"/>
  <c r="I6" i="1"/>
  <c r="F6" i="1"/>
  <c r="C6" i="1"/>
  <c r="B6" i="1"/>
  <c r="A6" i="1"/>
  <c r="K6" i="1"/>
  <c r="N6" i="1"/>
  <c r="O6" i="1"/>
  <c r="A33" i="22"/>
  <c r="A35" i="22"/>
  <c r="A32" i="22"/>
  <c r="A31" i="22"/>
  <c r="C33" i="22"/>
  <c r="C29" i="22"/>
  <c r="D12" i="22"/>
  <c r="J38" i="25"/>
  <c r="J37" i="25"/>
  <c r="K36" i="25"/>
  <c r="K35" i="25"/>
  <c r="J34" i="25"/>
  <c r="J6" i="25"/>
  <c r="K7" i="25"/>
  <c r="J24" i="25"/>
  <c r="J23" i="25"/>
  <c r="J22" i="25"/>
  <c r="J21" i="25"/>
  <c r="J20" i="25"/>
  <c r="J19" i="25"/>
  <c r="P20" i="20"/>
  <c r="P16" i="20"/>
  <c r="P12" i="20"/>
  <c r="P39" i="20"/>
  <c r="P35" i="20"/>
  <c r="C41" i="20"/>
  <c r="C37" i="20"/>
  <c r="C33" i="20"/>
  <c r="C18" i="20"/>
  <c r="C14" i="20"/>
  <c r="I8" i="25"/>
  <c r="K9" i="25"/>
  <c r="J10" i="25"/>
  <c r="I10" i="25"/>
  <c r="B18" i="14"/>
  <c r="C32" i="22"/>
  <c r="C28" i="22"/>
  <c r="B34" i="22"/>
  <c r="I37" i="25"/>
  <c r="J36" i="25"/>
  <c r="J35" i="25"/>
  <c r="I34" i="25"/>
  <c r="I6" i="25"/>
  <c r="J7" i="25"/>
  <c r="I24" i="25"/>
  <c r="I23" i="25"/>
  <c r="I22" i="25"/>
  <c r="I21" i="25"/>
  <c r="I20" i="25"/>
  <c r="I19" i="25"/>
  <c r="P19" i="20"/>
  <c r="P15" i="20"/>
  <c r="P11" i="20"/>
  <c r="P38" i="20"/>
  <c r="P34" i="20"/>
  <c r="C40" i="20"/>
  <c r="C36" i="20"/>
  <c r="C32" i="20"/>
  <c r="C17" i="20"/>
  <c r="C13" i="20"/>
  <c r="B22" i="14"/>
  <c r="I9" i="25"/>
  <c r="L8" i="25"/>
  <c r="J9" i="25"/>
  <c r="B20" i="14"/>
  <c r="I35" i="25"/>
  <c r="L24" i="25"/>
  <c r="L22" i="25"/>
  <c r="L20" i="25"/>
  <c r="L19" i="25"/>
  <c r="P18" i="20"/>
  <c r="P41" i="20"/>
  <c r="P37" i="20"/>
  <c r="C39" i="20"/>
  <c r="C35" i="20"/>
  <c r="C16" i="20"/>
  <c r="L10" i="25"/>
  <c r="J8" i="25"/>
  <c r="K8" i="25"/>
  <c r="B19" i="14"/>
  <c r="C30" i="22"/>
  <c r="K37" i="25"/>
  <c r="K6" i="25"/>
  <c r="K23" i="25"/>
  <c r="K20" i="25"/>
  <c r="P13" i="20"/>
  <c r="C38" i="20"/>
  <c r="C15" i="20"/>
  <c r="J11" i="25"/>
  <c r="I38" i="25"/>
  <c r="C31" i="22"/>
  <c r="L38" i="25"/>
  <c r="L37" i="25"/>
  <c r="L34" i="25"/>
  <c r="I36" i="25"/>
  <c r="L6" i="25"/>
  <c r="L7" i="25"/>
  <c r="L23" i="25"/>
  <c r="L21" i="25"/>
  <c r="D23" i="22"/>
  <c r="P14" i="20"/>
  <c r="P33" i="20"/>
  <c r="C20" i="20"/>
  <c r="C12" i="20"/>
  <c r="K11" i="25"/>
  <c r="B21" i="14"/>
  <c r="C35" i="22"/>
  <c r="D13" i="22"/>
  <c r="L36" i="25"/>
  <c r="K34" i="25"/>
  <c r="K24" i="25"/>
  <c r="K22" i="25"/>
  <c r="K19" i="25"/>
  <c r="P17" i="20"/>
  <c r="P36" i="20"/>
  <c r="C34" i="20"/>
  <c r="C11" i="20"/>
  <c r="K10" i="25"/>
  <c r="B17" i="14"/>
  <c r="C27" i="22"/>
  <c r="K38" i="25"/>
  <c r="L35" i="25"/>
  <c r="I7" i="25"/>
  <c r="K21" i="25"/>
  <c r="L11" i="25"/>
  <c r="P40" i="20"/>
  <c r="P32" i="20"/>
  <c r="C19" i="20"/>
  <c r="L9" i="25"/>
  <c r="I11" i="25"/>
  <c r="S12" i="1" l="1"/>
  <c r="S9" i="1"/>
  <c r="R15" i="1"/>
  <c r="Q15" i="1"/>
  <c r="P12" i="1"/>
  <c r="Q9" i="1"/>
  <c r="B31" i="22"/>
  <c r="U541" i="2"/>
  <c r="Q541" i="2"/>
  <c r="R541" i="2"/>
  <c r="S541" i="2"/>
  <c r="T541" i="2"/>
  <c r="V541" i="2"/>
  <c r="W541" i="2"/>
  <c r="X541" i="2"/>
  <c r="Y541" i="2"/>
  <c r="Z541" i="2"/>
  <c r="AA541" i="2"/>
  <c r="AB541" i="2"/>
  <c r="AC541" i="2"/>
  <c r="AD541" i="2"/>
  <c r="Q542" i="2"/>
  <c r="R542" i="2"/>
  <c r="S542" i="2"/>
  <c r="T542" i="2"/>
  <c r="U542" i="2"/>
  <c r="V542" i="2"/>
  <c r="W542" i="2"/>
  <c r="X542" i="2"/>
  <c r="Y542" i="2"/>
  <c r="Z542" i="2"/>
  <c r="AA542" i="2"/>
  <c r="AB542" i="2"/>
  <c r="AC542" i="2"/>
  <c r="AD542" i="2"/>
  <c r="Q543" i="2"/>
  <c r="R543" i="2"/>
  <c r="S543" i="2"/>
  <c r="T543" i="2"/>
  <c r="U543" i="2"/>
  <c r="V543" i="2"/>
  <c r="W543" i="2"/>
  <c r="X543" i="2"/>
  <c r="Y543" i="2"/>
  <c r="Z543" i="2"/>
  <c r="AA543" i="2"/>
  <c r="AB543" i="2"/>
  <c r="AC543" i="2"/>
  <c r="AD543" i="2"/>
  <c r="Q544" i="2"/>
  <c r="R544" i="2"/>
  <c r="S544" i="2"/>
  <c r="T544" i="2"/>
  <c r="U544" i="2"/>
  <c r="V544" i="2"/>
  <c r="W544" i="2"/>
  <c r="X544" i="2"/>
  <c r="Y544" i="2"/>
  <c r="Z544" i="2"/>
  <c r="AA544" i="2"/>
  <c r="AB544" i="2"/>
  <c r="AC544" i="2"/>
  <c r="AD544" i="2"/>
  <c r="Q545" i="2"/>
  <c r="R545" i="2"/>
  <c r="S545" i="2"/>
  <c r="T545" i="2"/>
  <c r="U545" i="2"/>
  <c r="V545" i="2"/>
  <c r="W545" i="2"/>
  <c r="X545" i="2"/>
  <c r="Y545" i="2"/>
  <c r="Z545" i="2"/>
  <c r="AA545" i="2"/>
  <c r="AB545" i="2"/>
  <c r="AC545" i="2"/>
  <c r="AD545" i="2"/>
  <c r="Q546" i="2"/>
  <c r="R546" i="2"/>
  <c r="S546" i="2"/>
  <c r="T546" i="2"/>
  <c r="U546" i="2"/>
  <c r="V546" i="2"/>
  <c r="W546" i="2"/>
  <c r="X546" i="2"/>
  <c r="Y546" i="2"/>
  <c r="Z546" i="2"/>
  <c r="AA546" i="2"/>
  <c r="AB546" i="2"/>
  <c r="AC546" i="2"/>
  <c r="AD546" i="2"/>
  <c r="Q547" i="2"/>
  <c r="R547" i="2"/>
  <c r="S547" i="2"/>
  <c r="T547" i="2"/>
  <c r="U547" i="2"/>
  <c r="V547" i="2"/>
  <c r="W547" i="2"/>
  <c r="X547" i="2"/>
  <c r="Y547" i="2"/>
  <c r="Z547" i="2"/>
  <c r="AA547" i="2"/>
  <c r="AB547" i="2"/>
  <c r="AC547" i="2"/>
  <c r="AD547" i="2"/>
  <c r="Q548" i="2"/>
  <c r="R548" i="2"/>
  <c r="S548" i="2"/>
  <c r="T548" i="2"/>
  <c r="U548" i="2"/>
  <c r="V548" i="2"/>
  <c r="W548" i="2"/>
  <c r="X548" i="2"/>
  <c r="Y548" i="2"/>
  <c r="Z548" i="2"/>
  <c r="AA548" i="2"/>
  <c r="AB548" i="2"/>
  <c r="AC548" i="2"/>
  <c r="AD548" i="2"/>
  <c r="Q549" i="2"/>
  <c r="R549" i="2"/>
  <c r="S549" i="2"/>
  <c r="T549" i="2"/>
  <c r="U549" i="2"/>
  <c r="V549" i="2"/>
  <c r="W549" i="2"/>
  <c r="X549" i="2"/>
  <c r="Y549" i="2"/>
  <c r="Z549" i="2"/>
  <c r="AA549" i="2"/>
  <c r="AB549" i="2"/>
  <c r="AC549" i="2"/>
  <c r="AD549" i="2"/>
  <c r="Q550" i="2"/>
  <c r="R550" i="2"/>
  <c r="S550" i="2"/>
  <c r="T550" i="2"/>
  <c r="U550" i="2"/>
  <c r="V550" i="2"/>
  <c r="W550" i="2"/>
  <c r="X550" i="2"/>
  <c r="Y550" i="2"/>
  <c r="Z550" i="2"/>
  <c r="AA550" i="2"/>
  <c r="AB550" i="2"/>
  <c r="AC550" i="2"/>
  <c r="AD550" i="2"/>
  <c r="Q551" i="2"/>
  <c r="R551" i="2"/>
  <c r="S551" i="2"/>
  <c r="T551" i="2"/>
  <c r="U551" i="2"/>
  <c r="V551" i="2"/>
  <c r="W551" i="2"/>
  <c r="X551" i="2"/>
  <c r="Y551" i="2"/>
  <c r="Z551" i="2"/>
  <c r="AA551" i="2"/>
  <c r="AB551" i="2"/>
  <c r="AC551" i="2"/>
  <c r="AD551" i="2"/>
  <c r="Q552" i="2"/>
  <c r="R552" i="2"/>
  <c r="S552" i="2"/>
  <c r="T552" i="2"/>
  <c r="U552" i="2"/>
  <c r="V552" i="2"/>
  <c r="W552" i="2"/>
  <c r="X552" i="2"/>
  <c r="Y552" i="2"/>
  <c r="Z552" i="2"/>
  <c r="AA552" i="2"/>
  <c r="AB552" i="2"/>
  <c r="AC552" i="2"/>
  <c r="AD552" i="2"/>
  <c r="Q553" i="2"/>
  <c r="R553" i="2"/>
  <c r="S553" i="2"/>
  <c r="T553" i="2"/>
  <c r="U553" i="2"/>
  <c r="V553" i="2"/>
  <c r="W553" i="2"/>
  <c r="X553" i="2"/>
  <c r="Y553" i="2"/>
  <c r="Z553" i="2"/>
  <c r="AA553" i="2"/>
  <c r="AB553" i="2"/>
  <c r="AC553" i="2"/>
  <c r="AD553" i="2"/>
  <c r="Q554" i="2"/>
  <c r="R554" i="2"/>
  <c r="S554" i="2"/>
  <c r="T554" i="2"/>
  <c r="U554" i="2"/>
  <c r="V554" i="2"/>
  <c r="W554" i="2"/>
  <c r="X554" i="2"/>
  <c r="Y554" i="2"/>
  <c r="Z554" i="2"/>
  <c r="AA554" i="2"/>
  <c r="AB554" i="2"/>
  <c r="AC554" i="2"/>
  <c r="AD554" i="2"/>
  <c r="Q555" i="2"/>
  <c r="R555" i="2"/>
  <c r="S555" i="2"/>
  <c r="T555" i="2"/>
  <c r="U555" i="2"/>
  <c r="V555" i="2"/>
  <c r="W555" i="2"/>
  <c r="X555" i="2"/>
  <c r="Y555" i="2"/>
  <c r="Z555" i="2"/>
  <c r="AA555" i="2"/>
  <c r="AB555" i="2"/>
  <c r="AC555" i="2"/>
  <c r="AD555" i="2"/>
  <c r="Q556" i="2"/>
  <c r="R556" i="2"/>
  <c r="S556" i="2"/>
  <c r="T556" i="2"/>
  <c r="U556" i="2"/>
  <c r="V556" i="2"/>
  <c r="W556" i="2"/>
  <c r="X556" i="2"/>
  <c r="Y556" i="2"/>
  <c r="Z556" i="2"/>
  <c r="AA556" i="2"/>
  <c r="AB556" i="2"/>
  <c r="AC556" i="2"/>
  <c r="AD556" i="2"/>
  <c r="Q557" i="2"/>
  <c r="R557" i="2"/>
  <c r="S557" i="2"/>
  <c r="T557" i="2"/>
  <c r="U557" i="2"/>
  <c r="V557" i="2"/>
  <c r="W557" i="2"/>
  <c r="X557" i="2"/>
  <c r="Y557" i="2"/>
  <c r="Z557" i="2"/>
  <c r="AA557" i="2"/>
  <c r="AB557" i="2"/>
  <c r="AC557" i="2"/>
  <c r="AD557" i="2"/>
  <c r="Q558" i="2"/>
  <c r="R558" i="2"/>
  <c r="S558" i="2"/>
  <c r="T558" i="2"/>
  <c r="U558" i="2"/>
  <c r="V558" i="2"/>
  <c r="W558" i="2"/>
  <c r="X558" i="2"/>
  <c r="Y558" i="2"/>
  <c r="Z558" i="2"/>
  <c r="AA558" i="2"/>
  <c r="AB558" i="2"/>
  <c r="AC558" i="2"/>
  <c r="AD558" i="2"/>
  <c r="Q559" i="2"/>
  <c r="R559" i="2"/>
  <c r="S559" i="2"/>
  <c r="T559" i="2"/>
  <c r="U559" i="2"/>
  <c r="V559" i="2"/>
  <c r="W559" i="2"/>
  <c r="X559" i="2"/>
  <c r="Y559" i="2"/>
  <c r="Z559" i="2"/>
  <c r="AA559" i="2"/>
  <c r="AB559" i="2"/>
  <c r="AC559" i="2"/>
  <c r="AD559" i="2"/>
  <c r="Q560" i="2"/>
  <c r="R560" i="2"/>
  <c r="S560" i="2"/>
  <c r="T560" i="2"/>
  <c r="U560" i="2"/>
  <c r="V560" i="2"/>
  <c r="W560" i="2"/>
  <c r="X560" i="2"/>
  <c r="Y560" i="2"/>
  <c r="Z560" i="2"/>
  <c r="AA560" i="2"/>
  <c r="AB560" i="2"/>
  <c r="AC560" i="2"/>
  <c r="AD560" i="2"/>
  <c r="Q561" i="2"/>
  <c r="R561" i="2"/>
  <c r="S561" i="2"/>
  <c r="T561" i="2"/>
  <c r="U561" i="2"/>
  <c r="V561" i="2"/>
  <c r="W561" i="2"/>
  <c r="X561" i="2"/>
  <c r="Y561" i="2"/>
  <c r="Z561" i="2"/>
  <c r="AA561" i="2"/>
  <c r="AB561" i="2"/>
  <c r="AC561" i="2"/>
  <c r="AD561" i="2"/>
  <c r="Q562" i="2"/>
  <c r="R562" i="2"/>
  <c r="S562" i="2"/>
  <c r="T562" i="2"/>
  <c r="U562" i="2"/>
  <c r="V562" i="2"/>
  <c r="W562" i="2"/>
  <c r="X562" i="2"/>
  <c r="Y562" i="2"/>
  <c r="Z562" i="2"/>
  <c r="AA562" i="2"/>
  <c r="AB562" i="2"/>
  <c r="AC562" i="2"/>
  <c r="AD562" i="2"/>
  <c r="Q563" i="2"/>
  <c r="R563" i="2"/>
  <c r="S563" i="2"/>
  <c r="T563" i="2"/>
  <c r="U563" i="2"/>
  <c r="V563" i="2"/>
  <c r="W563" i="2"/>
  <c r="X563" i="2"/>
  <c r="Y563" i="2"/>
  <c r="Z563" i="2"/>
  <c r="AA563" i="2"/>
  <c r="AB563" i="2"/>
  <c r="AC563" i="2"/>
  <c r="AD563" i="2"/>
  <c r="Q564" i="2"/>
  <c r="R564" i="2"/>
  <c r="S564" i="2"/>
  <c r="T564" i="2"/>
  <c r="U564" i="2"/>
  <c r="V564" i="2"/>
  <c r="W564" i="2"/>
  <c r="X564" i="2"/>
  <c r="Y564" i="2"/>
  <c r="Z564" i="2"/>
  <c r="AA564" i="2"/>
  <c r="AB564" i="2"/>
  <c r="AC564" i="2"/>
  <c r="AD564" i="2"/>
  <c r="S1683" i="1"/>
  <c r="S1681" i="1" s="1"/>
  <c r="R1683" i="1"/>
  <c r="R1681" i="1" s="1"/>
  <c r="Q1683" i="1"/>
  <c r="Q1682" i="1" s="1"/>
  <c r="P1683" i="1"/>
  <c r="P1681" i="1" s="1"/>
  <c r="D11" i="20"/>
  <c r="Q34" i="20"/>
  <c r="D13" i="20"/>
  <c r="D12" i="20"/>
  <c r="Q13" i="20"/>
  <c r="D34" i="20"/>
  <c r="S1682" i="1" l="1"/>
  <c r="Q1681" i="1"/>
  <c r="R1682" i="1"/>
  <c r="P1682" i="1"/>
  <c r="Q1638" i="1"/>
  <c r="S1398" i="1" l="1"/>
  <c r="S1396" i="1" s="1"/>
  <c r="R1398" i="1"/>
  <c r="R1396" i="1" s="1"/>
  <c r="Q1398" i="1"/>
  <c r="Q1397" i="1" s="1"/>
  <c r="P1398" i="1"/>
  <c r="P1397" i="1" s="1"/>
  <c r="S1395" i="1"/>
  <c r="S1393" i="1" s="1"/>
  <c r="R1395" i="1"/>
  <c r="R1393" i="1" s="1"/>
  <c r="Q1395" i="1"/>
  <c r="Q1393" i="1" s="1"/>
  <c r="P1395" i="1"/>
  <c r="P1394" i="1" s="1"/>
  <c r="S1394" i="1"/>
  <c r="R1394" i="1"/>
  <c r="S1554" i="1"/>
  <c r="S1552" i="1" s="1"/>
  <c r="R1554" i="1"/>
  <c r="R1552" i="1" s="1"/>
  <c r="Q1554" i="1"/>
  <c r="Q1552" i="1" s="1"/>
  <c r="P1554" i="1"/>
  <c r="P1552" i="1" s="1"/>
  <c r="S1551" i="1"/>
  <c r="S1549" i="1" s="1"/>
  <c r="R1551" i="1"/>
  <c r="R1549" i="1" s="1"/>
  <c r="Q1551" i="1"/>
  <c r="Q1549" i="1" s="1"/>
  <c r="P1551" i="1"/>
  <c r="P1550" i="1" s="1"/>
  <c r="Q1550" i="1"/>
  <c r="S1548" i="1"/>
  <c r="S1546" i="1" s="1"/>
  <c r="R1548" i="1"/>
  <c r="R1546" i="1" s="1"/>
  <c r="Q1548" i="1"/>
  <c r="P1548" i="1"/>
  <c r="P1547" i="1" s="1"/>
  <c r="S1545" i="1"/>
  <c r="S1543" i="1" s="1"/>
  <c r="R1545" i="1"/>
  <c r="R1543" i="1" s="1"/>
  <c r="Q1545" i="1"/>
  <c r="Q1543" i="1" s="1"/>
  <c r="P1545" i="1"/>
  <c r="P1544" i="1" s="1"/>
  <c r="S1542" i="1"/>
  <c r="S1540" i="1" s="1"/>
  <c r="R1542" i="1"/>
  <c r="R1540" i="1" s="1"/>
  <c r="Q1542" i="1"/>
  <c r="Q1540" i="1" s="1"/>
  <c r="P1542" i="1"/>
  <c r="P1541" i="1" s="1"/>
  <c r="S1541" i="1"/>
  <c r="S1539" i="1"/>
  <c r="S1537" i="1" s="1"/>
  <c r="R1539" i="1"/>
  <c r="R1537" i="1" s="1"/>
  <c r="Q1539" i="1"/>
  <c r="Q1537" i="1" s="1"/>
  <c r="P1539" i="1"/>
  <c r="P1538" i="1" s="1"/>
  <c r="S1536" i="1"/>
  <c r="S1534" i="1" s="1"/>
  <c r="R1536" i="1"/>
  <c r="R1534" i="1" s="1"/>
  <c r="Q1536" i="1"/>
  <c r="Q1534" i="1" s="1"/>
  <c r="P1536" i="1"/>
  <c r="P1535" i="1" s="1"/>
  <c r="S1533" i="1"/>
  <c r="S1531" i="1" s="1"/>
  <c r="R1533" i="1"/>
  <c r="R1532" i="1" s="1"/>
  <c r="Q1533" i="1"/>
  <c r="Q1531" i="1" s="1"/>
  <c r="P1533" i="1"/>
  <c r="P1532" i="1" s="1"/>
  <c r="S162" i="1"/>
  <c r="S160" i="1" s="1"/>
  <c r="R162" i="1"/>
  <c r="R160" i="1" s="1"/>
  <c r="Q162" i="1"/>
  <c r="Q160" i="1" s="1"/>
  <c r="P162" i="1"/>
  <c r="P161" i="1" s="1"/>
  <c r="S159" i="1"/>
  <c r="S157" i="1" s="1"/>
  <c r="R159" i="1"/>
  <c r="R157" i="1" s="1"/>
  <c r="Q159" i="1"/>
  <c r="Q157" i="1" s="1"/>
  <c r="P159" i="1"/>
  <c r="P158" i="1" s="1"/>
  <c r="S158" i="1"/>
  <c r="S156" i="1"/>
  <c r="S154" i="1" s="1"/>
  <c r="R156" i="1"/>
  <c r="R154" i="1" s="1"/>
  <c r="Q156" i="1"/>
  <c r="Q154" i="1" s="1"/>
  <c r="P156" i="1"/>
  <c r="P155" i="1" s="1"/>
  <c r="S153" i="1"/>
  <c r="S151" i="1" s="1"/>
  <c r="R153" i="1"/>
  <c r="R151" i="1" s="1"/>
  <c r="Q153" i="1"/>
  <c r="Q152" i="1" s="1"/>
  <c r="P153" i="1"/>
  <c r="P151" i="1" s="1"/>
  <c r="S152" i="1"/>
  <c r="S606" i="1"/>
  <c r="S604" i="1" s="1"/>
  <c r="R606" i="1"/>
  <c r="R604" i="1" s="1"/>
  <c r="Q606" i="1"/>
  <c r="Q604" i="1" s="1"/>
  <c r="P606" i="1"/>
  <c r="S603" i="1"/>
  <c r="S601" i="1" s="1"/>
  <c r="R603" i="1"/>
  <c r="R601" i="1" s="1"/>
  <c r="Q603" i="1"/>
  <c r="Q601" i="1" s="1"/>
  <c r="P603" i="1"/>
  <c r="P602" i="1" s="1"/>
  <c r="S600" i="1"/>
  <c r="S598" i="1" s="1"/>
  <c r="R600" i="1"/>
  <c r="R598" i="1" s="1"/>
  <c r="Q600" i="1"/>
  <c r="Q598" i="1" s="1"/>
  <c r="P600" i="1"/>
  <c r="P599" i="1" s="1"/>
  <c r="S1569" i="1"/>
  <c r="S1568" i="1" s="1"/>
  <c r="R1569" i="1"/>
  <c r="Q1569" i="1"/>
  <c r="Q1567" i="1" s="1"/>
  <c r="P1569" i="1"/>
  <c r="P1567" i="1" s="1"/>
  <c r="S1566" i="1"/>
  <c r="S1564" i="1" s="1"/>
  <c r="R1566" i="1"/>
  <c r="R1564" i="1" s="1"/>
  <c r="Q1566" i="1"/>
  <c r="Q1564" i="1" s="1"/>
  <c r="P1566" i="1"/>
  <c r="S1563" i="1"/>
  <c r="S1561" i="1" s="1"/>
  <c r="R1563" i="1"/>
  <c r="R1561" i="1" s="1"/>
  <c r="Q1563" i="1"/>
  <c r="Q1562" i="1" s="1"/>
  <c r="P1563" i="1"/>
  <c r="P1562" i="1" s="1"/>
  <c r="S1083" i="1"/>
  <c r="S1081" i="1" s="1"/>
  <c r="R1083" i="1"/>
  <c r="R1081" i="1" s="1"/>
  <c r="Q1083" i="1"/>
  <c r="Q1081" i="1" s="1"/>
  <c r="P1083" i="1"/>
  <c r="P1082" i="1" s="1"/>
  <c r="S1080" i="1"/>
  <c r="S1078" i="1" s="1"/>
  <c r="R1080" i="1"/>
  <c r="R1078" i="1" s="1"/>
  <c r="Q1080" i="1"/>
  <c r="Q1078" i="1" s="1"/>
  <c r="P1080" i="1"/>
  <c r="P1079" i="1" s="1"/>
  <c r="S1077" i="1"/>
  <c r="S1075" i="1" s="1"/>
  <c r="R1077" i="1"/>
  <c r="R1075" i="1" s="1"/>
  <c r="Q1077" i="1"/>
  <c r="Q1075" i="1" s="1"/>
  <c r="P1077" i="1"/>
  <c r="P1076" i="1" s="1"/>
  <c r="S1076" i="1"/>
  <c r="S1074" i="1"/>
  <c r="S1072" i="1" s="1"/>
  <c r="R1074" i="1"/>
  <c r="R1072" i="1" s="1"/>
  <c r="Q1074" i="1"/>
  <c r="Q1072" i="1" s="1"/>
  <c r="P1074" i="1"/>
  <c r="P1073" i="1" s="1"/>
  <c r="S1071" i="1"/>
  <c r="S1069" i="1" s="1"/>
  <c r="R1071" i="1"/>
  <c r="R1069" i="1" s="1"/>
  <c r="Q1071" i="1"/>
  <c r="Q1069" i="1" s="1"/>
  <c r="P1071" i="1"/>
  <c r="P1070" i="1" s="1"/>
  <c r="S1068" i="1"/>
  <c r="S1066" i="1" s="1"/>
  <c r="R1068" i="1"/>
  <c r="R1066" i="1" s="1"/>
  <c r="Q1068" i="1"/>
  <c r="Q1066" i="1" s="1"/>
  <c r="P1068" i="1"/>
  <c r="P1067" i="1" s="1"/>
  <c r="S1067" i="1"/>
  <c r="S1065" i="1"/>
  <c r="S1063" i="1" s="1"/>
  <c r="R1065" i="1"/>
  <c r="R1063" i="1" s="1"/>
  <c r="Q1065" i="1"/>
  <c r="Q1063" i="1" s="1"/>
  <c r="P1065" i="1"/>
  <c r="P1064" i="1" s="1"/>
  <c r="S1062" i="1"/>
  <c r="S1060" i="1" s="1"/>
  <c r="R1062" i="1"/>
  <c r="R1060" i="1" s="1"/>
  <c r="Q1062" i="1"/>
  <c r="Q1060" i="1" s="1"/>
  <c r="P1062" i="1"/>
  <c r="P1060" i="1" s="1"/>
  <c r="R1061" i="1"/>
  <c r="S1059" i="1"/>
  <c r="S1057" i="1" s="1"/>
  <c r="R1059" i="1"/>
  <c r="Q1059" i="1"/>
  <c r="Q1057" i="1" s="1"/>
  <c r="P1059" i="1"/>
  <c r="P1058" i="1" s="1"/>
  <c r="S1056" i="1"/>
  <c r="S1054" i="1" s="1"/>
  <c r="R1056" i="1"/>
  <c r="R1054" i="1" s="1"/>
  <c r="Q1056" i="1"/>
  <c r="Q1054" i="1" s="1"/>
  <c r="P1056" i="1"/>
  <c r="P1055" i="1" s="1"/>
  <c r="S1053" i="1"/>
  <c r="S1051" i="1" s="1"/>
  <c r="R1053" i="1"/>
  <c r="R1051" i="1" s="1"/>
  <c r="Q1053" i="1"/>
  <c r="Q1051" i="1" s="1"/>
  <c r="P1053" i="1"/>
  <c r="P1052" i="1" s="1"/>
  <c r="S30" i="1"/>
  <c r="S28" i="1" s="1"/>
  <c r="R30" i="1"/>
  <c r="R28" i="1" s="1"/>
  <c r="Q30" i="1"/>
  <c r="Q28" i="1" s="1"/>
  <c r="P30" i="1"/>
  <c r="P29" i="1" s="1"/>
  <c r="S27" i="1"/>
  <c r="S25" i="1" s="1"/>
  <c r="R27" i="1"/>
  <c r="R25" i="1" s="1"/>
  <c r="Q27" i="1"/>
  <c r="Q25" i="1" s="1"/>
  <c r="P27" i="1"/>
  <c r="P25" i="1" s="1"/>
  <c r="S24" i="1"/>
  <c r="S22" i="1" s="1"/>
  <c r="R24" i="1"/>
  <c r="R22" i="1" s="1"/>
  <c r="Q24" i="1"/>
  <c r="Q22" i="1" s="1"/>
  <c r="P24" i="1"/>
  <c r="P23" i="1" s="1"/>
  <c r="S21" i="1"/>
  <c r="S19" i="1" s="1"/>
  <c r="R21" i="1"/>
  <c r="R19" i="1" s="1"/>
  <c r="Q21" i="1"/>
  <c r="Q19" i="1" s="1"/>
  <c r="P21" i="1"/>
  <c r="P20" i="1" s="1"/>
  <c r="S477" i="1"/>
  <c r="S475" i="1" s="1"/>
  <c r="R477" i="1"/>
  <c r="R475" i="1" s="1"/>
  <c r="Q477" i="1"/>
  <c r="Q475" i="1" s="1"/>
  <c r="P477" i="1"/>
  <c r="P475" i="1" s="1"/>
  <c r="S189" i="1"/>
  <c r="S187" i="1" s="1"/>
  <c r="R189" i="1"/>
  <c r="R187" i="1" s="1"/>
  <c r="Q189" i="1"/>
  <c r="Q187" i="1" s="1"/>
  <c r="P189" i="1"/>
  <c r="P187" i="1" s="1"/>
  <c r="S186" i="1"/>
  <c r="S184" i="1" s="1"/>
  <c r="R186" i="1"/>
  <c r="R184" i="1" s="1"/>
  <c r="Q186" i="1"/>
  <c r="Q184" i="1" s="1"/>
  <c r="P186" i="1"/>
  <c r="P185" i="1" s="1"/>
  <c r="S183" i="1"/>
  <c r="S181" i="1" s="1"/>
  <c r="R183" i="1"/>
  <c r="R181" i="1" s="1"/>
  <c r="Q183" i="1"/>
  <c r="Q181" i="1" s="1"/>
  <c r="P183" i="1"/>
  <c r="P182" i="1" s="1"/>
  <c r="S180" i="1"/>
  <c r="S178" i="1" s="1"/>
  <c r="R180" i="1"/>
  <c r="R178" i="1" s="1"/>
  <c r="Q180" i="1"/>
  <c r="Q178" i="1" s="1"/>
  <c r="P180" i="1"/>
  <c r="P178" i="1" s="1"/>
  <c r="S231" i="1"/>
  <c r="S229" i="1" s="1"/>
  <c r="R231" i="1"/>
  <c r="R229" i="1" s="1"/>
  <c r="Q231" i="1"/>
  <c r="Q229" i="1" s="1"/>
  <c r="P231" i="1"/>
  <c r="P230" i="1" s="1"/>
  <c r="S228" i="1"/>
  <c r="S226" i="1" s="1"/>
  <c r="R228" i="1"/>
  <c r="R226" i="1" s="1"/>
  <c r="Q228" i="1"/>
  <c r="Q226" i="1" s="1"/>
  <c r="P228" i="1"/>
  <c r="P227" i="1" s="1"/>
  <c r="S225" i="1"/>
  <c r="S223" i="1" s="1"/>
  <c r="R225" i="1"/>
  <c r="R223" i="1" s="1"/>
  <c r="Q225" i="1"/>
  <c r="Q223" i="1" s="1"/>
  <c r="P225" i="1"/>
  <c r="P223" i="1" s="1"/>
  <c r="S222" i="1"/>
  <c r="S220" i="1" s="1"/>
  <c r="R222" i="1"/>
  <c r="R220" i="1" s="1"/>
  <c r="Q222" i="1"/>
  <c r="Q220" i="1" s="1"/>
  <c r="P222" i="1"/>
  <c r="P221" i="1" s="1"/>
  <c r="S219" i="1"/>
  <c r="S217" i="1" s="1"/>
  <c r="R219" i="1"/>
  <c r="R217" i="1" s="1"/>
  <c r="Q219" i="1"/>
  <c r="Q217" i="1" s="1"/>
  <c r="P219" i="1"/>
  <c r="P217" i="1" s="1"/>
  <c r="S216" i="1"/>
  <c r="S214" i="1" s="1"/>
  <c r="R216" i="1"/>
  <c r="R214" i="1" s="1"/>
  <c r="Q216" i="1"/>
  <c r="Q214" i="1" s="1"/>
  <c r="P216" i="1"/>
  <c r="P215" i="1" s="1"/>
  <c r="S213" i="1"/>
  <c r="S211" i="1" s="1"/>
  <c r="R213" i="1"/>
  <c r="R211" i="1" s="1"/>
  <c r="Q213" i="1"/>
  <c r="Q211" i="1" s="1"/>
  <c r="P213" i="1"/>
  <c r="P212" i="1" s="1"/>
  <c r="R212" i="1"/>
  <c r="Q212" i="1"/>
  <c r="S1581" i="1"/>
  <c r="S1579" i="1" s="1"/>
  <c r="R1581" i="1"/>
  <c r="R1579" i="1" s="1"/>
  <c r="Q1581" i="1"/>
  <c r="Q1579" i="1" s="1"/>
  <c r="P1581" i="1"/>
  <c r="P1579" i="1" s="1"/>
  <c r="S729" i="1"/>
  <c r="S727" i="1" s="1"/>
  <c r="R729" i="1"/>
  <c r="R727" i="1" s="1"/>
  <c r="Q729" i="1"/>
  <c r="P729" i="1"/>
  <c r="P728" i="1" s="1"/>
  <c r="S728" i="1"/>
  <c r="S726" i="1"/>
  <c r="S724" i="1" s="1"/>
  <c r="R726" i="1"/>
  <c r="R724" i="1" s="1"/>
  <c r="Q726" i="1"/>
  <c r="Q724" i="1" s="1"/>
  <c r="P726" i="1"/>
  <c r="P725" i="1" s="1"/>
  <c r="Q725" i="1"/>
  <c r="S1464" i="1"/>
  <c r="S1462" i="1" s="1"/>
  <c r="R1464" i="1"/>
  <c r="R1462" i="1" s="1"/>
  <c r="Q1464" i="1"/>
  <c r="Q1462" i="1" s="1"/>
  <c r="P1464" i="1"/>
  <c r="P1462" i="1" s="1"/>
  <c r="S1461" i="1"/>
  <c r="S1459" i="1" s="1"/>
  <c r="R1461" i="1"/>
  <c r="R1459" i="1" s="1"/>
  <c r="Q1461" i="1"/>
  <c r="Q1459" i="1" s="1"/>
  <c r="P1461" i="1"/>
  <c r="P1460" i="1" s="1"/>
  <c r="S1460" i="1"/>
  <c r="S1458" i="1"/>
  <c r="S1456" i="1" s="1"/>
  <c r="R1458" i="1"/>
  <c r="R1456" i="1" s="1"/>
  <c r="Q1458" i="1"/>
  <c r="Q1456" i="1" s="1"/>
  <c r="P1458" i="1"/>
  <c r="P1457" i="1" s="1"/>
  <c r="S1455" i="1"/>
  <c r="S1453" i="1" s="1"/>
  <c r="R1455" i="1"/>
  <c r="R1453" i="1" s="1"/>
  <c r="Q1455" i="1"/>
  <c r="Q1453" i="1" s="1"/>
  <c r="P1455" i="1"/>
  <c r="P1454" i="1" s="1"/>
  <c r="S105" i="1"/>
  <c r="S103" i="1" s="1"/>
  <c r="R105" i="1"/>
  <c r="R103" i="1" s="1"/>
  <c r="Q105" i="1"/>
  <c r="Q103" i="1" s="1"/>
  <c r="P105" i="1"/>
  <c r="P103" i="1" s="1"/>
  <c r="S579" i="1"/>
  <c r="S577" i="1" s="1"/>
  <c r="R579" i="1"/>
  <c r="R577" i="1" s="1"/>
  <c r="Q579" i="1"/>
  <c r="Q577" i="1" s="1"/>
  <c r="P579" i="1"/>
  <c r="P578" i="1" s="1"/>
  <c r="S576" i="1"/>
  <c r="S574" i="1" s="1"/>
  <c r="R576" i="1"/>
  <c r="R574" i="1" s="1"/>
  <c r="Q576" i="1"/>
  <c r="Q574" i="1" s="1"/>
  <c r="P576" i="1"/>
  <c r="P574" i="1" s="1"/>
  <c r="S93" i="1"/>
  <c r="S91" i="1" s="1"/>
  <c r="R93" i="1"/>
  <c r="R91" i="1" s="1"/>
  <c r="Q93" i="1"/>
  <c r="Q91" i="1" s="1"/>
  <c r="P93" i="1"/>
  <c r="P91" i="1" s="1"/>
  <c r="S141" i="1"/>
  <c r="S139" i="1" s="1"/>
  <c r="R141" i="1"/>
  <c r="R139" i="1" s="1"/>
  <c r="Q141" i="1"/>
  <c r="Q139" i="1" s="1"/>
  <c r="P141" i="1"/>
  <c r="P140" i="1" s="1"/>
  <c r="S138" i="1"/>
  <c r="S136" i="1" s="1"/>
  <c r="R138" i="1"/>
  <c r="R136" i="1" s="1"/>
  <c r="Q138" i="1"/>
  <c r="Q136" i="1" s="1"/>
  <c r="P138" i="1"/>
  <c r="P137" i="1" s="1"/>
  <c r="S567" i="1"/>
  <c r="S565" i="1" s="1"/>
  <c r="R567" i="1"/>
  <c r="R565" i="1" s="1"/>
  <c r="Q567" i="1"/>
  <c r="Q565" i="1" s="1"/>
  <c r="P567" i="1"/>
  <c r="P566" i="1" s="1"/>
  <c r="S474" i="1"/>
  <c r="S472" i="1" s="1"/>
  <c r="R474" i="1"/>
  <c r="R472" i="1" s="1"/>
  <c r="Q474" i="1"/>
  <c r="Q472" i="1" s="1"/>
  <c r="P474" i="1"/>
  <c r="P473" i="1" s="1"/>
  <c r="S471" i="1"/>
  <c r="S469" i="1" s="1"/>
  <c r="R471" i="1"/>
  <c r="R469" i="1" s="1"/>
  <c r="Q471" i="1"/>
  <c r="Q469" i="1" s="1"/>
  <c r="P471" i="1"/>
  <c r="P470" i="1" s="1"/>
  <c r="S470" i="1"/>
  <c r="R470" i="1"/>
  <c r="S1512" i="1"/>
  <c r="S1510" i="1" s="1"/>
  <c r="R1512" i="1"/>
  <c r="R1510" i="1" s="1"/>
  <c r="Q1512" i="1"/>
  <c r="Q1510" i="1" s="1"/>
  <c r="P1512" i="1"/>
  <c r="P1510" i="1" s="1"/>
  <c r="S1122" i="1"/>
  <c r="S1120" i="1" s="1"/>
  <c r="R1122" i="1"/>
  <c r="R1120" i="1" s="1"/>
  <c r="Q1122" i="1"/>
  <c r="Q1120" i="1" s="1"/>
  <c r="P1122" i="1"/>
  <c r="P1120" i="1" s="1"/>
  <c r="S1119" i="1"/>
  <c r="S1117" i="1" s="1"/>
  <c r="R1119" i="1"/>
  <c r="R1117" i="1" s="1"/>
  <c r="Q1119" i="1"/>
  <c r="Q1117" i="1" s="1"/>
  <c r="P1119" i="1"/>
  <c r="P1118" i="1" s="1"/>
  <c r="S1118" i="1"/>
  <c r="S1116" i="1"/>
  <c r="S1114" i="1" s="1"/>
  <c r="R1116" i="1"/>
  <c r="R1114" i="1" s="1"/>
  <c r="Q1116" i="1"/>
  <c r="Q1114" i="1" s="1"/>
  <c r="P1116" i="1"/>
  <c r="P1115" i="1" s="1"/>
  <c r="S1113" i="1"/>
  <c r="S1111" i="1" s="1"/>
  <c r="R1113" i="1"/>
  <c r="R1111" i="1" s="1"/>
  <c r="Q1113" i="1"/>
  <c r="Q1111" i="1" s="1"/>
  <c r="P1113" i="1"/>
  <c r="P1112" i="1" s="1"/>
  <c r="S1112" i="1"/>
  <c r="S555" i="1"/>
  <c r="S553" i="1" s="1"/>
  <c r="R555" i="1"/>
  <c r="R553" i="1" s="1"/>
  <c r="Q555" i="1"/>
  <c r="Q553" i="1" s="1"/>
  <c r="P555" i="1"/>
  <c r="P554" i="1" s="1"/>
  <c r="S552" i="1"/>
  <c r="S550" i="1" s="1"/>
  <c r="R552" i="1"/>
  <c r="R550" i="1" s="1"/>
  <c r="Q552" i="1"/>
  <c r="Q550" i="1" s="1"/>
  <c r="P552" i="1"/>
  <c r="P551" i="1" s="1"/>
  <c r="Q551" i="1"/>
  <c r="S549" i="1"/>
  <c r="S547" i="1" s="1"/>
  <c r="R549" i="1"/>
  <c r="R547" i="1" s="1"/>
  <c r="Q549" i="1"/>
  <c r="Q547" i="1" s="1"/>
  <c r="P549" i="1"/>
  <c r="P548" i="1" s="1"/>
  <c r="S546" i="1"/>
  <c r="S544" i="1" s="1"/>
  <c r="R546" i="1"/>
  <c r="R544" i="1" s="1"/>
  <c r="Q546" i="1"/>
  <c r="Q544" i="1" s="1"/>
  <c r="P546" i="1"/>
  <c r="P545" i="1" s="1"/>
  <c r="S543" i="1"/>
  <c r="S541" i="1" s="1"/>
  <c r="R543" i="1"/>
  <c r="R541" i="1" s="1"/>
  <c r="Q543" i="1"/>
  <c r="Q541" i="1" s="1"/>
  <c r="P543" i="1"/>
  <c r="P541" i="1" s="1"/>
  <c r="S540" i="1"/>
  <c r="S538" i="1" s="1"/>
  <c r="R540" i="1"/>
  <c r="R538" i="1" s="1"/>
  <c r="Q540" i="1"/>
  <c r="Q538" i="1" s="1"/>
  <c r="P540" i="1"/>
  <c r="P538" i="1" s="1"/>
  <c r="S537" i="1"/>
  <c r="S535" i="1" s="1"/>
  <c r="R537" i="1"/>
  <c r="R535" i="1" s="1"/>
  <c r="Q537" i="1"/>
  <c r="Q535" i="1" s="1"/>
  <c r="P537" i="1"/>
  <c r="P535" i="1" s="1"/>
  <c r="S102" i="1"/>
  <c r="S100" i="1" s="1"/>
  <c r="R102" i="1"/>
  <c r="R100" i="1" s="1"/>
  <c r="Q102" i="1"/>
  <c r="Q100" i="1" s="1"/>
  <c r="P102" i="1"/>
  <c r="P101" i="1" s="1"/>
  <c r="S831" i="1"/>
  <c r="S829" i="1" s="1"/>
  <c r="R831" i="1"/>
  <c r="R829" i="1" s="1"/>
  <c r="Q831" i="1"/>
  <c r="Q829" i="1" s="1"/>
  <c r="P831" i="1"/>
  <c r="P829" i="1" s="1"/>
  <c r="S828" i="1"/>
  <c r="S826" i="1" s="1"/>
  <c r="R828" i="1"/>
  <c r="R826" i="1" s="1"/>
  <c r="Q828" i="1"/>
  <c r="Q826" i="1" s="1"/>
  <c r="P828" i="1"/>
  <c r="P827" i="1" s="1"/>
  <c r="S825" i="1"/>
  <c r="S823" i="1" s="1"/>
  <c r="R825" i="1"/>
  <c r="R823" i="1" s="1"/>
  <c r="Q825" i="1"/>
  <c r="Q823" i="1" s="1"/>
  <c r="P825" i="1"/>
  <c r="P824" i="1" s="1"/>
  <c r="S822" i="1"/>
  <c r="S820" i="1" s="1"/>
  <c r="R822" i="1"/>
  <c r="R820" i="1" s="1"/>
  <c r="Q822" i="1"/>
  <c r="Q820" i="1" s="1"/>
  <c r="P822" i="1"/>
  <c r="P820" i="1" s="1"/>
  <c r="S819" i="1"/>
  <c r="S817" i="1" s="1"/>
  <c r="R819" i="1"/>
  <c r="R817" i="1" s="1"/>
  <c r="Q819" i="1"/>
  <c r="Q817" i="1" s="1"/>
  <c r="P819" i="1"/>
  <c r="P817" i="1" s="1"/>
  <c r="Q818" i="1"/>
  <c r="S816" i="1"/>
  <c r="S814" i="1" s="1"/>
  <c r="R816" i="1"/>
  <c r="R814" i="1" s="1"/>
  <c r="Q816" i="1"/>
  <c r="Q814" i="1" s="1"/>
  <c r="P816" i="1"/>
  <c r="P815" i="1" s="1"/>
  <c r="S813" i="1"/>
  <c r="S811" i="1" s="1"/>
  <c r="R813" i="1"/>
  <c r="R811" i="1" s="1"/>
  <c r="Q813" i="1"/>
  <c r="P813" i="1"/>
  <c r="P811" i="1" s="1"/>
  <c r="S810" i="1"/>
  <c r="S808" i="1" s="1"/>
  <c r="R810" i="1"/>
  <c r="R808" i="1" s="1"/>
  <c r="Q810" i="1"/>
  <c r="Q808" i="1" s="1"/>
  <c r="P810" i="1"/>
  <c r="P809" i="1" s="1"/>
  <c r="S807" i="1"/>
  <c r="S805" i="1" s="1"/>
  <c r="R807" i="1"/>
  <c r="R805" i="1" s="1"/>
  <c r="Q807" i="1"/>
  <c r="Q805" i="1" s="1"/>
  <c r="P807" i="1"/>
  <c r="P806" i="1" s="1"/>
  <c r="R806" i="1"/>
  <c r="S804" i="1"/>
  <c r="S802" i="1" s="1"/>
  <c r="R804" i="1"/>
  <c r="R802" i="1" s="1"/>
  <c r="Q804" i="1"/>
  <c r="Q802" i="1" s="1"/>
  <c r="P804" i="1"/>
  <c r="P802" i="1" s="1"/>
  <c r="S801" i="1"/>
  <c r="S799" i="1" s="1"/>
  <c r="R801" i="1"/>
  <c r="R799" i="1" s="1"/>
  <c r="Q801" i="1"/>
  <c r="Q799" i="1" s="1"/>
  <c r="P801" i="1"/>
  <c r="P799" i="1" s="1"/>
  <c r="S798" i="1"/>
  <c r="S796" i="1" s="1"/>
  <c r="R798" i="1"/>
  <c r="R796" i="1" s="1"/>
  <c r="Q798" i="1"/>
  <c r="Q796" i="1" s="1"/>
  <c r="P798" i="1"/>
  <c r="P796" i="1" s="1"/>
  <c r="S795" i="1"/>
  <c r="S793" i="1" s="1"/>
  <c r="R795" i="1"/>
  <c r="R793" i="1" s="1"/>
  <c r="Q795" i="1"/>
  <c r="Q793" i="1" s="1"/>
  <c r="P795" i="1"/>
  <c r="P794" i="1" s="1"/>
  <c r="S792" i="1"/>
  <c r="S790" i="1" s="1"/>
  <c r="R792" i="1"/>
  <c r="R790" i="1" s="1"/>
  <c r="Q792" i="1"/>
  <c r="Q790" i="1" s="1"/>
  <c r="P792" i="1"/>
  <c r="P791" i="1" s="1"/>
  <c r="S791" i="1"/>
  <c r="S789" i="1"/>
  <c r="S787" i="1" s="1"/>
  <c r="R789" i="1"/>
  <c r="R787" i="1" s="1"/>
  <c r="Q789" i="1"/>
  <c r="P789" i="1"/>
  <c r="P788" i="1" s="1"/>
  <c r="S786" i="1"/>
  <c r="S784" i="1" s="1"/>
  <c r="R786" i="1"/>
  <c r="R784" i="1" s="1"/>
  <c r="Q786" i="1"/>
  <c r="Q784" i="1" s="1"/>
  <c r="P786" i="1"/>
  <c r="P785" i="1" s="1"/>
  <c r="S785" i="1"/>
  <c r="S783" i="1"/>
  <c r="S781" i="1" s="1"/>
  <c r="R783" i="1"/>
  <c r="R781" i="1" s="1"/>
  <c r="Q783" i="1"/>
  <c r="Q781" i="1" s="1"/>
  <c r="P783" i="1"/>
  <c r="P782" i="1" s="1"/>
  <c r="S780" i="1"/>
  <c r="S778" i="1" s="1"/>
  <c r="R780" i="1"/>
  <c r="R778" i="1" s="1"/>
  <c r="Q780" i="1"/>
  <c r="Q778" i="1" s="1"/>
  <c r="P780" i="1"/>
  <c r="P779" i="1" s="1"/>
  <c r="S777" i="1"/>
  <c r="S775" i="1" s="1"/>
  <c r="R777" i="1"/>
  <c r="R775" i="1" s="1"/>
  <c r="Q777" i="1"/>
  <c r="Q775" i="1" s="1"/>
  <c r="P777" i="1"/>
  <c r="P776" i="1" s="1"/>
  <c r="S297" i="1"/>
  <c r="S295" i="1" s="1"/>
  <c r="R297" i="1"/>
  <c r="R295" i="1" s="1"/>
  <c r="Q297" i="1"/>
  <c r="Q295" i="1" s="1"/>
  <c r="P297" i="1"/>
  <c r="P296" i="1" s="1"/>
  <c r="S296" i="1"/>
  <c r="S294" i="1"/>
  <c r="S292" i="1" s="1"/>
  <c r="R294" i="1"/>
  <c r="R292" i="1" s="1"/>
  <c r="Q294" i="1"/>
  <c r="Q292" i="1" s="1"/>
  <c r="P294" i="1"/>
  <c r="P292" i="1" s="1"/>
  <c r="R293" i="1"/>
  <c r="S291" i="1"/>
  <c r="S289" i="1" s="1"/>
  <c r="R291" i="1"/>
  <c r="R289" i="1" s="1"/>
  <c r="Q291" i="1"/>
  <c r="Q289" i="1" s="1"/>
  <c r="P291" i="1"/>
  <c r="P289" i="1" s="1"/>
  <c r="S564" i="1"/>
  <c r="S562" i="1" s="1"/>
  <c r="R564" i="1"/>
  <c r="R562" i="1" s="1"/>
  <c r="Q564" i="1"/>
  <c r="Q562" i="1" s="1"/>
  <c r="P564" i="1"/>
  <c r="P563" i="1" s="1"/>
  <c r="S563" i="1"/>
  <c r="S1038" i="1"/>
  <c r="S1036" i="1" s="1"/>
  <c r="R1038" i="1"/>
  <c r="R1036" i="1" s="1"/>
  <c r="Q1038" i="1"/>
  <c r="Q1036" i="1" s="1"/>
  <c r="P1038" i="1"/>
  <c r="P1037" i="1" s="1"/>
  <c r="S1035" i="1"/>
  <c r="S1033" i="1" s="1"/>
  <c r="R1035" i="1"/>
  <c r="R1033" i="1" s="1"/>
  <c r="Q1035" i="1"/>
  <c r="Q1033" i="1" s="1"/>
  <c r="P1035" i="1"/>
  <c r="P1034" i="1" s="1"/>
  <c r="S1032" i="1"/>
  <c r="S1030" i="1" s="1"/>
  <c r="R1032" i="1"/>
  <c r="R1030" i="1" s="1"/>
  <c r="Q1032" i="1"/>
  <c r="P1032" i="1"/>
  <c r="P1031" i="1" s="1"/>
  <c r="S1029" i="1"/>
  <c r="S1027" i="1" s="1"/>
  <c r="R1029" i="1"/>
  <c r="R1027" i="1" s="1"/>
  <c r="Q1029" i="1"/>
  <c r="Q1027" i="1" s="1"/>
  <c r="P1029" i="1"/>
  <c r="P1028" i="1" s="1"/>
  <c r="S1026" i="1"/>
  <c r="S1024" i="1" s="1"/>
  <c r="R1026" i="1"/>
  <c r="R1024" i="1" s="1"/>
  <c r="Q1026" i="1"/>
  <c r="Q1024" i="1" s="1"/>
  <c r="P1026" i="1"/>
  <c r="P1025" i="1" s="1"/>
  <c r="S1023" i="1"/>
  <c r="S1021" i="1" s="1"/>
  <c r="R1023" i="1"/>
  <c r="R1021" i="1" s="1"/>
  <c r="Q1023" i="1"/>
  <c r="Q1021" i="1" s="1"/>
  <c r="P1023" i="1"/>
  <c r="P1022" i="1" s="1"/>
  <c r="S1020" i="1"/>
  <c r="S1018" i="1" s="1"/>
  <c r="R1020" i="1"/>
  <c r="R1018" i="1" s="1"/>
  <c r="Q1020" i="1"/>
  <c r="Q1018" i="1" s="1"/>
  <c r="P1020" i="1"/>
  <c r="P1019" i="1" s="1"/>
  <c r="S1017" i="1"/>
  <c r="S1015" i="1" s="1"/>
  <c r="R1017" i="1"/>
  <c r="R1015" i="1" s="1"/>
  <c r="Q1017" i="1"/>
  <c r="P1017" i="1"/>
  <c r="P1015" i="1" s="1"/>
  <c r="S1014" i="1"/>
  <c r="S1012" i="1" s="1"/>
  <c r="R1014" i="1"/>
  <c r="R1012" i="1" s="1"/>
  <c r="Q1014" i="1"/>
  <c r="Q1012" i="1" s="1"/>
  <c r="P1014" i="1"/>
  <c r="P1013" i="1" s="1"/>
  <c r="S1013" i="1"/>
  <c r="R1013" i="1"/>
  <c r="Q1013" i="1"/>
  <c r="S1011" i="1"/>
  <c r="S1009" i="1" s="1"/>
  <c r="R1011" i="1"/>
  <c r="R1009" i="1" s="1"/>
  <c r="Q1011" i="1"/>
  <c r="Q1009" i="1" s="1"/>
  <c r="P1011" i="1"/>
  <c r="P1010" i="1" s="1"/>
  <c r="S1008" i="1"/>
  <c r="S1006" i="1" s="1"/>
  <c r="R1008" i="1"/>
  <c r="Q1008" i="1"/>
  <c r="P1008" i="1"/>
  <c r="P1006" i="1" s="1"/>
  <c r="S1005" i="1"/>
  <c r="S1003" i="1" s="1"/>
  <c r="R1005" i="1"/>
  <c r="R1003" i="1" s="1"/>
  <c r="Q1005" i="1"/>
  <c r="Q1003" i="1" s="1"/>
  <c r="P1005" i="1"/>
  <c r="P1003" i="1" s="1"/>
  <c r="S1004" i="1"/>
  <c r="R1004" i="1"/>
  <c r="S1002" i="1"/>
  <c r="S1000" i="1" s="1"/>
  <c r="R1002" i="1"/>
  <c r="R1000" i="1" s="1"/>
  <c r="Q1002" i="1"/>
  <c r="Q1000" i="1" s="1"/>
  <c r="P1002" i="1"/>
  <c r="P1001" i="1" s="1"/>
  <c r="Q1001" i="1"/>
  <c r="S999" i="1"/>
  <c r="S997" i="1" s="1"/>
  <c r="R999" i="1"/>
  <c r="R997" i="1" s="1"/>
  <c r="Q999" i="1"/>
  <c r="Q997" i="1" s="1"/>
  <c r="P999" i="1"/>
  <c r="P998" i="1" s="1"/>
  <c r="S996" i="1"/>
  <c r="S994" i="1" s="1"/>
  <c r="R996" i="1"/>
  <c r="R994" i="1" s="1"/>
  <c r="Q996" i="1"/>
  <c r="P996" i="1"/>
  <c r="P994" i="1" s="1"/>
  <c r="S993" i="1"/>
  <c r="S991" i="1" s="1"/>
  <c r="R993" i="1"/>
  <c r="R991" i="1" s="1"/>
  <c r="Q993" i="1"/>
  <c r="Q991" i="1" s="1"/>
  <c r="P993" i="1"/>
  <c r="P992" i="1" s="1"/>
  <c r="S990" i="1"/>
  <c r="S988" i="1" s="1"/>
  <c r="R990" i="1"/>
  <c r="R988" i="1" s="1"/>
  <c r="Q990" i="1"/>
  <c r="Q988" i="1" s="1"/>
  <c r="P990" i="1"/>
  <c r="P989" i="1" s="1"/>
  <c r="S987" i="1"/>
  <c r="S985" i="1" s="1"/>
  <c r="R987" i="1"/>
  <c r="R985" i="1" s="1"/>
  <c r="Q987" i="1"/>
  <c r="Q985" i="1" s="1"/>
  <c r="P987" i="1"/>
  <c r="P986" i="1" s="1"/>
  <c r="S984" i="1"/>
  <c r="S982" i="1" s="1"/>
  <c r="R984" i="1"/>
  <c r="Q984" i="1"/>
  <c r="Q982" i="1" s="1"/>
  <c r="P984" i="1"/>
  <c r="P983" i="1" s="1"/>
  <c r="S981" i="1"/>
  <c r="S979" i="1" s="1"/>
  <c r="R981" i="1"/>
  <c r="R979" i="1" s="1"/>
  <c r="Q981" i="1"/>
  <c r="P981" i="1"/>
  <c r="P980" i="1" s="1"/>
  <c r="S978" i="1"/>
  <c r="S976" i="1" s="1"/>
  <c r="R978" i="1"/>
  <c r="R976" i="1" s="1"/>
  <c r="Q978" i="1"/>
  <c r="Q976" i="1" s="1"/>
  <c r="P978" i="1"/>
  <c r="P977" i="1" s="1"/>
  <c r="S977" i="1"/>
  <c r="R977" i="1"/>
  <c r="S975" i="1"/>
  <c r="S973" i="1" s="1"/>
  <c r="R975" i="1"/>
  <c r="R973" i="1" s="1"/>
  <c r="Q975" i="1"/>
  <c r="Q974" i="1" s="1"/>
  <c r="P975" i="1"/>
  <c r="P974" i="1" s="1"/>
  <c r="S974" i="1"/>
  <c r="S972" i="1"/>
  <c r="S970" i="1" s="1"/>
  <c r="R972" i="1"/>
  <c r="R971" i="1" s="1"/>
  <c r="Q972" i="1"/>
  <c r="P972" i="1"/>
  <c r="S969" i="1"/>
  <c r="S967" i="1" s="1"/>
  <c r="R969" i="1"/>
  <c r="R968" i="1" s="1"/>
  <c r="Q969" i="1"/>
  <c r="Q968" i="1" s="1"/>
  <c r="P969" i="1"/>
  <c r="P968" i="1" s="1"/>
  <c r="S966" i="1"/>
  <c r="S964" i="1" s="1"/>
  <c r="R966" i="1"/>
  <c r="R965" i="1" s="1"/>
  <c r="Q966" i="1"/>
  <c r="P966" i="1"/>
  <c r="P965" i="1" s="1"/>
  <c r="S963" i="1"/>
  <c r="S961" i="1" s="1"/>
  <c r="R963" i="1"/>
  <c r="R962" i="1" s="1"/>
  <c r="Q963" i="1"/>
  <c r="Q962" i="1" s="1"/>
  <c r="P963" i="1"/>
  <c r="S960" i="1"/>
  <c r="S958" i="1" s="1"/>
  <c r="R960" i="1"/>
  <c r="R958" i="1" s="1"/>
  <c r="Q960" i="1"/>
  <c r="Q958" i="1" s="1"/>
  <c r="P960" i="1"/>
  <c r="P959" i="1" s="1"/>
  <c r="S957" i="1"/>
  <c r="S955" i="1" s="1"/>
  <c r="R957" i="1"/>
  <c r="R956" i="1" s="1"/>
  <c r="Q957" i="1"/>
  <c r="Q956" i="1" s="1"/>
  <c r="P957" i="1"/>
  <c r="S956" i="1"/>
  <c r="S954" i="1"/>
  <c r="S952" i="1" s="1"/>
  <c r="R954" i="1"/>
  <c r="R953" i="1" s="1"/>
  <c r="Q954" i="1"/>
  <c r="Q953" i="1" s="1"/>
  <c r="P954" i="1"/>
  <c r="P953" i="1" s="1"/>
  <c r="S951" i="1"/>
  <c r="S949" i="1" s="1"/>
  <c r="R951" i="1"/>
  <c r="R950" i="1" s="1"/>
  <c r="Q951" i="1"/>
  <c r="P951" i="1"/>
  <c r="P949" i="1" s="1"/>
  <c r="S948" i="1"/>
  <c r="S946" i="1" s="1"/>
  <c r="R948" i="1"/>
  <c r="R947" i="1" s="1"/>
  <c r="Q948" i="1"/>
  <c r="Q947" i="1" s="1"/>
  <c r="P948" i="1"/>
  <c r="P947" i="1" s="1"/>
  <c r="S947" i="1"/>
  <c r="S945" i="1"/>
  <c r="S943" i="1" s="1"/>
  <c r="R945" i="1"/>
  <c r="R944" i="1" s="1"/>
  <c r="Q945" i="1"/>
  <c r="P945" i="1"/>
  <c r="S942" i="1"/>
  <c r="S940" i="1" s="1"/>
  <c r="R942" i="1"/>
  <c r="R941" i="1" s="1"/>
  <c r="Q942" i="1"/>
  <c r="Q941" i="1" s="1"/>
  <c r="P942" i="1"/>
  <c r="P941" i="1" s="1"/>
  <c r="S939" i="1"/>
  <c r="S937" i="1" s="1"/>
  <c r="R939" i="1"/>
  <c r="R938" i="1" s="1"/>
  <c r="Q939" i="1"/>
  <c r="P939" i="1"/>
  <c r="P937" i="1" s="1"/>
  <c r="S936" i="1"/>
  <c r="S934" i="1" s="1"/>
  <c r="R936" i="1"/>
  <c r="R935" i="1" s="1"/>
  <c r="Q936" i="1"/>
  <c r="Q935" i="1" s="1"/>
  <c r="P936" i="1"/>
  <c r="P935" i="1" s="1"/>
  <c r="S933" i="1"/>
  <c r="S931" i="1" s="1"/>
  <c r="R933" i="1"/>
  <c r="R932" i="1" s="1"/>
  <c r="Q933" i="1"/>
  <c r="P933" i="1"/>
  <c r="P931" i="1" s="1"/>
  <c r="S930" i="1"/>
  <c r="S928" i="1" s="1"/>
  <c r="R930" i="1"/>
  <c r="R929" i="1" s="1"/>
  <c r="Q930" i="1"/>
  <c r="Q929" i="1" s="1"/>
  <c r="P930" i="1"/>
  <c r="P929" i="1" s="1"/>
  <c r="S927" i="1"/>
  <c r="S925" i="1" s="1"/>
  <c r="R927" i="1"/>
  <c r="R925" i="1" s="1"/>
  <c r="Q927" i="1"/>
  <c r="P927" i="1"/>
  <c r="P925" i="1" s="1"/>
  <c r="S924" i="1"/>
  <c r="S922" i="1" s="1"/>
  <c r="R924" i="1"/>
  <c r="R923" i="1" s="1"/>
  <c r="Q924" i="1"/>
  <c r="Q923" i="1" s="1"/>
  <c r="P924" i="1"/>
  <c r="P923" i="1" s="1"/>
  <c r="S921" i="1"/>
  <c r="S919" i="1" s="1"/>
  <c r="R921" i="1"/>
  <c r="R920" i="1" s="1"/>
  <c r="Q921" i="1"/>
  <c r="P921" i="1"/>
  <c r="S918" i="1"/>
  <c r="S916" i="1" s="1"/>
  <c r="R918" i="1"/>
  <c r="R917" i="1" s="1"/>
  <c r="Q918" i="1"/>
  <c r="Q917" i="1" s="1"/>
  <c r="P918" i="1"/>
  <c r="P917" i="1" s="1"/>
  <c r="S561" i="1"/>
  <c r="S559" i="1" s="1"/>
  <c r="R561" i="1"/>
  <c r="R559" i="1" s="1"/>
  <c r="Q561" i="1"/>
  <c r="P561" i="1"/>
  <c r="P560" i="1" s="1"/>
  <c r="S861" i="1"/>
  <c r="S859" i="1" s="1"/>
  <c r="R861" i="1"/>
  <c r="R859" i="1" s="1"/>
  <c r="Q861" i="1"/>
  <c r="Q860" i="1" s="1"/>
  <c r="P861" i="1"/>
  <c r="P860" i="1" s="1"/>
  <c r="S858" i="1"/>
  <c r="S856" i="1" s="1"/>
  <c r="R858" i="1"/>
  <c r="R856" i="1" s="1"/>
  <c r="Q858" i="1"/>
  <c r="Q857" i="1" s="1"/>
  <c r="P858" i="1"/>
  <c r="S855" i="1"/>
  <c r="S853" i="1" s="1"/>
  <c r="R855" i="1"/>
  <c r="R853" i="1" s="1"/>
  <c r="Q855" i="1"/>
  <c r="Q854" i="1" s="1"/>
  <c r="P855" i="1"/>
  <c r="P854" i="1" s="1"/>
  <c r="S852" i="1"/>
  <c r="S850" i="1" s="1"/>
  <c r="R852" i="1"/>
  <c r="R850" i="1" s="1"/>
  <c r="Q852" i="1"/>
  <c r="Q851" i="1" s="1"/>
  <c r="P852" i="1"/>
  <c r="P851" i="1" s="1"/>
  <c r="S849" i="1"/>
  <c r="S847" i="1" s="1"/>
  <c r="R849" i="1"/>
  <c r="R847" i="1" s="1"/>
  <c r="Q849" i="1"/>
  <c r="Q847" i="1" s="1"/>
  <c r="P849" i="1"/>
  <c r="P848" i="1" s="1"/>
  <c r="S18" i="1"/>
  <c r="S16" i="1" s="1"/>
  <c r="R18" i="1"/>
  <c r="R16" i="1" s="1"/>
  <c r="Q18" i="1"/>
  <c r="P18" i="1"/>
  <c r="P17" i="1" s="1"/>
  <c r="S1437" i="1"/>
  <c r="S1435" i="1" s="1"/>
  <c r="R1437" i="1"/>
  <c r="R1435" i="1" s="1"/>
  <c r="Q1437" i="1"/>
  <c r="Q1436" i="1" s="1"/>
  <c r="P1437" i="1"/>
  <c r="S1434" i="1"/>
  <c r="S1432" i="1" s="1"/>
  <c r="R1434" i="1"/>
  <c r="R1432" i="1" s="1"/>
  <c r="Q1434" i="1"/>
  <c r="Q1433" i="1" s="1"/>
  <c r="P1434" i="1"/>
  <c r="P1433" i="1" s="1"/>
  <c r="S1431" i="1"/>
  <c r="S1429" i="1" s="1"/>
  <c r="R1431" i="1"/>
  <c r="R1429" i="1" s="1"/>
  <c r="Q1431" i="1"/>
  <c r="Q1430" i="1" s="1"/>
  <c r="P1431" i="1"/>
  <c r="S1428" i="1"/>
  <c r="S1426" i="1" s="1"/>
  <c r="R1428" i="1"/>
  <c r="R1426" i="1" s="1"/>
  <c r="Q1428" i="1"/>
  <c r="Q1427" i="1" s="1"/>
  <c r="P1428" i="1"/>
  <c r="P1427" i="1" s="1"/>
  <c r="S1425" i="1"/>
  <c r="S1423" i="1" s="1"/>
  <c r="R1425" i="1"/>
  <c r="R1423" i="1" s="1"/>
  <c r="Q1425" i="1"/>
  <c r="Q1424" i="1" s="1"/>
  <c r="P1425" i="1"/>
  <c r="P1423" i="1" s="1"/>
  <c r="S1422" i="1"/>
  <c r="S1420" i="1" s="1"/>
  <c r="R1422" i="1"/>
  <c r="R1420" i="1" s="1"/>
  <c r="Q1422" i="1"/>
  <c r="Q1421" i="1" s="1"/>
  <c r="P1422" i="1"/>
  <c r="P1421" i="1" s="1"/>
  <c r="S1419" i="1"/>
  <c r="S1417" i="1" s="1"/>
  <c r="R1419" i="1"/>
  <c r="R1417" i="1" s="1"/>
  <c r="Q1419" i="1"/>
  <c r="P1419" i="1"/>
  <c r="P1418" i="1" s="1"/>
  <c r="R1418" i="1"/>
  <c r="S1416" i="1"/>
  <c r="S1414" i="1" s="1"/>
  <c r="R1416" i="1"/>
  <c r="R1415" i="1" s="1"/>
  <c r="Q1416" i="1"/>
  <c r="Q1415" i="1" s="1"/>
  <c r="P1416" i="1"/>
  <c r="P1415" i="1" s="1"/>
  <c r="S840" i="1"/>
  <c r="S838" i="1" s="1"/>
  <c r="R840" i="1"/>
  <c r="R838" i="1" s="1"/>
  <c r="Q840" i="1"/>
  <c r="Q839" i="1" s="1"/>
  <c r="P840" i="1"/>
  <c r="S839" i="1"/>
  <c r="S837" i="1"/>
  <c r="S835" i="1" s="1"/>
  <c r="R837" i="1"/>
  <c r="R835" i="1" s="1"/>
  <c r="Q837" i="1"/>
  <c r="Q836" i="1" s="1"/>
  <c r="P837" i="1"/>
  <c r="P836" i="1" s="1"/>
  <c r="S834" i="1"/>
  <c r="S832" i="1" s="1"/>
  <c r="R834" i="1"/>
  <c r="R832" i="1" s="1"/>
  <c r="Q834" i="1"/>
  <c r="Q833" i="1" s="1"/>
  <c r="P834" i="1"/>
  <c r="P833" i="1" s="1"/>
  <c r="S774" i="1"/>
  <c r="R774" i="1"/>
  <c r="Q774" i="1"/>
  <c r="Q773" i="1" s="1"/>
  <c r="P774" i="1"/>
  <c r="P773" i="1" s="1"/>
  <c r="S773" i="1"/>
  <c r="R773" i="1"/>
  <c r="S772" i="1"/>
  <c r="R772" i="1"/>
  <c r="Q772" i="1"/>
  <c r="S771" i="1"/>
  <c r="S769" i="1" s="1"/>
  <c r="R771" i="1"/>
  <c r="R769" i="1" s="1"/>
  <c r="Q771" i="1"/>
  <c r="Q770" i="1" s="1"/>
  <c r="P771" i="1"/>
  <c r="S768" i="1"/>
  <c r="S766" i="1" s="1"/>
  <c r="R768" i="1"/>
  <c r="R766" i="1" s="1"/>
  <c r="Q768" i="1"/>
  <c r="Q767" i="1" s="1"/>
  <c r="P768" i="1"/>
  <c r="P767" i="1" s="1"/>
  <c r="S765" i="1"/>
  <c r="S763" i="1" s="1"/>
  <c r="R765" i="1"/>
  <c r="R763" i="1" s="1"/>
  <c r="Q765" i="1"/>
  <c r="Q764" i="1" s="1"/>
  <c r="P765" i="1"/>
  <c r="S764" i="1"/>
  <c r="R764" i="1"/>
  <c r="S1110" i="1"/>
  <c r="S1108" i="1" s="1"/>
  <c r="R1110" i="1"/>
  <c r="R1108" i="1" s="1"/>
  <c r="Q1110" i="1"/>
  <c r="Q1109" i="1" s="1"/>
  <c r="P1110" i="1"/>
  <c r="P1109" i="1" s="1"/>
  <c r="S1452" i="1"/>
  <c r="S1450" i="1" s="1"/>
  <c r="R1452" i="1"/>
  <c r="R1450" i="1" s="1"/>
  <c r="Q1452" i="1"/>
  <c r="Q1451" i="1" s="1"/>
  <c r="P1452" i="1"/>
  <c r="S1449" i="1"/>
  <c r="S1447" i="1" s="1"/>
  <c r="R1449" i="1"/>
  <c r="R1447" i="1" s="1"/>
  <c r="Q1449" i="1"/>
  <c r="Q1448" i="1" s="1"/>
  <c r="P1449" i="1"/>
  <c r="P1448" i="1" s="1"/>
  <c r="S1446" i="1"/>
  <c r="S1444" i="1" s="1"/>
  <c r="R1446" i="1"/>
  <c r="R1444" i="1" s="1"/>
  <c r="Q1446" i="1"/>
  <c r="Q1444" i="1" s="1"/>
  <c r="P1446" i="1"/>
  <c r="S1590" i="1"/>
  <c r="S1588" i="1" s="1"/>
  <c r="R1590" i="1"/>
  <c r="R1588" i="1" s="1"/>
  <c r="Q1590" i="1"/>
  <c r="Q1589" i="1" s="1"/>
  <c r="P1590" i="1"/>
  <c r="P1589" i="1" s="1"/>
  <c r="S1589" i="1"/>
  <c r="R1589" i="1"/>
  <c r="S1587" i="1"/>
  <c r="S1585" i="1" s="1"/>
  <c r="R1587" i="1"/>
  <c r="R1585" i="1" s="1"/>
  <c r="Q1587" i="1"/>
  <c r="Q1585" i="1" s="1"/>
  <c r="P1587" i="1"/>
  <c r="S13" i="1"/>
  <c r="R13" i="1"/>
  <c r="Q13" i="1"/>
  <c r="P14" i="1"/>
  <c r="S14" i="1"/>
  <c r="R14" i="1"/>
  <c r="S10" i="1"/>
  <c r="R10" i="1"/>
  <c r="Q11" i="1"/>
  <c r="S11" i="1"/>
  <c r="R11" i="1"/>
  <c r="S7" i="1"/>
  <c r="R7" i="1"/>
  <c r="Q7" i="1"/>
  <c r="P8" i="1"/>
  <c r="S8" i="1"/>
  <c r="R8" i="1"/>
  <c r="S6" i="1"/>
  <c r="S4" i="1" s="1"/>
  <c r="R6" i="1"/>
  <c r="R4" i="1" s="1"/>
  <c r="Q6" i="1"/>
  <c r="Q5" i="1" s="1"/>
  <c r="P6" i="1"/>
  <c r="S1509" i="1"/>
  <c r="S1508" i="1" s="1"/>
  <c r="R1509" i="1"/>
  <c r="R1507" i="1" s="1"/>
  <c r="Q1509" i="1"/>
  <c r="Q1508" i="1" s="1"/>
  <c r="P1509" i="1"/>
  <c r="P1508" i="1" s="1"/>
  <c r="S723" i="1"/>
  <c r="S721" i="1" s="1"/>
  <c r="R723" i="1"/>
  <c r="R721" i="1" s="1"/>
  <c r="Q723" i="1"/>
  <c r="Q722" i="1" s="1"/>
  <c r="P723" i="1"/>
  <c r="P722" i="1" s="1"/>
  <c r="S720" i="1"/>
  <c r="S718" i="1" s="1"/>
  <c r="R720" i="1"/>
  <c r="R718" i="1" s="1"/>
  <c r="Q720" i="1"/>
  <c r="Q719" i="1" s="1"/>
  <c r="P720" i="1"/>
  <c r="P719" i="1" s="1"/>
  <c r="S719" i="1"/>
  <c r="S717" i="1"/>
  <c r="S715" i="1" s="1"/>
  <c r="R717" i="1"/>
  <c r="R715" i="1" s="1"/>
  <c r="Q717" i="1"/>
  <c r="P717" i="1"/>
  <c r="P715" i="1" s="1"/>
  <c r="S714" i="1"/>
  <c r="S712" i="1" s="1"/>
  <c r="R714" i="1"/>
  <c r="R712" i="1" s="1"/>
  <c r="Q714" i="1"/>
  <c r="Q713" i="1" s="1"/>
  <c r="P714" i="1"/>
  <c r="S713" i="1"/>
  <c r="S468" i="1"/>
  <c r="S466" i="1" s="1"/>
  <c r="R468" i="1"/>
  <c r="R466" i="1" s="1"/>
  <c r="Q468" i="1"/>
  <c r="Q466" i="1" s="1"/>
  <c r="P468" i="1"/>
  <c r="P467" i="1" s="1"/>
  <c r="R467" i="1"/>
  <c r="S465" i="1"/>
  <c r="S463" i="1" s="1"/>
  <c r="R465" i="1"/>
  <c r="R463" i="1" s="1"/>
  <c r="Q465" i="1"/>
  <c r="Q464" i="1" s="1"/>
  <c r="P465" i="1"/>
  <c r="S1524" i="1"/>
  <c r="S1522" i="1" s="1"/>
  <c r="R1524" i="1"/>
  <c r="R1522" i="1" s="1"/>
  <c r="Q1524" i="1"/>
  <c r="Q1522" i="1" s="1"/>
  <c r="P1524" i="1"/>
  <c r="P1523" i="1" s="1"/>
  <c r="S1523" i="1"/>
  <c r="R1523" i="1"/>
  <c r="S1521" i="1"/>
  <c r="S1519" i="1" s="1"/>
  <c r="R1521" i="1"/>
  <c r="R1519" i="1" s="1"/>
  <c r="Q1521" i="1"/>
  <c r="Q1520" i="1" s="1"/>
  <c r="P1521" i="1"/>
  <c r="S1518" i="1"/>
  <c r="S1516" i="1" s="1"/>
  <c r="R1518" i="1"/>
  <c r="R1516" i="1" s="1"/>
  <c r="Q1518" i="1"/>
  <c r="Q1516" i="1" s="1"/>
  <c r="P1518" i="1"/>
  <c r="P1517" i="1" s="1"/>
  <c r="S1671" i="1"/>
  <c r="S1669" i="1" s="1"/>
  <c r="R1671" i="1"/>
  <c r="R1669" i="1" s="1"/>
  <c r="Q1671" i="1"/>
  <c r="Q1669" i="1" s="1"/>
  <c r="P1671" i="1"/>
  <c r="P1670" i="1" s="1"/>
  <c r="S1670" i="1"/>
  <c r="S1668" i="1"/>
  <c r="S1666" i="1" s="1"/>
  <c r="R1668" i="1"/>
  <c r="R1666" i="1" s="1"/>
  <c r="Q1668" i="1"/>
  <c r="Q1666" i="1" s="1"/>
  <c r="P1668" i="1"/>
  <c r="P1667" i="1" s="1"/>
  <c r="S1665" i="1"/>
  <c r="S1663" i="1" s="1"/>
  <c r="R1665" i="1"/>
  <c r="R1663" i="1" s="1"/>
  <c r="Q1665" i="1"/>
  <c r="Q1663" i="1" s="1"/>
  <c r="P1665" i="1"/>
  <c r="P1664" i="1" s="1"/>
  <c r="S1662" i="1"/>
  <c r="S1660" i="1" s="1"/>
  <c r="R1662" i="1"/>
  <c r="R1660" i="1" s="1"/>
  <c r="Q1662" i="1"/>
  <c r="Q1660" i="1" s="1"/>
  <c r="P1662" i="1"/>
  <c r="P1661" i="1" s="1"/>
  <c r="S1371" i="1"/>
  <c r="S1369" i="1" s="1"/>
  <c r="R1371" i="1"/>
  <c r="R1369" i="1" s="1"/>
  <c r="Q1371" i="1"/>
  <c r="Q1369" i="1" s="1"/>
  <c r="P1371" i="1"/>
  <c r="P1370" i="1" s="1"/>
  <c r="S1370" i="1"/>
  <c r="S1368" i="1"/>
  <c r="S1366" i="1" s="1"/>
  <c r="R1368" i="1"/>
  <c r="R1366" i="1" s="1"/>
  <c r="Q1368" i="1"/>
  <c r="Q1366" i="1" s="1"/>
  <c r="P1368" i="1"/>
  <c r="P1367" i="1" s="1"/>
  <c r="S1365" i="1"/>
  <c r="R1365" i="1"/>
  <c r="R1364" i="1" s="1"/>
  <c r="Q1365" i="1"/>
  <c r="Q1364" i="1" s="1"/>
  <c r="P1365" i="1"/>
  <c r="P1363" i="1" s="1"/>
  <c r="S762" i="1"/>
  <c r="S761" i="1" s="1"/>
  <c r="R762" i="1"/>
  <c r="R760" i="1" s="1"/>
  <c r="Q762" i="1"/>
  <c r="P762" i="1"/>
  <c r="P760" i="1" s="1"/>
  <c r="S759" i="1"/>
  <c r="S758" i="1" s="1"/>
  <c r="R759" i="1"/>
  <c r="R758" i="1" s="1"/>
  <c r="Q759" i="1"/>
  <c r="Q758" i="1" s="1"/>
  <c r="P759" i="1"/>
  <c r="P757" i="1" s="1"/>
  <c r="S756" i="1"/>
  <c r="S755" i="1" s="1"/>
  <c r="R756" i="1"/>
  <c r="R754" i="1" s="1"/>
  <c r="Q756" i="1"/>
  <c r="P756" i="1"/>
  <c r="P754" i="1" s="1"/>
  <c r="S753" i="1"/>
  <c r="S752" i="1" s="1"/>
  <c r="R753" i="1"/>
  <c r="R752" i="1" s="1"/>
  <c r="Q753" i="1"/>
  <c r="Q752" i="1" s="1"/>
  <c r="P753" i="1"/>
  <c r="P751" i="1" s="1"/>
  <c r="S750" i="1"/>
  <c r="S749" i="1" s="1"/>
  <c r="R750" i="1"/>
  <c r="R748" i="1" s="1"/>
  <c r="Q750" i="1"/>
  <c r="P750" i="1"/>
  <c r="P749" i="1" s="1"/>
  <c r="S747" i="1"/>
  <c r="S746" i="1" s="1"/>
  <c r="R747" i="1"/>
  <c r="R746" i="1" s="1"/>
  <c r="Q747" i="1"/>
  <c r="Q746" i="1" s="1"/>
  <c r="P747" i="1"/>
  <c r="P745" i="1" s="1"/>
  <c r="S744" i="1"/>
  <c r="S743" i="1" s="1"/>
  <c r="R744" i="1"/>
  <c r="R742" i="1" s="1"/>
  <c r="Q744" i="1"/>
  <c r="P744" i="1"/>
  <c r="P742" i="1" s="1"/>
  <c r="S741" i="1"/>
  <c r="S739" i="1" s="1"/>
  <c r="R741" i="1"/>
  <c r="R740" i="1" s="1"/>
  <c r="Q741" i="1"/>
  <c r="Q740" i="1" s="1"/>
  <c r="P741" i="1"/>
  <c r="P739" i="1" s="1"/>
  <c r="S738" i="1"/>
  <c r="S737" i="1" s="1"/>
  <c r="R738" i="1"/>
  <c r="R736" i="1" s="1"/>
  <c r="Q738" i="1"/>
  <c r="P738" i="1"/>
  <c r="P737" i="1" s="1"/>
  <c r="S234" i="1"/>
  <c r="S233" i="1" s="1"/>
  <c r="R234" i="1"/>
  <c r="R233" i="1" s="1"/>
  <c r="Q234" i="1"/>
  <c r="Q233" i="1" s="1"/>
  <c r="P234" i="1"/>
  <c r="P232" i="1" s="1"/>
  <c r="S711" i="1"/>
  <c r="S709" i="1" s="1"/>
  <c r="R711" i="1"/>
  <c r="R709" i="1" s="1"/>
  <c r="Q711" i="1"/>
  <c r="Q710" i="1" s="1"/>
  <c r="P711" i="1"/>
  <c r="P710" i="1" s="1"/>
  <c r="S710" i="1"/>
  <c r="S708" i="1"/>
  <c r="S706" i="1" s="1"/>
  <c r="R708" i="1"/>
  <c r="R706" i="1" s="1"/>
  <c r="Q708" i="1"/>
  <c r="Q707" i="1" s="1"/>
  <c r="P708" i="1"/>
  <c r="P707" i="1" s="1"/>
  <c r="S1680" i="1"/>
  <c r="S1678" i="1" s="1"/>
  <c r="R1680" i="1"/>
  <c r="R1678" i="1" s="1"/>
  <c r="Q1680" i="1"/>
  <c r="Q1678" i="1" s="1"/>
  <c r="P1680" i="1"/>
  <c r="P1679" i="1" s="1"/>
  <c r="R1679" i="1"/>
  <c r="S1677" i="1"/>
  <c r="S1675" i="1" s="1"/>
  <c r="R1677" i="1"/>
  <c r="R1675" i="1" s="1"/>
  <c r="Q1677" i="1"/>
  <c r="Q1675" i="1" s="1"/>
  <c r="P1677" i="1"/>
  <c r="P1676" i="1" s="1"/>
  <c r="S1674" i="1"/>
  <c r="S1673" i="1" s="1"/>
  <c r="R1674" i="1"/>
  <c r="R1672" i="1" s="1"/>
  <c r="Q1674" i="1"/>
  <c r="Q1672" i="1" s="1"/>
  <c r="P1674" i="1"/>
  <c r="P1673" i="1" s="1"/>
  <c r="S276" i="1"/>
  <c r="S275" i="1" s="1"/>
  <c r="R276" i="1"/>
  <c r="R275" i="1" s="1"/>
  <c r="Q276" i="1"/>
  <c r="Q275" i="1" s="1"/>
  <c r="P276" i="1"/>
  <c r="P275" i="1" s="1"/>
  <c r="S273" i="1"/>
  <c r="S272" i="1" s="1"/>
  <c r="R273" i="1"/>
  <c r="R272" i="1" s="1"/>
  <c r="Q273" i="1"/>
  <c r="Q272" i="1" s="1"/>
  <c r="P273" i="1"/>
  <c r="P272" i="1"/>
  <c r="S271" i="1"/>
  <c r="R271" i="1"/>
  <c r="Q271" i="1"/>
  <c r="P271" i="1"/>
  <c r="S270" i="1"/>
  <c r="S269" i="1" s="1"/>
  <c r="R270" i="1"/>
  <c r="R268" i="1" s="1"/>
  <c r="Q270" i="1"/>
  <c r="Q268" i="1" s="1"/>
  <c r="P270" i="1"/>
  <c r="P269" i="1" s="1"/>
  <c r="S267" i="1"/>
  <c r="S265" i="1" s="1"/>
  <c r="R267" i="1"/>
  <c r="R266" i="1" s="1"/>
  <c r="Q267" i="1"/>
  <c r="Q265" i="1" s="1"/>
  <c r="P267" i="1"/>
  <c r="P266" i="1" s="1"/>
  <c r="S264" i="1"/>
  <c r="S263" i="1" s="1"/>
  <c r="R264" i="1"/>
  <c r="R263" i="1" s="1"/>
  <c r="Q264" i="1"/>
  <c r="Q263" i="1" s="1"/>
  <c r="P264" i="1"/>
  <c r="P263" i="1" s="1"/>
  <c r="S261" i="1"/>
  <c r="S260" i="1" s="1"/>
  <c r="R261" i="1"/>
  <c r="Q261" i="1"/>
  <c r="Q260" i="1" s="1"/>
  <c r="P261" i="1"/>
  <c r="P260" i="1" s="1"/>
  <c r="R260" i="1"/>
  <c r="S259" i="1"/>
  <c r="R259" i="1"/>
  <c r="Q259" i="1"/>
  <c r="P259" i="1"/>
  <c r="S258" i="1"/>
  <c r="S256" i="1" s="1"/>
  <c r="R258" i="1"/>
  <c r="R256" i="1" s="1"/>
  <c r="Q258" i="1"/>
  <c r="Q257" i="1" s="1"/>
  <c r="P258" i="1"/>
  <c r="P257" i="1" s="1"/>
  <c r="S257" i="1"/>
  <c r="S255" i="1"/>
  <c r="S254" i="1" s="1"/>
  <c r="R255" i="1"/>
  <c r="R254" i="1" s="1"/>
  <c r="Q255" i="1"/>
  <c r="Q254" i="1" s="1"/>
  <c r="P255" i="1"/>
  <c r="P254" i="1" s="1"/>
  <c r="Q253" i="1"/>
  <c r="P253" i="1"/>
  <c r="S252" i="1"/>
  <c r="S251" i="1" s="1"/>
  <c r="R252" i="1"/>
  <c r="R250" i="1" s="1"/>
  <c r="Q252" i="1"/>
  <c r="Q250" i="1" s="1"/>
  <c r="P252" i="1"/>
  <c r="P250" i="1" s="1"/>
  <c r="S249" i="1"/>
  <c r="S248" i="1" s="1"/>
  <c r="R249" i="1"/>
  <c r="R248" i="1" s="1"/>
  <c r="Q249" i="1"/>
  <c r="Q248" i="1" s="1"/>
  <c r="P249" i="1"/>
  <c r="P248" i="1" s="1"/>
  <c r="S462" i="1"/>
  <c r="S461" i="1" s="1"/>
  <c r="R462" i="1"/>
  <c r="R461" i="1" s="1"/>
  <c r="Q462" i="1"/>
  <c r="Q461" i="1" s="1"/>
  <c r="P462" i="1"/>
  <c r="P461" i="1" s="1"/>
  <c r="S459" i="1"/>
  <c r="S458" i="1" s="1"/>
  <c r="R459" i="1"/>
  <c r="R458" i="1" s="1"/>
  <c r="Q459" i="1"/>
  <c r="Q458" i="1" s="1"/>
  <c r="P459" i="1"/>
  <c r="P458" i="1" s="1"/>
  <c r="S457" i="1"/>
  <c r="R457" i="1"/>
  <c r="S456" i="1"/>
  <c r="S455" i="1" s="1"/>
  <c r="R456" i="1"/>
  <c r="R455" i="1" s="1"/>
  <c r="Q456" i="1"/>
  <c r="Q455" i="1" s="1"/>
  <c r="P456" i="1"/>
  <c r="P455" i="1" s="1"/>
  <c r="S453" i="1"/>
  <c r="S452" i="1" s="1"/>
  <c r="R453" i="1"/>
  <c r="R452" i="1" s="1"/>
  <c r="Q453" i="1"/>
  <c r="Q452" i="1" s="1"/>
  <c r="P453" i="1"/>
  <c r="P452" i="1" s="1"/>
  <c r="S451" i="1"/>
  <c r="R451" i="1"/>
  <c r="Q451" i="1"/>
  <c r="P451" i="1"/>
  <c r="S450" i="1"/>
  <c r="S449" i="1" s="1"/>
  <c r="R450" i="1"/>
  <c r="R448" i="1" s="1"/>
  <c r="Q450" i="1"/>
  <c r="Q448" i="1" s="1"/>
  <c r="P450" i="1"/>
  <c r="P449" i="1" s="1"/>
  <c r="S447" i="1"/>
  <c r="S446" i="1" s="1"/>
  <c r="R447" i="1"/>
  <c r="R446" i="1" s="1"/>
  <c r="Q447" i="1"/>
  <c r="Q446" i="1" s="1"/>
  <c r="P447" i="1"/>
  <c r="P446" i="1" s="1"/>
  <c r="S444" i="1"/>
  <c r="S443" i="1" s="1"/>
  <c r="R444" i="1"/>
  <c r="R443" i="1" s="1"/>
  <c r="Q444" i="1"/>
  <c r="Q442" i="1" s="1"/>
  <c r="P444" i="1"/>
  <c r="P443" i="1" s="1"/>
  <c r="S441" i="1"/>
  <c r="S439" i="1" s="1"/>
  <c r="R441" i="1"/>
  <c r="R439" i="1" s="1"/>
  <c r="Q441" i="1"/>
  <c r="Q439" i="1" s="1"/>
  <c r="P441" i="1"/>
  <c r="P440" i="1" s="1"/>
  <c r="S705" i="1"/>
  <c r="R705" i="1"/>
  <c r="R704" i="1" s="1"/>
  <c r="Q705" i="1"/>
  <c r="Q703" i="1" s="1"/>
  <c r="P705" i="1"/>
  <c r="P704" i="1" s="1"/>
  <c r="S704" i="1"/>
  <c r="Q704" i="1"/>
  <c r="S703" i="1"/>
  <c r="R703" i="1"/>
  <c r="S702" i="1"/>
  <c r="S701" i="1" s="1"/>
  <c r="R702" i="1"/>
  <c r="R701" i="1" s="1"/>
  <c r="Q702" i="1"/>
  <c r="Q701" i="1" s="1"/>
  <c r="P702" i="1"/>
  <c r="P701" i="1" s="1"/>
  <c r="P700" i="1"/>
  <c r="S699" i="1"/>
  <c r="S697" i="1" s="1"/>
  <c r="R699" i="1"/>
  <c r="R698" i="1" s="1"/>
  <c r="Q699" i="1"/>
  <c r="Q698" i="1" s="1"/>
  <c r="P699" i="1"/>
  <c r="P698" i="1" s="1"/>
  <c r="S696" i="1"/>
  <c r="S695" i="1" s="1"/>
  <c r="R696" i="1"/>
  <c r="R695" i="1" s="1"/>
  <c r="Q696" i="1"/>
  <c r="Q695" i="1" s="1"/>
  <c r="P696" i="1"/>
  <c r="P695" i="1" s="1"/>
  <c r="S693" i="1"/>
  <c r="S691" i="1" s="1"/>
  <c r="R693" i="1"/>
  <c r="R692" i="1" s="1"/>
  <c r="Q693" i="1"/>
  <c r="Q692" i="1" s="1"/>
  <c r="P693" i="1"/>
  <c r="P692" i="1" s="1"/>
  <c r="S690" i="1"/>
  <c r="S689" i="1" s="1"/>
  <c r="R690" i="1"/>
  <c r="R689" i="1" s="1"/>
  <c r="Q690" i="1"/>
  <c r="Q689" i="1" s="1"/>
  <c r="P690" i="1"/>
  <c r="P689" i="1" s="1"/>
  <c r="S687" i="1"/>
  <c r="S686" i="1" s="1"/>
  <c r="R687" i="1"/>
  <c r="R686" i="1" s="1"/>
  <c r="Q687" i="1"/>
  <c r="Q685" i="1" s="1"/>
  <c r="P687" i="1"/>
  <c r="P685" i="1" s="1"/>
  <c r="S685" i="1"/>
  <c r="S684" i="1"/>
  <c r="S682" i="1" s="1"/>
  <c r="R684" i="1"/>
  <c r="R683" i="1" s="1"/>
  <c r="Q684" i="1"/>
  <c r="Q682" i="1" s="1"/>
  <c r="P684" i="1"/>
  <c r="P683" i="1" s="1"/>
  <c r="S681" i="1"/>
  <c r="S679" i="1" s="1"/>
  <c r="R681" i="1"/>
  <c r="R680" i="1" s="1"/>
  <c r="Q681" i="1"/>
  <c r="Q679" i="1" s="1"/>
  <c r="P681" i="1"/>
  <c r="P679" i="1" s="1"/>
  <c r="S678" i="1"/>
  <c r="S676" i="1" s="1"/>
  <c r="R678" i="1"/>
  <c r="R677" i="1" s="1"/>
  <c r="Q678" i="1"/>
  <c r="Q677" i="1" s="1"/>
  <c r="P678" i="1"/>
  <c r="P676" i="1" s="1"/>
  <c r="S675" i="1"/>
  <c r="R675" i="1"/>
  <c r="R674" i="1" s="1"/>
  <c r="Q675" i="1"/>
  <c r="Q673" i="1" s="1"/>
  <c r="P675" i="1"/>
  <c r="P674" i="1" s="1"/>
  <c r="S674" i="1"/>
  <c r="Q674" i="1"/>
  <c r="S673" i="1"/>
  <c r="R673" i="1"/>
  <c r="S672" i="1"/>
  <c r="S671" i="1" s="1"/>
  <c r="R672" i="1"/>
  <c r="R671" i="1" s="1"/>
  <c r="Q672" i="1"/>
  <c r="Q671" i="1" s="1"/>
  <c r="P672" i="1"/>
  <c r="P670" i="1" s="1"/>
  <c r="S669" i="1"/>
  <c r="S668" i="1" s="1"/>
  <c r="R669" i="1"/>
  <c r="R668" i="1" s="1"/>
  <c r="Q669" i="1"/>
  <c r="P669" i="1"/>
  <c r="P668" i="1" s="1"/>
  <c r="Q668" i="1"/>
  <c r="S667" i="1"/>
  <c r="R667" i="1"/>
  <c r="Q667" i="1"/>
  <c r="P667" i="1"/>
  <c r="S498" i="1"/>
  <c r="S497" i="1" s="1"/>
  <c r="R498" i="1"/>
  <c r="R497" i="1" s="1"/>
  <c r="Q498" i="1"/>
  <c r="Q496" i="1" s="1"/>
  <c r="P498" i="1"/>
  <c r="P497" i="1" s="1"/>
  <c r="S495" i="1"/>
  <c r="S494" i="1" s="1"/>
  <c r="R495" i="1"/>
  <c r="R494" i="1" s="1"/>
  <c r="Q495" i="1"/>
  <c r="Q494" i="1" s="1"/>
  <c r="P495" i="1"/>
  <c r="P494" i="1" s="1"/>
  <c r="Q493" i="1"/>
  <c r="P493" i="1"/>
  <c r="S438" i="1"/>
  <c r="S437" i="1" s="1"/>
  <c r="R438" i="1"/>
  <c r="R437" i="1" s="1"/>
  <c r="Q438" i="1"/>
  <c r="Q437" i="1" s="1"/>
  <c r="P438" i="1"/>
  <c r="S195" i="1"/>
  <c r="S193" i="1" s="1"/>
  <c r="R195" i="1"/>
  <c r="R194" i="1" s="1"/>
  <c r="Q195" i="1"/>
  <c r="Q194" i="1" s="1"/>
  <c r="P195" i="1"/>
  <c r="P194" i="1" s="1"/>
  <c r="S194" i="1"/>
  <c r="S192" i="1"/>
  <c r="R192" i="1"/>
  <c r="R191" i="1" s="1"/>
  <c r="Q192" i="1"/>
  <c r="Q190" i="1" s="1"/>
  <c r="P192" i="1"/>
  <c r="P191" i="1" s="1"/>
  <c r="S191" i="1"/>
  <c r="Q191" i="1"/>
  <c r="S190" i="1"/>
  <c r="R190" i="1"/>
  <c r="S435" i="1"/>
  <c r="S433" i="1" s="1"/>
  <c r="R435" i="1"/>
  <c r="R434" i="1" s="1"/>
  <c r="Q435" i="1"/>
  <c r="Q434" i="1" s="1"/>
  <c r="P435" i="1"/>
  <c r="P434" i="1" s="1"/>
  <c r="S432" i="1"/>
  <c r="S430" i="1" s="1"/>
  <c r="R432" i="1"/>
  <c r="R430" i="1" s="1"/>
  <c r="Q432" i="1"/>
  <c r="Q431" i="1" s="1"/>
  <c r="P432" i="1"/>
  <c r="S431" i="1"/>
  <c r="S429" i="1"/>
  <c r="S427" i="1" s="1"/>
  <c r="R429" i="1"/>
  <c r="R427" i="1" s="1"/>
  <c r="Q429" i="1"/>
  <c r="P429" i="1"/>
  <c r="P428" i="1" s="1"/>
  <c r="S426" i="1"/>
  <c r="S425" i="1" s="1"/>
  <c r="R426" i="1"/>
  <c r="R424" i="1" s="1"/>
  <c r="Q426" i="1"/>
  <c r="Q425" i="1" s="1"/>
  <c r="P426" i="1"/>
  <c r="R425" i="1"/>
  <c r="S424" i="1"/>
  <c r="S423" i="1"/>
  <c r="S421" i="1" s="1"/>
  <c r="R423" i="1"/>
  <c r="R421" i="1" s="1"/>
  <c r="Q423" i="1"/>
  <c r="Q422" i="1" s="1"/>
  <c r="P423" i="1"/>
  <c r="P421" i="1" s="1"/>
  <c r="S422" i="1"/>
  <c r="S420" i="1"/>
  <c r="S418" i="1" s="1"/>
  <c r="R420" i="1"/>
  <c r="R418" i="1" s="1"/>
  <c r="Q420" i="1"/>
  <c r="Q418" i="1" s="1"/>
  <c r="P420" i="1"/>
  <c r="P418" i="1" s="1"/>
  <c r="S417" i="1"/>
  <c r="S415" i="1" s="1"/>
  <c r="R417" i="1"/>
  <c r="R416" i="1" s="1"/>
  <c r="Q417" i="1"/>
  <c r="Q416" i="1" s="1"/>
  <c r="P417" i="1"/>
  <c r="P416" i="1" s="1"/>
  <c r="S1275" i="1"/>
  <c r="S1273" i="1" s="1"/>
  <c r="R1275" i="1"/>
  <c r="R1274" i="1" s="1"/>
  <c r="Q1275" i="1"/>
  <c r="P1275" i="1"/>
  <c r="P1274" i="1" s="1"/>
  <c r="S1272" i="1"/>
  <c r="S1271" i="1" s="1"/>
  <c r="R1272" i="1"/>
  <c r="R1271" i="1" s="1"/>
  <c r="Q1272" i="1"/>
  <c r="Q1271" i="1" s="1"/>
  <c r="P1272" i="1"/>
  <c r="P1271" i="1" s="1"/>
  <c r="S1269" i="1"/>
  <c r="S1268" i="1" s="1"/>
  <c r="R1269" i="1"/>
  <c r="R1268" i="1" s="1"/>
  <c r="Q1269" i="1"/>
  <c r="Q1268" i="1" s="1"/>
  <c r="P1269" i="1"/>
  <c r="P1268" i="1" s="1"/>
  <c r="S1267" i="1"/>
  <c r="R1267" i="1"/>
  <c r="P1267" i="1"/>
  <c r="S1266" i="1"/>
  <c r="S1264" i="1" s="1"/>
  <c r="R1266" i="1"/>
  <c r="Q1266" i="1"/>
  <c r="Q1265" i="1" s="1"/>
  <c r="P1266" i="1"/>
  <c r="S1263" i="1"/>
  <c r="S1262" i="1" s="1"/>
  <c r="R1263" i="1"/>
  <c r="R1262" i="1" s="1"/>
  <c r="Q1263" i="1"/>
  <c r="Q1261" i="1" s="1"/>
  <c r="P1263" i="1"/>
  <c r="P1262" i="1" s="1"/>
  <c r="S1260" i="1"/>
  <c r="S1258" i="1" s="1"/>
  <c r="R1260" i="1"/>
  <c r="R1258" i="1" s="1"/>
  <c r="Q1260" i="1"/>
  <c r="Q1259" i="1" s="1"/>
  <c r="P1260" i="1"/>
  <c r="P1259" i="1" s="1"/>
  <c r="Q1258" i="1"/>
  <c r="S1257" i="1"/>
  <c r="S1255" i="1" s="1"/>
  <c r="R1257" i="1"/>
  <c r="R1256" i="1" s="1"/>
  <c r="Q1257" i="1"/>
  <c r="P1257" i="1"/>
  <c r="P1256" i="1" s="1"/>
  <c r="S1254" i="1"/>
  <c r="S1252" i="1" s="1"/>
  <c r="R1254" i="1"/>
  <c r="Q1254" i="1"/>
  <c r="Q1253" i="1" s="1"/>
  <c r="P1254" i="1"/>
  <c r="S1253" i="1"/>
  <c r="S1251" i="1"/>
  <c r="S1249" i="1" s="1"/>
  <c r="R1251" i="1"/>
  <c r="R1250" i="1" s="1"/>
  <c r="Q1251" i="1"/>
  <c r="P1251" i="1"/>
  <c r="P1250" i="1" s="1"/>
  <c r="S1248" i="1"/>
  <c r="S1246" i="1" s="1"/>
  <c r="R1248" i="1"/>
  <c r="Q1248" i="1"/>
  <c r="Q1247" i="1" s="1"/>
  <c r="P1248" i="1"/>
  <c r="S1245" i="1"/>
  <c r="S1243" i="1" s="1"/>
  <c r="R1245" i="1"/>
  <c r="R1244" i="1" s="1"/>
  <c r="Q1245" i="1"/>
  <c r="P1245" i="1"/>
  <c r="P1244" i="1" s="1"/>
  <c r="S1242" i="1"/>
  <c r="S1240" i="1" s="1"/>
  <c r="R1242" i="1"/>
  <c r="R1241" i="1" s="1"/>
  <c r="Q1242" i="1"/>
  <c r="Q1241" i="1" s="1"/>
  <c r="P1242" i="1"/>
  <c r="P1241" i="1" s="1"/>
  <c r="S1239" i="1"/>
  <c r="S1237" i="1" s="1"/>
  <c r="R1239" i="1"/>
  <c r="R1238" i="1" s="1"/>
  <c r="Q1239" i="1"/>
  <c r="Q1238" i="1" s="1"/>
  <c r="P1239" i="1"/>
  <c r="S1236" i="1"/>
  <c r="S1234" i="1" s="1"/>
  <c r="R1236" i="1"/>
  <c r="R1235" i="1" s="1"/>
  <c r="Q1236" i="1"/>
  <c r="Q1234" i="1" s="1"/>
  <c r="P1236" i="1"/>
  <c r="P1235" i="1" s="1"/>
  <c r="S1233" i="1"/>
  <c r="S1231" i="1" s="1"/>
  <c r="R1233" i="1"/>
  <c r="R1232" i="1" s="1"/>
  <c r="Q1233" i="1"/>
  <c r="P1233" i="1"/>
  <c r="P1232" i="1" s="1"/>
  <c r="S1230" i="1"/>
  <c r="S1228" i="1" s="1"/>
  <c r="R1230" i="1"/>
  <c r="Q1230" i="1"/>
  <c r="Q1229" i="1" s="1"/>
  <c r="P1230" i="1"/>
  <c r="S1227" i="1"/>
  <c r="S1225" i="1" s="1"/>
  <c r="R1227" i="1"/>
  <c r="R1226" i="1" s="1"/>
  <c r="Q1227" i="1"/>
  <c r="Q1226" i="1" s="1"/>
  <c r="P1227" i="1"/>
  <c r="P1226" i="1" s="1"/>
  <c r="S1224" i="1"/>
  <c r="S1222" i="1" s="1"/>
  <c r="R1224" i="1"/>
  <c r="R1223" i="1" s="1"/>
  <c r="Q1224" i="1"/>
  <c r="P1224" i="1"/>
  <c r="P1223" i="1" s="1"/>
  <c r="S1221" i="1"/>
  <c r="S1219" i="1" s="1"/>
  <c r="R1221" i="1"/>
  <c r="Q1221" i="1"/>
  <c r="Q1219" i="1" s="1"/>
  <c r="P1221" i="1"/>
  <c r="S1220" i="1"/>
  <c r="S1218" i="1"/>
  <c r="S1216" i="1" s="1"/>
  <c r="R1218" i="1"/>
  <c r="R1217" i="1" s="1"/>
  <c r="Q1218" i="1"/>
  <c r="P1218" i="1"/>
  <c r="P1217" i="1" s="1"/>
  <c r="S1217" i="1"/>
  <c r="S1215" i="1"/>
  <c r="S1213" i="1" s="1"/>
  <c r="R1215" i="1"/>
  <c r="Q1215" i="1"/>
  <c r="Q1214" i="1" s="1"/>
  <c r="P1215" i="1"/>
  <c r="S1212" i="1"/>
  <c r="S1210" i="1" s="1"/>
  <c r="R1212" i="1"/>
  <c r="R1211" i="1" s="1"/>
  <c r="Q1212" i="1"/>
  <c r="P1212" i="1"/>
  <c r="P1211" i="1" s="1"/>
  <c r="S1209" i="1"/>
  <c r="S1208" i="1" s="1"/>
  <c r="R1209" i="1"/>
  <c r="R1208" i="1" s="1"/>
  <c r="Q1209" i="1"/>
  <c r="Q1208" i="1" s="1"/>
  <c r="P1209" i="1"/>
  <c r="P1207" i="1" s="1"/>
  <c r="S1206" i="1"/>
  <c r="S1205" i="1" s="1"/>
  <c r="R1206" i="1"/>
  <c r="R1205" i="1" s="1"/>
  <c r="Q1206" i="1"/>
  <c r="Q1204" i="1" s="1"/>
  <c r="P1206" i="1"/>
  <c r="P1204" i="1" s="1"/>
  <c r="S1203" i="1"/>
  <c r="S1202" i="1" s="1"/>
  <c r="R1203" i="1"/>
  <c r="R1202" i="1" s="1"/>
  <c r="Q1203" i="1"/>
  <c r="Q1202" i="1" s="1"/>
  <c r="P1203" i="1"/>
  <c r="P1202" i="1" s="1"/>
  <c r="S1200" i="1"/>
  <c r="S1198" i="1" s="1"/>
  <c r="R1200" i="1"/>
  <c r="R1199" i="1" s="1"/>
  <c r="Q1200" i="1"/>
  <c r="Q1198" i="1" s="1"/>
  <c r="P1200" i="1"/>
  <c r="P1199" i="1" s="1"/>
  <c r="S1197" i="1"/>
  <c r="S1195" i="1" s="1"/>
  <c r="R1197" i="1"/>
  <c r="R1195" i="1" s="1"/>
  <c r="Q1197" i="1"/>
  <c r="Q1195" i="1" s="1"/>
  <c r="P1197" i="1"/>
  <c r="P1196" i="1" s="1"/>
  <c r="S1194" i="1"/>
  <c r="S1192" i="1" s="1"/>
  <c r="R1194" i="1"/>
  <c r="R1193" i="1" s="1"/>
  <c r="Q1194" i="1"/>
  <c r="Q1193" i="1" s="1"/>
  <c r="P1194" i="1"/>
  <c r="P1193" i="1" s="1"/>
  <c r="S1191" i="1"/>
  <c r="S1189" i="1" s="1"/>
  <c r="R1191" i="1"/>
  <c r="R1190" i="1" s="1"/>
  <c r="Q1191" i="1"/>
  <c r="Q1190" i="1" s="1"/>
  <c r="P1191" i="1"/>
  <c r="P1190" i="1" s="1"/>
  <c r="R1189" i="1"/>
  <c r="S1188" i="1"/>
  <c r="S1186" i="1" s="1"/>
  <c r="R1188" i="1"/>
  <c r="R1187" i="1" s="1"/>
  <c r="Q1188" i="1"/>
  <c r="Q1187" i="1" s="1"/>
  <c r="P1188" i="1"/>
  <c r="P1187" i="1" s="1"/>
  <c r="S1185" i="1"/>
  <c r="S1183" i="1" s="1"/>
  <c r="R1185" i="1"/>
  <c r="R1184" i="1" s="1"/>
  <c r="Q1185" i="1"/>
  <c r="Q1184" i="1" s="1"/>
  <c r="P1185" i="1"/>
  <c r="P1183" i="1" s="1"/>
  <c r="S1182" i="1"/>
  <c r="S1180" i="1" s="1"/>
  <c r="R1182" i="1"/>
  <c r="R1180" i="1" s="1"/>
  <c r="Q1182" i="1"/>
  <c r="Q1180" i="1" s="1"/>
  <c r="P1182" i="1"/>
  <c r="P1180" i="1" s="1"/>
  <c r="S1181" i="1"/>
  <c r="S1179" i="1"/>
  <c r="S1177" i="1" s="1"/>
  <c r="R1179" i="1"/>
  <c r="R1178" i="1" s="1"/>
  <c r="Q1179" i="1"/>
  <c r="Q1178" i="1" s="1"/>
  <c r="P1179" i="1"/>
  <c r="P1178" i="1" s="1"/>
  <c r="R1177" i="1"/>
  <c r="S1176" i="1"/>
  <c r="S1175" i="1" s="1"/>
  <c r="R1176" i="1"/>
  <c r="R1174" i="1" s="1"/>
  <c r="Q1176" i="1"/>
  <c r="Q1174" i="1" s="1"/>
  <c r="P1176" i="1"/>
  <c r="P1174" i="1" s="1"/>
  <c r="R1175" i="1"/>
  <c r="S1173" i="1"/>
  <c r="S1171" i="1" s="1"/>
  <c r="R1173" i="1"/>
  <c r="R1172" i="1" s="1"/>
  <c r="Q1173" i="1"/>
  <c r="Q1172" i="1" s="1"/>
  <c r="P1173" i="1"/>
  <c r="P1172" i="1" s="1"/>
  <c r="S1170" i="1"/>
  <c r="S1168" i="1" s="1"/>
  <c r="R1170" i="1"/>
  <c r="R1169" i="1" s="1"/>
  <c r="Q1170" i="1"/>
  <c r="Q1169" i="1" s="1"/>
  <c r="P1170" i="1"/>
  <c r="P1169" i="1" s="1"/>
  <c r="S1167" i="1"/>
  <c r="S1166" i="1" s="1"/>
  <c r="R1167" i="1"/>
  <c r="R1166" i="1" s="1"/>
  <c r="Q1167" i="1"/>
  <c r="Q1165" i="1" s="1"/>
  <c r="P1167" i="1"/>
  <c r="P1166" i="1" s="1"/>
  <c r="Q1166" i="1"/>
  <c r="R1165" i="1"/>
  <c r="S1164" i="1"/>
  <c r="S1163" i="1" s="1"/>
  <c r="R1164" i="1"/>
  <c r="R1163" i="1" s="1"/>
  <c r="Q1164" i="1"/>
  <c r="Q1162" i="1" s="1"/>
  <c r="P1164" i="1"/>
  <c r="P1163" i="1" s="1"/>
  <c r="S1161" i="1"/>
  <c r="S1159" i="1" s="1"/>
  <c r="R1161" i="1"/>
  <c r="R1160" i="1" s="1"/>
  <c r="Q1161" i="1"/>
  <c r="Q1159" i="1" s="1"/>
  <c r="P1161" i="1"/>
  <c r="P1160" i="1" s="1"/>
  <c r="S1160" i="1"/>
  <c r="S1158" i="1"/>
  <c r="S1157" i="1" s="1"/>
  <c r="R1158" i="1"/>
  <c r="R1157" i="1" s="1"/>
  <c r="Q1158" i="1"/>
  <c r="Q1157" i="1" s="1"/>
  <c r="P1158" i="1"/>
  <c r="P1157" i="1" s="1"/>
  <c r="S1155" i="1"/>
  <c r="S1153" i="1" s="1"/>
  <c r="R1155" i="1"/>
  <c r="R1153" i="1" s="1"/>
  <c r="Q1155" i="1"/>
  <c r="Q1153" i="1" s="1"/>
  <c r="P1155" i="1"/>
  <c r="S1152" i="1"/>
  <c r="S1150" i="1" s="1"/>
  <c r="R1152" i="1"/>
  <c r="R1150" i="1" s="1"/>
  <c r="Q1152" i="1"/>
  <c r="Q1151" i="1" s="1"/>
  <c r="P1152" i="1"/>
  <c r="P1151" i="1" s="1"/>
  <c r="S1149" i="1"/>
  <c r="S1147" i="1" s="1"/>
  <c r="R1149" i="1"/>
  <c r="R1147" i="1" s="1"/>
  <c r="Q1149" i="1"/>
  <c r="Q1148" i="1" s="1"/>
  <c r="P1149" i="1"/>
  <c r="P1147" i="1" s="1"/>
  <c r="P1148" i="1"/>
  <c r="S1146" i="1"/>
  <c r="S1144" i="1" s="1"/>
  <c r="R1146" i="1"/>
  <c r="R1144" i="1" s="1"/>
  <c r="Q1146" i="1"/>
  <c r="Q1145" i="1" s="1"/>
  <c r="P1146" i="1"/>
  <c r="P1145" i="1" s="1"/>
  <c r="S1143" i="1"/>
  <c r="S1141" i="1" s="1"/>
  <c r="R1143" i="1"/>
  <c r="R1141" i="1" s="1"/>
  <c r="Q1143" i="1"/>
  <c r="Q1142" i="1" s="1"/>
  <c r="P1143" i="1"/>
  <c r="P1142" i="1" s="1"/>
  <c r="S1140" i="1"/>
  <c r="S1138" i="1" s="1"/>
  <c r="R1140" i="1"/>
  <c r="R1138" i="1" s="1"/>
  <c r="Q1140" i="1"/>
  <c r="Q1139" i="1" s="1"/>
  <c r="P1140" i="1"/>
  <c r="P1139" i="1" s="1"/>
  <c r="S1137" i="1"/>
  <c r="S1135" i="1" s="1"/>
  <c r="R1137" i="1"/>
  <c r="R1135" i="1" s="1"/>
  <c r="Q1137" i="1"/>
  <c r="Q1136" i="1" s="1"/>
  <c r="P1137" i="1"/>
  <c r="P1136" i="1" s="1"/>
  <c r="S1134" i="1"/>
  <c r="S1132" i="1" s="1"/>
  <c r="R1134" i="1"/>
  <c r="R1133" i="1" s="1"/>
  <c r="Q1134" i="1"/>
  <c r="Q1133" i="1" s="1"/>
  <c r="P1134" i="1"/>
  <c r="P1133" i="1" s="1"/>
  <c r="S1131" i="1"/>
  <c r="S1129" i="1" s="1"/>
  <c r="R1131" i="1"/>
  <c r="R1129" i="1" s="1"/>
  <c r="Q1131" i="1"/>
  <c r="Q1130" i="1" s="1"/>
  <c r="P1131" i="1"/>
  <c r="P1130" i="1" s="1"/>
  <c r="S1128" i="1"/>
  <c r="S1126" i="1" s="1"/>
  <c r="R1128" i="1"/>
  <c r="R1126" i="1" s="1"/>
  <c r="Q1128" i="1"/>
  <c r="Q1126" i="1" s="1"/>
  <c r="P1128" i="1"/>
  <c r="P1127" i="1" s="1"/>
  <c r="S1125" i="1"/>
  <c r="S1123" i="1" s="1"/>
  <c r="R1125" i="1"/>
  <c r="R1123" i="1" s="1"/>
  <c r="Q1125" i="1"/>
  <c r="Q1124" i="1" s="1"/>
  <c r="P1125" i="1"/>
  <c r="P1124" i="1" s="1"/>
  <c r="S1614" i="1"/>
  <c r="S1613" i="1" s="1"/>
  <c r="R1614" i="1"/>
  <c r="R1613" i="1" s="1"/>
  <c r="Q1614" i="1"/>
  <c r="Q1612" i="1" s="1"/>
  <c r="P1614" i="1"/>
  <c r="P1612" i="1" s="1"/>
  <c r="S1611" i="1"/>
  <c r="S1609" i="1" s="1"/>
  <c r="R1611" i="1"/>
  <c r="R1609" i="1" s="1"/>
  <c r="Q1611" i="1"/>
  <c r="Q1609" i="1" s="1"/>
  <c r="P1611" i="1"/>
  <c r="P1610" i="1" s="1"/>
  <c r="S1608" i="1"/>
  <c r="S1606" i="1" s="1"/>
  <c r="R1608" i="1"/>
  <c r="R1606" i="1" s="1"/>
  <c r="Q1608" i="1"/>
  <c r="Q1606" i="1" s="1"/>
  <c r="P1608" i="1"/>
  <c r="P1606" i="1" s="1"/>
  <c r="S1605" i="1"/>
  <c r="S1603" i="1" s="1"/>
  <c r="R1605" i="1"/>
  <c r="R1603" i="1" s="1"/>
  <c r="Q1605" i="1"/>
  <c r="Q1603" i="1" s="1"/>
  <c r="P1605" i="1"/>
  <c r="P1603" i="1" s="1"/>
  <c r="S1604" i="1"/>
  <c r="S1602" i="1"/>
  <c r="S1600" i="1" s="1"/>
  <c r="R1602" i="1"/>
  <c r="R1600" i="1" s="1"/>
  <c r="Q1602" i="1"/>
  <c r="Q1600" i="1" s="1"/>
  <c r="P1602" i="1"/>
  <c r="P1601" i="1" s="1"/>
  <c r="Q1601" i="1"/>
  <c r="S570" i="1"/>
  <c r="S568" i="1" s="1"/>
  <c r="R570" i="1"/>
  <c r="R568" i="1" s="1"/>
  <c r="Q570" i="1"/>
  <c r="Q568" i="1" s="1"/>
  <c r="P570" i="1"/>
  <c r="P569" i="1" s="1"/>
  <c r="S915" i="1"/>
  <c r="S913" i="1" s="1"/>
  <c r="R915" i="1"/>
  <c r="R913" i="1" s="1"/>
  <c r="Q915" i="1"/>
  <c r="Q913" i="1" s="1"/>
  <c r="P915" i="1"/>
  <c r="P913" i="1" s="1"/>
  <c r="S912" i="1"/>
  <c r="S910" i="1" s="1"/>
  <c r="R912" i="1"/>
  <c r="R910" i="1" s="1"/>
  <c r="Q912" i="1"/>
  <c r="Q910" i="1" s="1"/>
  <c r="P912" i="1"/>
  <c r="P911" i="1" s="1"/>
  <c r="S909" i="1"/>
  <c r="S907" i="1" s="1"/>
  <c r="R909" i="1"/>
  <c r="R907" i="1" s="1"/>
  <c r="Q909" i="1"/>
  <c r="Q907" i="1" s="1"/>
  <c r="P909" i="1"/>
  <c r="P908" i="1" s="1"/>
  <c r="S906" i="1"/>
  <c r="S904" i="1" s="1"/>
  <c r="R906" i="1"/>
  <c r="R904" i="1" s="1"/>
  <c r="Q906" i="1"/>
  <c r="Q904" i="1" s="1"/>
  <c r="P906" i="1"/>
  <c r="P904" i="1" s="1"/>
  <c r="Q905" i="1"/>
  <c r="S903" i="1"/>
  <c r="S901" i="1" s="1"/>
  <c r="R903" i="1"/>
  <c r="R901" i="1" s="1"/>
  <c r="Q903" i="1"/>
  <c r="Q901" i="1" s="1"/>
  <c r="P903" i="1"/>
  <c r="P902" i="1" s="1"/>
  <c r="S900" i="1"/>
  <c r="S898" i="1" s="1"/>
  <c r="R900" i="1"/>
  <c r="R898" i="1" s="1"/>
  <c r="Q900" i="1"/>
  <c r="Q898" i="1" s="1"/>
  <c r="P900" i="1"/>
  <c r="P898" i="1" s="1"/>
  <c r="S897" i="1"/>
  <c r="S895" i="1" s="1"/>
  <c r="R897" i="1"/>
  <c r="R895" i="1" s="1"/>
  <c r="Q897" i="1"/>
  <c r="Q895" i="1" s="1"/>
  <c r="P897" i="1"/>
  <c r="P896" i="1" s="1"/>
  <c r="S894" i="1"/>
  <c r="S892" i="1" s="1"/>
  <c r="R894" i="1"/>
  <c r="R892" i="1" s="1"/>
  <c r="Q894" i="1"/>
  <c r="Q892" i="1" s="1"/>
  <c r="P894" i="1"/>
  <c r="P892" i="1" s="1"/>
  <c r="S891" i="1"/>
  <c r="S889" i="1" s="1"/>
  <c r="R891" i="1"/>
  <c r="R889" i="1" s="1"/>
  <c r="Q891" i="1"/>
  <c r="Q889" i="1" s="1"/>
  <c r="P891" i="1"/>
  <c r="P889" i="1" s="1"/>
  <c r="S888" i="1"/>
  <c r="S886" i="1" s="1"/>
  <c r="R888" i="1"/>
  <c r="R887" i="1" s="1"/>
  <c r="Q888" i="1"/>
  <c r="Q886" i="1" s="1"/>
  <c r="P888" i="1"/>
  <c r="P887" i="1" s="1"/>
  <c r="S885" i="1"/>
  <c r="S883" i="1" s="1"/>
  <c r="R885" i="1"/>
  <c r="R883" i="1" s="1"/>
  <c r="Q885" i="1"/>
  <c r="Q883" i="1" s="1"/>
  <c r="P885" i="1"/>
  <c r="P884" i="1" s="1"/>
  <c r="S1653" i="1"/>
  <c r="S1651" i="1" s="1"/>
  <c r="R1653" i="1"/>
  <c r="R1651" i="1" s="1"/>
  <c r="Q1653" i="1"/>
  <c r="Q1651" i="1" s="1"/>
  <c r="P1653" i="1"/>
  <c r="P1652" i="1" s="1"/>
  <c r="S1650" i="1"/>
  <c r="S1648" i="1" s="1"/>
  <c r="R1650" i="1"/>
  <c r="R1648" i="1" s="1"/>
  <c r="Q1650" i="1"/>
  <c r="Q1648" i="1" s="1"/>
  <c r="P1650" i="1"/>
  <c r="P1649" i="1" s="1"/>
  <c r="S1647" i="1"/>
  <c r="S1645" i="1" s="1"/>
  <c r="R1647" i="1"/>
  <c r="R1645" i="1" s="1"/>
  <c r="Q1647" i="1"/>
  <c r="Q1645" i="1" s="1"/>
  <c r="P1647" i="1"/>
  <c r="P1646" i="1" s="1"/>
  <c r="S1644" i="1"/>
  <c r="S1642" i="1" s="1"/>
  <c r="R1644" i="1"/>
  <c r="R1642" i="1" s="1"/>
  <c r="Q1644" i="1"/>
  <c r="Q1642" i="1" s="1"/>
  <c r="P1644" i="1"/>
  <c r="P1643" i="1" s="1"/>
  <c r="S414" i="1"/>
  <c r="S412" i="1" s="1"/>
  <c r="R414" i="1"/>
  <c r="R412" i="1" s="1"/>
  <c r="Q414" i="1"/>
  <c r="Q412" i="1" s="1"/>
  <c r="P414" i="1"/>
  <c r="P413" i="1" s="1"/>
  <c r="S411" i="1"/>
  <c r="S409" i="1" s="1"/>
  <c r="R411" i="1"/>
  <c r="R409" i="1" s="1"/>
  <c r="Q411" i="1"/>
  <c r="Q409" i="1" s="1"/>
  <c r="P411" i="1"/>
  <c r="P410" i="1" s="1"/>
  <c r="R410" i="1"/>
  <c r="S408" i="1"/>
  <c r="S406" i="1" s="1"/>
  <c r="R408" i="1"/>
  <c r="R406" i="1" s="1"/>
  <c r="Q408" i="1"/>
  <c r="Q406" i="1" s="1"/>
  <c r="P408" i="1"/>
  <c r="P406" i="1" s="1"/>
  <c r="S405" i="1"/>
  <c r="S403" i="1" s="1"/>
  <c r="R405" i="1"/>
  <c r="R403" i="1" s="1"/>
  <c r="Q405" i="1"/>
  <c r="Q403" i="1" s="1"/>
  <c r="P405" i="1"/>
  <c r="P404" i="1" s="1"/>
  <c r="S404" i="1"/>
  <c r="S1503" i="1"/>
  <c r="S1501" i="1" s="1"/>
  <c r="R1503" i="1"/>
  <c r="R1501" i="1" s="1"/>
  <c r="Q1503" i="1"/>
  <c r="Q1501" i="1" s="1"/>
  <c r="P1503" i="1"/>
  <c r="P1501" i="1" s="1"/>
  <c r="S1500" i="1"/>
  <c r="S1498" i="1" s="1"/>
  <c r="R1500" i="1"/>
  <c r="R1498" i="1" s="1"/>
  <c r="Q1500" i="1"/>
  <c r="Q1498" i="1" s="1"/>
  <c r="P1500" i="1"/>
  <c r="P1499" i="1" s="1"/>
  <c r="S1497" i="1"/>
  <c r="S1495" i="1" s="1"/>
  <c r="R1497" i="1"/>
  <c r="R1495" i="1" s="1"/>
  <c r="Q1497" i="1"/>
  <c r="Q1495" i="1" s="1"/>
  <c r="P1497" i="1"/>
  <c r="P1496" i="1" s="1"/>
  <c r="S1494" i="1"/>
  <c r="S1492" i="1" s="1"/>
  <c r="R1494" i="1"/>
  <c r="R1492" i="1" s="1"/>
  <c r="Q1494" i="1"/>
  <c r="Q1492" i="1" s="1"/>
  <c r="P1494" i="1"/>
  <c r="P1492" i="1" s="1"/>
  <c r="S597" i="1"/>
  <c r="S595" i="1" s="1"/>
  <c r="R597" i="1"/>
  <c r="R595" i="1" s="1"/>
  <c r="Q597" i="1"/>
  <c r="Q595" i="1" s="1"/>
  <c r="P597" i="1"/>
  <c r="P596" i="1" s="1"/>
  <c r="S594" i="1"/>
  <c r="S592" i="1" s="1"/>
  <c r="R594" i="1"/>
  <c r="R592" i="1" s="1"/>
  <c r="Q594" i="1"/>
  <c r="Q592" i="1" s="1"/>
  <c r="P594" i="1"/>
  <c r="P593" i="1" s="1"/>
  <c r="S591" i="1"/>
  <c r="S589" i="1" s="1"/>
  <c r="R591" i="1"/>
  <c r="R589" i="1" s="1"/>
  <c r="Q591" i="1"/>
  <c r="Q589" i="1" s="1"/>
  <c r="P591" i="1"/>
  <c r="P589" i="1" s="1"/>
  <c r="S588" i="1"/>
  <c r="S586" i="1" s="1"/>
  <c r="R588" i="1"/>
  <c r="R586" i="1" s="1"/>
  <c r="Q588" i="1"/>
  <c r="Q586" i="1" s="1"/>
  <c r="P588" i="1"/>
  <c r="P586" i="1" s="1"/>
  <c r="S585" i="1"/>
  <c r="S583" i="1" s="1"/>
  <c r="R585" i="1"/>
  <c r="R583" i="1" s="1"/>
  <c r="Q585" i="1"/>
  <c r="Q583" i="1" s="1"/>
  <c r="P585" i="1"/>
  <c r="P584" i="1" s="1"/>
  <c r="R584" i="1"/>
  <c r="S582" i="1"/>
  <c r="S580" i="1" s="1"/>
  <c r="R582" i="1"/>
  <c r="R580" i="1" s="1"/>
  <c r="Q582" i="1"/>
  <c r="Q580" i="1" s="1"/>
  <c r="P582" i="1"/>
  <c r="P581" i="1" s="1"/>
  <c r="S1629" i="1"/>
  <c r="S1627" i="1" s="1"/>
  <c r="R1629" i="1"/>
  <c r="R1627" i="1" s="1"/>
  <c r="Q1629" i="1"/>
  <c r="Q1627" i="1" s="1"/>
  <c r="P1629" i="1"/>
  <c r="P1628" i="1" s="1"/>
  <c r="S1626" i="1"/>
  <c r="S1624" i="1" s="1"/>
  <c r="R1626" i="1"/>
  <c r="R1624" i="1" s="1"/>
  <c r="Q1626" i="1"/>
  <c r="Q1624" i="1" s="1"/>
  <c r="P1626" i="1"/>
  <c r="P1625" i="1" s="1"/>
  <c r="S1623" i="1"/>
  <c r="S1621" i="1" s="1"/>
  <c r="R1623" i="1"/>
  <c r="R1621" i="1" s="1"/>
  <c r="Q1623" i="1"/>
  <c r="Q1621" i="1" s="1"/>
  <c r="P1623" i="1"/>
  <c r="P1622" i="1" s="1"/>
  <c r="S1620" i="1"/>
  <c r="S1618" i="1" s="1"/>
  <c r="R1620" i="1"/>
  <c r="R1618" i="1" s="1"/>
  <c r="Q1620" i="1"/>
  <c r="Q1618" i="1" s="1"/>
  <c r="P1620" i="1"/>
  <c r="P1619" i="1" s="1"/>
  <c r="S1527" i="1"/>
  <c r="S1525" i="1" s="1"/>
  <c r="R1527" i="1"/>
  <c r="R1525" i="1" s="1"/>
  <c r="Q1527" i="1"/>
  <c r="Q1525" i="1" s="1"/>
  <c r="P1527" i="1"/>
  <c r="P1526" i="1" s="1"/>
  <c r="S1098" i="1"/>
  <c r="S1096" i="1" s="1"/>
  <c r="R1098" i="1"/>
  <c r="R1096" i="1" s="1"/>
  <c r="Q1098" i="1"/>
  <c r="Q1096" i="1" s="1"/>
  <c r="P1098" i="1"/>
  <c r="P1097" i="1" s="1"/>
  <c r="S882" i="1"/>
  <c r="S880" i="1" s="1"/>
  <c r="R882" i="1"/>
  <c r="R880" i="1" s="1"/>
  <c r="Q882" i="1"/>
  <c r="P882" i="1"/>
  <c r="P881" i="1" s="1"/>
  <c r="S879" i="1"/>
  <c r="S877" i="1" s="1"/>
  <c r="R879" i="1"/>
  <c r="R877" i="1" s="1"/>
  <c r="Q879" i="1"/>
  <c r="Q877" i="1" s="1"/>
  <c r="P879" i="1"/>
  <c r="P877" i="1" s="1"/>
  <c r="S876" i="1"/>
  <c r="S874" i="1" s="1"/>
  <c r="R876" i="1"/>
  <c r="R874" i="1" s="1"/>
  <c r="Q876" i="1"/>
  <c r="Q874" i="1" s="1"/>
  <c r="P876" i="1"/>
  <c r="P874" i="1" s="1"/>
  <c r="S873" i="1"/>
  <c r="S871" i="1" s="1"/>
  <c r="R873" i="1"/>
  <c r="R871" i="1" s="1"/>
  <c r="Q873" i="1"/>
  <c r="Q871" i="1" s="1"/>
  <c r="P873" i="1"/>
  <c r="P871" i="1" s="1"/>
  <c r="S666" i="1"/>
  <c r="S664" i="1" s="1"/>
  <c r="R666" i="1"/>
  <c r="R664" i="1" s="1"/>
  <c r="Q666" i="1"/>
  <c r="Q664" i="1" s="1"/>
  <c r="P666" i="1"/>
  <c r="P665" i="1" s="1"/>
  <c r="S663" i="1"/>
  <c r="S661" i="1" s="1"/>
  <c r="R663" i="1"/>
  <c r="R661" i="1" s="1"/>
  <c r="Q663" i="1"/>
  <c r="P663" i="1"/>
  <c r="P662" i="1" s="1"/>
  <c r="S660" i="1"/>
  <c r="S658" i="1" s="1"/>
  <c r="R660" i="1"/>
  <c r="R658" i="1" s="1"/>
  <c r="Q660" i="1"/>
  <c r="Q658" i="1" s="1"/>
  <c r="P660" i="1"/>
  <c r="P659" i="1" s="1"/>
  <c r="S657" i="1"/>
  <c r="S655" i="1" s="1"/>
  <c r="R657" i="1"/>
  <c r="R655" i="1" s="1"/>
  <c r="Q657" i="1"/>
  <c r="Q655" i="1" s="1"/>
  <c r="P657" i="1"/>
  <c r="P656" i="1" s="1"/>
  <c r="S654" i="1"/>
  <c r="S652" i="1" s="1"/>
  <c r="R654" i="1"/>
  <c r="R652" i="1" s="1"/>
  <c r="Q654" i="1"/>
  <c r="Q652" i="1" s="1"/>
  <c r="P654" i="1"/>
  <c r="P652" i="1" s="1"/>
  <c r="S651" i="1"/>
  <c r="S649" i="1" s="1"/>
  <c r="R651" i="1"/>
  <c r="R649" i="1" s="1"/>
  <c r="Q651" i="1"/>
  <c r="Q649" i="1" s="1"/>
  <c r="P651" i="1"/>
  <c r="P649" i="1" s="1"/>
  <c r="S129" i="1"/>
  <c r="S127" i="1" s="1"/>
  <c r="R129" i="1"/>
  <c r="R127" i="1" s="1"/>
  <c r="Q129" i="1"/>
  <c r="Q127" i="1" s="1"/>
  <c r="P129" i="1"/>
  <c r="P128" i="1" s="1"/>
  <c r="S126" i="1"/>
  <c r="S124" i="1" s="1"/>
  <c r="R126" i="1"/>
  <c r="R124" i="1" s="1"/>
  <c r="Q126" i="1"/>
  <c r="Q124" i="1" s="1"/>
  <c r="P126" i="1"/>
  <c r="P125" i="1" s="1"/>
  <c r="S123" i="1"/>
  <c r="S121" i="1" s="1"/>
  <c r="R123" i="1"/>
  <c r="R121" i="1" s="1"/>
  <c r="Q123" i="1"/>
  <c r="Q121" i="1" s="1"/>
  <c r="P123" i="1"/>
  <c r="P121" i="1" s="1"/>
  <c r="S120" i="1"/>
  <c r="S118" i="1" s="1"/>
  <c r="R120" i="1"/>
  <c r="R118" i="1" s="1"/>
  <c r="Q120" i="1"/>
  <c r="Q118" i="1" s="1"/>
  <c r="P120" i="1"/>
  <c r="P118" i="1" s="1"/>
  <c r="S117" i="1"/>
  <c r="S115" i="1" s="1"/>
  <c r="R117" i="1"/>
  <c r="R115" i="1" s="1"/>
  <c r="Q117" i="1"/>
  <c r="Q115" i="1" s="1"/>
  <c r="P117" i="1"/>
  <c r="P115" i="1" s="1"/>
  <c r="S114" i="1"/>
  <c r="S112" i="1" s="1"/>
  <c r="R114" i="1"/>
  <c r="R112" i="1" s="1"/>
  <c r="Q114" i="1"/>
  <c r="Q112" i="1" s="1"/>
  <c r="P114" i="1"/>
  <c r="P113" i="1" s="1"/>
  <c r="S111" i="1"/>
  <c r="S109" i="1" s="1"/>
  <c r="R111" i="1"/>
  <c r="R109" i="1" s="1"/>
  <c r="Q111" i="1"/>
  <c r="Q109" i="1" s="1"/>
  <c r="P111" i="1"/>
  <c r="P110" i="1" s="1"/>
  <c r="S1443" i="1"/>
  <c r="S1441" i="1" s="1"/>
  <c r="R1443" i="1"/>
  <c r="R1441" i="1" s="1"/>
  <c r="Q1443" i="1"/>
  <c r="Q1441" i="1" s="1"/>
  <c r="P1443" i="1"/>
  <c r="P1442" i="1" s="1"/>
  <c r="S1440" i="1"/>
  <c r="S1438" i="1" s="1"/>
  <c r="R1440" i="1"/>
  <c r="R1438" i="1" s="1"/>
  <c r="Q1440" i="1"/>
  <c r="Q1438" i="1" s="1"/>
  <c r="P1440" i="1"/>
  <c r="P1438" i="1" s="1"/>
  <c r="S135" i="1"/>
  <c r="S133" i="1" s="1"/>
  <c r="R135" i="1"/>
  <c r="R133" i="1" s="1"/>
  <c r="Q135" i="1"/>
  <c r="Q133" i="1" s="1"/>
  <c r="P135" i="1"/>
  <c r="P133" i="1" s="1"/>
  <c r="S132" i="1"/>
  <c r="S130" i="1" s="1"/>
  <c r="R132" i="1"/>
  <c r="R130" i="1" s="1"/>
  <c r="Q132" i="1"/>
  <c r="Q130" i="1" s="1"/>
  <c r="P132" i="1"/>
  <c r="P130" i="1" s="1"/>
  <c r="S735" i="1"/>
  <c r="S733" i="1" s="1"/>
  <c r="R735" i="1"/>
  <c r="R733" i="1" s="1"/>
  <c r="Q735" i="1"/>
  <c r="Q733" i="1" s="1"/>
  <c r="P735" i="1"/>
  <c r="P733" i="1" s="1"/>
  <c r="S732" i="1"/>
  <c r="S730" i="1" s="1"/>
  <c r="R732" i="1"/>
  <c r="R730" i="1" s="1"/>
  <c r="Q732" i="1"/>
  <c r="Q730" i="1" s="1"/>
  <c r="P732" i="1"/>
  <c r="P730" i="1" s="1"/>
  <c r="S165" i="1"/>
  <c r="S163" i="1" s="1"/>
  <c r="R165" i="1"/>
  <c r="R163" i="1" s="1"/>
  <c r="Q165" i="1"/>
  <c r="Q163" i="1" s="1"/>
  <c r="P165" i="1"/>
  <c r="P164" i="1" s="1"/>
  <c r="S1491" i="1"/>
  <c r="S1489" i="1" s="1"/>
  <c r="R1491" i="1"/>
  <c r="R1489" i="1" s="1"/>
  <c r="Q1491" i="1"/>
  <c r="Q1489" i="1" s="1"/>
  <c r="P1491" i="1"/>
  <c r="P1489" i="1" s="1"/>
  <c r="S1488" i="1"/>
  <c r="S1486" i="1" s="1"/>
  <c r="R1488" i="1"/>
  <c r="R1486" i="1" s="1"/>
  <c r="Q1488" i="1"/>
  <c r="Q1486" i="1" s="1"/>
  <c r="P1488" i="1"/>
  <c r="P1486" i="1" s="1"/>
  <c r="S1485" i="1"/>
  <c r="S1483" i="1" s="1"/>
  <c r="R1485" i="1"/>
  <c r="R1483" i="1" s="1"/>
  <c r="Q1485" i="1"/>
  <c r="Q1483" i="1" s="1"/>
  <c r="P1485" i="1"/>
  <c r="P1483" i="1" s="1"/>
  <c r="S1482" i="1"/>
  <c r="S1480" i="1" s="1"/>
  <c r="R1482" i="1"/>
  <c r="R1480" i="1" s="1"/>
  <c r="Q1482" i="1"/>
  <c r="Q1480" i="1" s="1"/>
  <c r="P1482" i="1"/>
  <c r="P1480" i="1" s="1"/>
  <c r="S1479" i="1"/>
  <c r="S1477" i="1" s="1"/>
  <c r="R1479" i="1"/>
  <c r="R1477" i="1" s="1"/>
  <c r="Q1479" i="1"/>
  <c r="P1479" i="1"/>
  <c r="P1477" i="1" s="1"/>
  <c r="S1476" i="1"/>
  <c r="S1474" i="1" s="1"/>
  <c r="R1476" i="1"/>
  <c r="R1474" i="1" s="1"/>
  <c r="Q1476" i="1"/>
  <c r="Q1474" i="1" s="1"/>
  <c r="P1476" i="1"/>
  <c r="P1475" i="1" s="1"/>
  <c r="S1473" i="1"/>
  <c r="S1471" i="1" s="1"/>
  <c r="R1473" i="1"/>
  <c r="R1471" i="1" s="1"/>
  <c r="Q1473" i="1"/>
  <c r="Q1471" i="1" s="1"/>
  <c r="P1473" i="1"/>
  <c r="P1472" i="1" s="1"/>
  <c r="S1470" i="1"/>
  <c r="S1468" i="1" s="1"/>
  <c r="R1470" i="1"/>
  <c r="R1468" i="1" s="1"/>
  <c r="Q1470" i="1"/>
  <c r="Q1468" i="1" s="1"/>
  <c r="P1470" i="1"/>
  <c r="P1468" i="1" s="1"/>
  <c r="S1467" i="1"/>
  <c r="S1465" i="1" s="1"/>
  <c r="R1467" i="1"/>
  <c r="R1465" i="1" s="1"/>
  <c r="Q1467" i="1"/>
  <c r="Q1465" i="1" s="1"/>
  <c r="P1467" i="1"/>
  <c r="P1466" i="1" s="1"/>
  <c r="S1392" i="1"/>
  <c r="S1390" i="1" s="1"/>
  <c r="R1392" i="1"/>
  <c r="R1390" i="1" s="1"/>
  <c r="Q1392" i="1"/>
  <c r="Q1390" i="1" s="1"/>
  <c r="P1392" i="1"/>
  <c r="P1391" i="1" s="1"/>
  <c r="S1389" i="1"/>
  <c r="S1387" i="1" s="1"/>
  <c r="R1389" i="1"/>
  <c r="R1387" i="1" s="1"/>
  <c r="Q1389" i="1"/>
  <c r="Q1387" i="1" s="1"/>
  <c r="P1389" i="1"/>
  <c r="P1388" i="1" s="1"/>
  <c r="S1386" i="1"/>
  <c r="S1384" i="1" s="1"/>
  <c r="R1386" i="1"/>
  <c r="R1384" i="1" s="1"/>
  <c r="Q1386" i="1"/>
  <c r="Q1384" i="1" s="1"/>
  <c r="P1386" i="1"/>
  <c r="P1385" i="1" s="1"/>
  <c r="S1383" i="1"/>
  <c r="S1381" i="1" s="1"/>
  <c r="R1383" i="1"/>
  <c r="R1381" i="1" s="1"/>
  <c r="Q1383" i="1"/>
  <c r="P1383" i="1"/>
  <c r="P1381" i="1" s="1"/>
  <c r="S1380" i="1"/>
  <c r="S1378" i="1" s="1"/>
  <c r="R1380" i="1"/>
  <c r="R1378" i="1" s="1"/>
  <c r="Q1380" i="1"/>
  <c r="Q1378" i="1" s="1"/>
  <c r="P1380" i="1"/>
  <c r="P1378" i="1" s="1"/>
  <c r="S1377" i="1"/>
  <c r="S1375" i="1" s="1"/>
  <c r="R1377" i="1"/>
  <c r="R1375" i="1" s="1"/>
  <c r="Q1377" i="1"/>
  <c r="Q1375" i="1" s="1"/>
  <c r="P1377" i="1"/>
  <c r="P1375" i="1" s="1"/>
  <c r="S1374" i="1"/>
  <c r="S1372" i="1" s="1"/>
  <c r="R1374" i="1"/>
  <c r="R1372" i="1" s="1"/>
  <c r="Q1374" i="1"/>
  <c r="Q1372" i="1" s="1"/>
  <c r="P1374" i="1"/>
  <c r="P1373" i="1" s="1"/>
  <c r="S648" i="1"/>
  <c r="S646" i="1" s="1"/>
  <c r="R648" i="1"/>
  <c r="R646" i="1" s="1"/>
  <c r="Q648" i="1"/>
  <c r="Q646" i="1" s="1"/>
  <c r="P648" i="1"/>
  <c r="P647" i="1" s="1"/>
  <c r="S645" i="1"/>
  <c r="S643" i="1" s="1"/>
  <c r="R645" i="1"/>
  <c r="R643" i="1" s="1"/>
  <c r="Q645" i="1"/>
  <c r="Q643" i="1" s="1"/>
  <c r="P645" i="1"/>
  <c r="P643" i="1" s="1"/>
  <c r="S644" i="1"/>
  <c r="S642" i="1"/>
  <c r="S640" i="1" s="1"/>
  <c r="R642" i="1"/>
  <c r="R640" i="1" s="1"/>
  <c r="Q642" i="1"/>
  <c r="Q640" i="1" s="1"/>
  <c r="P642" i="1"/>
  <c r="P640" i="1" s="1"/>
  <c r="S641" i="1"/>
  <c r="S639" i="1"/>
  <c r="S637" i="1" s="1"/>
  <c r="R639" i="1"/>
  <c r="R637" i="1" s="1"/>
  <c r="Q639" i="1"/>
  <c r="Q637" i="1" s="1"/>
  <c r="P639" i="1"/>
  <c r="P638" i="1" s="1"/>
  <c r="S638" i="1"/>
  <c r="S636" i="1"/>
  <c r="S634" i="1" s="1"/>
  <c r="R636" i="1"/>
  <c r="R634" i="1" s="1"/>
  <c r="Q636" i="1"/>
  <c r="P636" i="1"/>
  <c r="P634" i="1" s="1"/>
  <c r="S633" i="1"/>
  <c r="S631" i="1" s="1"/>
  <c r="R633" i="1"/>
  <c r="R631" i="1" s="1"/>
  <c r="Q633" i="1"/>
  <c r="Q631" i="1" s="1"/>
  <c r="P633" i="1"/>
  <c r="P631" i="1" s="1"/>
  <c r="S630" i="1"/>
  <c r="S628" i="1" s="1"/>
  <c r="R630" i="1"/>
  <c r="R628" i="1" s="1"/>
  <c r="Q630" i="1"/>
  <c r="Q628" i="1" s="1"/>
  <c r="P630" i="1"/>
  <c r="P629" i="1" s="1"/>
  <c r="S1413" i="1"/>
  <c r="S1411" i="1" s="1"/>
  <c r="R1413" i="1"/>
  <c r="R1411" i="1" s="1"/>
  <c r="Q1413" i="1"/>
  <c r="Q1411" i="1" s="1"/>
  <c r="P1413" i="1"/>
  <c r="P1412" i="1" s="1"/>
  <c r="S1410" i="1"/>
  <c r="S1408" i="1" s="1"/>
  <c r="R1410" i="1"/>
  <c r="R1408" i="1" s="1"/>
  <c r="Q1410" i="1"/>
  <c r="Q1408" i="1" s="1"/>
  <c r="P1410" i="1"/>
  <c r="P1408" i="1" s="1"/>
  <c r="S1407" i="1"/>
  <c r="S1405" i="1" s="1"/>
  <c r="R1407" i="1"/>
  <c r="R1405" i="1" s="1"/>
  <c r="Q1407" i="1"/>
  <c r="Q1405" i="1" s="1"/>
  <c r="P1407" i="1"/>
  <c r="P1406" i="1" s="1"/>
  <c r="S1404" i="1"/>
  <c r="S1402" i="1" s="1"/>
  <c r="R1404" i="1"/>
  <c r="R1402" i="1" s="1"/>
  <c r="Q1404" i="1"/>
  <c r="Q1402" i="1" s="1"/>
  <c r="P1404" i="1"/>
  <c r="P1403" i="1" s="1"/>
  <c r="S108" i="1"/>
  <c r="S106" i="1" s="1"/>
  <c r="R108" i="1"/>
  <c r="R106" i="1" s="1"/>
  <c r="Q108" i="1"/>
  <c r="Q106" i="1" s="1"/>
  <c r="P108" i="1"/>
  <c r="P107" i="1" s="1"/>
  <c r="S90" i="1"/>
  <c r="S88" i="1" s="1"/>
  <c r="R90" i="1"/>
  <c r="R88" i="1" s="1"/>
  <c r="Q90" i="1"/>
  <c r="P90" i="1"/>
  <c r="P89" i="1" s="1"/>
  <c r="S87" i="1"/>
  <c r="S85" i="1" s="1"/>
  <c r="R87" i="1"/>
  <c r="R85" i="1" s="1"/>
  <c r="Q87" i="1"/>
  <c r="Q85" i="1" s="1"/>
  <c r="P87" i="1"/>
  <c r="P85" i="1" s="1"/>
  <c r="S84" i="1"/>
  <c r="S82" i="1" s="1"/>
  <c r="R84" i="1"/>
  <c r="R82" i="1" s="1"/>
  <c r="Q84" i="1"/>
  <c r="Q82" i="1" s="1"/>
  <c r="P84" i="1"/>
  <c r="P82" i="1" s="1"/>
  <c r="S81" i="1"/>
  <c r="S79" i="1" s="1"/>
  <c r="R81" i="1"/>
  <c r="R79" i="1" s="1"/>
  <c r="Q81" i="1"/>
  <c r="Q79" i="1" s="1"/>
  <c r="P81" i="1"/>
  <c r="P79" i="1" s="1"/>
  <c r="S78" i="1"/>
  <c r="S76" i="1" s="1"/>
  <c r="R78" i="1"/>
  <c r="R76" i="1" s="1"/>
  <c r="Q78" i="1"/>
  <c r="Q76" i="1" s="1"/>
  <c r="P78" i="1"/>
  <c r="P76" i="1" s="1"/>
  <c r="S75" i="1"/>
  <c r="S73" i="1" s="1"/>
  <c r="R75" i="1"/>
  <c r="R73" i="1" s="1"/>
  <c r="Q75" i="1"/>
  <c r="Q73" i="1" s="1"/>
  <c r="P75" i="1"/>
  <c r="P73" i="1" s="1"/>
  <c r="S74" i="1"/>
  <c r="S72" i="1"/>
  <c r="S70" i="1" s="1"/>
  <c r="R72" i="1"/>
  <c r="R70" i="1" s="1"/>
  <c r="Q72" i="1"/>
  <c r="Q70" i="1" s="1"/>
  <c r="P72" i="1"/>
  <c r="P71" i="1" s="1"/>
  <c r="S69" i="1"/>
  <c r="S67" i="1" s="1"/>
  <c r="R69" i="1"/>
  <c r="R67" i="1" s="1"/>
  <c r="Q69" i="1"/>
  <c r="Q67" i="1" s="1"/>
  <c r="P69" i="1"/>
  <c r="P67" i="1" s="1"/>
  <c r="S66" i="1"/>
  <c r="S64" i="1" s="1"/>
  <c r="R66" i="1"/>
  <c r="R64" i="1" s="1"/>
  <c r="Q66" i="1"/>
  <c r="P66" i="1"/>
  <c r="P64" i="1" s="1"/>
  <c r="S63" i="1"/>
  <c r="S61" i="1" s="1"/>
  <c r="R63" i="1"/>
  <c r="R61" i="1" s="1"/>
  <c r="Q63" i="1"/>
  <c r="Q61" i="1" s="1"/>
  <c r="P63" i="1"/>
  <c r="P61" i="1" s="1"/>
  <c r="S60" i="1"/>
  <c r="S58" i="1" s="1"/>
  <c r="R60" i="1"/>
  <c r="R58" i="1" s="1"/>
  <c r="Q60" i="1"/>
  <c r="Q58" i="1" s="1"/>
  <c r="P60" i="1"/>
  <c r="P59" i="1" s="1"/>
  <c r="S59" i="1"/>
  <c r="S870" i="1"/>
  <c r="S868" i="1" s="1"/>
  <c r="R870" i="1"/>
  <c r="R868" i="1" s="1"/>
  <c r="Q870" i="1"/>
  <c r="Q868" i="1" s="1"/>
  <c r="P870" i="1"/>
  <c r="P869" i="1" s="1"/>
  <c r="S867" i="1"/>
  <c r="S865" i="1" s="1"/>
  <c r="R867" i="1"/>
  <c r="R865" i="1" s="1"/>
  <c r="Q867" i="1"/>
  <c r="Q865" i="1" s="1"/>
  <c r="P867" i="1"/>
  <c r="P866" i="1" s="1"/>
  <c r="S207" i="1"/>
  <c r="S205" i="1" s="1"/>
  <c r="R207" i="1"/>
  <c r="R205" i="1" s="1"/>
  <c r="Q207" i="1"/>
  <c r="P207" i="1"/>
  <c r="P205" i="1" s="1"/>
  <c r="S1278" i="1"/>
  <c r="S1276" i="1" s="1"/>
  <c r="R1278" i="1"/>
  <c r="R1276" i="1" s="1"/>
  <c r="Q1278" i="1"/>
  <c r="Q1276" i="1" s="1"/>
  <c r="P1278" i="1"/>
  <c r="P1276" i="1" s="1"/>
  <c r="S1617" i="1"/>
  <c r="S1615" i="1" s="1"/>
  <c r="R1617" i="1"/>
  <c r="R1615" i="1" s="1"/>
  <c r="Q1617" i="1"/>
  <c r="Q1615" i="1" s="1"/>
  <c r="P1617" i="1"/>
  <c r="P1616" i="1" s="1"/>
  <c r="S402" i="1"/>
  <c r="S400" i="1" s="1"/>
  <c r="R402" i="1"/>
  <c r="R400" i="1" s="1"/>
  <c r="Q402" i="1"/>
  <c r="Q400" i="1" s="1"/>
  <c r="P402" i="1"/>
  <c r="P401" i="1" s="1"/>
  <c r="S99" i="1"/>
  <c r="S97" i="1" s="1"/>
  <c r="R99" i="1"/>
  <c r="R97" i="1" s="1"/>
  <c r="Q99" i="1"/>
  <c r="Q97" i="1" s="1"/>
  <c r="P99" i="1"/>
  <c r="P98" i="1" s="1"/>
  <c r="S96" i="1"/>
  <c r="S94" i="1" s="1"/>
  <c r="R96" i="1"/>
  <c r="R94" i="1" s="1"/>
  <c r="Q96" i="1"/>
  <c r="Q94" i="1" s="1"/>
  <c r="P96" i="1"/>
  <c r="P94" i="1" s="1"/>
  <c r="S399" i="1"/>
  <c r="S397" i="1" s="1"/>
  <c r="R399" i="1"/>
  <c r="R397" i="1" s="1"/>
  <c r="Q399" i="1"/>
  <c r="Q397" i="1" s="1"/>
  <c r="P399" i="1"/>
  <c r="P398" i="1" s="1"/>
  <c r="S396" i="1"/>
  <c r="S394" i="1" s="1"/>
  <c r="R396" i="1"/>
  <c r="R394" i="1" s="1"/>
  <c r="Q396" i="1"/>
  <c r="P396" i="1"/>
  <c r="P395" i="1" s="1"/>
  <c r="S1506" i="1"/>
  <c r="S1504" i="1" s="1"/>
  <c r="R1506" i="1"/>
  <c r="R1504" i="1" s="1"/>
  <c r="Q1506" i="1"/>
  <c r="Q1504" i="1" s="1"/>
  <c r="P1506" i="1"/>
  <c r="P1504" i="1" s="1"/>
  <c r="S204" i="1"/>
  <c r="S202" i="1" s="1"/>
  <c r="R204" i="1"/>
  <c r="R202" i="1" s="1"/>
  <c r="Q204" i="1"/>
  <c r="Q202" i="1" s="1"/>
  <c r="P204" i="1"/>
  <c r="P203" i="1" s="1"/>
  <c r="S1578" i="1"/>
  <c r="S1576" i="1" s="1"/>
  <c r="R1578" i="1"/>
  <c r="R1576" i="1" s="1"/>
  <c r="Q1578" i="1"/>
  <c r="Q1576" i="1" s="1"/>
  <c r="P1578" i="1"/>
  <c r="P1577" i="1" s="1"/>
  <c r="S1575" i="1"/>
  <c r="S1573" i="1" s="1"/>
  <c r="R1575" i="1"/>
  <c r="R1573" i="1" s="1"/>
  <c r="Q1575" i="1"/>
  <c r="Q1573" i="1" s="1"/>
  <c r="P1575" i="1"/>
  <c r="P1573" i="1" s="1"/>
  <c r="S1572" i="1"/>
  <c r="S1570" i="1" s="1"/>
  <c r="R1572" i="1"/>
  <c r="R1570" i="1" s="1"/>
  <c r="Q1572" i="1"/>
  <c r="Q1570" i="1" s="1"/>
  <c r="P1572" i="1"/>
  <c r="P1571" i="1" s="1"/>
  <c r="S210" i="1"/>
  <c r="S208" i="1" s="1"/>
  <c r="R210" i="1"/>
  <c r="R208" i="1" s="1"/>
  <c r="Q210" i="1"/>
  <c r="Q208" i="1" s="1"/>
  <c r="P210" i="1"/>
  <c r="P209" i="1" s="1"/>
  <c r="S1050" i="1"/>
  <c r="S1048" i="1" s="1"/>
  <c r="R1050" i="1"/>
  <c r="R1048" i="1" s="1"/>
  <c r="Q1050" i="1"/>
  <c r="Q1048" i="1" s="1"/>
  <c r="P1050" i="1"/>
  <c r="P1049" i="1" s="1"/>
  <c r="S393" i="1"/>
  <c r="S391" i="1" s="1"/>
  <c r="R393" i="1"/>
  <c r="R391" i="1" s="1"/>
  <c r="Q393" i="1"/>
  <c r="Q391" i="1" s="1"/>
  <c r="P393" i="1"/>
  <c r="P392" i="1" s="1"/>
  <c r="S390" i="1"/>
  <c r="S388" i="1" s="1"/>
  <c r="R390" i="1"/>
  <c r="R388" i="1" s="1"/>
  <c r="Q390" i="1"/>
  <c r="Q388" i="1" s="1"/>
  <c r="P390" i="1"/>
  <c r="P388" i="1" s="1"/>
  <c r="S387" i="1"/>
  <c r="S385" i="1" s="1"/>
  <c r="R387" i="1"/>
  <c r="R385" i="1" s="1"/>
  <c r="Q387" i="1"/>
  <c r="Q385" i="1" s="1"/>
  <c r="P387" i="1"/>
  <c r="P386" i="1" s="1"/>
  <c r="S384" i="1"/>
  <c r="S382" i="1" s="1"/>
  <c r="R384" i="1"/>
  <c r="R382" i="1" s="1"/>
  <c r="Q384" i="1"/>
  <c r="Q382" i="1" s="1"/>
  <c r="P384" i="1"/>
  <c r="P383" i="1" s="1"/>
  <c r="S381" i="1"/>
  <c r="S379" i="1" s="1"/>
  <c r="R381" i="1"/>
  <c r="R379" i="1" s="1"/>
  <c r="Q381" i="1"/>
  <c r="Q379" i="1" s="1"/>
  <c r="P381" i="1"/>
  <c r="P380" i="1" s="1"/>
  <c r="S378" i="1"/>
  <c r="S376" i="1" s="1"/>
  <c r="R378" i="1"/>
  <c r="R376" i="1" s="1"/>
  <c r="Q378" i="1"/>
  <c r="P378" i="1"/>
  <c r="P377" i="1" s="1"/>
  <c r="S375" i="1"/>
  <c r="S373" i="1" s="1"/>
  <c r="R375" i="1"/>
  <c r="R373" i="1" s="1"/>
  <c r="Q375" i="1"/>
  <c r="Q373" i="1" s="1"/>
  <c r="P375" i="1"/>
  <c r="P373" i="1" s="1"/>
  <c r="S372" i="1"/>
  <c r="S370" i="1" s="1"/>
  <c r="R372" i="1"/>
  <c r="R370" i="1" s="1"/>
  <c r="Q372" i="1"/>
  <c r="Q371" i="1" s="1"/>
  <c r="P372" i="1"/>
  <c r="P370" i="1" s="1"/>
  <c r="S369" i="1"/>
  <c r="S367" i="1" s="1"/>
  <c r="R369" i="1"/>
  <c r="R367" i="1" s="1"/>
  <c r="Q369" i="1"/>
  <c r="Q367" i="1" s="1"/>
  <c r="P369" i="1"/>
  <c r="P368" i="1" s="1"/>
  <c r="S1107" i="1"/>
  <c r="S1105" i="1" s="1"/>
  <c r="R1107" i="1"/>
  <c r="R1105" i="1" s="1"/>
  <c r="Q1107" i="1"/>
  <c r="Q1105" i="1" s="1"/>
  <c r="P1107" i="1"/>
  <c r="P1105" i="1" s="1"/>
  <c r="S1560" i="1"/>
  <c r="S1558" i="1" s="1"/>
  <c r="R1560" i="1"/>
  <c r="R1558" i="1" s="1"/>
  <c r="Q1560" i="1"/>
  <c r="Q1558" i="1" s="1"/>
  <c r="P1560" i="1"/>
  <c r="P1558" i="1" s="1"/>
  <c r="S1557" i="1"/>
  <c r="S1555" i="1" s="1"/>
  <c r="R1557" i="1"/>
  <c r="R1555" i="1" s="1"/>
  <c r="Q1557" i="1"/>
  <c r="Q1555" i="1" s="1"/>
  <c r="P1557" i="1"/>
  <c r="P1555" i="1" s="1"/>
  <c r="S1359" i="1"/>
  <c r="S1357" i="1" s="1"/>
  <c r="R1359" i="1"/>
  <c r="R1357" i="1" s="1"/>
  <c r="Q1359" i="1"/>
  <c r="Q1357" i="1" s="1"/>
  <c r="P1359" i="1"/>
  <c r="S1356" i="1"/>
  <c r="S1354" i="1" s="1"/>
  <c r="R1356" i="1"/>
  <c r="R1354" i="1" s="1"/>
  <c r="Q1356" i="1"/>
  <c r="Q1354" i="1" s="1"/>
  <c r="P1356" i="1"/>
  <c r="P1355" i="1" s="1"/>
  <c r="S1353" i="1"/>
  <c r="S1351" i="1" s="1"/>
  <c r="R1353" i="1"/>
  <c r="R1351" i="1" s="1"/>
  <c r="Q1353" i="1"/>
  <c r="Q1351" i="1" s="1"/>
  <c r="P1353" i="1"/>
  <c r="P1352" i="1" s="1"/>
  <c r="S1344" i="1"/>
  <c r="S1342" i="1" s="1"/>
  <c r="R1344" i="1"/>
  <c r="R1342" i="1" s="1"/>
  <c r="Q1344" i="1"/>
  <c r="Q1342" i="1" s="1"/>
  <c r="P1344" i="1"/>
  <c r="P1343" i="1" s="1"/>
  <c r="S1341" i="1"/>
  <c r="S1339" i="1" s="1"/>
  <c r="R1341" i="1"/>
  <c r="R1339" i="1" s="1"/>
  <c r="Q1341" i="1"/>
  <c r="Q1340" i="1" s="1"/>
  <c r="P1341" i="1"/>
  <c r="P1340" i="1" s="1"/>
  <c r="S1338" i="1"/>
  <c r="S1336" i="1" s="1"/>
  <c r="R1338" i="1"/>
  <c r="R1336" i="1" s="1"/>
  <c r="Q1338" i="1"/>
  <c r="Q1336" i="1" s="1"/>
  <c r="P1338" i="1"/>
  <c r="S1641" i="1"/>
  <c r="S1639" i="1" s="1"/>
  <c r="R1641" i="1"/>
  <c r="R1639" i="1" s="1"/>
  <c r="Q1641" i="1"/>
  <c r="Q1639" i="1" s="1"/>
  <c r="P1641" i="1"/>
  <c r="P1640" i="1" s="1"/>
  <c r="S534" i="1"/>
  <c r="S532" i="1" s="1"/>
  <c r="R534" i="1"/>
  <c r="R532" i="1" s="1"/>
  <c r="Q534" i="1"/>
  <c r="Q532" i="1" s="1"/>
  <c r="P534" i="1"/>
  <c r="P533" i="1" s="1"/>
  <c r="S531" i="1"/>
  <c r="S529" i="1" s="1"/>
  <c r="R531" i="1"/>
  <c r="R530" i="1" s="1"/>
  <c r="Q531" i="1"/>
  <c r="Q529" i="1" s="1"/>
  <c r="P531" i="1"/>
  <c r="P529" i="1" s="1"/>
  <c r="S528" i="1"/>
  <c r="S526" i="1" s="1"/>
  <c r="R528" i="1"/>
  <c r="R526" i="1" s="1"/>
  <c r="Q528" i="1"/>
  <c r="Q526" i="1" s="1"/>
  <c r="P528" i="1"/>
  <c r="P527" i="1" s="1"/>
  <c r="R527" i="1"/>
  <c r="S525" i="1"/>
  <c r="S523" i="1" s="1"/>
  <c r="R525" i="1"/>
  <c r="R524" i="1" s="1"/>
  <c r="Q525" i="1"/>
  <c r="Q523" i="1" s="1"/>
  <c r="P525" i="1"/>
  <c r="P524" i="1" s="1"/>
  <c r="S522" i="1"/>
  <c r="S520" i="1" s="1"/>
  <c r="R522" i="1"/>
  <c r="R520" i="1" s="1"/>
  <c r="Q522" i="1"/>
  <c r="Q520" i="1" s="1"/>
  <c r="P522" i="1"/>
  <c r="P521" i="1" s="1"/>
  <c r="S519" i="1"/>
  <c r="S517" i="1" s="1"/>
  <c r="R519" i="1"/>
  <c r="R517" i="1" s="1"/>
  <c r="Q519" i="1"/>
  <c r="Q517" i="1" s="1"/>
  <c r="P519" i="1"/>
  <c r="P518" i="1" s="1"/>
  <c r="S1095" i="1"/>
  <c r="S1093" i="1" s="1"/>
  <c r="R1095" i="1"/>
  <c r="R1093" i="1" s="1"/>
  <c r="Q1095" i="1"/>
  <c r="Q1094" i="1" s="1"/>
  <c r="P1095" i="1"/>
  <c r="P1094" i="1" s="1"/>
  <c r="S1092" i="1"/>
  <c r="S1091" i="1" s="1"/>
  <c r="R1092" i="1"/>
  <c r="R1090" i="1" s="1"/>
  <c r="Q1092" i="1"/>
  <c r="Q1090" i="1" s="1"/>
  <c r="P1092" i="1"/>
  <c r="P1090" i="1" s="1"/>
  <c r="S1089" i="1"/>
  <c r="S1087" i="1" s="1"/>
  <c r="R1089" i="1"/>
  <c r="R1087" i="1" s="1"/>
  <c r="Q1089" i="1"/>
  <c r="Q1088" i="1" s="1"/>
  <c r="P1089" i="1"/>
  <c r="P1088" i="1" s="1"/>
  <c r="S1320" i="1"/>
  <c r="S1318" i="1" s="1"/>
  <c r="R1320" i="1"/>
  <c r="R1318" i="1" s="1"/>
  <c r="Q1320" i="1"/>
  <c r="Q1318" i="1" s="1"/>
  <c r="P1320" i="1"/>
  <c r="P1319" i="1" s="1"/>
  <c r="S1319" i="1"/>
  <c r="S1317" i="1"/>
  <c r="S1315" i="1" s="1"/>
  <c r="R1317" i="1"/>
  <c r="R1315" i="1" s="1"/>
  <c r="Q1317" i="1"/>
  <c r="Q1316" i="1" s="1"/>
  <c r="P1317" i="1"/>
  <c r="P1316" i="1" s="1"/>
  <c r="S1314" i="1"/>
  <c r="S1312" i="1" s="1"/>
  <c r="R1314" i="1"/>
  <c r="R1312" i="1" s="1"/>
  <c r="Q1314" i="1"/>
  <c r="Q1312" i="1" s="1"/>
  <c r="P1314" i="1"/>
  <c r="P1313" i="1" s="1"/>
  <c r="S1311" i="1"/>
  <c r="S1309" i="1" s="1"/>
  <c r="R1311" i="1"/>
  <c r="R1309" i="1" s="1"/>
  <c r="Q1311" i="1"/>
  <c r="Q1310" i="1" s="1"/>
  <c r="P1311" i="1"/>
  <c r="P1309" i="1" s="1"/>
  <c r="S1308" i="1"/>
  <c r="S1306" i="1" s="1"/>
  <c r="R1308" i="1"/>
  <c r="R1306" i="1" s="1"/>
  <c r="Q1308" i="1"/>
  <c r="Q1306" i="1" s="1"/>
  <c r="P1308" i="1"/>
  <c r="P1306" i="1" s="1"/>
  <c r="S1305" i="1"/>
  <c r="S1303" i="1" s="1"/>
  <c r="R1305" i="1"/>
  <c r="R1303" i="1" s="1"/>
  <c r="Q1305" i="1"/>
  <c r="Q1304" i="1" s="1"/>
  <c r="P1305" i="1"/>
  <c r="P1304" i="1" s="1"/>
  <c r="S1302" i="1"/>
  <c r="S1300" i="1" s="1"/>
  <c r="R1302" i="1"/>
  <c r="R1300" i="1" s="1"/>
  <c r="Q1302" i="1"/>
  <c r="Q1300" i="1" s="1"/>
  <c r="P1302" i="1"/>
  <c r="P1301" i="1" s="1"/>
  <c r="S1299" i="1"/>
  <c r="S1297" i="1" s="1"/>
  <c r="R1299" i="1"/>
  <c r="R1297" i="1" s="1"/>
  <c r="Q1299" i="1"/>
  <c r="Q1298" i="1" s="1"/>
  <c r="P1299" i="1"/>
  <c r="P1298" i="1" s="1"/>
  <c r="S1296" i="1"/>
  <c r="S1294" i="1" s="1"/>
  <c r="R1296" i="1"/>
  <c r="R1294" i="1" s="1"/>
  <c r="Q1296" i="1"/>
  <c r="Q1294" i="1" s="1"/>
  <c r="P1296" i="1"/>
  <c r="P1295" i="1" s="1"/>
  <c r="S1293" i="1"/>
  <c r="S1291" i="1" s="1"/>
  <c r="R1293" i="1"/>
  <c r="R1291" i="1" s="1"/>
  <c r="Q1293" i="1"/>
  <c r="Q1291" i="1" s="1"/>
  <c r="P1293" i="1"/>
  <c r="P1292" i="1" s="1"/>
  <c r="S1290" i="1"/>
  <c r="S1288" i="1" s="1"/>
  <c r="R1290" i="1"/>
  <c r="R1288" i="1" s="1"/>
  <c r="Q1290" i="1"/>
  <c r="Q1288" i="1" s="1"/>
  <c r="P1290" i="1"/>
  <c r="P1289" i="1" s="1"/>
  <c r="S1287" i="1"/>
  <c r="S1285" i="1" s="1"/>
  <c r="R1287" i="1"/>
  <c r="R1285" i="1" s="1"/>
  <c r="Q1287" i="1"/>
  <c r="Q1285" i="1" s="1"/>
  <c r="P1287" i="1"/>
  <c r="P1286" i="1" s="1"/>
  <c r="S1284" i="1"/>
  <c r="S1283" i="1" s="1"/>
  <c r="R1284" i="1"/>
  <c r="Q1284" i="1"/>
  <c r="Q1283" i="1" s="1"/>
  <c r="P1284" i="1"/>
  <c r="P1283" i="1" s="1"/>
  <c r="S366" i="1"/>
  <c r="S364" i="1" s="1"/>
  <c r="R366" i="1"/>
  <c r="R364" i="1" s="1"/>
  <c r="Q366" i="1"/>
  <c r="P366" i="1"/>
  <c r="P365" i="1" s="1"/>
  <c r="S363" i="1"/>
  <c r="S362" i="1" s="1"/>
  <c r="R363" i="1"/>
  <c r="R362" i="1" s="1"/>
  <c r="Q363" i="1"/>
  <c r="Q362" i="1" s="1"/>
  <c r="P363" i="1"/>
  <c r="P361" i="1" s="1"/>
  <c r="S1104" i="1"/>
  <c r="S1103" i="1" s="1"/>
  <c r="R1104" i="1"/>
  <c r="R1102" i="1" s="1"/>
  <c r="Q1104" i="1"/>
  <c r="P1104" i="1"/>
  <c r="P1103" i="1" s="1"/>
  <c r="S1515" i="1"/>
  <c r="S1513" i="1" s="1"/>
  <c r="R1515" i="1"/>
  <c r="R1514" i="1" s="1"/>
  <c r="Q1515" i="1"/>
  <c r="Q1514" i="1" s="1"/>
  <c r="P1515" i="1"/>
  <c r="P1513" i="1" s="1"/>
  <c r="S57" i="1"/>
  <c r="S55" i="1" s="1"/>
  <c r="R57" i="1"/>
  <c r="R55" i="1" s="1"/>
  <c r="Q57" i="1"/>
  <c r="P57" i="1"/>
  <c r="P56" i="1" s="1"/>
  <c r="S54" i="1"/>
  <c r="S52" i="1" s="1"/>
  <c r="R54" i="1"/>
  <c r="R52" i="1" s="1"/>
  <c r="Q54" i="1"/>
  <c r="Q52" i="1" s="1"/>
  <c r="P54" i="1"/>
  <c r="P52" i="1" s="1"/>
  <c r="S51" i="1"/>
  <c r="S49" i="1" s="1"/>
  <c r="R51" i="1"/>
  <c r="R49" i="1" s="1"/>
  <c r="Q51" i="1"/>
  <c r="P51" i="1"/>
  <c r="P50" i="1" s="1"/>
  <c r="S1530" i="1"/>
  <c r="S1528" i="1" s="1"/>
  <c r="R1530" i="1"/>
  <c r="R1528" i="1" s="1"/>
  <c r="Q1530" i="1"/>
  <c r="Q1528" i="1" s="1"/>
  <c r="P1530" i="1"/>
  <c r="P1529" i="1" s="1"/>
  <c r="S627" i="1"/>
  <c r="S625" i="1" s="1"/>
  <c r="R627" i="1"/>
  <c r="R625" i="1" s="1"/>
  <c r="Q627" i="1"/>
  <c r="Q625" i="1" s="1"/>
  <c r="P627" i="1"/>
  <c r="P626" i="1" s="1"/>
  <c r="S360" i="1"/>
  <c r="S358" i="1" s="1"/>
  <c r="R360" i="1"/>
  <c r="R358" i="1" s="1"/>
  <c r="Q360" i="1"/>
  <c r="P360" i="1"/>
  <c r="P359" i="1" s="1"/>
  <c r="S357" i="1"/>
  <c r="S355" i="1" s="1"/>
  <c r="R357" i="1"/>
  <c r="R355" i="1" s="1"/>
  <c r="Q357" i="1"/>
  <c r="Q355" i="1" s="1"/>
  <c r="P357" i="1"/>
  <c r="P356" i="1" s="1"/>
  <c r="S354" i="1"/>
  <c r="S352" i="1" s="1"/>
  <c r="R354" i="1"/>
  <c r="R352" i="1" s="1"/>
  <c r="Q354" i="1"/>
  <c r="Q352" i="1" s="1"/>
  <c r="P354" i="1"/>
  <c r="P353" i="1" s="1"/>
  <c r="S351" i="1"/>
  <c r="S349" i="1" s="1"/>
  <c r="R351" i="1"/>
  <c r="R349" i="1" s="1"/>
  <c r="Q351" i="1"/>
  <c r="Q349" i="1" s="1"/>
  <c r="P351" i="1"/>
  <c r="P350" i="1" s="1"/>
  <c r="S348" i="1"/>
  <c r="S347" i="1" s="1"/>
  <c r="R348" i="1"/>
  <c r="R347" i="1" s="1"/>
  <c r="Q348" i="1"/>
  <c r="Q347" i="1" s="1"/>
  <c r="P348" i="1"/>
  <c r="P346" i="1" s="1"/>
  <c r="S345" i="1"/>
  <c r="S343" i="1" s="1"/>
  <c r="R345" i="1"/>
  <c r="R343" i="1" s="1"/>
  <c r="Q345" i="1"/>
  <c r="Q343" i="1" s="1"/>
  <c r="P345" i="1"/>
  <c r="P344" i="1" s="1"/>
  <c r="S342" i="1"/>
  <c r="S340" i="1" s="1"/>
  <c r="R342" i="1"/>
  <c r="R341" i="1" s="1"/>
  <c r="Q342" i="1"/>
  <c r="Q341" i="1" s="1"/>
  <c r="P342" i="1"/>
  <c r="P341" i="1" s="1"/>
  <c r="S339" i="1"/>
  <c r="S337" i="1" s="1"/>
  <c r="R339" i="1"/>
  <c r="R337" i="1" s="1"/>
  <c r="Q339" i="1"/>
  <c r="Q338" i="1" s="1"/>
  <c r="P339" i="1"/>
  <c r="P338" i="1" s="1"/>
  <c r="S336" i="1"/>
  <c r="S334" i="1" s="1"/>
  <c r="R336" i="1"/>
  <c r="R334" i="1" s="1"/>
  <c r="Q336" i="1"/>
  <c r="Q335" i="1" s="1"/>
  <c r="P336" i="1"/>
  <c r="S333" i="1"/>
  <c r="S331" i="1" s="1"/>
  <c r="R333" i="1"/>
  <c r="R331" i="1" s="1"/>
  <c r="Q333" i="1"/>
  <c r="Q331" i="1" s="1"/>
  <c r="P333" i="1"/>
  <c r="P332" i="1" s="1"/>
  <c r="S332" i="1"/>
  <c r="S1041" i="1"/>
  <c r="S1039" i="1" s="1"/>
  <c r="R1041" i="1"/>
  <c r="R1039" i="1" s="1"/>
  <c r="Q1041" i="1"/>
  <c r="Q1039" i="1" s="1"/>
  <c r="P1041" i="1"/>
  <c r="P1040" i="1" s="1"/>
  <c r="S1638" i="1"/>
  <c r="S1636" i="1" s="1"/>
  <c r="R1638" i="1"/>
  <c r="R1636" i="1" s="1"/>
  <c r="Q1636" i="1"/>
  <c r="P1638" i="1"/>
  <c r="P1637" i="1" s="1"/>
  <c r="Q1637" i="1"/>
  <c r="S1635" i="1"/>
  <c r="S1633" i="1" s="1"/>
  <c r="R1635" i="1"/>
  <c r="R1633" i="1" s="1"/>
  <c r="Q1635" i="1"/>
  <c r="Q1633" i="1" s="1"/>
  <c r="P1635" i="1"/>
  <c r="P1633" i="1" s="1"/>
  <c r="S1593" i="1"/>
  <c r="S1591" i="1" s="1"/>
  <c r="R1593" i="1"/>
  <c r="R1591" i="1" s="1"/>
  <c r="Q1593" i="1"/>
  <c r="Q1591" i="1" s="1"/>
  <c r="P1593" i="1"/>
  <c r="P1591" i="1" s="1"/>
  <c r="S282" i="1"/>
  <c r="S280" i="1" s="1"/>
  <c r="R282" i="1"/>
  <c r="R280" i="1" s="1"/>
  <c r="Q282" i="1"/>
  <c r="Q280" i="1" s="1"/>
  <c r="P282" i="1"/>
  <c r="P281" i="1" s="1"/>
  <c r="S1599" i="1"/>
  <c r="S1597" i="1" s="1"/>
  <c r="R1599" i="1"/>
  <c r="R1597" i="1" s="1"/>
  <c r="Q1599" i="1"/>
  <c r="Q1597" i="1" s="1"/>
  <c r="P1599" i="1"/>
  <c r="P1597" i="1" s="1"/>
  <c r="S1596" i="1"/>
  <c r="S1594" i="1" s="1"/>
  <c r="R1596" i="1"/>
  <c r="R1594" i="1" s="1"/>
  <c r="Q1596" i="1"/>
  <c r="Q1594" i="1" s="1"/>
  <c r="P1596" i="1"/>
  <c r="P1594" i="1" s="1"/>
  <c r="S624" i="1"/>
  <c r="S622" i="1" s="1"/>
  <c r="R624" i="1"/>
  <c r="R622" i="1" s="1"/>
  <c r="Q624" i="1"/>
  <c r="Q622" i="1" s="1"/>
  <c r="P624" i="1"/>
  <c r="P623" i="1" s="1"/>
  <c r="S1086" i="1"/>
  <c r="S1084" i="1" s="1"/>
  <c r="R1086" i="1"/>
  <c r="R1084" i="1" s="1"/>
  <c r="Q1086" i="1"/>
  <c r="Q1084" i="1" s="1"/>
  <c r="P1086" i="1"/>
  <c r="P1085" i="1" s="1"/>
  <c r="S150" i="1"/>
  <c r="S148" i="1" s="1"/>
  <c r="R150" i="1"/>
  <c r="R148" i="1" s="1"/>
  <c r="Q150" i="1"/>
  <c r="Q148" i="1" s="1"/>
  <c r="P150" i="1"/>
  <c r="P149" i="1" s="1"/>
  <c r="S147" i="1"/>
  <c r="S145" i="1" s="1"/>
  <c r="R147" i="1"/>
  <c r="R145" i="1" s="1"/>
  <c r="Q147" i="1"/>
  <c r="Q145" i="1" s="1"/>
  <c r="P147" i="1"/>
  <c r="P145" i="1" s="1"/>
  <c r="S144" i="1"/>
  <c r="S142" i="1" s="1"/>
  <c r="R144" i="1"/>
  <c r="R142" i="1" s="1"/>
  <c r="Q144" i="1"/>
  <c r="Q142" i="1" s="1"/>
  <c r="P144" i="1"/>
  <c r="P143" i="1" s="1"/>
  <c r="S621" i="1"/>
  <c r="S619" i="1" s="1"/>
  <c r="R621" i="1"/>
  <c r="R619" i="1" s="1"/>
  <c r="Q621" i="1"/>
  <c r="Q619" i="1" s="1"/>
  <c r="P621" i="1"/>
  <c r="P619" i="1" s="1"/>
  <c r="S330" i="1"/>
  <c r="S328" i="1" s="1"/>
  <c r="R330" i="1"/>
  <c r="Q330" i="1"/>
  <c r="Q328" i="1" s="1"/>
  <c r="P330" i="1"/>
  <c r="P329" i="1" s="1"/>
  <c r="S327" i="1"/>
  <c r="S325" i="1" s="1"/>
  <c r="R327" i="1"/>
  <c r="R325" i="1" s="1"/>
  <c r="Q327" i="1"/>
  <c r="Q325" i="1" s="1"/>
  <c r="P327" i="1"/>
  <c r="P326" i="1" s="1"/>
  <c r="S1659" i="1"/>
  <c r="S1657" i="1" s="1"/>
  <c r="R1659" i="1"/>
  <c r="R1657" i="1" s="1"/>
  <c r="Q1659" i="1"/>
  <c r="Q1657" i="1" s="1"/>
  <c r="P1659" i="1"/>
  <c r="P1657" i="1" s="1"/>
  <c r="S1656" i="1"/>
  <c r="S1654" i="1" s="1"/>
  <c r="R1656" i="1"/>
  <c r="R1654" i="1" s="1"/>
  <c r="Q1656" i="1"/>
  <c r="Q1654" i="1" s="1"/>
  <c r="P1656" i="1"/>
  <c r="P1654" i="1" s="1"/>
  <c r="S618" i="1"/>
  <c r="S616" i="1" s="1"/>
  <c r="R618" i="1"/>
  <c r="R616" i="1" s="1"/>
  <c r="Q618" i="1"/>
  <c r="Q616" i="1" s="1"/>
  <c r="P618" i="1"/>
  <c r="P617" i="1" s="1"/>
  <c r="S615" i="1"/>
  <c r="S613" i="1" s="1"/>
  <c r="R615" i="1"/>
  <c r="R613" i="1" s="1"/>
  <c r="Q615" i="1"/>
  <c r="Q613" i="1" s="1"/>
  <c r="P615" i="1"/>
  <c r="P614" i="1" s="1"/>
  <c r="S48" i="1"/>
  <c r="S46" i="1" s="1"/>
  <c r="R48" i="1"/>
  <c r="R46" i="1" s="1"/>
  <c r="Q48" i="1"/>
  <c r="Q46" i="1" s="1"/>
  <c r="P48" i="1"/>
  <c r="P47" i="1" s="1"/>
  <c r="S45" i="1"/>
  <c r="S43" i="1" s="1"/>
  <c r="R45" i="1"/>
  <c r="R43" i="1" s="1"/>
  <c r="Q45" i="1"/>
  <c r="Q43" i="1" s="1"/>
  <c r="P45" i="1"/>
  <c r="P44" i="1" s="1"/>
  <c r="S42" i="1"/>
  <c r="S40" i="1" s="1"/>
  <c r="R42" i="1"/>
  <c r="Q42" i="1"/>
  <c r="Q40" i="1" s="1"/>
  <c r="P42" i="1"/>
  <c r="P40" i="1" s="1"/>
  <c r="S39" i="1"/>
  <c r="S37" i="1" s="1"/>
  <c r="R39" i="1"/>
  <c r="R37" i="1" s="1"/>
  <c r="Q39" i="1"/>
  <c r="Q37" i="1" s="1"/>
  <c r="P39" i="1"/>
  <c r="P38" i="1" s="1"/>
  <c r="S36" i="1"/>
  <c r="S34" i="1" s="1"/>
  <c r="R36" i="1"/>
  <c r="R34" i="1" s="1"/>
  <c r="Q36" i="1"/>
  <c r="Q34" i="1" s="1"/>
  <c r="P36" i="1"/>
  <c r="P35" i="1" s="1"/>
  <c r="S33" i="1"/>
  <c r="S31" i="1" s="1"/>
  <c r="R33" i="1"/>
  <c r="R31" i="1" s="1"/>
  <c r="Q33" i="1"/>
  <c r="Q31" i="1" s="1"/>
  <c r="P33" i="1"/>
  <c r="P32" i="1" s="1"/>
  <c r="S1350" i="1"/>
  <c r="S1348" i="1" s="1"/>
  <c r="R1350" i="1"/>
  <c r="R1348" i="1" s="1"/>
  <c r="Q1350" i="1"/>
  <c r="Q1348" i="1" s="1"/>
  <c r="P1350" i="1"/>
  <c r="P1349" i="1" s="1"/>
  <c r="S1347" i="1"/>
  <c r="S1345" i="1" s="1"/>
  <c r="R1347" i="1"/>
  <c r="R1345" i="1" s="1"/>
  <c r="Q1347" i="1"/>
  <c r="Q1345" i="1" s="1"/>
  <c r="P1347" i="1"/>
  <c r="P1346" i="1" s="1"/>
  <c r="S612" i="1"/>
  <c r="S610" i="1" s="1"/>
  <c r="R612" i="1"/>
  <c r="R610" i="1" s="1"/>
  <c r="Q612" i="1"/>
  <c r="Q610" i="1" s="1"/>
  <c r="P612" i="1"/>
  <c r="P611" i="1" s="1"/>
  <c r="S609" i="1"/>
  <c r="S607" i="1" s="1"/>
  <c r="R609" i="1"/>
  <c r="R607" i="1" s="1"/>
  <c r="Q609" i="1"/>
  <c r="Q607" i="1" s="1"/>
  <c r="P609" i="1"/>
  <c r="P608" i="1" s="1"/>
  <c r="S246" i="1"/>
  <c r="S244" i="1" s="1"/>
  <c r="R246" i="1"/>
  <c r="R244" i="1" s="1"/>
  <c r="Q246" i="1"/>
  <c r="Q244" i="1" s="1"/>
  <c r="P246" i="1"/>
  <c r="P245" i="1" s="1"/>
  <c r="S243" i="1"/>
  <c r="S241" i="1" s="1"/>
  <c r="R243" i="1"/>
  <c r="R241" i="1" s="1"/>
  <c r="Q243" i="1"/>
  <c r="Q241" i="1" s="1"/>
  <c r="P243" i="1"/>
  <c r="P242" i="1" s="1"/>
  <c r="S177" i="1"/>
  <c r="S175" i="1" s="1"/>
  <c r="R177" i="1"/>
  <c r="R175" i="1" s="1"/>
  <c r="Q177" i="1"/>
  <c r="Q175" i="1" s="1"/>
  <c r="P177" i="1"/>
  <c r="P176" i="1" s="1"/>
  <c r="S324" i="1"/>
  <c r="S322" i="1" s="1"/>
  <c r="R324" i="1"/>
  <c r="R322" i="1" s="1"/>
  <c r="Q324" i="1"/>
  <c r="Q322" i="1" s="1"/>
  <c r="P324" i="1"/>
  <c r="P322" i="1" s="1"/>
  <c r="S321" i="1"/>
  <c r="S319" i="1" s="1"/>
  <c r="R321" i="1"/>
  <c r="R319" i="1" s="1"/>
  <c r="Q321" i="1"/>
  <c r="Q319" i="1" s="1"/>
  <c r="P321" i="1"/>
  <c r="P320" i="1" s="1"/>
  <c r="S318" i="1"/>
  <c r="S316" i="1" s="1"/>
  <c r="R318" i="1"/>
  <c r="R316" i="1" s="1"/>
  <c r="Q318" i="1"/>
  <c r="P318" i="1"/>
  <c r="P317" i="1" s="1"/>
  <c r="S489" i="1"/>
  <c r="S487" i="1" s="1"/>
  <c r="R489" i="1"/>
  <c r="R487" i="1" s="1"/>
  <c r="Q489" i="1"/>
  <c r="Q487" i="1" s="1"/>
  <c r="P489" i="1"/>
  <c r="P488" i="1" s="1"/>
  <c r="S315" i="1"/>
  <c r="S313" i="1" s="1"/>
  <c r="R315" i="1"/>
  <c r="R313" i="1" s="1"/>
  <c r="Q315" i="1"/>
  <c r="Q313" i="1" s="1"/>
  <c r="P315" i="1"/>
  <c r="P313" i="1" s="1"/>
  <c r="S1281" i="1"/>
  <c r="S1279" i="1" s="1"/>
  <c r="R1281" i="1"/>
  <c r="R1279" i="1" s="1"/>
  <c r="Q1281" i="1"/>
  <c r="Q1279" i="1" s="1"/>
  <c r="P1281" i="1"/>
  <c r="P1280" i="1" s="1"/>
  <c r="S201" i="1"/>
  <c r="S199" i="1" s="1"/>
  <c r="R201" i="1"/>
  <c r="R199" i="1" s="1"/>
  <c r="Q201" i="1"/>
  <c r="Q199" i="1" s="1"/>
  <c r="P201" i="1"/>
  <c r="P200" i="1" s="1"/>
  <c r="S198" i="1"/>
  <c r="S196" i="1" s="1"/>
  <c r="R198" i="1"/>
  <c r="R196" i="1" s="1"/>
  <c r="Q198" i="1"/>
  <c r="Q196" i="1" s="1"/>
  <c r="P198" i="1"/>
  <c r="P197" i="1" s="1"/>
  <c r="S1401" i="1"/>
  <c r="S1399" i="1" s="1"/>
  <c r="R1401" i="1"/>
  <c r="R1399" i="1" s="1"/>
  <c r="Q1401" i="1"/>
  <c r="Q1399" i="1" s="1"/>
  <c r="P1401" i="1"/>
  <c r="P1400" i="1" s="1"/>
  <c r="S312" i="1"/>
  <c r="S310" i="1" s="1"/>
  <c r="R312" i="1"/>
  <c r="R310" i="1" s="1"/>
  <c r="Q312" i="1"/>
  <c r="Q310" i="1" s="1"/>
  <c r="P312" i="1"/>
  <c r="P310" i="1" s="1"/>
  <c r="S1335" i="1"/>
  <c r="S1333" i="1" s="1"/>
  <c r="R1335" i="1"/>
  <c r="R1333" i="1" s="1"/>
  <c r="Q1335" i="1"/>
  <c r="Q1333" i="1" s="1"/>
  <c r="P1335" i="1"/>
  <c r="P1333" i="1" s="1"/>
  <c r="S1332" i="1"/>
  <c r="S1330" i="1" s="1"/>
  <c r="R1332" i="1"/>
  <c r="R1330" i="1" s="1"/>
  <c r="Q1332" i="1"/>
  <c r="Q1330" i="1" s="1"/>
  <c r="P1332" i="1"/>
  <c r="S516" i="1"/>
  <c r="S514" i="1" s="1"/>
  <c r="R516" i="1"/>
  <c r="R514" i="1" s="1"/>
  <c r="Q516" i="1"/>
  <c r="Q514" i="1" s="1"/>
  <c r="P516" i="1"/>
  <c r="P515" i="1" s="1"/>
  <c r="S513" i="1"/>
  <c r="S511" i="1" s="1"/>
  <c r="R513" i="1"/>
  <c r="R511" i="1" s="1"/>
  <c r="Q513" i="1"/>
  <c r="Q511" i="1" s="1"/>
  <c r="P513" i="1"/>
  <c r="P512" i="1" s="1"/>
  <c r="S510" i="1"/>
  <c r="S508" i="1" s="1"/>
  <c r="R510" i="1"/>
  <c r="R508" i="1" s="1"/>
  <c r="Q510" i="1"/>
  <c r="Q508" i="1" s="1"/>
  <c r="P510" i="1"/>
  <c r="P509" i="1" s="1"/>
  <c r="S507" i="1"/>
  <c r="S505" i="1" s="1"/>
  <c r="R507" i="1"/>
  <c r="R505" i="1" s="1"/>
  <c r="Q507" i="1"/>
  <c r="Q505" i="1" s="1"/>
  <c r="P507" i="1"/>
  <c r="P506" i="1" s="1"/>
  <c r="S504" i="1"/>
  <c r="S502" i="1" s="1"/>
  <c r="R504" i="1"/>
  <c r="R502" i="1" s="1"/>
  <c r="Q504" i="1"/>
  <c r="Q502" i="1" s="1"/>
  <c r="P504" i="1"/>
  <c r="P503" i="1" s="1"/>
  <c r="S492" i="1"/>
  <c r="S490" i="1" s="1"/>
  <c r="R492" i="1"/>
  <c r="R490" i="1" s="1"/>
  <c r="Q492" i="1"/>
  <c r="Q490" i="1" s="1"/>
  <c r="P492" i="1"/>
  <c r="P490" i="1" s="1"/>
  <c r="S1632" i="1"/>
  <c r="S1630" i="1" s="1"/>
  <c r="R1632" i="1"/>
  <c r="R1630" i="1" s="1"/>
  <c r="Q1632" i="1"/>
  <c r="Q1630" i="1" s="1"/>
  <c r="P1632" i="1"/>
  <c r="P1630" i="1" s="1"/>
  <c r="S1631" i="1"/>
  <c r="S558" i="1"/>
  <c r="S556" i="1" s="1"/>
  <c r="R558" i="1"/>
  <c r="R556" i="1" s="1"/>
  <c r="Q558" i="1"/>
  <c r="Q556" i="1" s="1"/>
  <c r="P558" i="1"/>
  <c r="P557" i="1" s="1"/>
  <c r="S501" i="1"/>
  <c r="S499" i="1" s="1"/>
  <c r="R501" i="1"/>
  <c r="R499" i="1" s="1"/>
  <c r="Q501" i="1"/>
  <c r="Q499" i="1" s="1"/>
  <c r="P501" i="1"/>
  <c r="P499" i="1" s="1"/>
  <c r="S306" i="1"/>
  <c r="S304" i="1" s="1"/>
  <c r="R306" i="1"/>
  <c r="R304" i="1" s="1"/>
  <c r="Q306" i="1"/>
  <c r="Q304" i="1" s="1"/>
  <c r="P306" i="1"/>
  <c r="P304" i="1" s="1"/>
  <c r="S303" i="1"/>
  <c r="S301" i="1" s="1"/>
  <c r="R303" i="1"/>
  <c r="R301" i="1" s="1"/>
  <c r="Q303" i="1"/>
  <c r="Q301" i="1" s="1"/>
  <c r="P303" i="1"/>
  <c r="P301" i="1" s="1"/>
  <c r="S300" i="1"/>
  <c r="S298" i="1" s="1"/>
  <c r="R300" i="1"/>
  <c r="R298" i="1" s="1"/>
  <c r="Q300" i="1"/>
  <c r="P300" i="1"/>
  <c r="P299" i="1" s="1"/>
  <c r="S1326" i="1"/>
  <c r="S1324" i="1" s="1"/>
  <c r="R1326" i="1"/>
  <c r="R1325" i="1" s="1"/>
  <c r="Q1326" i="1"/>
  <c r="Q1325" i="1" s="1"/>
  <c r="P1326" i="1"/>
  <c r="P1324" i="1" s="1"/>
  <c r="J1324" i="1"/>
  <c r="J1326" i="1" s="1"/>
  <c r="D18" i="22"/>
  <c r="D14" i="22"/>
  <c r="D15" i="22"/>
  <c r="D7" i="22"/>
  <c r="D11" i="22"/>
  <c r="D20" i="22"/>
  <c r="D10" i="22"/>
  <c r="D22" i="22"/>
  <c r="D16" i="22"/>
  <c r="D17" i="22"/>
  <c r="D6" i="22"/>
  <c r="D19" i="22"/>
  <c r="D9" i="22"/>
  <c r="D21" i="22"/>
  <c r="D8" i="22"/>
  <c r="S338" i="1" l="1"/>
  <c r="S1478" i="1"/>
  <c r="S1610" i="1"/>
  <c r="S1250" i="1"/>
  <c r="R493" i="1"/>
  <c r="Q697" i="1"/>
  <c r="Q700" i="1"/>
  <c r="R253" i="1"/>
  <c r="Q1676" i="1"/>
  <c r="R1367" i="1"/>
  <c r="R836" i="1"/>
  <c r="S1430" i="1"/>
  <c r="S857" i="1"/>
  <c r="R1037" i="1"/>
  <c r="Q803" i="1"/>
  <c r="S806" i="1"/>
  <c r="S101" i="1"/>
  <c r="Q554" i="1"/>
  <c r="S1457" i="1"/>
  <c r="S725" i="1"/>
  <c r="S212" i="1"/>
  <c r="S1061" i="1"/>
  <c r="R599" i="1"/>
  <c r="S1553" i="1"/>
  <c r="S281" i="1"/>
  <c r="S1292" i="1"/>
  <c r="R1234" i="1"/>
  <c r="P190" i="1"/>
  <c r="Q436" i="1"/>
  <c r="S493" i="1"/>
  <c r="P673" i="1"/>
  <c r="R700" i="1"/>
  <c r="P703" i="1"/>
  <c r="P457" i="1"/>
  <c r="S253" i="1"/>
  <c r="R265" i="1"/>
  <c r="S1672" i="1"/>
  <c r="S1676" i="1"/>
  <c r="S1367" i="1"/>
  <c r="S716" i="1"/>
  <c r="S836" i="1"/>
  <c r="R1436" i="1"/>
  <c r="S932" i="1"/>
  <c r="S959" i="1"/>
  <c r="R1001" i="1"/>
  <c r="S1037" i="1"/>
  <c r="S776" i="1"/>
  <c r="R803" i="1"/>
  <c r="R539" i="1"/>
  <c r="R554" i="1"/>
  <c r="R182" i="1"/>
  <c r="S98" i="1"/>
  <c r="S635" i="1"/>
  <c r="S1385" i="1"/>
  <c r="Q1619" i="1"/>
  <c r="Q1502" i="1"/>
  <c r="R569" i="1"/>
  <c r="S1130" i="1"/>
  <c r="S1172" i="1"/>
  <c r="P1181" i="1"/>
  <c r="Q1235" i="1"/>
  <c r="S1256" i="1"/>
  <c r="S428" i="1"/>
  <c r="S698" i="1"/>
  <c r="S700" i="1"/>
  <c r="Q457" i="1"/>
  <c r="R1673" i="1"/>
  <c r="R1451" i="1"/>
  <c r="P772" i="1"/>
  <c r="S1436" i="1"/>
  <c r="S971" i="1"/>
  <c r="Q998" i="1"/>
  <c r="S803" i="1"/>
  <c r="R830" i="1"/>
  <c r="S539" i="1"/>
  <c r="S473" i="1"/>
  <c r="Q188" i="1"/>
  <c r="R1550" i="1"/>
  <c r="S1316" i="1"/>
  <c r="S1352" i="1"/>
  <c r="Q1469" i="1"/>
  <c r="S131" i="1"/>
  <c r="S1619" i="1"/>
  <c r="R896" i="1"/>
  <c r="S569" i="1"/>
  <c r="S1607" i="1"/>
  <c r="S1136" i="1"/>
  <c r="R1181" i="1"/>
  <c r="Q193" i="1"/>
  <c r="R440" i="1"/>
  <c r="R713" i="1"/>
  <c r="S1451" i="1"/>
  <c r="R848" i="1"/>
  <c r="S950" i="1"/>
  <c r="S998" i="1"/>
  <c r="S1022" i="1"/>
  <c r="S830" i="1"/>
  <c r="S92" i="1"/>
  <c r="S1562" i="1"/>
  <c r="S1550" i="1"/>
  <c r="S380" i="1"/>
  <c r="R68" i="1"/>
  <c r="R1439" i="1"/>
  <c r="Q902" i="1"/>
  <c r="R433" i="1"/>
  <c r="Q203" i="1"/>
  <c r="S1487" i="1"/>
  <c r="R653" i="1"/>
  <c r="S1499" i="1"/>
  <c r="S413" i="1"/>
  <c r="R1604" i="1"/>
  <c r="Q1127" i="1"/>
  <c r="R1148" i="1"/>
  <c r="S1169" i="1"/>
  <c r="S1178" i="1"/>
  <c r="Q1267" i="1"/>
  <c r="R1460" i="1"/>
  <c r="R152" i="1"/>
  <c r="S1295" i="1"/>
  <c r="S1343" i="1"/>
  <c r="R164" i="1"/>
  <c r="R893" i="1"/>
  <c r="P1205" i="1"/>
  <c r="S335" i="1"/>
  <c r="S608" i="1"/>
  <c r="R1469" i="1"/>
  <c r="Q1370" i="1"/>
  <c r="R1517" i="1"/>
  <c r="Q718" i="1"/>
  <c r="S5" i="1"/>
  <c r="R1445" i="1"/>
  <c r="S1415" i="1"/>
  <c r="S1424" i="1"/>
  <c r="S605" i="1"/>
  <c r="R158" i="1"/>
  <c r="R1541" i="1"/>
  <c r="S38" i="1"/>
  <c r="S1637" i="1"/>
  <c r="S341" i="1"/>
  <c r="Q518" i="1"/>
  <c r="S1574" i="1"/>
  <c r="S731" i="1"/>
  <c r="S125" i="1"/>
  <c r="S653" i="1"/>
  <c r="S1625" i="1"/>
  <c r="R1652" i="1"/>
  <c r="Q1604" i="1"/>
  <c r="R1136" i="1"/>
  <c r="S1145" i="1"/>
  <c r="S1148" i="1"/>
  <c r="S1211" i="1"/>
  <c r="S1226" i="1"/>
  <c r="S1238" i="1"/>
  <c r="S416" i="1"/>
  <c r="R428" i="1"/>
  <c r="S683" i="1"/>
  <c r="S440" i="1"/>
  <c r="S262" i="1"/>
  <c r="S266" i="1"/>
  <c r="R707" i="1"/>
  <c r="Q1367" i="1"/>
  <c r="R1370" i="1"/>
  <c r="S1517" i="1"/>
  <c r="R716" i="1"/>
  <c r="R719" i="1"/>
  <c r="S1445" i="1"/>
  <c r="R1430" i="1"/>
  <c r="S17" i="1"/>
  <c r="S848" i="1"/>
  <c r="S920" i="1"/>
  <c r="S935" i="1"/>
  <c r="R998" i="1"/>
  <c r="S1001" i="1"/>
  <c r="S1019" i="1"/>
  <c r="Q1034" i="1"/>
  <c r="R725" i="1"/>
  <c r="R1595" i="1"/>
  <c r="Q68" i="1"/>
  <c r="S83" i="1"/>
  <c r="S1652" i="1"/>
  <c r="Q896" i="1"/>
  <c r="R1154" i="1"/>
  <c r="Q1252" i="1"/>
  <c r="Q1679" i="1"/>
  <c r="S707" i="1"/>
  <c r="S962" i="1"/>
  <c r="R1034" i="1"/>
  <c r="S293" i="1"/>
  <c r="R818" i="1"/>
  <c r="S536" i="1"/>
  <c r="R551" i="1"/>
  <c r="S554" i="1"/>
  <c r="S1454" i="1"/>
  <c r="Q1463" i="1"/>
  <c r="S1532" i="1"/>
  <c r="R1397" i="1"/>
  <c r="Q1643" i="1"/>
  <c r="P1243" i="1"/>
  <c r="S968" i="1"/>
  <c r="R1025" i="1"/>
  <c r="S1034" i="1"/>
  <c r="R290" i="1"/>
  <c r="S779" i="1"/>
  <c r="S818" i="1"/>
  <c r="S551" i="1"/>
  <c r="S140" i="1"/>
  <c r="S1463" i="1"/>
  <c r="S224" i="1"/>
  <c r="R185" i="1"/>
  <c r="S1052" i="1"/>
  <c r="R1067" i="1"/>
  <c r="S602" i="1"/>
  <c r="S155" i="1"/>
  <c r="S1538" i="1"/>
  <c r="Q1394" i="1"/>
  <c r="S1397" i="1"/>
  <c r="S1571" i="1"/>
  <c r="S68" i="1"/>
  <c r="Q1403" i="1"/>
  <c r="S164" i="1"/>
  <c r="S122" i="1"/>
  <c r="S1493" i="1"/>
  <c r="R1649" i="1"/>
  <c r="Q893" i="1"/>
  <c r="S896" i="1"/>
  <c r="Q569" i="1"/>
  <c r="R1601" i="1"/>
  <c r="R1142" i="1"/>
  <c r="S1187" i="1"/>
  <c r="S1207" i="1"/>
  <c r="S1232" i="1"/>
  <c r="S1235" i="1"/>
  <c r="S1244" i="1"/>
  <c r="S1274" i="1"/>
  <c r="R422" i="1"/>
  <c r="S680" i="1"/>
  <c r="Q1673" i="1"/>
  <c r="R1676" i="1"/>
  <c r="S1679" i="1"/>
  <c r="S1016" i="1"/>
  <c r="S1025" i="1"/>
  <c r="S290" i="1"/>
  <c r="Q776" i="1"/>
  <c r="R785" i="1"/>
  <c r="S809" i="1"/>
  <c r="S824" i="1"/>
  <c r="R101" i="1"/>
  <c r="S1115" i="1"/>
  <c r="Q473" i="1"/>
  <c r="Q182" i="1"/>
  <c r="S185" i="1"/>
  <c r="P598" i="1"/>
  <c r="R776" i="1"/>
  <c r="Q830" i="1"/>
  <c r="R473" i="1"/>
  <c r="S104" i="1"/>
  <c r="R1553" i="1"/>
  <c r="R356" i="1"/>
  <c r="S1307" i="1"/>
  <c r="S128" i="1"/>
  <c r="R872" i="1"/>
  <c r="Q584" i="1"/>
  <c r="S1199" i="1"/>
  <c r="S1214" i="1"/>
  <c r="Q1228" i="1"/>
  <c r="S1241" i="1"/>
  <c r="S1259" i="1"/>
  <c r="R419" i="1"/>
  <c r="S434" i="1"/>
  <c r="P496" i="1"/>
  <c r="P454" i="1"/>
  <c r="P274" i="1"/>
  <c r="S1520" i="1"/>
  <c r="S467" i="1"/>
  <c r="R770" i="1"/>
  <c r="S1418" i="1"/>
  <c r="R851" i="1"/>
  <c r="S923" i="1"/>
  <c r="Q1004" i="1"/>
  <c r="S182" i="1"/>
  <c r="S476" i="1"/>
  <c r="S1064" i="1"/>
  <c r="S1079" i="1"/>
  <c r="S599" i="1"/>
  <c r="S1334" i="1"/>
  <c r="S317" i="1"/>
  <c r="S1286" i="1"/>
  <c r="S527" i="1"/>
  <c r="Q386" i="1"/>
  <c r="R98" i="1"/>
  <c r="S86" i="1"/>
  <c r="R641" i="1"/>
  <c r="Q653" i="1"/>
  <c r="R404" i="1"/>
  <c r="S884" i="1"/>
  <c r="S908" i="1"/>
  <c r="R1130" i="1"/>
  <c r="S1139" i="1"/>
  <c r="S1229" i="1"/>
  <c r="S1265" i="1"/>
  <c r="S419" i="1"/>
  <c r="R431" i="1"/>
  <c r="S677" i="1"/>
  <c r="S692" i="1"/>
  <c r="Q440" i="1"/>
  <c r="R257" i="1"/>
  <c r="Q266" i="1"/>
  <c r="R710" i="1"/>
  <c r="P718" i="1"/>
  <c r="R5" i="1"/>
  <c r="S770" i="1"/>
  <c r="Q1414" i="1"/>
  <c r="R1424" i="1"/>
  <c r="Q848" i="1"/>
  <c r="R857" i="1"/>
  <c r="S929" i="1"/>
  <c r="S245" i="1"/>
  <c r="S386" i="1"/>
  <c r="S1595" i="1"/>
  <c r="S1298" i="1"/>
  <c r="R371" i="1"/>
  <c r="Q392" i="1"/>
  <c r="Q1376" i="1"/>
  <c r="Q1649" i="1"/>
  <c r="R905" i="1"/>
  <c r="R1124" i="1"/>
  <c r="R1127" i="1"/>
  <c r="Q1154" i="1"/>
  <c r="P1198" i="1"/>
  <c r="P1249" i="1"/>
  <c r="P1255" i="1"/>
  <c r="R454" i="1"/>
  <c r="S80" i="1"/>
  <c r="R1619" i="1"/>
  <c r="S1165" i="1"/>
  <c r="P1175" i="1"/>
  <c r="P1225" i="1"/>
  <c r="P680" i="1"/>
  <c r="R274" i="1"/>
  <c r="P415" i="1"/>
  <c r="P193" i="1"/>
  <c r="P694" i="1"/>
  <c r="Q449" i="1"/>
  <c r="R518" i="1"/>
  <c r="P1351" i="1"/>
  <c r="R392" i="1"/>
  <c r="R203" i="1"/>
  <c r="R1403" i="1"/>
  <c r="Q1246" i="1"/>
  <c r="Q1280" i="1"/>
  <c r="Q356" i="1"/>
  <c r="Q1175" i="1"/>
  <c r="P1261" i="1"/>
  <c r="Q445" i="1"/>
  <c r="R1358" i="1"/>
  <c r="Q1150" i="1"/>
  <c r="Q1163" i="1"/>
  <c r="P427" i="1"/>
  <c r="P448" i="1"/>
  <c r="P1537" i="1"/>
  <c r="S299" i="1"/>
  <c r="S1280" i="1"/>
  <c r="R1655" i="1"/>
  <c r="R1301" i="1"/>
  <c r="P1165" i="1"/>
  <c r="Q1213" i="1"/>
  <c r="Q1237" i="1"/>
  <c r="P251" i="1"/>
  <c r="S500" i="1"/>
  <c r="S1655" i="1"/>
  <c r="R1376" i="1"/>
  <c r="R1391" i="1"/>
  <c r="S1469" i="1"/>
  <c r="S872" i="1"/>
  <c r="S905" i="1"/>
  <c r="S1133" i="1"/>
  <c r="R1151" i="1"/>
  <c r="S1154" i="1"/>
  <c r="Q1181" i="1"/>
  <c r="S1184" i="1"/>
  <c r="S1247" i="1"/>
  <c r="P671" i="1"/>
  <c r="Q691" i="1"/>
  <c r="R247" i="1"/>
  <c r="Q721" i="1"/>
  <c r="R1421" i="1"/>
  <c r="Q1010" i="1"/>
  <c r="R566" i="1"/>
  <c r="Q227" i="1"/>
  <c r="Q29" i="1"/>
  <c r="S344" i="1"/>
  <c r="S518" i="1"/>
  <c r="S533" i="1"/>
  <c r="Q1352" i="1"/>
  <c r="S1403" i="1"/>
  <c r="R734" i="1"/>
  <c r="S1442" i="1"/>
  <c r="R656" i="1"/>
  <c r="S1127" i="1"/>
  <c r="Q1138" i="1"/>
  <c r="S1190" i="1"/>
  <c r="P1234" i="1"/>
  <c r="R1280" i="1"/>
  <c r="S176" i="1"/>
  <c r="S326" i="1"/>
  <c r="S353" i="1"/>
  <c r="Q1286" i="1"/>
  <c r="S1337" i="1"/>
  <c r="S203" i="1"/>
  <c r="S869" i="1"/>
  <c r="S734" i="1"/>
  <c r="S119" i="1"/>
  <c r="S656" i="1"/>
  <c r="S587" i="1"/>
  <c r="Q404" i="1"/>
  <c r="S1643" i="1"/>
  <c r="S887" i="1"/>
  <c r="R908" i="1"/>
  <c r="R1607" i="1"/>
  <c r="P1123" i="1"/>
  <c r="P1135" i="1"/>
  <c r="S1151" i="1"/>
  <c r="Q1156" i="1"/>
  <c r="Q1186" i="1"/>
  <c r="S1193" i="1"/>
  <c r="Q1207" i="1"/>
  <c r="Q1220" i="1"/>
  <c r="P1273" i="1"/>
  <c r="Q415" i="1"/>
  <c r="S320" i="1"/>
  <c r="S1349" i="1"/>
  <c r="S1085" i="1"/>
  <c r="S1634" i="1"/>
  <c r="R335" i="1"/>
  <c r="R869" i="1"/>
  <c r="R1625" i="1"/>
  <c r="S1649" i="1"/>
  <c r="S893" i="1"/>
  <c r="Q1607" i="1"/>
  <c r="S1612" i="1"/>
  <c r="S1174" i="1"/>
  <c r="S1223" i="1"/>
  <c r="S1406" i="1"/>
  <c r="Q44" i="1"/>
  <c r="Q620" i="1"/>
  <c r="Q1484" i="1"/>
  <c r="R665" i="1"/>
  <c r="P1171" i="1"/>
  <c r="Q1196" i="1"/>
  <c r="Q1201" i="1"/>
  <c r="P1216" i="1"/>
  <c r="P1231" i="1"/>
  <c r="Q1240" i="1"/>
  <c r="Q1262" i="1"/>
  <c r="Q460" i="1"/>
  <c r="R1109" i="1"/>
  <c r="R542" i="1"/>
  <c r="Q1112" i="1"/>
  <c r="R1121" i="1"/>
  <c r="R221" i="1"/>
  <c r="R1055" i="1"/>
  <c r="S356" i="1"/>
  <c r="S1301" i="1"/>
  <c r="R386" i="1"/>
  <c r="S392" i="1"/>
  <c r="S1490" i="1"/>
  <c r="S584" i="1"/>
  <c r="R1643" i="1"/>
  <c r="R886" i="1"/>
  <c r="S899" i="1"/>
  <c r="S1601" i="1"/>
  <c r="S1124" i="1"/>
  <c r="S1142" i="1"/>
  <c r="S1304" i="1"/>
  <c r="R521" i="1"/>
  <c r="R1352" i="1"/>
  <c r="S371" i="1"/>
  <c r="S1376" i="1"/>
  <c r="S1391" i="1"/>
  <c r="R413" i="1"/>
  <c r="P1126" i="1"/>
  <c r="R1139" i="1"/>
  <c r="R1145" i="1"/>
  <c r="Q1400" i="1"/>
  <c r="Q146" i="1"/>
  <c r="R1289" i="1"/>
  <c r="Q1313" i="1"/>
  <c r="Q1388" i="1"/>
  <c r="P1184" i="1"/>
  <c r="P1222" i="1"/>
  <c r="Q688" i="1"/>
  <c r="R797" i="1"/>
  <c r="Q545" i="1"/>
  <c r="R578" i="1"/>
  <c r="R515" i="1"/>
  <c r="Q122" i="1"/>
  <c r="R1526" i="1"/>
  <c r="R590" i="1"/>
  <c r="P1201" i="1"/>
  <c r="Q1264" i="1"/>
  <c r="P1270" i="1"/>
  <c r="Q424" i="1"/>
  <c r="Q676" i="1"/>
  <c r="Q179" i="1"/>
  <c r="Q1205" i="1"/>
  <c r="P1210" i="1"/>
  <c r="Q497" i="1"/>
  <c r="R442" i="1"/>
  <c r="P247" i="1"/>
  <c r="P265" i="1"/>
  <c r="P706" i="1"/>
  <c r="S1331" i="1"/>
  <c r="S200" i="1"/>
  <c r="Q1334" i="1"/>
  <c r="R1628" i="1"/>
  <c r="Q587" i="1"/>
  <c r="P1156" i="1"/>
  <c r="Q1199" i="1"/>
  <c r="R1201" i="1"/>
  <c r="Q1225" i="1"/>
  <c r="P1258" i="1"/>
  <c r="R1273" i="1"/>
  <c r="P419" i="1"/>
  <c r="P433" i="1"/>
  <c r="S436" i="1"/>
  <c r="S460" i="1"/>
  <c r="Q262" i="1"/>
  <c r="R500" i="1"/>
  <c r="R1313" i="1"/>
  <c r="R1388" i="1"/>
  <c r="R1502" i="1"/>
  <c r="Q407" i="1"/>
  <c r="Q884" i="1"/>
  <c r="Q887" i="1"/>
  <c r="Q1610" i="1"/>
  <c r="P1613" i="1"/>
  <c r="P1195" i="1"/>
  <c r="R1196" i="1"/>
  <c r="R1210" i="1"/>
  <c r="R1216" i="1"/>
  <c r="R1222" i="1"/>
  <c r="R1231" i="1"/>
  <c r="R1243" i="1"/>
  <c r="R1249" i="1"/>
  <c r="R1255" i="1"/>
  <c r="Q1270" i="1"/>
  <c r="P422" i="1"/>
  <c r="Q430" i="1"/>
  <c r="Q683" i="1"/>
  <c r="P686" i="1"/>
  <c r="R694" i="1"/>
  <c r="P442" i="1"/>
  <c r="R251" i="1"/>
  <c r="P268" i="1"/>
  <c r="Q274" i="1"/>
  <c r="P709" i="1"/>
  <c r="Q1496" i="1"/>
  <c r="P677" i="1"/>
  <c r="P688" i="1"/>
  <c r="Q503" i="1"/>
  <c r="R323" i="1"/>
  <c r="Q1634" i="1"/>
  <c r="Q1040" i="1"/>
  <c r="Q521" i="1"/>
  <c r="R1556" i="1"/>
  <c r="Q638" i="1"/>
  <c r="R1475" i="1"/>
  <c r="Q1442" i="1"/>
  <c r="R659" i="1"/>
  <c r="R1097" i="1"/>
  <c r="R902" i="1"/>
  <c r="Q1123" i="1"/>
  <c r="Q1129" i="1"/>
  <c r="R1132" i="1"/>
  <c r="P1162" i="1"/>
  <c r="P1240" i="1"/>
  <c r="S670" i="1"/>
  <c r="R269" i="1"/>
  <c r="P1678" i="1"/>
  <c r="P1369" i="1"/>
  <c r="R833" i="1"/>
  <c r="P1414" i="1"/>
  <c r="R1433" i="1"/>
  <c r="R860" i="1"/>
  <c r="R989" i="1"/>
  <c r="R827" i="1"/>
  <c r="R137" i="1"/>
  <c r="Q1289" i="1"/>
  <c r="P520" i="1"/>
  <c r="Q1358" i="1"/>
  <c r="R368" i="1"/>
  <c r="R1577" i="1"/>
  <c r="Q95" i="1"/>
  <c r="Q647" i="1"/>
  <c r="R1472" i="1"/>
  <c r="R1484" i="1"/>
  <c r="R116" i="1"/>
  <c r="Q665" i="1"/>
  <c r="R875" i="1"/>
  <c r="Q1493" i="1"/>
  <c r="Q410" i="1"/>
  <c r="R1646" i="1"/>
  <c r="P886" i="1"/>
  <c r="R890" i="1"/>
  <c r="Q911" i="1"/>
  <c r="Q1613" i="1"/>
  <c r="P1129" i="1"/>
  <c r="Q1132" i="1"/>
  <c r="P1141" i="1"/>
  <c r="Q1144" i="1"/>
  <c r="P1159" i="1"/>
  <c r="Q1160" i="1"/>
  <c r="S1162" i="1"/>
  <c r="Q1168" i="1"/>
  <c r="R1171" i="1"/>
  <c r="P1177" i="1"/>
  <c r="Q1183" i="1"/>
  <c r="P1189" i="1"/>
  <c r="Q1192" i="1"/>
  <c r="S1204" i="1"/>
  <c r="Q1211" i="1"/>
  <c r="Q1210" i="1"/>
  <c r="Q1217" i="1"/>
  <c r="Q1216" i="1"/>
  <c r="Q1223" i="1"/>
  <c r="Q1222" i="1"/>
  <c r="Q1232" i="1"/>
  <c r="Q1231" i="1"/>
  <c r="Q1244" i="1"/>
  <c r="Q1243" i="1"/>
  <c r="Q1250" i="1"/>
  <c r="Q1249" i="1"/>
  <c r="Q1256" i="1"/>
  <c r="Q1255" i="1"/>
  <c r="Q1274" i="1"/>
  <c r="Q1273" i="1"/>
  <c r="P425" i="1"/>
  <c r="P424" i="1"/>
  <c r="P437" i="1"/>
  <c r="P436" i="1"/>
  <c r="S305" i="1"/>
  <c r="S1346" i="1"/>
  <c r="R503" i="1"/>
  <c r="R1400" i="1"/>
  <c r="R1592" i="1"/>
  <c r="Q629" i="1"/>
  <c r="Q1097" i="1"/>
  <c r="Q914" i="1"/>
  <c r="P1138" i="1"/>
  <c r="Q1141" i="1"/>
  <c r="P1150" i="1"/>
  <c r="S1156" i="1"/>
  <c r="R1168" i="1"/>
  <c r="Q1177" i="1"/>
  <c r="P1186" i="1"/>
  <c r="Q1189" i="1"/>
  <c r="R1192" i="1"/>
  <c r="P1208" i="1"/>
  <c r="R1214" i="1"/>
  <c r="R1213" i="1"/>
  <c r="R1220" i="1"/>
  <c r="R1219" i="1"/>
  <c r="R1229" i="1"/>
  <c r="R1228" i="1"/>
  <c r="R1247" i="1"/>
  <c r="R1246" i="1"/>
  <c r="R1253" i="1"/>
  <c r="R1252" i="1"/>
  <c r="R1265" i="1"/>
  <c r="R1264" i="1"/>
  <c r="P431" i="1"/>
  <c r="P430" i="1"/>
  <c r="S509" i="1"/>
  <c r="P1238" i="1"/>
  <c r="P1237" i="1"/>
  <c r="Q428" i="1"/>
  <c r="Q427" i="1"/>
  <c r="Q515" i="1"/>
  <c r="R1040" i="1"/>
  <c r="Q368" i="1"/>
  <c r="R1496" i="1"/>
  <c r="R407" i="1"/>
  <c r="Q1646" i="1"/>
  <c r="Q890" i="1"/>
  <c r="Q899" i="1"/>
  <c r="P1132" i="1"/>
  <c r="Q1135" i="1"/>
  <c r="P1144" i="1"/>
  <c r="Q1147" i="1"/>
  <c r="P1168" i="1"/>
  <c r="Q1171" i="1"/>
  <c r="R1186" i="1"/>
  <c r="P1192" i="1"/>
  <c r="P1214" i="1"/>
  <c r="P1213" i="1"/>
  <c r="P1220" i="1"/>
  <c r="P1219" i="1"/>
  <c r="P1229" i="1"/>
  <c r="P1228" i="1"/>
  <c r="P1247" i="1"/>
  <c r="P1246" i="1"/>
  <c r="P1253" i="1"/>
  <c r="P1252" i="1"/>
  <c r="P1265" i="1"/>
  <c r="P1264" i="1"/>
  <c r="Q680" i="1"/>
  <c r="R682" i="1"/>
  <c r="R691" i="1"/>
  <c r="S694" i="1"/>
  <c r="P697" i="1"/>
  <c r="Q443" i="1"/>
  <c r="R445" i="1"/>
  <c r="R449" i="1"/>
  <c r="S454" i="1"/>
  <c r="P460" i="1"/>
  <c r="Q247" i="1"/>
  <c r="Q251" i="1"/>
  <c r="R262" i="1"/>
  <c r="Q269" i="1"/>
  <c r="P1672" i="1"/>
  <c r="P1366" i="1"/>
  <c r="R464" i="1"/>
  <c r="R722" i="1"/>
  <c r="R1586" i="1"/>
  <c r="R1427" i="1"/>
  <c r="R1010" i="1"/>
  <c r="Q779" i="1"/>
  <c r="Q542" i="1"/>
  <c r="Q1118" i="1"/>
  <c r="Q104" i="1"/>
  <c r="Q221" i="1"/>
  <c r="R227" i="1"/>
  <c r="R29" i="1"/>
  <c r="P1568" i="1"/>
  <c r="Q155" i="1"/>
  <c r="S496" i="1"/>
  <c r="Q670" i="1"/>
  <c r="Q686" i="1"/>
  <c r="R436" i="1"/>
  <c r="R670" i="1"/>
  <c r="P682" i="1"/>
  <c r="P691" i="1"/>
  <c r="Q694" i="1"/>
  <c r="R697" i="1"/>
  <c r="P445" i="1"/>
  <c r="Q454" i="1"/>
  <c r="R460" i="1"/>
  <c r="P262" i="1"/>
  <c r="R767" i="1"/>
  <c r="R854" i="1"/>
  <c r="Q1022" i="1"/>
  <c r="R782" i="1"/>
  <c r="Q797" i="1"/>
  <c r="Q827" i="1"/>
  <c r="Q1121" i="1"/>
  <c r="Q137" i="1"/>
  <c r="Q578" i="1"/>
  <c r="Q1454" i="1"/>
  <c r="R179" i="1"/>
  <c r="R23" i="1"/>
  <c r="Q1055" i="1"/>
  <c r="Q1538" i="1"/>
  <c r="B33" i="22"/>
  <c r="B32" i="22"/>
  <c r="B35" i="22"/>
  <c r="P1675" i="1"/>
  <c r="S1667" i="1"/>
  <c r="S1661" i="1"/>
  <c r="Q1655" i="1"/>
  <c r="Q1652" i="1"/>
  <c r="S1646" i="1"/>
  <c r="S1640" i="1"/>
  <c r="R1634" i="1"/>
  <c r="S1628" i="1"/>
  <c r="Q1625" i="1"/>
  <c r="R1612" i="1"/>
  <c r="R1610" i="1"/>
  <c r="S1592" i="1"/>
  <c r="S1586" i="1"/>
  <c r="S1577" i="1"/>
  <c r="R1571" i="1"/>
  <c r="S1559" i="1"/>
  <c r="S1556" i="1"/>
  <c r="Q1553" i="1"/>
  <c r="S1547" i="1"/>
  <c r="R1538" i="1"/>
  <c r="S1526" i="1"/>
  <c r="R1520" i="1"/>
  <c r="S1505" i="1"/>
  <c r="S1502" i="1"/>
  <c r="S1496" i="1"/>
  <c r="R1493" i="1"/>
  <c r="S1484" i="1"/>
  <c r="S1475" i="1"/>
  <c r="Q1472" i="1"/>
  <c r="S1472" i="1"/>
  <c r="S1466" i="1"/>
  <c r="R1463" i="1"/>
  <c r="Q1460" i="1"/>
  <c r="Q1457" i="1"/>
  <c r="R1454" i="1"/>
  <c r="S1448" i="1"/>
  <c r="R1448" i="1"/>
  <c r="R1442" i="1"/>
  <c r="S1439" i="1"/>
  <c r="S1433" i="1"/>
  <c r="S1427" i="1"/>
  <c r="S1421" i="1"/>
  <c r="R1414" i="1"/>
  <c r="S1409" i="1"/>
  <c r="R1406" i="1"/>
  <c r="S1400" i="1"/>
  <c r="S1388" i="1"/>
  <c r="S1382" i="1"/>
  <c r="S1358" i="1"/>
  <c r="S1340" i="1"/>
  <c r="Q1337" i="1"/>
  <c r="R1337" i="1"/>
  <c r="R1334" i="1"/>
  <c r="S1313" i="1"/>
  <c r="Q1301" i="1"/>
  <c r="R1292" i="1"/>
  <c r="S1289" i="1"/>
  <c r="R1286" i="1"/>
  <c r="R1270" i="1"/>
  <c r="S1270" i="1"/>
  <c r="R1261" i="1"/>
  <c r="S1261" i="1"/>
  <c r="R1259" i="1"/>
  <c r="R1240" i="1"/>
  <c r="R1237" i="1"/>
  <c r="R1225" i="1"/>
  <c r="R1207" i="1"/>
  <c r="R1204" i="1"/>
  <c r="S1201" i="1"/>
  <c r="R1198" i="1"/>
  <c r="S1196" i="1"/>
  <c r="R1183" i="1"/>
  <c r="R1162" i="1"/>
  <c r="R1159" i="1"/>
  <c r="R1156" i="1"/>
  <c r="S1121" i="1"/>
  <c r="R1118" i="1"/>
  <c r="R1112" i="1"/>
  <c r="S1109" i="1"/>
  <c r="S1097" i="1"/>
  <c r="Q1085" i="1"/>
  <c r="R1085" i="1"/>
  <c r="S1055" i="1"/>
  <c r="S1040" i="1"/>
  <c r="Q1037" i="1"/>
  <c r="P1033" i="1"/>
  <c r="S1028" i="1"/>
  <c r="R1022" i="1"/>
  <c r="S1010" i="1"/>
  <c r="S989" i="1"/>
  <c r="P976" i="1"/>
  <c r="Q977" i="1"/>
  <c r="S965" i="1"/>
  <c r="S953" i="1"/>
  <c r="S944" i="1"/>
  <c r="S938" i="1"/>
  <c r="S926" i="1"/>
  <c r="S917" i="1"/>
  <c r="R914" i="1"/>
  <c r="S914" i="1"/>
  <c r="R911" i="1"/>
  <c r="S911" i="1"/>
  <c r="Q908" i="1"/>
  <c r="S902" i="1"/>
  <c r="R899" i="1"/>
  <c r="S890" i="1"/>
  <c r="R884" i="1"/>
  <c r="S875" i="1"/>
  <c r="Q872" i="1"/>
  <c r="Q869" i="1"/>
  <c r="S866" i="1"/>
  <c r="S860" i="1"/>
  <c r="S854" i="1"/>
  <c r="S851" i="1"/>
  <c r="P847" i="1"/>
  <c r="R839" i="1"/>
  <c r="S833" i="1"/>
  <c r="S827" i="1"/>
  <c r="S821" i="1"/>
  <c r="S812" i="1"/>
  <c r="Q806" i="1"/>
  <c r="S797" i="1"/>
  <c r="R791" i="1"/>
  <c r="Q785" i="1"/>
  <c r="S782" i="1"/>
  <c r="R779" i="1"/>
  <c r="S767" i="1"/>
  <c r="Q734" i="1"/>
  <c r="S722" i="1"/>
  <c r="Q709" i="1"/>
  <c r="Q706" i="1"/>
  <c r="R688" i="1"/>
  <c r="S688" i="1"/>
  <c r="R685" i="1"/>
  <c r="R679" i="1"/>
  <c r="R676" i="1"/>
  <c r="S665" i="1"/>
  <c r="S662" i="1"/>
  <c r="S659" i="1"/>
  <c r="Q656" i="1"/>
  <c r="S650" i="1"/>
  <c r="R647" i="1"/>
  <c r="S647" i="1"/>
  <c r="R644" i="1"/>
  <c r="R638" i="1"/>
  <c r="R629" i="1"/>
  <c r="S629" i="1"/>
  <c r="R620" i="1"/>
  <c r="S620" i="1"/>
  <c r="Q608" i="1"/>
  <c r="R608" i="1"/>
  <c r="Q605" i="1"/>
  <c r="R605" i="1"/>
  <c r="Q599" i="1"/>
  <c r="S593" i="1"/>
  <c r="S590" i="1"/>
  <c r="R587" i="1"/>
  <c r="S581" i="1"/>
  <c r="S578" i="1"/>
  <c r="S575" i="1"/>
  <c r="S566" i="1"/>
  <c r="S560" i="1"/>
  <c r="S548" i="1"/>
  <c r="R545" i="1"/>
  <c r="S545" i="1"/>
  <c r="S542" i="1"/>
  <c r="Q539" i="1"/>
  <c r="R533" i="1"/>
  <c r="Q527" i="1"/>
  <c r="S521" i="1"/>
  <c r="S515" i="1"/>
  <c r="S503" i="1"/>
  <c r="R496" i="1"/>
  <c r="S464" i="1"/>
  <c r="S448" i="1"/>
  <c r="S445" i="1"/>
  <c r="S442" i="1"/>
  <c r="P439" i="1"/>
  <c r="Q433" i="1"/>
  <c r="Q421" i="1"/>
  <c r="Q419" i="1"/>
  <c r="R415" i="1"/>
  <c r="Q413" i="1"/>
  <c r="S410" i="1"/>
  <c r="S407" i="1"/>
  <c r="S398" i="1"/>
  <c r="R380" i="1"/>
  <c r="Q370" i="1"/>
  <c r="S368" i="1"/>
  <c r="R353" i="1"/>
  <c r="R326" i="1"/>
  <c r="S323" i="1"/>
  <c r="S314" i="1"/>
  <c r="Q305" i="1"/>
  <c r="R305" i="1"/>
  <c r="Q290" i="1"/>
  <c r="S274" i="1"/>
  <c r="S268" i="1"/>
  <c r="Q256" i="1"/>
  <c r="P256" i="1"/>
  <c r="S250" i="1"/>
  <c r="S247" i="1"/>
  <c r="S230" i="1"/>
  <c r="S227" i="1"/>
  <c r="S221" i="1"/>
  <c r="S209" i="1"/>
  <c r="S206" i="1"/>
  <c r="S197" i="1"/>
  <c r="R197" i="1"/>
  <c r="R193" i="1"/>
  <c r="R188" i="1"/>
  <c r="S188" i="1"/>
  <c r="Q185" i="1"/>
  <c r="S179" i="1"/>
  <c r="S161" i="1"/>
  <c r="R155" i="1"/>
  <c r="R146" i="1"/>
  <c r="S146" i="1"/>
  <c r="S137" i="1"/>
  <c r="R122" i="1"/>
  <c r="R119" i="1"/>
  <c r="S116" i="1"/>
  <c r="R104" i="1"/>
  <c r="R95" i="1"/>
  <c r="S95" i="1"/>
  <c r="R92" i="1"/>
  <c r="S62" i="1"/>
  <c r="R44" i="1"/>
  <c r="R35" i="1"/>
  <c r="R26" i="1"/>
  <c r="S23" i="1"/>
  <c r="R59" i="1"/>
  <c r="S50" i="1"/>
  <c r="S47" i="1"/>
  <c r="S44" i="1"/>
  <c r="S35" i="1"/>
  <c r="S29" i="1"/>
  <c r="S26" i="1"/>
  <c r="Q23" i="1"/>
  <c r="R17" i="1"/>
  <c r="B27" i="22"/>
  <c r="B30" i="22"/>
  <c r="B29" i="22"/>
  <c r="B28" i="22"/>
  <c r="P952" i="1"/>
  <c r="P340" i="1"/>
  <c r="P928" i="1"/>
  <c r="P766" i="1"/>
  <c r="P832" i="1"/>
  <c r="Q1297" i="1"/>
  <c r="Q1339" i="1"/>
  <c r="R614" i="1"/>
  <c r="R529" i="1"/>
  <c r="P1108" i="1"/>
  <c r="P743" i="1"/>
  <c r="Q20" i="1"/>
  <c r="Q1282" i="1"/>
  <c r="R1091" i="1"/>
  <c r="Q80" i="1"/>
  <c r="P13" i="1"/>
  <c r="Q1093" i="1"/>
  <c r="R302" i="1"/>
  <c r="Q176" i="1"/>
  <c r="Q340" i="1"/>
  <c r="Q626" i="1"/>
  <c r="R383" i="1"/>
  <c r="P7" i="1"/>
  <c r="Q1349" i="1"/>
  <c r="Q346" i="1"/>
  <c r="Q1087" i="1"/>
  <c r="Q1559" i="1"/>
  <c r="R739" i="1"/>
  <c r="P1426" i="1"/>
  <c r="P922" i="1"/>
  <c r="Q302" i="1"/>
  <c r="Q512" i="1"/>
  <c r="R242" i="1"/>
  <c r="Q614" i="1"/>
  <c r="P337" i="1"/>
  <c r="R346" i="1"/>
  <c r="Q1513" i="1"/>
  <c r="Q1309" i="1"/>
  <c r="R1616" i="1"/>
  <c r="R1379" i="1"/>
  <c r="P1447" i="1"/>
  <c r="P1417" i="1"/>
  <c r="P1432" i="1"/>
  <c r="Q922" i="1"/>
  <c r="Q1580" i="1"/>
  <c r="Q611" i="1"/>
  <c r="Q1355" i="1"/>
  <c r="P761" i="1"/>
  <c r="P967" i="1"/>
  <c r="Q983" i="1"/>
  <c r="R512" i="1"/>
  <c r="R611" i="1"/>
  <c r="Q32" i="1"/>
  <c r="Q281" i="1"/>
  <c r="Q350" i="1"/>
  <c r="R626" i="1"/>
  <c r="R1513" i="1"/>
  <c r="Q1295" i="1"/>
  <c r="R1355" i="1"/>
  <c r="Q1106" i="1"/>
  <c r="R374" i="1"/>
  <c r="R71" i="1"/>
  <c r="R632" i="1"/>
  <c r="R1363" i="1"/>
  <c r="P1561" i="1"/>
  <c r="Q1631" i="1"/>
  <c r="Q314" i="1"/>
  <c r="Q242" i="1"/>
  <c r="R32" i="1"/>
  <c r="Q41" i="1"/>
  <c r="R350" i="1"/>
  <c r="P1102" i="1"/>
  <c r="Q1307" i="1"/>
  <c r="Q1319" i="1"/>
  <c r="Q1091" i="1"/>
  <c r="R1094" i="1"/>
  <c r="Q530" i="1"/>
  <c r="Q1640" i="1"/>
  <c r="Q1343" i="1"/>
  <c r="R1106" i="1"/>
  <c r="Q1574" i="1"/>
  <c r="Q866" i="1"/>
  <c r="Q86" i="1"/>
  <c r="Q757" i="1"/>
  <c r="P946" i="1"/>
  <c r="Q1561" i="1"/>
  <c r="P55" i="1"/>
  <c r="Q739" i="1"/>
  <c r="R757" i="1"/>
  <c r="Q992" i="1"/>
  <c r="S512" i="1"/>
  <c r="Q323" i="1"/>
  <c r="R176" i="1"/>
  <c r="R1349" i="1"/>
  <c r="S1106" i="1"/>
  <c r="R1574" i="1"/>
  <c r="S1616" i="1"/>
  <c r="Q641" i="1"/>
  <c r="Q500" i="1"/>
  <c r="S506" i="1"/>
  <c r="R314" i="1"/>
  <c r="S242" i="1"/>
  <c r="Q326" i="1"/>
  <c r="R281" i="1"/>
  <c r="R332" i="1"/>
  <c r="S350" i="1"/>
  <c r="R1307" i="1"/>
  <c r="S1310" i="1"/>
  <c r="R1319" i="1"/>
  <c r="S1088" i="1"/>
  <c r="S1094" i="1"/>
  <c r="R1640" i="1"/>
  <c r="R1340" i="1"/>
  <c r="R1343" i="1"/>
  <c r="S1355" i="1"/>
  <c r="S383" i="1"/>
  <c r="S71" i="1"/>
  <c r="R86" i="1"/>
  <c r="Q245" i="1"/>
  <c r="Q1346" i="1"/>
  <c r="Q1303" i="1"/>
  <c r="Q1315" i="1"/>
  <c r="S1090" i="1"/>
  <c r="R523" i="1"/>
  <c r="R1277" i="1"/>
  <c r="Q74" i="1"/>
  <c r="P850" i="1"/>
  <c r="Q928" i="1"/>
  <c r="Q946" i="1"/>
  <c r="Q952" i="1"/>
  <c r="Q1115" i="1"/>
  <c r="R1535" i="1"/>
  <c r="S302" i="1"/>
  <c r="R1331" i="1"/>
  <c r="Q197" i="1"/>
  <c r="S611" i="1"/>
  <c r="S32" i="1"/>
  <c r="R47" i="1"/>
  <c r="S614" i="1"/>
  <c r="Q1595" i="1"/>
  <c r="S626" i="1"/>
  <c r="Q1292" i="1"/>
  <c r="R1295" i="1"/>
  <c r="S530" i="1"/>
  <c r="Q1556" i="1"/>
  <c r="R1559" i="1"/>
  <c r="Q380" i="1"/>
  <c r="Q1571" i="1"/>
  <c r="S395" i="1"/>
  <c r="R866" i="1"/>
  <c r="R80" i="1"/>
  <c r="Q361" i="1"/>
  <c r="Q232" i="1"/>
  <c r="R751" i="1"/>
  <c r="P1364" i="1"/>
  <c r="P1420" i="1"/>
  <c r="P1531" i="1"/>
  <c r="P755" i="1"/>
  <c r="R955" i="1"/>
  <c r="R794" i="1"/>
  <c r="Q815" i="1"/>
  <c r="R149" i="1"/>
  <c r="R1481" i="1"/>
  <c r="Q731" i="1"/>
  <c r="R232" i="1"/>
  <c r="Q745" i="1"/>
  <c r="P1516" i="1"/>
  <c r="P466" i="1"/>
  <c r="P16" i="1"/>
  <c r="P859" i="1"/>
  <c r="P916" i="1"/>
  <c r="P934" i="1"/>
  <c r="Q961" i="1"/>
  <c r="Q967" i="1"/>
  <c r="P973" i="1"/>
  <c r="R986" i="1"/>
  <c r="Q1019" i="1"/>
  <c r="R815" i="1"/>
  <c r="Q548" i="1"/>
  <c r="Q575" i="1"/>
  <c r="Q1532" i="1"/>
  <c r="P1396" i="1"/>
  <c r="Q329" i="1"/>
  <c r="Q1529" i="1"/>
  <c r="Q77" i="1"/>
  <c r="P736" i="1"/>
  <c r="R745" i="1"/>
  <c r="Q1664" i="1"/>
  <c r="P1588" i="1"/>
  <c r="Q916" i="1"/>
  <c r="Q934" i="1"/>
  <c r="Q973" i="1"/>
  <c r="R1565" i="1"/>
  <c r="R361" i="1"/>
  <c r="Q751" i="1"/>
  <c r="P1522" i="1"/>
  <c r="P932" i="1"/>
  <c r="P958" i="1"/>
  <c r="Q1070" i="1"/>
  <c r="Q506" i="1"/>
  <c r="R488" i="1"/>
  <c r="R1658" i="1"/>
  <c r="R1529" i="1"/>
  <c r="Q374" i="1"/>
  <c r="Q398" i="1"/>
  <c r="R77" i="1"/>
  <c r="Q1385" i="1"/>
  <c r="R110" i="1"/>
  <c r="Q125" i="1"/>
  <c r="Q593" i="1"/>
  <c r="P716" i="1"/>
  <c r="P940" i="1"/>
  <c r="Q986" i="1"/>
  <c r="Q1028" i="1"/>
  <c r="R20" i="1"/>
  <c r="Q1079" i="1"/>
  <c r="Q1565" i="1"/>
  <c r="Q602" i="1"/>
  <c r="P152" i="1"/>
  <c r="Q161" i="1"/>
  <c r="R1531" i="1"/>
  <c r="R1544" i="1"/>
  <c r="P364" i="1"/>
  <c r="Q1409" i="1"/>
  <c r="R1622" i="1"/>
  <c r="P748" i="1"/>
  <c r="P926" i="1"/>
  <c r="Q940" i="1"/>
  <c r="Q959" i="1"/>
  <c r="P964" i="1"/>
  <c r="Q800" i="1"/>
  <c r="Q1535" i="1"/>
  <c r="R311" i="1"/>
  <c r="Q320" i="1"/>
  <c r="R53" i="1"/>
  <c r="Q524" i="1"/>
  <c r="R389" i="1"/>
  <c r="Q1363" i="1"/>
  <c r="Q835" i="1"/>
  <c r="Q1426" i="1"/>
  <c r="Q850" i="1"/>
  <c r="Q853" i="1"/>
  <c r="P950" i="1"/>
  <c r="P982" i="1"/>
  <c r="R506" i="1"/>
  <c r="R1304" i="1"/>
  <c r="R1310" i="1"/>
  <c r="P1337" i="1"/>
  <c r="P1336" i="1"/>
  <c r="P1358" i="1"/>
  <c r="P1357" i="1"/>
  <c r="S401" i="1"/>
  <c r="S1277" i="1"/>
  <c r="Q64" i="1"/>
  <c r="Q65" i="1"/>
  <c r="R731" i="1"/>
  <c r="S110" i="1"/>
  <c r="Q742" i="1"/>
  <c r="Q743" i="1"/>
  <c r="P4" i="1"/>
  <c r="P5" i="1"/>
  <c r="P1450" i="1"/>
  <c r="P1451" i="1"/>
  <c r="S941" i="1"/>
  <c r="P970" i="1"/>
  <c r="P971" i="1"/>
  <c r="R982" i="1"/>
  <c r="R983" i="1"/>
  <c r="S986" i="1"/>
  <c r="S992" i="1"/>
  <c r="R338" i="1"/>
  <c r="S1379" i="1"/>
  <c r="Q316" i="1"/>
  <c r="Q317" i="1"/>
  <c r="R320" i="1"/>
  <c r="R245" i="1"/>
  <c r="S1658" i="1"/>
  <c r="P334" i="1"/>
  <c r="P335" i="1"/>
  <c r="Q358" i="1"/>
  <c r="Q359" i="1"/>
  <c r="S1529" i="1"/>
  <c r="Q364" i="1"/>
  <c r="Q365" i="1"/>
  <c r="R1298" i="1"/>
  <c r="R1316" i="1"/>
  <c r="R1088" i="1"/>
  <c r="S77" i="1"/>
  <c r="R83" i="1"/>
  <c r="S632" i="1"/>
  <c r="Q1381" i="1"/>
  <c r="Q1382" i="1"/>
  <c r="R1385" i="1"/>
  <c r="Q164" i="1"/>
  <c r="S488" i="1"/>
  <c r="R340" i="1"/>
  <c r="S524" i="1"/>
  <c r="Q533" i="1"/>
  <c r="S374" i="1"/>
  <c r="Q394" i="1"/>
  <c r="Q395" i="1"/>
  <c r="R398" i="1"/>
  <c r="R1487" i="1"/>
  <c r="S878" i="1"/>
  <c r="Q748" i="1"/>
  <c r="Q749" i="1"/>
  <c r="Q716" i="1"/>
  <c r="Q715" i="1"/>
  <c r="P1444" i="1"/>
  <c r="P1445" i="1"/>
  <c r="P919" i="1"/>
  <c r="P920" i="1"/>
  <c r="Q925" i="1"/>
  <c r="Q926" i="1"/>
  <c r="Q298" i="1"/>
  <c r="Q299" i="1"/>
  <c r="R40" i="1"/>
  <c r="R41" i="1"/>
  <c r="Q55" i="1"/>
  <c r="Q56" i="1"/>
  <c r="Q88" i="1"/>
  <c r="Q89" i="1"/>
  <c r="Q1477" i="1"/>
  <c r="Q1478" i="1"/>
  <c r="Q661" i="1"/>
  <c r="Q662" i="1"/>
  <c r="Q754" i="1"/>
  <c r="Q755" i="1"/>
  <c r="S1364" i="1"/>
  <c r="S1363" i="1"/>
  <c r="P1585" i="1"/>
  <c r="P1586" i="1"/>
  <c r="P856" i="1"/>
  <c r="P857" i="1"/>
  <c r="Q1015" i="1"/>
  <c r="Q1016" i="1"/>
  <c r="R328" i="1"/>
  <c r="R329" i="1"/>
  <c r="Q49" i="1"/>
  <c r="Q50" i="1"/>
  <c r="Q1102" i="1"/>
  <c r="Q1103" i="1"/>
  <c r="R1283" i="1"/>
  <c r="R1282" i="1"/>
  <c r="Q376" i="1"/>
  <c r="Q377" i="1"/>
  <c r="Q205" i="1"/>
  <c r="Q206" i="1"/>
  <c r="Q634" i="1"/>
  <c r="Q635" i="1"/>
  <c r="Q880" i="1"/>
  <c r="Q881" i="1"/>
  <c r="Q736" i="1"/>
  <c r="Q737" i="1"/>
  <c r="Q760" i="1"/>
  <c r="Q761" i="1"/>
  <c r="P10" i="1"/>
  <c r="P11" i="1"/>
  <c r="P763" i="1"/>
  <c r="P764" i="1"/>
  <c r="P770" i="1"/>
  <c r="P769" i="1"/>
  <c r="P839" i="1"/>
  <c r="P838" i="1"/>
  <c r="Q17" i="1"/>
  <c r="Q16" i="1"/>
  <c r="P943" i="1"/>
  <c r="P944" i="1"/>
  <c r="Q949" i="1"/>
  <c r="Q950" i="1"/>
  <c r="Q1006" i="1"/>
  <c r="Q1007" i="1"/>
  <c r="Q791" i="1"/>
  <c r="S794" i="1"/>
  <c r="Q811" i="1"/>
  <c r="Q812" i="1"/>
  <c r="R1079" i="1"/>
  <c r="R1562" i="1"/>
  <c r="Q919" i="1"/>
  <c r="Q920" i="1"/>
  <c r="Q943" i="1"/>
  <c r="Q944" i="1"/>
  <c r="P961" i="1"/>
  <c r="P962" i="1"/>
  <c r="Q970" i="1"/>
  <c r="Q971" i="1"/>
  <c r="Q979" i="1"/>
  <c r="Q980" i="1"/>
  <c r="R1006" i="1"/>
  <c r="R1007" i="1"/>
  <c r="Q787" i="1"/>
  <c r="Q788" i="1"/>
  <c r="R800" i="1"/>
  <c r="R1057" i="1"/>
  <c r="R1058" i="1"/>
  <c r="R1070" i="1"/>
  <c r="R1567" i="1"/>
  <c r="R1568" i="1"/>
  <c r="R1028" i="1"/>
  <c r="R821" i="1"/>
  <c r="P1565" i="1"/>
  <c r="P1564" i="1"/>
  <c r="P605" i="1"/>
  <c r="P604" i="1"/>
  <c r="S1544" i="1"/>
  <c r="Q491" i="1"/>
  <c r="Q509" i="1"/>
  <c r="Q38" i="1"/>
  <c r="Q617" i="1"/>
  <c r="Q344" i="1"/>
  <c r="P347" i="1"/>
  <c r="R359" i="1"/>
  <c r="R56" i="1"/>
  <c r="P1514" i="1"/>
  <c r="R1103" i="1"/>
  <c r="P362" i="1"/>
  <c r="R365" i="1"/>
  <c r="S1282" i="1"/>
  <c r="R377" i="1"/>
  <c r="R65" i="1"/>
  <c r="R89" i="1"/>
  <c r="Q1412" i="1"/>
  <c r="Q1373" i="1"/>
  <c r="Q1490" i="1"/>
  <c r="R881" i="1"/>
  <c r="Q581" i="1"/>
  <c r="Q596" i="1"/>
  <c r="Q1499" i="1"/>
  <c r="P233" i="1"/>
  <c r="R737" i="1"/>
  <c r="P740" i="1"/>
  <c r="R743" i="1"/>
  <c r="P746" i="1"/>
  <c r="R749" i="1"/>
  <c r="P752" i="1"/>
  <c r="R755" i="1"/>
  <c r="P758" i="1"/>
  <c r="R761" i="1"/>
  <c r="P1520" i="1"/>
  <c r="P1519" i="1"/>
  <c r="P463" i="1"/>
  <c r="P464" i="1"/>
  <c r="P712" i="1"/>
  <c r="P713" i="1"/>
  <c r="Q1418" i="1"/>
  <c r="Q1417" i="1"/>
  <c r="P1424" i="1"/>
  <c r="P1429" i="1"/>
  <c r="P1430" i="1"/>
  <c r="P1435" i="1"/>
  <c r="P1436" i="1"/>
  <c r="Q559" i="1"/>
  <c r="Q560" i="1"/>
  <c r="Q937" i="1"/>
  <c r="Q938" i="1"/>
  <c r="P956" i="1"/>
  <c r="P955" i="1"/>
  <c r="Q965" i="1"/>
  <c r="Q964" i="1"/>
  <c r="Q994" i="1"/>
  <c r="Q995" i="1"/>
  <c r="Q727" i="1"/>
  <c r="Q728" i="1"/>
  <c r="R1580" i="1"/>
  <c r="Q476" i="1"/>
  <c r="Q1058" i="1"/>
  <c r="Q1568" i="1"/>
  <c r="R1019" i="1"/>
  <c r="R809" i="1"/>
  <c r="R602" i="1"/>
  <c r="Q1541" i="1"/>
  <c r="R491" i="1"/>
  <c r="Q311" i="1"/>
  <c r="Q200" i="1"/>
  <c r="R617" i="1"/>
  <c r="Q53" i="1"/>
  <c r="P1282" i="1"/>
  <c r="P1297" i="1"/>
  <c r="P371" i="1"/>
  <c r="Q389" i="1"/>
  <c r="Q401" i="1"/>
  <c r="Q62" i="1"/>
  <c r="R1412" i="1"/>
  <c r="R1373" i="1"/>
  <c r="Q1466" i="1"/>
  <c r="Q1481" i="1"/>
  <c r="Q650" i="1"/>
  <c r="Q878" i="1"/>
  <c r="Q1622" i="1"/>
  <c r="R596" i="1"/>
  <c r="R1664" i="1"/>
  <c r="Q931" i="1"/>
  <c r="Q932" i="1"/>
  <c r="P938" i="1"/>
  <c r="Q1030" i="1"/>
  <c r="Q1031" i="1"/>
  <c r="Q296" i="1"/>
  <c r="Q536" i="1"/>
  <c r="Q1546" i="1"/>
  <c r="Q1547" i="1"/>
  <c r="Q1519" i="1"/>
  <c r="P721" i="1"/>
  <c r="Q769" i="1"/>
  <c r="P835" i="1"/>
  <c r="Q838" i="1"/>
  <c r="P853" i="1"/>
  <c r="Q955" i="1"/>
  <c r="R964" i="1"/>
  <c r="R980" i="1"/>
  <c r="R995" i="1"/>
  <c r="R1031" i="1"/>
  <c r="R788" i="1"/>
  <c r="Q824" i="1"/>
  <c r="S491" i="1"/>
  <c r="R509" i="1"/>
  <c r="S56" i="1"/>
  <c r="S1514" i="1"/>
  <c r="S1102" i="1"/>
  <c r="S361" i="1"/>
  <c r="P1307" i="1"/>
  <c r="P1310" i="1"/>
  <c r="P1312" i="1"/>
  <c r="P1315" i="1"/>
  <c r="P1318" i="1"/>
  <c r="P1087" i="1"/>
  <c r="P1091" i="1"/>
  <c r="P530" i="1"/>
  <c r="P532" i="1"/>
  <c r="P1339" i="1"/>
  <c r="P1559" i="1"/>
  <c r="P1106" i="1"/>
  <c r="Q98" i="1"/>
  <c r="R401" i="1"/>
  <c r="Q71" i="1"/>
  <c r="R74" i="1"/>
  <c r="S1412" i="1"/>
  <c r="Q1379" i="1"/>
  <c r="R1478" i="1"/>
  <c r="S1481" i="1"/>
  <c r="Q1439" i="1"/>
  <c r="Q1628" i="1"/>
  <c r="R593" i="1"/>
  <c r="S596" i="1"/>
  <c r="R1631" i="1"/>
  <c r="Q1331" i="1"/>
  <c r="R200" i="1"/>
  <c r="R317" i="1"/>
  <c r="R1346" i="1"/>
  <c r="Q35" i="1"/>
  <c r="S41" i="1"/>
  <c r="Q47" i="1"/>
  <c r="S329" i="1"/>
  <c r="R1637" i="1"/>
  <c r="Q334" i="1"/>
  <c r="R344" i="1"/>
  <c r="S359" i="1"/>
  <c r="S365" i="1"/>
  <c r="P1303" i="1"/>
  <c r="P1093" i="1"/>
  <c r="P517" i="1"/>
  <c r="P523" i="1"/>
  <c r="P526" i="1"/>
  <c r="P1342" i="1"/>
  <c r="P1354" i="1"/>
  <c r="P1556" i="1"/>
  <c r="P367" i="1"/>
  <c r="S377" i="1"/>
  <c r="Q59" i="1"/>
  <c r="R62" i="1"/>
  <c r="Q83" i="1"/>
  <c r="S89" i="1"/>
  <c r="Q1406" i="1"/>
  <c r="Q644" i="1"/>
  <c r="S1373" i="1"/>
  <c r="R1382" i="1"/>
  <c r="Q1475" i="1"/>
  <c r="R125" i="1"/>
  <c r="Q659" i="1"/>
  <c r="R662" i="1"/>
  <c r="S881" i="1"/>
  <c r="Q590" i="1"/>
  <c r="R1499" i="1"/>
  <c r="R299" i="1"/>
  <c r="S311" i="1"/>
  <c r="Q488" i="1"/>
  <c r="R38" i="1"/>
  <c r="S617" i="1"/>
  <c r="Q1658" i="1"/>
  <c r="S149" i="1"/>
  <c r="Q337" i="1"/>
  <c r="S346" i="1"/>
  <c r="Q353" i="1"/>
  <c r="R50" i="1"/>
  <c r="S53" i="1"/>
  <c r="P1288" i="1"/>
  <c r="P1291" i="1"/>
  <c r="P1294" i="1"/>
  <c r="P1300" i="1"/>
  <c r="P1639" i="1"/>
  <c r="Q383" i="1"/>
  <c r="S389" i="1"/>
  <c r="R209" i="1"/>
  <c r="Q1577" i="1"/>
  <c r="R395" i="1"/>
  <c r="Q1277" i="1"/>
  <c r="R206" i="1"/>
  <c r="S65" i="1"/>
  <c r="R1409" i="1"/>
  <c r="Q632" i="1"/>
  <c r="R635" i="1"/>
  <c r="Q1391" i="1"/>
  <c r="R1466" i="1"/>
  <c r="Q1487" i="1"/>
  <c r="R1490" i="1"/>
  <c r="R650" i="1"/>
  <c r="Q875" i="1"/>
  <c r="R878" i="1"/>
  <c r="Q1526" i="1"/>
  <c r="S1622" i="1"/>
  <c r="R581" i="1"/>
  <c r="S232" i="1"/>
  <c r="S740" i="1"/>
  <c r="S742" i="1"/>
  <c r="S745" i="1"/>
  <c r="S751" i="1"/>
  <c r="S754" i="1"/>
  <c r="S760" i="1"/>
  <c r="S1664" i="1"/>
  <c r="Q1517" i="1"/>
  <c r="Q1523" i="1"/>
  <c r="Q463" i="1"/>
  <c r="Q712" i="1"/>
  <c r="Q8" i="1"/>
  <c r="Q10" i="1"/>
  <c r="Q1586" i="1"/>
  <c r="Q1445" i="1"/>
  <c r="Q1447" i="1"/>
  <c r="Q1450" i="1"/>
  <c r="Q1108" i="1"/>
  <c r="Q766" i="1"/>
  <c r="Q832" i="1"/>
  <c r="Q1420" i="1"/>
  <c r="Q1432" i="1"/>
  <c r="Q859" i="1"/>
  <c r="R560" i="1"/>
  <c r="R916" i="1"/>
  <c r="R919" i="1"/>
  <c r="R926" i="1"/>
  <c r="R928" i="1"/>
  <c r="R931" i="1"/>
  <c r="R934" i="1"/>
  <c r="R937" i="1"/>
  <c r="R940" i="1"/>
  <c r="R943" i="1"/>
  <c r="R946" i="1"/>
  <c r="R952" i="1"/>
  <c r="R959" i="1"/>
  <c r="R967" i="1"/>
  <c r="R974" i="1"/>
  <c r="S980" i="1"/>
  <c r="S983" i="1"/>
  <c r="R992" i="1"/>
  <c r="Q1025" i="1"/>
  <c r="S1031" i="1"/>
  <c r="Q293" i="1"/>
  <c r="Q782" i="1"/>
  <c r="S800" i="1"/>
  <c r="P805" i="1"/>
  <c r="R812" i="1"/>
  <c r="Q821" i="1"/>
  <c r="Q101" i="1"/>
  <c r="R1115" i="1"/>
  <c r="Q92" i="1"/>
  <c r="R728" i="1"/>
  <c r="R224" i="1"/>
  <c r="P184" i="1"/>
  <c r="S20" i="1"/>
  <c r="Q26" i="1"/>
  <c r="S1058" i="1"/>
  <c r="S1567" i="1"/>
  <c r="S1535" i="1"/>
  <c r="Q1544" i="1"/>
  <c r="Q1396" i="1"/>
  <c r="S757" i="1"/>
  <c r="Q467" i="1"/>
  <c r="Q14" i="1"/>
  <c r="Q1588" i="1"/>
  <c r="Q763" i="1"/>
  <c r="Q1429" i="1"/>
  <c r="R949" i="1"/>
  <c r="S995" i="1"/>
  <c r="R1016" i="1"/>
  <c r="S736" i="1"/>
  <c r="S748" i="1"/>
  <c r="Q4" i="1"/>
  <c r="Q1423" i="1"/>
  <c r="Q1435" i="1"/>
  <c r="Q856" i="1"/>
  <c r="R922" i="1"/>
  <c r="R961" i="1"/>
  <c r="R970" i="1"/>
  <c r="Q989" i="1"/>
  <c r="S1007" i="1"/>
  <c r="R296" i="1"/>
  <c r="S788" i="1"/>
  <c r="Q794" i="1"/>
  <c r="Q809" i="1"/>
  <c r="S815" i="1"/>
  <c r="R824" i="1"/>
  <c r="R536" i="1"/>
  <c r="R548" i="1"/>
  <c r="Q470" i="1"/>
  <c r="R575" i="1"/>
  <c r="R1457" i="1"/>
  <c r="S1580" i="1"/>
  <c r="S215" i="1"/>
  <c r="R476" i="1"/>
  <c r="S1070" i="1"/>
  <c r="S1565" i="1"/>
  <c r="R1547" i="1"/>
  <c r="Q1670" i="1"/>
  <c r="Q1661" i="1"/>
  <c r="R1073" i="1"/>
  <c r="R1082" i="1"/>
  <c r="Q1049" i="1"/>
  <c r="Q113" i="1"/>
  <c r="R557" i="1"/>
  <c r="Q1667" i="1"/>
  <c r="Q1507" i="1"/>
  <c r="R218" i="1"/>
  <c r="Q1082" i="1"/>
  <c r="R1511" i="1"/>
  <c r="P229" i="1"/>
  <c r="Q128" i="1"/>
  <c r="Q215" i="1"/>
  <c r="Q230" i="1"/>
  <c r="Q563" i="1"/>
  <c r="Q218" i="1"/>
  <c r="Q1073" i="1"/>
  <c r="Q151" i="1"/>
  <c r="R1049" i="1"/>
  <c r="Q131" i="1"/>
  <c r="R1667" i="1"/>
  <c r="R1670" i="1"/>
  <c r="R1661" i="1"/>
  <c r="P1507" i="1"/>
  <c r="S1049" i="1"/>
  <c r="S1073" i="1"/>
  <c r="S1082" i="1"/>
  <c r="Q1076" i="1"/>
  <c r="Q1067" i="1"/>
  <c r="S557" i="1"/>
  <c r="P559" i="1"/>
  <c r="R563" i="1"/>
  <c r="Q566" i="1"/>
  <c r="R230" i="1"/>
  <c r="Q209" i="1"/>
  <c r="Q224" i="1"/>
  <c r="R215" i="1"/>
  <c r="S218" i="1"/>
  <c r="Q110" i="1"/>
  <c r="R131" i="1"/>
  <c r="Q116" i="1"/>
  <c r="R128" i="1"/>
  <c r="Q134" i="1"/>
  <c r="R113" i="1"/>
  <c r="P1669" i="1"/>
  <c r="R1508" i="1"/>
  <c r="P139" i="1"/>
  <c r="Q1064" i="1"/>
  <c r="Q1505" i="1"/>
  <c r="Q107" i="1"/>
  <c r="R134" i="1"/>
  <c r="P1666" i="1"/>
  <c r="Q140" i="1"/>
  <c r="R107" i="1"/>
  <c r="Q1511" i="1"/>
  <c r="Q1052" i="1"/>
  <c r="P1660" i="1"/>
  <c r="P1663" i="1"/>
  <c r="Q1616" i="1"/>
  <c r="R1505" i="1"/>
  <c r="S1507" i="1"/>
  <c r="S1511" i="1"/>
  <c r="R1064" i="1"/>
  <c r="R1052" i="1"/>
  <c r="Q1061" i="1"/>
  <c r="R1076" i="1"/>
  <c r="Q557" i="1"/>
  <c r="Q158" i="1"/>
  <c r="R161" i="1"/>
  <c r="S107" i="1"/>
  <c r="Q119" i="1"/>
  <c r="R140" i="1"/>
  <c r="S134" i="1"/>
  <c r="S113" i="1"/>
  <c r="P988" i="1"/>
  <c r="P1021" i="1"/>
  <c r="P1540" i="1"/>
  <c r="P1030" i="1"/>
  <c r="P1036" i="1"/>
  <c r="P790" i="1"/>
  <c r="P808" i="1"/>
  <c r="P826" i="1"/>
  <c r="P1114" i="1"/>
  <c r="P472" i="1"/>
  <c r="P136" i="1"/>
  <c r="P1456" i="1"/>
  <c r="P985" i="1"/>
  <c r="P979" i="1"/>
  <c r="P991" i="1"/>
  <c r="P226" i="1"/>
  <c r="P181" i="1"/>
  <c r="P1054" i="1"/>
  <c r="P1027" i="1"/>
  <c r="P787" i="1"/>
  <c r="P823" i="1"/>
  <c r="P565" i="1"/>
  <c r="P1004" i="1"/>
  <c r="P1007" i="1"/>
  <c r="P1009" i="1"/>
  <c r="P1012" i="1"/>
  <c r="P1016" i="1"/>
  <c r="P562" i="1"/>
  <c r="P293" i="1"/>
  <c r="P295" i="1"/>
  <c r="P775" i="1"/>
  <c r="P778" i="1"/>
  <c r="P781" i="1"/>
  <c r="P797" i="1"/>
  <c r="P800" i="1"/>
  <c r="P803" i="1"/>
  <c r="P821" i="1"/>
  <c r="P539" i="1"/>
  <c r="P542" i="1"/>
  <c r="P544" i="1"/>
  <c r="P1121" i="1"/>
  <c r="P1511" i="1"/>
  <c r="P575" i="1"/>
  <c r="P577" i="1"/>
  <c r="P1463" i="1"/>
  <c r="P724" i="1"/>
  <c r="P727" i="1"/>
  <c r="P218" i="1"/>
  <c r="P220" i="1"/>
  <c r="P224" i="1"/>
  <c r="P476" i="1"/>
  <c r="P19" i="1"/>
  <c r="P26" i="1"/>
  <c r="P28" i="1"/>
  <c r="P1061" i="1"/>
  <c r="P1075" i="1"/>
  <c r="P1078" i="1"/>
  <c r="P601" i="1"/>
  <c r="P154" i="1"/>
  <c r="P157" i="1"/>
  <c r="P160" i="1"/>
  <c r="P1546" i="1"/>
  <c r="P1553" i="1"/>
  <c r="P1393" i="1"/>
  <c r="P995" i="1"/>
  <c r="P1000" i="1"/>
  <c r="P1018" i="1"/>
  <c r="P290" i="1"/>
  <c r="P784" i="1"/>
  <c r="P793" i="1"/>
  <c r="P812" i="1"/>
  <c r="P818" i="1"/>
  <c r="P830" i="1"/>
  <c r="P536" i="1"/>
  <c r="P547" i="1"/>
  <c r="P553" i="1"/>
  <c r="P1117" i="1"/>
  <c r="P92" i="1"/>
  <c r="P104" i="1"/>
  <c r="P1453" i="1"/>
  <c r="P1459" i="1"/>
  <c r="P1580" i="1"/>
  <c r="P211" i="1"/>
  <c r="P214" i="1"/>
  <c r="P179" i="1"/>
  <c r="P188" i="1"/>
  <c r="P22" i="1"/>
  <c r="P997" i="1"/>
  <c r="P1024" i="1"/>
  <c r="P814" i="1"/>
  <c r="P100" i="1"/>
  <c r="P550" i="1"/>
  <c r="P1111" i="1"/>
  <c r="P469" i="1"/>
  <c r="P1051" i="1"/>
  <c r="P1057" i="1"/>
  <c r="P1063" i="1"/>
  <c r="P1066" i="1"/>
  <c r="P1069" i="1"/>
  <c r="P1072" i="1"/>
  <c r="P1081" i="1"/>
  <c r="P1534" i="1"/>
  <c r="P1543" i="1"/>
  <c r="P1549" i="1"/>
  <c r="R623" i="1"/>
  <c r="Q1598" i="1"/>
  <c r="Q143" i="1"/>
  <c r="R1598" i="1"/>
  <c r="R143" i="1"/>
  <c r="Q623" i="1"/>
  <c r="Q332" i="1"/>
  <c r="Q1592" i="1"/>
  <c r="S143" i="1"/>
  <c r="P146" i="1"/>
  <c r="Q149" i="1"/>
  <c r="S623" i="1"/>
  <c r="S1598" i="1"/>
  <c r="P1345" i="1"/>
  <c r="P1279" i="1"/>
  <c r="P610" i="1"/>
  <c r="P331" i="1"/>
  <c r="P1331" i="1"/>
  <c r="P1330" i="1"/>
  <c r="P1325" i="1"/>
  <c r="Q1324" i="1"/>
  <c r="P1154" i="1"/>
  <c r="P1153" i="1"/>
  <c r="P343" i="1"/>
  <c r="P352" i="1"/>
  <c r="P355" i="1"/>
  <c r="P1528" i="1"/>
  <c r="P49" i="1"/>
  <c r="P302" i="1"/>
  <c r="P500" i="1"/>
  <c r="P556" i="1"/>
  <c r="P491" i="1"/>
  <c r="P502" i="1"/>
  <c r="P505" i="1"/>
  <c r="P511" i="1"/>
  <c r="P311" i="1"/>
  <c r="P1399" i="1"/>
  <c r="P199" i="1"/>
  <c r="P314" i="1"/>
  <c r="P487" i="1"/>
  <c r="P316" i="1"/>
  <c r="P323" i="1"/>
  <c r="P175" i="1"/>
  <c r="P244" i="1"/>
  <c r="P1348" i="1"/>
  <c r="P34" i="1"/>
  <c r="P41" i="1"/>
  <c r="P43" i="1"/>
  <c r="P613" i="1"/>
  <c r="P1655" i="1"/>
  <c r="P1658" i="1"/>
  <c r="P328" i="1"/>
  <c r="P142" i="1"/>
  <c r="P148" i="1"/>
  <c r="P1084" i="1"/>
  <c r="P1595" i="1"/>
  <c r="P280" i="1"/>
  <c r="P1592" i="1"/>
  <c r="P1634" i="1"/>
  <c r="P1039" i="1"/>
  <c r="P349" i="1"/>
  <c r="P298" i="1"/>
  <c r="P305" i="1"/>
  <c r="P1631" i="1"/>
  <c r="P508" i="1"/>
  <c r="P514" i="1"/>
  <c r="P1334" i="1"/>
  <c r="P196" i="1"/>
  <c r="P319" i="1"/>
  <c r="P241" i="1"/>
  <c r="P31" i="1"/>
  <c r="P37" i="1"/>
  <c r="P46" i="1"/>
  <c r="P616" i="1"/>
  <c r="P325" i="1"/>
  <c r="P620" i="1"/>
  <c r="P622" i="1"/>
  <c r="P1598" i="1"/>
  <c r="P1636" i="1"/>
  <c r="P53" i="1"/>
  <c r="P1285" i="1"/>
  <c r="P607" i="1"/>
  <c r="P358" i="1"/>
  <c r="P625" i="1"/>
  <c r="P376" i="1"/>
  <c r="P379" i="1"/>
  <c r="P382" i="1"/>
  <c r="P385" i="1"/>
  <c r="P1570" i="1"/>
  <c r="P1574" i="1"/>
  <c r="P1576" i="1"/>
  <c r="P202" i="1"/>
  <c r="P97" i="1"/>
  <c r="P400" i="1"/>
  <c r="P868" i="1"/>
  <c r="P58" i="1"/>
  <c r="P62" i="1"/>
  <c r="P632" i="1"/>
  <c r="P635" i="1"/>
  <c r="P1372" i="1"/>
  <c r="P1376" i="1"/>
  <c r="P1379" i="1"/>
  <c r="P1382" i="1"/>
  <c r="P1384" i="1"/>
  <c r="P1387" i="1"/>
  <c r="P1471" i="1"/>
  <c r="P1474" i="1"/>
  <c r="P1478" i="1"/>
  <c r="P1481" i="1"/>
  <c r="P116" i="1"/>
  <c r="P119" i="1"/>
  <c r="P122" i="1"/>
  <c r="P661" i="1"/>
  <c r="P664" i="1"/>
  <c r="P872" i="1"/>
  <c r="P1618" i="1"/>
  <c r="P1621" i="1"/>
  <c r="P1627" i="1"/>
  <c r="P580" i="1"/>
  <c r="P583" i="1"/>
  <c r="P587" i="1"/>
  <c r="P590" i="1"/>
  <c r="P592" i="1"/>
  <c r="P595" i="1"/>
  <c r="P403" i="1"/>
  <c r="P407" i="1"/>
  <c r="P409" i="1"/>
  <c r="P412" i="1"/>
  <c r="P1642" i="1"/>
  <c r="P1645" i="1"/>
  <c r="P1648" i="1"/>
  <c r="P1651" i="1"/>
  <c r="P890" i="1"/>
  <c r="P907" i="1"/>
  <c r="P568" i="1"/>
  <c r="P1600" i="1"/>
  <c r="P1609" i="1"/>
  <c r="P374" i="1"/>
  <c r="P391" i="1"/>
  <c r="P1048" i="1"/>
  <c r="P208" i="1"/>
  <c r="P1505" i="1"/>
  <c r="P394" i="1"/>
  <c r="P397" i="1"/>
  <c r="P65" i="1"/>
  <c r="P68" i="1"/>
  <c r="P70" i="1"/>
  <c r="P74" i="1"/>
  <c r="P77" i="1"/>
  <c r="P86" i="1"/>
  <c r="P88" i="1"/>
  <c r="P106" i="1"/>
  <c r="P1402" i="1"/>
  <c r="P1405" i="1"/>
  <c r="P1409" i="1"/>
  <c r="P1411" i="1"/>
  <c r="P628" i="1"/>
  <c r="P1390" i="1"/>
  <c r="P1465" i="1"/>
  <c r="P1469" i="1"/>
  <c r="P1484" i="1"/>
  <c r="P1487" i="1"/>
  <c r="P1490" i="1"/>
  <c r="P163" i="1"/>
  <c r="P731" i="1"/>
  <c r="P734" i="1"/>
  <c r="P131" i="1"/>
  <c r="P134" i="1"/>
  <c r="P1439" i="1"/>
  <c r="P1441" i="1"/>
  <c r="P109" i="1"/>
  <c r="P112" i="1"/>
  <c r="P124" i="1"/>
  <c r="P127" i="1"/>
  <c r="P650" i="1"/>
  <c r="P653" i="1"/>
  <c r="P655" i="1"/>
  <c r="P658" i="1"/>
  <c r="P875" i="1"/>
  <c r="P878" i="1"/>
  <c r="P880" i="1"/>
  <c r="P1096" i="1"/>
  <c r="P1525" i="1"/>
  <c r="P1624" i="1"/>
  <c r="P1493" i="1"/>
  <c r="P1495" i="1"/>
  <c r="P1498" i="1"/>
  <c r="P1502" i="1"/>
  <c r="P893" i="1"/>
  <c r="P895" i="1"/>
  <c r="P899" i="1"/>
  <c r="P901" i="1"/>
  <c r="P910" i="1"/>
  <c r="P914" i="1"/>
  <c r="P1604" i="1"/>
  <c r="P1607" i="1"/>
  <c r="P389" i="1"/>
  <c r="P95" i="1"/>
  <c r="P1615" i="1"/>
  <c r="P1277" i="1"/>
  <c r="P206" i="1"/>
  <c r="P865" i="1"/>
  <c r="P80" i="1"/>
  <c r="P83" i="1"/>
  <c r="P637" i="1"/>
  <c r="P641" i="1"/>
  <c r="P644" i="1"/>
  <c r="P646" i="1"/>
  <c r="P905" i="1"/>
  <c r="P883" i="1"/>
  <c r="S1325" i="1"/>
  <c r="R1324" i="1"/>
  <c r="U529" i="2"/>
  <c r="Q38" i="20"/>
  <c r="Q36" i="20"/>
  <c r="D40" i="20"/>
  <c r="Q35" i="20"/>
  <c r="Q39" i="20"/>
  <c r="D20" i="20"/>
  <c r="Q18" i="20"/>
  <c r="D19" i="20"/>
  <c r="D15" i="20"/>
  <c r="Q32" i="20"/>
  <c r="Q40" i="20"/>
  <c r="D41" i="20"/>
  <c r="D39" i="20"/>
  <c r="D18" i="20"/>
  <c r="Q16" i="20"/>
  <c r="Q20" i="20"/>
  <c r="Q33" i="20"/>
  <c r="Q11" i="20"/>
  <c r="Q37" i="20"/>
  <c r="D38" i="20"/>
  <c r="Q14" i="20"/>
  <c r="D35" i="20"/>
  <c r="Q41" i="20"/>
  <c r="D32" i="20"/>
  <c r="D33" i="20"/>
  <c r="Q15" i="20"/>
  <c r="D14" i="20"/>
  <c r="Q19" i="20"/>
  <c r="D17" i="20"/>
  <c r="D36" i="20"/>
  <c r="D16" i="20"/>
  <c r="D37" i="20"/>
  <c r="Q17" i="20"/>
  <c r="Q12" i="20"/>
  <c r="T5" i="2" l="1"/>
  <c r="S5" i="2"/>
  <c r="Q5" i="2"/>
  <c r="R5" i="2"/>
  <c r="Q6" i="2"/>
  <c r="R6" i="2"/>
  <c r="S6" i="2"/>
  <c r="T6" i="2"/>
  <c r="Q7" i="2"/>
  <c r="R7" i="2"/>
  <c r="S7" i="2"/>
  <c r="T7" i="2"/>
  <c r="Q8" i="2"/>
  <c r="R8" i="2"/>
  <c r="S8" i="2"/>
  <c r="T8" i="2"/>
  <c r="Q9" i="2"/>
  <c r="R9" i="2"/>
  <c r="S9" i="2"/>
  <c r="T9" i="2"/>
  <c r="Q10" i="2"/>
  <c r="R10" i="2"/>
  <c r="S10" i="2"/>
  <c r="T10" i="2"/>
  <c r="Q11" i="2"/>
  <c r="R11" i="2"/>
  <c r="S11" i="2"/>
  <c r="T11" i="2"/>
  <c r="Q12" i="2"/>
  <c r="R12" i="2"/>
  <c r="S12" i="2"/>
  <c r="T12" i="2"/>
  <c r="Q13" i="2"/>
  <c r="R13" i="2"/>
  <c r="S13" i="2"/>
  <c r="T13" i="2"/>
  <c r="Q14" i="2"/>
  <c r="R14" i="2"/>
  <c r="S14" i="2"/>
  <c r="T14" i="2"/>
  <c r="Q15" i="2"/>
  <c r="R15" i="2"/>
  <c r="S15" i="2"/>
  <c r="T15" i="2"/>
  <c r="Q16" i="2"/>
  <c r="R16" i="2"/>
  <c r="S16" i="2"/>
  <c r="T16" i="2"/>
  <c r="Q17" i="2"/>
  <c r="R17" i="2"/>
  <c r="S17" i="2"/>
  <c r="T17" i="2"/>
  <c r="Q18" i="2"/>
  <c r="R18" i="2"/>
  <c r="S18" i="2"/>
  <c r="T18" i="2"/>
  <c r="Q19" i="2"/>
  <c r="R19" i="2"/>
  <c r="S19" i="2"/>
  <c r="T19" i="2"/>
  <c r="Q20" i="2"/>
  <c r="R20" i="2"/>
  <c r="S20" i="2"/>
  <c r="T20" i="2"/>
  <c r="Q21" i="2"/>
  <c r="R21" i="2"/>
  <c r="S21" i="2"/>
  <c r="T21" i="2"/>
  <c r="Q22" i="2"/>
  <c r="R22" i="2"/>
  <c r="S22" i="2"/>
  <c r="T22" i="2"/>
  <c r="Q23" i="2"/>
  <c r="R23" i="2"/>
  <c r="S23" i="2"/>
  <c r="T23" i="2"/>
  <c r="Q24" i="2"/>
  <c r="R24" i="2"/>
  <c r="S24" i="2"/>
  <c r="T24" i="2"/>
  <c r="Q25" i="2"/>
  <c r="R25" i="2"/>
  <c r="S25" i="2"/>
  <c r="T25" i="2"/>
  <c r="Q26" i="2"/>
  <c r="R26" i="2"/>
  <c r="S26" i="2"/>
  <c r="T26" i="2"/>
  <c r="Q27" i="2"/>
  <c r="R27" i="2"/>
  <c r="S27" i="2"/>
  <c r="T27" i="2"/>
  <c r="Q28" i="2"/>
  <c r="R28" i="2"/>
  <c r="S28" i="2"/>
  <c r="T28" i="2"/>
  <c r="Q29" i="2"/>
  <c r="R29" i="2"/>
  <c r="S29" i="2"/>
  <c r="T29" i="2"/>
  <c r="Q30" i="2"/>
  <c r="R30" i="2"/>
  <c r="S30" i="2"/>
  <c r="T30" i="2"/>
  <c r="Q31" i="2"/>
  <c r="R31" i="2"/>
  <c r="S31" i="2"/>
  <c r="T31" i="2"/>
  <c r="Q32" i="2"/>
  <c r="R32" i="2"/>
  <c r="S32" i="2"/>
  <c r="T32" i="2"/>
  <c r="Q33" i="2"/>
  <c r="R33" i="2"/>
  <c r="S33" i="2"/>
  <c r="T33" i="2"/>
  <c r="Q34" i="2"/>
  <c r="R34" i="2"/>
  <c r="S34" i="2"/>
  <c r="T34" i="2"/>
  <c r="Q35" i="2"/>
  <c r="R35" i="2"/>
  <c r="S35" i="2"/>
  <c r="T35" i="2"/>
  <c r="Q36" i="2"/>
  <c r="R36" i="2"/>
  <c r="S36" i="2"/>
  <c r="T36" i="2"/>
  <c r="Q37" i="2"/>
  <c r="R37" i="2"/>
  <c r="S37" i="2"/>
  <c r="T37" i="2"/>
  <c r="Q38" i="2"/>
  <c r="R38" i="2"/>
  <c r="S38" i="2"/>
  <c r="T38" i="2"/>
  <c r="Q39" i="2"/>
  <c r="R39" i="2"/>
  <c r="S39" i="2"/>
  <c r="T39" i="2"/>
  <c r="Q40" i="2"/>
  <c r="R40" i="2"/>
  <c r="S40" i="2"/>
  <c r="T40" i="2"/>
  <c r="Q41" i="2"/>
  <c r="R41" i="2"/>
  <c r="S41" i="2"/>
  <c r="T41" i="2"/>
  <c r="Q42" i="2"/>
  <c r="R42" i="2"/>
  <c r="S42" i="2"/>
  <c r="T42" i="2"/>
  <c r="Q43" i="2"/>
  <c r="R43" i="2"/>
  <c r="S43" i="2"/>
  <c r="T43" i="2"/>
  <c r="Q44" i="2"/>
  <c r="R44" i="2"/>
  <c r="S44" i="2"/>
  <c r="T44" i="2"/>
  <c r="Q45" i="2"/>
  <c r="R45" i="2"/>
  <c r="S45" i="2"/>
  <c r="T45" i="2"/>
  <c r="Q46" i="2"/>
  <c r="R46" i="2"/>
  <c r="S46" i="2"/>
  <c r="T46" i="2"/>
  <c r="Q47" i="2"/>
  <c r="R47" i="2"/>
  <c r="S47" i="2"/>
  <c r="T47" i="2"/>
  <c r="Q48" i="2"/>
  <c r="R48" i="2"/>
  <c r="S48" i="2"/>
  <c r="T48" i="2"/>
  <c r="Q49" i="2"/>
  <c r="R49" i="2"/>
  <c r="S49" i="2"/>
  <c r="T49" i="2"/>
  <c r="Q50" i="2"/>
  <c r="R50" i="2"/>
  <c r="S50" i="2"/>
  <c r="T50" i="2"/>
  <c r="Q51" i="2"/>
  <c r="R51" i="2"/>
  <c r="S51" i="2"/>
  <c r="T51" i="2"/>
  <c r="Q52" i="2"/>
  <c r="R52" i="2"/>
  <c r="S52" i="2"/>
  <c r="T52" i="2"/>
  <c r="Q53" i="2"/>
  <c r="R53" i="2"/>
  <c r="S53" i="2"/>
  <c r="T53" i="2"/>
  <c r="Q54" i="2"/>
  <c r="R54" i="2"/>
  <c r="S54" i="2"/>
  <c r="T54" i="2"/>
  <c r="Q55" i="2"/>
  <c r="R55" i="2"/>
  <c r="S55" i="2"/>
  <c r="T55" i="2"/>
  <c r="Q56" i="2"/>
  <c r="R56" i="2"/>
  <c r="S56" i="2"/>
  <c r="T56" i="2"/>
  <c r="Q57" i="2"/>
  <c r="R57" i="2"/>
  <c r="S57" i="2"/>
  <c r="T57" i="2"/>
  <c r="Q58" i="2"/>
  <c r="R58" i="2"/>
  <c r="S58" i="2"/>
  <c r="T58" i="2"/>
  <c r="Q59" i="2"/>
  <c r="R59" i="2"/>
  <c r="S59" i="2"/>
  <c r="T59" i="2"/>
  <c r="Q60" i="2"/>
  <c r="R60" i="2"/>
  <c r="S60" i="2"/>
  <c r="T60" i="2"/>
  <c r="Q61" i="2"/>
  <c r="R61" i="2"/>
  <c r="S61" i="2"/>
  <c r="T61" i="2"/>
  <c r="Q62" i="2"/>
  <c r="R62" i="2"/>
  <c r="S62" i="2"/>
  <c r="T62" i="2"/>
  <c r="Q63" i="2"/>
  <c r="R63" i="2"/>
  <c r="S63" i="2"/>
  <c r="T63" i="2"/>
  <c r="Q64" i="2"/>
  <c r="R64" i="2"/>
  <c r="S64" i="2"/>
  <c r="T64" i="2"/>
  <c r="Q65" i="2"/>
  <c r="R65" i="2"/>
  <c r="S65" i="2"/>
  <c r="T65" i="2"/>
  <c r="Q66" i="2"/>
  <c r="R66" i="2"/>
  <c r="S66" i="2"/>
  <c r="T66" i="2"/>
  <c r="Q67" i="2"/>
  <c r="R67" i="2"/>
  <c r="S67" i="2"/>
  <c r="T67" i="2"/>
  <c r="Q68" i="2"/>
  <c r="R68" i="2"/>
  <c r="S68" i="2"/>
  <c r="T68" i="2"/>
  <c r="Q69" i="2"/>
  <c r="R69" i="2"/>
  <c r="S69" i="2"/>
  <c r="T69" i="2"/>
  <c r="Q70" i="2"/>
  <c r="R70" i="2"/>
  <c r="S70" i="2"/>
  <c r="T70" i="2"/>
  <c r="Q71" i="2"/>
  <c r="R71" i="2"/>
  <c r="S71" i="2"/>
  <c r="T71" i="2"/>
  <c r="Q72" i="2"/>
  <c r="R72" i="2"/>
  <c r="S72" i="2"/>
  <c r="T72" i="2"/>
  <c r="Q73" i="2"/>
  <c r="R73" i="2"/>
  <c r="S73" i="2"/>
  <c r="T73" i="2"/>
  <c r="Q74" i="2"/>
  <c r="R74" i="2"/>
  <c r="S74" i="2"/>
  <c r="T74" i="2"/>
  <c r="Q75" i="2"/>
  <c r="R75" i="2"/>
  <c r="S75" i="2"/>
  <c r="T75" i="2"/>
  <c r="Q76" i="2"/>
  <c r="R76" i="2"/>
  <c r="S76" i="2"/>
  <c r="T76" i="2"/>
  <c r="Q77" i="2"/>
  <c r="R77" i="2"/>
  <c r="S77" i="2"/>
  <c r="T77" i="2"/>
  <c r="Q78" i="2"/>
  <c r="R78" i="2"/>
  <c r="S78" i="2"/>
  <c r="T78" i="2"/>
  <c r="Q79" i="2"/>
  <c r="R79" i="2"/>
  <c r="S79" i="2"/>
  <c r="T79" i="2"/>
  <c r="Q80" i="2"/>
  <c r="R80" i="2"/>
  <c r="S80" i="2"/>
  <c r="T80" i="2"/>
  <c r="Q81" i="2"/>
  <c r="R81" i="2"/>
  <c r="S81" i="2"/>
  <c r="T81" i="2"/>
  <c r="Q82" i="2"/>
  <c r="R82" i="2"/>
  <c r="S82" i="2"/>
  <c r="T82" i="2"/>
  <c r="Q83" i="2"/>
  <c r="R83" i="2"/>
  <c r="S83" i="2"/>
  <c r="T83" i="2"/>
  <c r="Q84" i="2"/>
  <c r="R84" i="2"/>
  <c r="S84" i="2"/>
  <c r="T84" i="2"/>
  <c r="Q85" i="2"/>
  <c r="R85" i="2"/>
  <c r="S85" i="2"/>
  <c r="T85" i="2"/>
  <c r="Q86" i="2"/>
  <c r="R86" i="2"/>
  <c r="S86" i="2"/>
  <c r="T86" i="2"/>
  <c r="Q87" i="2"/>
  <c r="R87" i="2"/>
  <c r="S87" i="2"/>
  <c r="T87" i="2"/>
  <c r="Q88" i="2"/>
  <c r="R88" i="2"/>
  <c r="S88" i="2"/>
  <c r="T88" i="2"/>
  <c r="Q89" i="2"/>
  <c r="R89" i="2"/>
  <c r="S89" i="2"/>
  <c r="T89" i="2"/>
  <c r="Q90" i="2"/>
  <c r="R90" i="2"/>
  <c r="S90" i="2"/>
  <c r="T90" i="2"/>
  <c r="Q91" i="2"/>
  <c r="R91" i="2"/>
  <c r="S91" i="2"/>
  <c r="T91" i="2"/>
  <c r="Q92" i="2"/>
  <c r="R92" i="2"/>
  <c r="S92" i="2"/>
  <c r="T92" i="2"/>
  <c r="Q93" i="2"/>
  <c r="R93" i="2"/>
  <c r="S93" i="2"/>
  <c r="T93" i="2"/>
  <c r="Q94" i="2"/>
  <c r="R94" i="2"/>
  <c r="S94" i="2"/>
  <c r="T94" i="2"/>
  <c r="Q95" i="2"/>
  <c r="R95" i="2"/>
  <c r="S95" i="2"/>
  <c r="T95" i="2"/>
  <c r="Q96" i="2"/>
  <c r="R96" i="2"/>
  <c r="S96" i="2"/>
  <c r="T96" i="2"/>
  <c r="Q97" i="2"/>
  <c r="R97" i="2"/>
  <c r="S97" i="2"/>
  <c r="T97" i="2"/>
  <c r="Q98" i="2"/>
  <c r="R98" i="2"/>
  <c r="S98" i="2"/>
  <c r="T98" i="2"/>
  <c r="Q99" i="2"/>
  <c r="R99" i="2"/>
  <c r="S99" i="2"/>
  <c r="T99" i="2"/>
  <c r="Q100" i="2"/>
  <c r="R100" i="2"/>
  <c r="S100" i="2"/>
  <c r="T100" i="2"/>
  <c r="Q101" i="2"/>
  <c r="R101" i="2"/>
  <c r="S101" i="2"/>
  <c r="T101" i="2"/>
  <c r="Q102" i="2"/>
  <c r="R102" i="2"/>
  <c r="S102" i="2"/>
  <c r="T102" i="2"/>
  <c r="Q103" i="2"/>
  <c r="R103" i="2"/>
  <c r="S103" i="2"/>
  <c r="T103" i="2"/>
  <c r="Q104" i="2"/>
  <c r="R104" i="2"/>
  <c r="S104" i="2"/>
  <c r="T104" i="2"/>
  <c r="Q105" i="2"/>
  <c r="R105" i="2"/>
  <c r="S105" i="2"/>
  <c r="T105" i="2"/>
  <c r="Q106" i="2"/>
  <c r="R106" i="2"/>
  <c r="S106" i="2"/>
  <c r="T106" i="2"/>
  <c r="Q107" i="2"/>
  <c r="R107" i="2"/>
  <c r="S107" i="2"/>
  <c r="T107" i="2"/>
  <c r="Q108" i="2"/>
  <c r="R108" i="2"/>
  <c r="S108" i="2"/>
  <c r="T108" i="2"/>
  <c r="Q109" i="2"/>
  <c r="R109" i="2"/>
  <c r="S109" i="2"/>
  <c r="T109" i="2"/>
  <c r="Q110" i="2"/>
  <c r="R110" i="2"/>
  <c r="S110" i="2"/>
  <c r="T110" i="2"/>
  <c r="Q111" i="2"/>
  <c r="R111" i="2"/>
  <c r="S111" i="2"/>
  <c r="T111" i="2"/>
  <c r="Q112" i="2"/>
  <c r="R112" i="2"/>
  <c r="S112" i="2"/>
  <c r="T112" i="2"/>
  <c r="Q113" i="2"/>
  <c r="R113" i="2"/>
  <c r="S113" i="2"/>
  <c r="T113" i="2"/>
  <c r="Q114" i="2"/>
  <c r="R114" i="2"/>
  <c r="S114" i="2"/>
  <c r="T114" i="2"/>
  <c r="Q115" i="2"/>
  <c r="R115" i="2"/>
  <c r="S115" i="2"/>
  <c r="T115" i="2"/>
  <c r="Q116" i="2"/>
  <c r="R116" i="2"/>
  <c r="S116" i="2"/>
  <c r="T116" i="2"/>
  <c r="Q117" i="2"/>
  <c r="R117" i="2"/>
  <c r="S117" i="2"/>
  <c r="T117" i="2"/>
  <c r="Q118" i="2"/>
  <c r="R118" i="2"/>
  <c r="S118" i="2"/>
  <c r="T118" i="2"/>
  <c r="Q119" i="2"/>
  <c r="R119" i="2"/>
  <c r="S119" i="2"/>
  <c r="T119" i="2"/>
  <c r="Q120" i="2"/>
  <c r="R120" i="2"/>
  <c r="S120" i="2"/>
  <c r="T120" i="2"/>
  <c r="Q121" i="2"/>
  <c r="R121" i="2"/>
  <c r="S121" i="2"/>
  <c r="T121" i="2"/>
  <c r="Q122" i="2"/>
  <c r="R122" i="2"/>
  <c r="S122" i="2"/>
  <c r="T122" i="2"/>
  <c r="Q123" i="2"/>
  <c r="R123" i="2"/>
  <c r="S123" i="2"/>
  <c r="T123" i="2"/>
  <c r="Q124" i="2"/>
  <c r="R124" i="2"/>
  <c r="S124" i="2"/>
  <c r="T124" i="2"/>
  <c r="Q125" i="2"/>
  <c r="R125" i="2"/>
  <c r="S125" i="2"/>
  <c r="T125" i="2"/>
  <c r="Q126" i="2"/>
  <c r="R126" i="2"/>
  <c r="S126" i="2"/>
  <c r="T126" i="2"/>
  <c r="Q127" i="2"/>
  <c r="R127" i="2"/>
  <c r="S127" i="2"/>
  <c r="T127" i="2"/>
  <c r="Q128" i="2"/>
  <c r="R128" i="2"/>
  <c r="S128" i="2"/>
  <c r="T128" i="2"/>
  <c r="Q129" i="2"/>
  <c r="R129" i="2"/>
  <c r="S129" i="2"/>
  <c r="T129" i="2"/>
  <c r="Q130" i="2"/>
  <c r="R130" i="2"/>
  <c r="S130" i="2"/>
  <c r="T130" i="2"/>
  <c r="Q131" i="2"/>
  <c r="R131" i="2"/>
  <c r="S131" i="2"/>
  <c r="T131" i="2"/>
  <c r="Q132" i="2"/>
  <c r="R132" i="2"/>
  <c r="S132" i="2"/>
  <c r="T132" i="2"/>
  <c r="Q133" i="2"/>
  <c r="R133" i="2"/>
  <c r="S133" i="2"/>
  <c r="T133" i="2"/>
  <c r="Q134" i="2"/>
  <c r="R134" i="2"/>
  <c r="S134" i="2"/>
  <c r="T134" i="2"/>
  <c r="Q135" i="2"/>
  <c r="R135" i="2"/>
  <c r="S135" i="2"/>
  <c r="T135" i="2"/>
  <c r="Q136" i="2"/>
  <c r="R136" i="2"/>
  <c r="S136" i="2"/>
  <c r="T136" i="2"/>
  <c r="Q137" i="2"/>
  <c r="R137" i="2"/>
  <c r="S137" i="2"/>
  <c r="T137" i="2"/>
  <c r="Q138" i="2"/>
  <c r="R138" i="2"/>
  <c r="S138" i="2"/>
  <c r="T138" i="2"/>
  <c r="Q139" i="2"/>
  <c r="R139" i="2"/>
  <c r="S139" i="2"/>
  <c r="T139" i="2"/>
  <c r="Q140" i="2"/>
  <c r="R140" i="2"/>
  <c r="S140" i="2"/>
  <c r="T140" i="2"/>
  <c r="Q141" i="2"/>
  <c r="R141" i="2"/>
  <c r="S141" i="2"/>
  <c r="T141" i="2"/>
  <c r="Q142" i="2"/>
  <c r="R142" i="2"/>
  <c r="S142" i="2"/>
  <c r="T142" i="2"/>
  <c r="Q143" i="2"/>
  <c r="R143" i="2"/>
  <c r="S143" i="2"/>
  <c r="T143" i="2"/>
  <c r="Q144" i="2"/>
  <c r="R144" i="2"/>
  <c r="S144" i="2"/>
  <c r="T144" i="2"/>
  <c r="Q145" i="2"/>
  <c r="R145" i="2"/>
  <c r="S145" i="2"/>
  <c r="T145" i="2"/>
  <c r="Q146" i="2"/>
  <c r="R146" i="2"/>
  <c r="S146" i="2"/>
  <c r="T146" i="2"/>
  <c r="Q147" i="2"/>
  <c r="R147" i="2"/>
  <c r="S147" i="2"/>
  <c r="T147" i="2"/>
  <c r="Q148" i="2"/>
  <c r="R148" i="2"/>
  <c r="S148" i="2"/>
  <c r="T148" i="2"/>
  <c r="Q149" i="2"/>
  <c r="R149" i="2"/>
  <c r="S149" i="2"/>
  <c r="T149" i="2"/>
  <c r="Q150" i="2"/>
  <c r="R150" i="2"/>
  <c r="S150" i="2"/>
  <c r="T150" i="2"/>
  <c r="Q151" i="2"/>
  <c r="R151" i="2"/>
  <c r="S151" i="2"/>
  <c r="T151" i="2"/>
  <c r="Q152" i="2"/>
  <c r="R152" i="2"/>
  <c r="S152" i="2"/>
  <c r="T152" i="2"/>
  <c r="Q153" i="2"/>
  <c r="R153" i="2"/>
  <c r="S153" i="2"/>
  <c r="T153" i="2"/>
  <c r="Q154" i="2"/>
  <c r="R154" i="2"/>
  <c r="S154" i="2"/>
  <c r="T154" i="2"/>
  <c r="Q155" i="2"/>
  <c r="R155" i="2"/>
  <c r="S155" i="2"/>
  <c r="T155" i="2"/>
  <c r="Q156" i="2"/>
  <c r="R156" i="2"/>
  <c r="S156" i="2"/>
  <c r="T156" i="2"/>
  <c r="Q157" i="2"/>
  <c r="R157" i="2"/>
  <c r="S157" i="2"/>
  <c r="T157" i="2"/>
  <c r="Q158" i="2"/>
  <c r="R158" i="2"/>
  <c r="S158" i="2"/>
  <c r="T158" i="2"/>
  <c r="Q159" i="2"/>
  <c r="R159" i="2"/>
  <c r="S159" i="2"/>
  <c r="T159" i="2"/>
  <c r="Q160" i="2"/>
  <c r="R160" i="2"/>
  <c r="S160" i="2"/>
  <c r="T160" i="2"/>
  <c r="Q161" i="2"/>
  <c r="R161" i="2"/>
  <c r="S161" i="2"/>
  <c r="T161" i="2"/>
  <c r="Q162" i="2"/>
  <c r="R162" i="2"/>
  <c r="S162" i="2"/>
  <c r="T162" i="2"/>
  <c r="Q163" i="2"/>
  <c r="R163" i="2"/>
  <c r="S163" i="2"/>
  <c r="T163" i="2"/>
  <c r="Q164" i="2"/>
  <c r="R164" i="2"/>
  <c r="S164" i="2"/>
  <c r="T164" i="2"/>
  <c r="Q165" i="2"/>
  <c r="R165" i="2"/>
  <c r="S165" i="2"/>
  <c r="T165" i="2"/>
  <c r="Q166" i="2"/>
  <c r="R166" i="2"/>
  <c r="S166" i="2"/>
  <c r="T166" i="2"/>
  <c r="Q167" i="2"/>
  <c r="R167" i="2"/>
  <c r="S167" i="2"/>
  <c r="T167" i="2"/>
  <c r="Q168" i="2"/>
  <c r="R168" i="2"/>
  <c r="S168" i="2"/>
  <c r="T168" i="2"/>
  <c r="Q169" i="2"/>
  <c r="R169" i="2"/>
  <c r="S169" i="2"/>
  <c r="T169" i="2"/>
  <c r="Q170" i="2"/>
  <c r="R170" i="2"/>
  <c r="S170" i="2"/>
  <c r="T170" i="2"/>
  <c r="Q171" i="2"/>
  <c r="R171" i="2"/>
  <c r="S171" i="2"/>
  <c r="T171" i="2"/>
  <c r="Q172" i="2"/>
  <c r="R172" i="2"/>
  <c r="S172" i="2"/>
  <c r="T172" i="2"/>
  <c r="Q173" i="2"/>
  <c r="R173" i="2"/>
  <c r="S173" i="2"/>
  <c r="T173" i="2"/>
  <c r="Q174" i="2"/>
  <c r="R174" i="2"/>
  <c r="S174" i="2"/>
  <c r="T174" i="2"/>
  <c r="Q175" i="2"/>
  <c r="R175" i="2"/>
  <c r="S175" i="2"/>
  <c r="T175" i="2"/>
  <c r="Q176" i="2"/>
  <c r="R176" i="2"/>
  <c r="S176" i="2"/>
  <c r="T176" i="2"/>
  <c r="Q177" i="2"/>
  <c r="R177" i="2"/>
  <c r="S177" i="2"/>
  <c r="T177" i="2"/>
  <c r="Q178" i="2"/>
  <c r="R178" i="2"/>
  <c r="S178" i="2"/>
  <c r="T178" i="2"/>
  <c r="Q179" i="2"/>
  <c r="R179" i="2"/>
  <c r="S179" i="2"/>
  <c r="T179" i="2"/>
  <c r="Q180" i="2"/>
  <c r="R180" i="2"/>
  <c r="S180" i="2"/>
  <c r="T180" i="2"/>
  <c r="Q181" i="2"/>
  <c r="R181" i="2"/>
  <c r="S181" i="2"/>
  <c r="T181" i="2"/>
  <c r="Q182" i="2"/>
  <c r="R182" i="2"/>
  <c r="S182" i="2"/>
  <c r="T182" i="2"/>
  <c r="Q183" i="2"/>
  <c r="R183" i="2"/>
  <c r="S183" i="2"/>
  <c r="T183" i="2"/>
  <c r="Q184" i="2"/>
  <c r="R184" i="2"/>
  <c r="S184" i="2"/>
  <c r="T184" i="2"/>
  <c r="Q185" i="2"/>
  <c r="R185" i="2"/>
  <c r="S185" i="2"/>
  <c r="T185" i="2"/>
  <c r="Q186" i="2"/>
  <c r="R186" i="2"/>
  <c r="S186" i="2"/>
  <c r="T186" i="2"/>
  <c r="Q187" i="2"/>
  <c r="R187" i="2"/>
  <c r="S187" i="2"/>
  <c r="T187" i="2"/>
  <c r="Q188" i="2"/>
  <c r="R188" i="2"/>
  <c r="S188" i="2"/>
  <c r="T188" i="2"/>
  <c r="Q189" i="2"/>
  <c r="R189" i="2"/>
  <c r="S189" i="2"/>
  <c r="T189" i="2"/>
  <c r="Q190" i="2"/>
  <c r="R190" i="2"/>
  <c r="S190" i="2"/>
  <c r="T190" i="2"/>
  <c r="Q191" i="2"/>
  <c r="R191" i="2"/>
  <c r="S191" i="2"/>
  <c r="T191" i="2"/>
  <c r="Q192" i="2"/>
  <c r="R192" i="2"/>
  <c r="S192" i="2"/>
  <c r="T192" i="2"/>
  <c r="Q193" i="2"/>
  <c r="R193" i="2"/>
  <c r="S193" i="2"/>
  <c r="T193" i="2"/>
  <c r="Q194" i="2"/>
  <c r="R194" i="2"/>
  <c r="S194" i="2"/>
  <c r="T194" i="2"/>
  <c r="Q195" i="2"/>
  <c r="R195" i="2"/>
  <c r="S195" i="2"/>
  <c r="T195" i="2"/>
  <c r="Q196" i="2"/>
  <c r="R196" i="2"/>
  <c r="S196" i="2"/>
  <c r="T196" i="2"/>
  <c r="Q197" i="2"/>
  <c r="R197" i="2"/>
  <c r="S197" i="2"/>
  <c r="T197" i="2"/>
  <c r="Q198" i="2"/>
  <c r="R198" i="2"/>
  <c r="S198" i="2"/>
  <c r="T198" i="2"/>
  <c r="Q199" i="2"/>
  <c r="R199" i="2"/>
  <c r="S199" i="2"/>
  <c r="T199" i="2"/>
  <c r="Q200" i="2"/>
  <c r="R200" i="2"/>
  <c r="S200" i="2"/>
  <c r="T200" i="2"/>
  <c r="Q201" i="2"/>
  <c r="R201" i="2"/>
  <c r="S201" i="2"/>
  <c r="T201" i="2"/>
  <c r="Q202" i="2"/>
  <c r="R202" i="2"/>
  <c r="S202" i="2"/>
  <c r="T202" i="2"/>
  <c r="Q203" i="2"/>
  <c r="R203" i="2"/>
  <c r="S203" i="2"/>
  <c r="T203" i="2"/>
  <c r="Q204" i="2"/>
  <c r="R204" i="2"/>
  <c r="S204" i="2"/>
  <c r="T204" i="2"/>
  <c r="Q205" i="2"/>
  <c r="R205" i="2"/>
  <c r="S205" i="2"/>
  <c r="T205" i="2"/>
  <c r="Q206" i="2"/>
  <c r="R206" i="2"/>
  <c r="S206" i="2"/>
  <c r="T206" i="2"/>
  <c r="Q207" i="2"/>
  <c r="R207" i="2"/>
  <c r="S207" i="2"/>
  <c r="T207" i="2"/>
  <c r="Q208" i="2"/>
  <c r="R208" i="2"/>
  <c r="S208" i="2"/>
  <c r="T208" i="2"/>
  <c r="Q209" i="2"/>
  <c r="R209" i="2"/>
  <c r="S209" i="2"/>
  <c r="T209" i="2"/>
  <c r="Q210" i="2"/>
  <c r="R210" i="2"/>
  <c r="S210" i="2"/>
  <c r="T210" i="2"/>
  <c r="Q211" i="2"/>
  <c r="R211" i="2"/>
  <c r="S211" i="2"/>
  <c r="T211" i="2"/>
  <c r="Q212" i="2"/>
  <c r="R212" i="2"/>
  <c r="S212" i="2"/>
  <c r="T212" i="2"/>
  <c r="Q213" i="2"/>
  <c r="R213" i="2"/>
  <c r="S213" i="2"/>
  <c r="T213" i="2"/>
  <c r="Q214" i="2"/>
  <c r="R214" i="2"/>
  <c r="S214" i="2"/>
  <c r="T214" i="2"/>
  <c r="Q215" i="2"/>
  <c r="R215" i="2"/>
  <c r="S215" i="2"/>
  <c r="T215" i="2"/>
  <c r="Q216" i="2"/>
  <c r="R216" i="2"/>
  <c r="S216" i="2"/>
  <c r="T216" i="2"/>
  <c r="Q217" i="2"/>
  <c r="R217" i="2"/>
  <c r="S217" i="2"/>
  <c r="T217" i="2"/>
  <c r="Q218" i="2"/>
  <c r="R218" i="2"/>
  <c r="S218" i="2"/>
  <c r="T218" i="2"/>
  <c r="Q219" i="2"/>
  <c r="R219" i="2"/>
  <c r="S219" i="2"/>
  <c r="T219" i="2"/>
  <c r="Q220" i="2"/>
  <c r="R220" i="2"/>
  <c r="S220" i="2"/>
  <c r="T220" i="2"/>
  <c r="Q221" i="2"/>
  <c r="R221" i="2"/>
  <c r="S221" i="2"/>
  <c r="T221" i="2"/>
  <c r="Q222" i="2"/>
  <c r="R222" i="2"/>
  <c r="S222" i="2"/>
  <c r="T222" i="2"/>
  <c r="Q223" i="2"/>
  <c r="R223" i="2"/>
  <c r="S223" i="2"/>
  <c r="T223" i="2"/>
  <c r="Q224" i="2"/>
  <c r="R224" i="2"/>
  <c r="S224" i="2"/>
  <c r="T224" i="2"/>
  <c r="Q225" i="2"/>
  <c r="R225" i="2"/>
  <c r="S225" i="2"/>
  <c r="T225" i="2"/>
  <c r="Q226" i="2"/>
  <c r="R226" i="2"/>
  <c r="S226" i="2"/>
  <c r="T226" i="2"/>
  <c r="Q227" i="2"/>
  <c r="R227" i="2"/>
  <c r="S227" i="2"/>
  <c r="T227" i="2"/>
  <c r="Q228" i="2"/>
  <c r="R228" i="2"/>
  <c r="S228" i="2"/>
  <c r="T228" i="2"/>
  <c r="Q229" i="2"/>
  <c r="R229" i="2"/>
  <c r="S229" i="2"/>
  <c r="T229" i="2"/>
  <c r="Q230" i="2"/>
  <c r="R230" i="2"/>
  <c r="S230" i="2"/>
  <c r="T230" i="2"/>
  <c r="Q231" i="2"/>
  <c r="R231" i="2"/>
  <c r="S231" i="2"/>
  <c r="T231" i="2"/>
  <c r="Q232" i="2"/>
  <c r="R232" i="2"/>
  <c r="S232" i="2"/>
  <c r="T232" i="2"/>
  <c r="Q233" i="2"/>
  <c r="R233" i="2"/>
  <c r="S233" i="2"/>
  <c r="T233" i="2"/>
  <c r="Q234" i="2"/>
  <c r="R234" i="2"/>
  <c r="S234" i="2"/>
  <c r="T234" i="2"/>
  <c r="Q235" i="2"/>
  <c r="R235" i="2"/>
  <c r="S235" i="2"/>
  <c r="T235" i="2"/>
  <c r="Q236" i="2"/>
  <c r="R236" i="2"/>
  <c r="S236" i="2"/>
  <c r="T236" i="2"/>
  <c r="Q237" i="2"/>
  <c r="R237" i="2"/>
  <c r="S237" i="2"/>
  <c r="T237" i="2"/>
  <c r="Q238" i="2"/>
  <c r="R238" i="2"/>
  <c r="S238" i="2"/>
  <c r="T238" i="2"/>
  <c r="Q239" i="2"/>
  <c r="R239" i="2"/>
  <c r="S239" i="2"/>
  <c r="T239" i="2"/>
  <c r="Q240" i="2"/>
  <c r="R240" i="2"/>
  <c r="S240" i="2"/>
  <c r="T240" i="2"/>
  <c r="Q241" i="2"/>
  <c r="R241" i="2"/>
  <c r="S241" i="2"/>
  <c r="T241" i="2"/>
  <c r="Q242" i="2"/>
  <c r="R242" i="2"/>
  <c r="S242" i="2"/>
  <c r="T242" i="2"/>
  <c r="Q243" i="2"/>
  <c r="R243" i="2"/>
  <c r="S243" i="2"/>
  <c r="T243" i="2"/>
  <c r="Q244" i="2"/>
  <c r="R244" i="2"/>
  <c r="S244" i="2"/>
  <c r="T244" i="2"/>
  <c r="Q245" i="2"/>
  <c r="R245" i="2"/>
  <c r="S245" i="2"/>
  <c r="T245" i="2"/>
  <c r="Q246" i="2"/>
  <c r="R246" i="2"/>
  <c r="S246" i="2"/>
  <c r="T246" i="2"/>
  <c r="Q247" i="2"/>
  <c r="R247" i="2"/>
  <c r="S247" i="2"/>
  <c r="T247" i="2"/>
  <c r="Q248" i="2"/>
  <c r="R248" i="2"/>
  <c r="S248" i="2"/>
  <c r="T248" i="2"/>
  <c r="Q249" i="2"/>
  <c r="R249" i="2"/>
  <c r="S249" i="2"/>
  <c r="T249" i="2"/>
  <c r="Q250" i="2"/>
  <c r="R250" i="2"/>
  <c r="S250" i="2"/>
  <c r="T250" i="2"/>
  <c r="Q251" i="2"/>
  <c r="R251" i="2"/>
  <c r="S251" i="2"/>
  <c r="T251" i="2"/>
  <c r="Q252" i="2"/>
  <c r="R252" i="2"/>
  <c r="S252" i="2"/>
  <c r="T252" i="2"/>
  <c r="Q253" i="2"/>
  <c r="R253" i="2"/>
  <c r="S253" i="2"/>
  <c r="T253" i="2"/>
  <c r="Q254" i="2"/>
  <c r="R254" i="2"/>
  <c r="S254" i="2"/>
  <c r="T254" i="2"/>
  <c r="Q255" i="2"/>
  <c r="R255" i="2"/>
  <c r="S255" i="2"/>
  <c r="T255" i="2"/>
  <c r="Q256" i="2"/>
  <c r="R256" i="2"/>
  <c r="S256" i="2"/>
  <c r="T256" i="2"/>
  <c r="Q257" i="2"/>
  <c r="R257" i="2"/>
  <c r="S257" i="2"/>
  <c r="T257" i="2"/>
  <c r="Q258" i="2"/>
  <c r="R258" i="2"/>
  <c r="S258" i="2"/>
  <c r="T258" i="2"/>
  <c r="Q259" i="2"/>
  <c r="R259" i="2"/>
  <c r="S259" i="2"/>
  <c r="T259" i="2"/>
  <c r="Q260" i="2"/>
  <c r="R260" i="2"/>
  <c r="S260" i="2"/>
  <c r="T260" i="2"/>
  <c r="Q261" i="2"/>
  <c r="R261" i="2"/>
  <c r="S261" i="2"/>
  <c r="T261" i="2"/>
  <c r="Q262" i="2"/>
  <c r="R262" i="2"/>
  <c r="S262" i="2"/>
  <c r="T262" i="2"/>
  <c r="Q263" i="2"/>
  <c r="R263" i="2"/>
  <c r="S263" i="2"/>
  <c r="T263" i="2"/>
  <c r="Q264" i="2"/>
  <c r="R264" i="2"/>
  <c r="S264" i="2"/>
  <c r="T264" i="2"/>
  <c r="Q265" i="2"/>
  <c r="R265" i="2"/>
  <c r="S265" i="2"/>
  <c r="T265" i="2"/>
  <c r="Q266" i="2"/>
  <c r="R266" i="2"/>
  <c r="S266" i="2"/>
  <c r="T266" i="2"/>
  <c r="Q267" i="2"/>
  <c r="R267" i="2"/>
  <c r="S267" i="2"/>
  <c r="T267" i="2"/>
  <c r="Q268" i="2"/>
  <c r="R268" i="2"/>
  <c r="S268" i="2"/>
  <c r="T268" i="2"/>
  <c r="Q269" i="2"/>
  <c r="R269" i="2"/>
  <c r="S269" i="2"/>
  <c r="T269" i="2"/>
  <c r="Q270" i="2"/>
  <c r="R270" i="2"/>
  <c r="S270" i="2"/>
  <c r="T270" i="2"/>
  <c r="Q271" i="2"/>
  <c r="R271" i="2"/>
  <c r="S271" i="2"/>
  <c r="T271" i="2"/>
  <c r="Q272" i="2"/>
  <c r="R272" i="2"/>
  <c r="S272" i="2"/>
  <c r="T272" i="2"/>
  <c r="Q273" i="2"/>
  <c r="R273" i="2"/>
  <c r="S273" i="2"/>
  <c r="T273" i="2"/>
  <c r="Q274" i="2"/>
  <c r="R274" i="2"/>
  <c r="S274" i="2"/>
  <c r="T274" i="2"/>
  <c r="Q275" i="2"/>
  <c r="R275" i="2"/>
  <c r="S275" i="2"/>
  <c r="T275" i="2"/>
  <c r="Q276" i="2"/>
  <c r="R276" i="2"/>
  <c r="S276" i="2"/>
  <c r="T276" i="2"/>
  <c r="Q277" i="2"/>
  <c r="R277" i="2"/>
  <c r="S277" i="2"/>
  <c r="T277" i="2"/>
  <c r="Q278" i="2"/>
  <c r="R278" i="2"/>
  <c r="S278" i="2"/>
  <c r="T278" i="2"/>
  <c r="Q279" i="2"/>
  <c r="R279" i="2"/>
  <c r="S279" i="2"/>
  <c r="T279" i="2"/>
  <c r="Q280" i="2"/>
  <c r="R280" i="2"/>
  <c r="S280" i="2"/>
  <c r="T280" i="2"/>
  <c r="Q281" i="2"/>
  <c r="R281" i="2"/>
  <c r="S281" i="2"/>
  <c r="T281" i="2"/>
  <c r="Q282" i="2"/>
  <c r="R282" i="2"/>
  <c r="S282" i="2"/>
  <c r="T282" i="2"/>
  <c r="Q283" i="2"/>
  <c r="R283" i="2"/>
  <c r="S283" i="2"/>
  <c r="T283" i="2"/>
  <c r="Q284" i="2"/>
  <c r="R284" i="2"/>
  <c r="S284" i="2"/>
  <c r="T284" i="2"/>
  <c r="Q285" i="2"/>
  <c r="R285" i="2"/>
  <c r="S285" i="2"/>
  <c r="T285" i="2"/>
  <c r="Q286" i="2"/>
  <c r="R286" i="2"/>
  <c r="S286" i="2"/>
  <c r="T286" i="2"/>
  <c r="Q287" i="2"/>
  <c r="R287" i="2"/>
  <c r="S287" i="2"/>
  <c r="T287" i="2"/>
  <c r="Q288" i="2"/>
  <c r="R288" i="2"/>
  <c r="S288" i="2"/>
  <c r="T288" i="2"/>
  <c r="Q289" i="2"/>
  <c r="R289" i="2"/>
  <c r="S289" i="2"/>
  <c r="T289" i="2"/>
  <c r="Q290" i="2"/>
  <c r="R290" i="2"/>
  <c r="S290" i="2"/>
  <c r="T290" i="2"/>
  <c r="Q291" i="2"/>
  <c r="R291" i="2"/>
  <c r="S291" i="2"/>
  <c r="T291" i="2"/>
  <c r="Q292" i="2"/>
  <c r="R292" i="2"/>
  <c r="S292" i="2"/>
  <c r="T292" i="2"/>
  <c r="Q293" i="2"/>
  <c r="R293" i="2"/>
  <c r="S293" i="2"/>
  <c r="T293" i="2"/>
  <c r="Q294" i="2"/>
  <c r="R294" i="2"/>
  <c r="S294" i="2"/>
  <c r="T294" i="2"/>
  <c r="Q295" i="2"/>
  <c r="R295" i="2"/>
  <c r="S295" i="2"/>
  <c r="T295" i="2"/>
  <c r="Q296" i="2"/>
  <c r="R296" i="2"/>
  <c r="S296" i="2"/>
  <c r="T296" i="2"/>
  <c r="Q297" i="2"/>
  <c r="R297" i="2"/>
  <c r="S297" i="2"/>
  <c r="T297" i="2"/>
  <c r="Q298" i="2"/>
  <c r="R298" i="2"/>
  <c r="S298" i="2"/>
  <c r="T298" i="2"/>
  <c r="Q299" i="2"/>
  <c r="R299" i="2"/>
  <c r="S299" i="2"/>
  <c r="T299" i="2"/>
  <c r="Q300" i="2"/>
  <c r="R300" i="2"/>
  <c r="S300" i="2"/>
  <c r="T300" i="2"/>
  <c r="Q301" i="2"/>
  <c r="R301" i="2"/>
  <c r="S301" i="2"/>
  <c r="T301" i="2"/>
  <c r="Q302" i="2"/>
  <c r="R302" i="2"/>
  <c r="S302" i="2"/>
  <c r="T302" i="2"/>
  <c r="Q303" i="2"/>
  <c r="R303" i="2"/>
  <c r="S303" i="2"/>
  <c r="T303" i="2"/>
  <c r="Q304" i="2"/>
  <c r="R304" i="2"/>
  <c r="S304" i="2"/>
  <c r="T304" i="2"/>
  <c r="Q305" i="2"/>
  <c r="R305" i="2"/>
  <c r="S305" i="2"/>
  <c r="T305" i="2"/>
  <c r="Q306" i="2"/>
  <c r="R306" i="2"/>
  <c r="S306" i="2"/>
  <c r="T306" i="2"/>
  <c r="Q307" i="2"/>
  <c r="R307" i="2"/>
  <c r="S307" i="2"/>
  <c r="T307" i="2"/>
  <c r="Q308" i="2"/>
  <c r="R308" i="2"/>
  <c r="S308" i="2"/>
  <c r="T308" i="2"/>
  <c r="Q309" i="2"/>
  <c r="R309" i="2"/>
  <c r="S309" i="2"/>
  <c r="T309" i="2"/>
  <c r="Q310" i="2"/>
  <c r="R310" i="2"/>
  <c r="S310" i="2"/>
  <c r="T310" i="2"/>
  <c r="Q311" i="2"/>
  <c r="R311" i="2"/>
  <c r="S311" i="2"/>
  <c r="T311" i="2"/>
  <c r="Q312" i="2"/>
  <c r="R312" i="2"/>
  <c r="S312" i="2"/>
  <c r="T312" i="2"/>
  <c r="Q313" i="2"/>
  <c r="R313" i="2"/>
  <c r="S313" i="2"/>
  <c r="T313" i="2"/>
  <c r="Q314" i="2"/>
  <c r="R314" i="2"/>
  <c r="S314" i="2"/>
  <c r="T314" i="2"/>
  <c r="Q315" i="2"/>
  <c r="R315" i="2"/>
  <c r="S315" i="2"/>
  <c r="T315" i="2"/>
  <c r="Q316" i="2"/>
  <c r="R316" i="2"/>
  <c r="S316" i="2"/>
  <c r="T316" i="2"/>
  <c r="Q317" i="2"/>
  <c r="R317" i="2"/>
  <c r="S317" i="2"/>
  <c r="T317" i="2"/>
  <c r="Q318" i="2"/>
  <c r="R318" i="2"/>
  <c r="S318" i="2"/>
  <c r="T318" i="2"/>
  <c r="Q319" i="2"/>
  <c r="R319" i="2"/>
  <c r="S319" i="2"/>
  <c r="T319" i="2"/>
  <c r="Q320" i="2"/>
  <c r="R320" i="2"/>
  <c r="S320" i="2"/>
  <c r="T320" i="2"/>
  <c r="Q321" i="2"/>
  <c r="R321" i="2"/>
  <c r="S321" i="2"/>
  <c r="T321" i="2"/>
  <c r="Q322" i="2"/>
  <c r="R322" i="2"/>
  <c r="S322" i="2"/>
  <c r="T322" i="2"/>
  <c r="Q323" i="2"/>
  <c r="R323" i="2"/>
  <c r="S323" i="2"/>
  <c r="T323" i="2"/>
  <c r="Q324" i="2"/>
  <c r="R324" i="2"/>
  <c r="S324" i="2"/>
  <c r="T324" i="2"/>
  <c r="Q325" i="2"/>
  <c r="R325" i="2"/>
  <c r="S325" i="2"/>
  <c r="T325" i="2"/>
  <c r="Q326" i="2"/>
  <c r="R326" i="2"/>
  <c r="S326" i="2"/>
  <c r="T326" i="2"/>
  <c r="Q327" i="2"/>
  <c r="R327" i="2"/>
  <c r="S327" i="2"/>
  <c r="T327" i="2"/>
  <c r="Q328" i="2"/>
  <c r="R328" i="2"/>
  <c r="S328" i="2"/>
  <c r="T328" i="2"/>
  <c r="Q329" i="2"/>
  <c r="R329" i="2"/>
  <c r="S329" i="2"/>
  <c r="T329" i="2"/>
  <c r="Q330" i="2"/>
  <c r="R330" i="2"/>
  <c r="S330" i="2"/>
  <c r="T330" i="2"/>
  <c r="Q331" i="2"/>
  <c r="R331" i="2"/>
  <c r="S331" i="2"/>
  <c r="T331" i="2"/>
  <c r="Q332" i="2"/>
  <c r="R332" i="2"/>
  <c r="S332" i="2"/>
  <c r="T332" i="2"/>
  <c r="Q333" i="2"/>
  <c r="R333" i="2"/>
  <c r="S333" i="2"/>
  <c r="T333" i="2"/>
  <c r="Q334" i="2"/>
  <c r="R334" i="2"/>
  <c r="S334" i="2"/>
  <c r="T334" i="2"/>
  <c r="Q335" i="2"/>
  <c r="R335" i="2"/>
  <c r="S335" i="2"/>
  <c r="T335" i="2"/>
  <c r="Q336" i="2"/>
  <c r="R336" i="2"/>
  <c r="S336" i="2"/>
  <c r="T336" i="2"/>
  <c r="Q337" i="2"/>
  <c r="R337" i="2"/>
  <c r="S337" i="2"/>
  <c r="T337" i="2"/>
  <c r="Q338" i="2"/>
  <c r="R338" i="2"/>
  <c r="S338" i="2"/>
  <c r="T338" i="2"/>
  <c r="Q339" i="2"/>
  <c r="R339" i="2"/>
  <c r="S339" i="2"/>
  <c r="T339" i="2"/>
  <c r="Q340" i="2"/>
  <c r="R340" i="2"/>
  <c r="S340" i="2"/>
  <c r="T340" i="2"/>
  <c r="Q341" i="2"/>
  <c r="R341" i="2"/>
  <c r="S341" i="2"/>
  <c r="T341" i="2"/>
  <c r="Q342" i="2"/>
  <c r="R342" i="2"/>
  <c r="S342" i="2"/>
  <c r="T342" i="2"/>
  <c r="Q343" i="2"/>
  <c r="R343" i="2"/>
  <c r="S343" i="2"/>
  <c r="T343" i="2"/>
  <c r="Q344" i="2"/>
  <c r="R344" i="2"/>
  <c r="S344" i="2"/>
  <c r="T344" i="2"/>
  <c r="Q345" i="2"/>
  <c r="R345" i="2"/>
  <c r="S345" i="2"/>
  <c r="T345" i="2"/>
  <c r="Q346" i="2"/>
  <c r="R346" i="2"/>
  <c r="S346" i="2"/>
  <c r="T346" i="2"/>
  <c r="Q347" i="2"/>
  <c r="R347" i="2"/>
  <c r="S347" i="2"/>
  <c r="T347" i="2"/>
  <c r="Q348" i="2"/>
  <c r="R348" i="2"/>
  <c r="S348" i="2"/>
  <c r="T348" i="2"/>
  <c r="Q349" i="2"/>
  <c r="R349" i="2"/>
  <c r="S349" i="2"/>
  <c r="T349" i="2"/>
  <c r="Q350" i="2"/>
  <c r="R350" i="2"/>
  <c r="S350" i="2"/>
  <c r="T350" i="2"/>
  <c r="Q351" i="2"/>
  <c r="R351" i="2"/>
  <c r="S351" i="2"/>
  <c r="T351" i="2"/>
  <c r="Q352" i="2"/>
  <c r="R352" i="2"/>
  <c r="S352" i="2"/>
  <c r="T352" i="2"/>
  <c r="Q353" i="2"/>
  <c r="R353" i="2"/>
  <c r="S353" i="2"/>
  <c r="T353" i="2"/>
  <c r="Q354" i="2"/>
  <c r="R354" i="2"/>
  <c r="S354" i="2"/>
  <c r="T354" i="2"/>
  <c r="Q355" i="2"/>
  <c r="R355" i="2"/>
  <c r="S355" i="2"/>
  <c r="T355" i="2"/>
  <c r="Q356" i="2"/>
  <c r="R356" i="2"/>
  <c r="S356" i="2"/>
  <c r="T356" i="2"/>
  <c r="Q357" i="2"/>
  <c r="R357" i="2"/>
  <c r="S357" i="2"/>
  <c r="T357" i="2"/>
  <c r="Q358" i="2"/>
  <c r="R358" i="2"/>
  <c r="S358" i="2"/>
  <c r="T358" i="2"/>
  <c r="Q359" i="2"/>
  <c r="R359" i="2"/>
  <c r="S359" i="2"/>
  <c r="T359" i="2"/>
  <c r="Q360" i="2"/>
  <c r="R360" i="2"/>
  <c r="S360" i="2"/>
  <c r="T360" i="2"/>
  <c r="Q361" i="2"/>
  <c r="R361" i="2"/>
  <c r="S361" i="2"/>
  <c r="T361" i="2"/>
  <c r="Q362" i="2"/>
  <c r="R362" i="2"/>
  <c r="S362" i="2"/>
  <c r="T362" i="2"/>
  <c r="Q363" i="2"/>
  <c r="R363" i="2"/>
  <c r="S363" i="2"/>
  <c r="T363" i="2"/>
  <c r="Q364" i="2"/>
  <c r="R364" i="2"/>
  <c r="S364" i="2"/>
  <c r="T364" i="2"/>
  <c r="Q365" i="2"/>
  <c r="R365" i="2"/>
  <c r="S365" i="2"/>
  <c r="T365" i="2"/>
  <c r="Q366" i="2"/>
  <c r="R366" i="2"/>
  <c r="S366" i="2"/>
  <c r="T366" i="2"/>
  <c r="Q367" i="2"/>
  <c r="R367" i="2"/>
  <c r="S367" i="2"/>
  <c r="T367" i="2"/>
  <c r="Q368" i="2"/>
  <c r="R368" i="2"/>
  <c r="S368" i="2"/>
  <c r="T368" i="2"/>
  <c r="Q369" i="2"/>
  <c r="R369" i="2"/>
  <c r="S369" i="2"/>
  <c r="T369" i="2"/>
  <c r="Q370" i="2"/>
  <c r="R370" i="2"/>
  <c r="S370" i="2"/>
  <c r="T370" i="2"/>
  <c r="Q371" i="2"/>
  <c r="R371" i="2"/>
  <c r="S371" i="2"/>
  <c r="T371" i="2"/>
  <c r="Q372" i="2"/>
  <c r="R372" i="2"/>
  <c r="S372" i="2"/>
  <c r="T372" i="2"/>
  <c r="Q373" i="2"/>
  <c r="R373" i="2"/>
  <c r="S373" i="2"/>
  <c r="T373" i="2"/>
  <c r="Q374" i="2"/>
  <c r="R374" i="2"/>
  <c r="S374" i="2"/>
  <c r="T374" i="2"/>
  <c r="Q375" i="2"/>
  <c r="R375" i="2"/>
  <c r="S375" i="2"/>
  <c r="T375" i="2"/>
  <c r="Q376" i="2"/>
  <c r="R376" i="2"/>
  <c r="S376" i="2"/>
  <c r="T376" i="2"/>
  <c r="Q377" i="2"/>
  <c r="R377" i="2"/>
  <c r="S377" i="2"/>
  <c r="T377" i="2"/>
  <c r="Q378" i="2"/>
  <c r="R378" i="2"/>
  <c r="S378" i="2"/>
  <c r="T378" i="2"/>
  <c r="Q379" i="2"/>
  <c r="R379" i="2"/>
  <c r="S379" i="2"/>
  <c r="T379" i="2"/>
  <c r="Q380" i="2"/>
  <c r="R380" i="2"/>
  <c r="S380" i="2"/>
  <c r="T380" i="2"/>
  <c r="Q381" i="2"/>
  <c r="R381" i="2"/>
  <c r="S381" i="2"/>
  <c r="T381" i="2"/>
  <c r="Q382" i="2"/>
  <c r="R382" i="2"/>
  <c r="S382" i="2"/>
  <c r="T382" i="2"/>
  <c r="Q383" i="2"/>
  <c r="R383" i="2"/>
  <c r="S383" i="2"/>
  <c r="T383" i="2"/>
  <c r="Q384" i="2"/>
  <c r="R384" i="2"/>
  <c r="S384" i="2"/>
  <c r="T384" i="2"/>
  <c r="Q385" i="2"/>
  <c r="R385" i="2"/>
  <c r="S385" i="2"/>
  <c r="T385" i="2"/>
  <c r="Q386" i="2"/>
  <c r="R386" i="2"/>
  <c r="S386" i="2"/>
  <c r="T386" i="2"/>
  <c r="Q387" i="2"/>
  <c r="R387" i="2"/>
  <c r="S387" i="2"/>
  <c r="T387" i="2"/>
  <c r="Q388" i="2"/>
  <c r="R388" i="2"/>
  <c r="S388" i="2"/>
  <c r="T388" i="2"/>
  <c r="Q389" i="2"/>
  <c r="R389" i="2"/>
  <c r="S389" i="2"/>
  <c r="T389" i="2"/>
  <c r="Q390" i="2"/>
  <c r="R390" i="2"/>
  <c r="S390" i="2"/>
  <c r="T390" i="2"/>
  <c r="Q391" i="2"/>
  <c r="R391" i="2"/>
  <c r="S391" i="2"/>
  <c r="T391" i="2"/>
  <c r="Q392" i="2"/>
  <c r="R392" i="2"/>
  <c r="S392" i="2"/>
  <c r="T392" i="2"/>
  <c r="Q393" i="2"/>
  <c r="R393" i="2"/>
  <c r="S393" i="2"/>
  <c r="T393" i="2"/>
  <c r="Q394" i="2"/>
  <c r="R394" i="2"/>
  <c r="S394" i="2"/>
  <c r="T394" i="2"/>
  <c r="Q395" i="2"/>
  <c r="R395" i="2"/>
  <c r="S395" i="2"/>
  <c r="T395" i="2"/>
  <c r="Q396" i="2"/>
  <c r="R396" i="2"/>
  <c r="S396" i="2"/>
  <c r="T396" i="2"/>
  <c r="Q397" i="2"/>
  <c r="R397" i="2"/>
  <c r="S397" i="2"/>
  <c r="T397" i="2"/>
  <c r="Q398" i="2"/>
  <c r="R398" i="2"/>
  <c r="S398" i="2"/>
  <c r="T398" i="2"/>
  <c r="Q399" i="2"/>
  <c r="R399" i="2"/>
  <c r="S399" i="2"/>
  <c r="T399" i="2"/>
  <c r="Q400" i="2"/>
  <c r="R400" i="2"/>
  <c r="S400" i="2"/>
  <c r="T400" i="2"/>
  <c r="Q401" i="2"/>
  <c r="R401" i="2"/>
  <c r="S401" i="2"/>
  <c r="T401" i="2"/>
  <c r="Q402" i="2"/>
  <c r="R402" i="2"/>
  <c r="S402" i="2"/>
  <c r="T402" i="2"/>
  <c r="Q403" i="2"/>
  <c r="R403" i="2"/>
  <c r="S403" i="2"/>
  <c r="T403" i="2"/>
  <c r="Q404" i="2"/>
  <c r="R404" i="2"/>
  <c r="S404" i="2"/>
  <c r="T404" i="2"/>
  <c r="Q405" i="2"/>
  <c r="R405" i="2"/>
  <c r="S405" i="2"/>
  <c r="T405" i="2"/>
  <c r="Q406" i="2"/>
  <c r="R406" i="2"/>
  <c r="S406" i="2"/>
  <c r="T406" i="2"/>
  <c r="Q407" i="2"/>
  <c r="R407" i="2"/>
  <c r="S407" i="2"/>
  <c r="T407" i="2"/>
  <c r="Q408" i="2"/>
  <c r="R408" i="2"/>
  <c r="S408" i="2"/>
  <c r="T408" i="2"/>
  <c r="Q409" i="2"/>
  <c r="R409" i="2"/>
  <c r="S409" i="2"/>
  <c r="T409" i="2"/>
  <c r="Q410" i="2"/>
  <c r="R410" i="2"/>
  <c r="S410" i="2"/>
  <c r="T410" i="2"/>
  <c r="Q411" i="2"/>
  <c r="R411" i="2"/>
  <c r="S411" i="2"/>
  <c r="T411" i="2"/>
  <c r="Q412" i="2"/>
  <c r="R412" i="2"/>
  <c r="S412" i="2"/>
  <c r="T412" i="2"/>
  <c r="Q413" i="2"/>
  <c r="R413" i="2"/>
  <c r="S413" i="2"/>
  <c r="T413" i="2"/>
  <c r="Q414" i="2"/>
  <c r="R414" i="2"/>
  <c r="S414" i="2"/>
  <c r="T414" i="2"/>
  <c r="Q415" i="2"/>
  <c r="R415" i="2"/>
  <c r="S415" i="2"/>
  <c r="T415" i="2"/>
  <c r="Q416" i="2"/>
  <c r="R416" i="2"/>
  <c r="S416" i="2"/>
  <c r="T416" i="2"/>
  <c r="Q417" i="2"/>
  <c r="R417" i="2"/>
  <c r="S417" i="2"/>
  <c r="T417" i="2"/>
  <c r="Q418" i="2"/>
  <c r="R418" i="2"/>
  <c r="S418" i="2"/>
  <c r="T418" i="2"/>
  <c r="Q419" i="2"/>
  <c r="R419" i="2"/>
  <c r="S419" i="2"/>
  <c r="T419" i="2"/>
  <c r="Q420" i="2"/>
  <c r="R420" i="2"/>
  <c r="S420" i="2"/>
  <c r="T420" i="2"/>
  <c r="Q421" i="2"/>
  <c r="R421" i="2"/>
  <c r="S421" i="2"/>
  <c r="T421" i="2"/>
  <c r="Q422" i="2"/>
  <c r="R422" i="2"/>
  <c r="S422" i="2"/>
  <c r="T422" i="2"/>
  <c r="Q423" i="2"/>
  <c r="R423" i="2"/>
  <c r="S423" i="2"/>
  <c r="T423" i="2"/>
  <c r="Q424" i="2"/>
  <c r="R424" i="2"/>
  <c r="S424" i="2"/>
  <c r="T424" i="2"/>
  <c r="Q425" i="2"/>
  <c r="R425" i="2"/>
  <c r="S425" i="2"/>
  <c r="T425" i="2"/>
  <c r="Q426" i="2"/>
  <c r="R426" i="2"/>
  <c r="S426" i="2"/>
  <c r="T426" i="2"/>
  <c r="Q427" i="2"/>
  <c r="R427" i="2"/>
  <c r="S427" i="2"/>
  <c r="T427" i="2"/>
  <c r="Q428" i="2"/>
  <c r="R428" i="2"/>
  <c r="S428" i="2"/>
  <c r="T428" i="2"/>
  <c r="Q429" i="2"/>
  <c r="R429" i="2"/>
  <c r="S429" i="2"/>
  <c r="T429" i="2"/>
  <c r="Q430" i="2"/>
  <c r="R430" i="2"/>
  <c r="S430" i="2"/>
  <c r="T430" i="2"/>
  <c r="Q431" i="2"/>
  <c r="R431" i="2"/>
  <c r="S431" i="2"/>
  <c r="T431" i="2"/>
  <c r="Q432" i="2"/>
  <c r="R432" i="2"/>
  <c r="S432" i="2"/>
  <c r="T432" i="2"/>
  <c r="Q433" i="2"/>
  <c r="R433" i="2"/>
  <c r="S433" i="2"/>
  <c r="T433" i="2"/>
  <c r="Q434" i="2"/>
  <c r="R434" i="2"/>
  <c r="S434" i="2"/>
  <c r="T434" i="2"/>
  <c r="Q435" i="2"/>
  <c r="R435" i="2"/>
  <c r="S435" i="2"/>
  <c r="T435" i="2"/>
  <c r="Q436" i="2"/>
  <c r="R436" i="2"/>
  <c r="S436" i="2"/>
  <c r="T436" i="2"/>
  <c r="Q437" i="2"/>
  <c r="R437" i="2"/>
  <c r="S437" i="2"/>
  <c r="T437" i="2"/>
  <c r="Q438" i="2"/>
  <c r="R438" i="2"/>
  <c r="S438" i="2"/>
  <c r="T438" i="2"/>
  <c r="Q439" i="2"/>
  <c r="R439" i="2"/>
  <c r="S439" i="2"/>
  <c r="T439" i="2"/>
  <c r="Q440" i="2"/>
  <c r="R440" i="2"/>
  <c r="S440" i="2"/>
  <c r="T440" i="2"/>
  <c r="Q441" i="2"/>
  <c r="R441" i="2"/>
  <c r="S441" i="2"/>
  <c r="T441" i="2"/>
  <c r="Q442" i="2"/>
  <c r="R442" i="2"/>
  <c r="S442" i="2"/>
  <c r="T442" i="2"/>
  <c r="Q443" i="2"/>
  <c r="R443" i="2"/>
  <c r="S443" i="2"/>
  <c r="T443" i="2"/>
  <c r="Q444" i="2"/>
  <c r="R444" i="2"/>
  <c r="S444" i="2"/>
  <c r="T444" i="2"/>
  <c r="Q445" i="2"/>
  <c r="R445" i="2"/>
  <c r="S445" i="2"/>
  <c r="T445" i="2"/>
  <c r="Q446" i="2"/>
  <c r="R446" i="2"/>
  <c r="S446" i="2"/>
  <c r="T446" i="2"/>
  <c r="Q447" i="2"/>
  <c r="R447" i="2"/>
  <c r="S447" i="2"/>
  <c r="T447" i="2"/>
  <c r="Q448" i="2"/>
  <c r="R448" i="2"/>
  <c r="S448" i="2"/>
  <c r="T448" i="2"/>
  <c r="Q449" i="2"/>
  <c r="R449" i="2"/>
  <c r="S449" i="2"/>
  <c r="T449" i="2"/>
  <c r="Q450" i="2"/>
  <c r="R450" i="2"/>
  <c r="S450" i="2"/>
  <c r="T450" i="2"/>
  <c r="Q451" i="2"/>
  <c r="R451" i="2"/>
  <c r="S451" i="2"/>
  <c r="T451" i="2"/>
  <c r="Q452" i="2"/>
  <c r="R452" i="2"/>
  <c r="S452" i="2"/>
  <c r="T452" i="2"/>
  <c r="Q453" i="2"/>
  <c r="R453" i="2"/>
  <c r="S453" i="2"/>
  <c r="T453" i="2"/>
  <c r="Q454" i="2"/>
  <c r="R454" i="2"/>
  <c r="S454" i="2"/>
  <c r="T454" i="2"/>
  <c r="Q455" i="2"/>
  <c r="R455" i="2"/>
  <c r="S455" i="2"/>
  <c r="T455" i="2"/>
  <c r="Q456" i="2"/>
  <c r="R456" i="2"/>
  <c r="S456" i="2"/>
  <c r="T456" i="2"/>
  <c r="Q457" i="2"/>
  <c r="R457" i="2"/>
  <c r="S457" i="2"/>
  <c r="T457" i="2"/>
  <c r="Q458" i="2"/>
  <c r="R458" i="2"/>
  <c r="S458" i="2"/>
  <c r="T458" i="2"/>
  <c r="Q459" i="2"/>
  <c r="R459" i="2"/>
  <c r="S459" i="2"/>
  <c r="T459" i="2"/>
  <c r="Q460" i="2"/>
  <c r="R460" i="2"/>
  <c r="S460" i="2"/>
  <c r="T460" i="2"/>
  <c r="Q461" i="2"/>
  <c r="R461" i="2"/>
  <c r="S461" i="2"/>
  <c r="T461" i="2"/>
  <c r="Q462" i="2"/>
  <c r="R462" i="2"/>
  <c r="S462" i="2"/>
  <c r="T462" i="2"/>
  <c r="Q463" i="2"/>
  <c r="R463" i="2"/>
  <c r="S463" i="2"/>
  <c r="T463" i="2"/>
  <c r="Q464" i="2"/>
  <c r="R464" i="2"/>
  <c r="S464" i="2"/>
  <c r="T464" i="2"/>
  <c r="Q465" i="2"/>
  <c r="R465" i="2"/>
  <c r="S465" i="2"/>
  <c r="T465" i="2"/>
  <c r="Q466" i="2"/>
  <c r="R466" i="2"/>
  <c r="S466" i="2"/>
  <c r="T466" i="2"/>
  <c r="Q467" i="2"/>
  <c r="R467" i="2"/>
  <c r="S467" i="2"/>
  <c r="T467" i="2"/>
  <c r="Q468" i="2"/>
  <c r="R468" i="2"/>
  <c r="S468" i="2"/>
  <c r="T468" i="2"/>
  <c r="Q469" i="2"/>
  <c r="R469" i="2"/>
  <c r="S469" i="2"/>
  <c r="T469" i="2"/>
  <c r="Q470" i="2"/>
  <c r="R470" i="2"/>
  <c r="S470" i="2"/>
  <c r="T470" i="2"/>
  <c r="Q471" i="2"/>
  <c r="R471" i="2"/>
  <c r="S471" i="2"/>
  <c r="T471" i="2"/>
  <c r="Q472" i="2"/>
  <c r="R472" i="2"/>
  <c r="S472" i="2"/>
  <c r="T472" i="2"/>
  <c r="Q473" i="2"/>
  <c r="R473" i="2"/>
  <c r="S473" i="2"/>
  <c r="T473" i="2"/>
  <c r="Q474" i="2"/>
  <c r="R474" i="2"/>
  <c r="S474" i="2"/>
  <c r="T474" i="2"/>
  <c r="Q475" i="2"/>
  <c r="R475" i="2"/>
  <c r="S475" i="2"/>
  <c r="T475" i="2"/>
  <c r="Q476" i="2"/>
  <c r="R476" i="2"/>
  <c r="S476" i="2"/>
  <c r="T476" i="2"/>
  <c r="Q477" i="2"/>
  <c r="R477" i="2"/>
  <c r="S477" i="2"/>
  <c r="T477" i="2"/>
  <c r="Q478" i="2"/>
  <c r="R478" i="2"/>
  <c r="S478" i="2"/>
  <c r="T478" i="2"/>
  <c r="Q479" i="2"/>
  <c r="R479" i="2"/>
  <c r="S479" i="2"/>
  <c r="T479" i="2"/>
  <c r="Q480" i="2"/>
  <c r="R480" i="2"/>
  <c r="S480" i="2"/>
  <c r="T480" i="2"/>
  <c r="Q481" i="2"/>
  <c r="R481" i="2"/>
  <c r="S481" i="2"/>
  <c r="T481" i="2"/>
  <c r="Q482" i="2"/>
  <c r="R482" i="2"/>
  <c r="S482" i="2"/>
  <c r="T482" i="2"/>
  <c r="Q483" i="2"/>
  <c r="R483" i="2"/>
  <c r="S483" i="2"/>
  <c r="T483" i="2"/>
  <c r="Q484" i="2"/>
  <c r="R484" i="2"/>
  <c r="S484" i="2"/>
  <c r="T484" i="2"/>
  <c r="Q485" i="2"/>
  <c r="R485" i="2"/>
  <c r="S485" i="2"/>
  <c r="T485" i="2"/>
  <c r="Q486" i="2"/>
  <c r="R486" i="2"/>
  <c r="S486" i="2"/>
  <c r="T486" i="2"/>
  <c r="Q487" i="2"/>
  <c r="R487" i="2"/>
  <c r="S487" i="2"/>
  <c r="T487" i="2"/>
  <c r="Q488" i="2"/>
  <c r="R488" i="2"/>
  <c r="S488" i="2"/>
  <c r="T488" i="2"/>
  <c r="Q489" i="2"/>
  <c r="R489" i="2"/>
  <c r="S489" i="2"/>
  <c r="T489" i="2"/>
  <c r="Q490" i="2"/>
  <c r="R490" i="2"/>
  <c r="S490" i="2"/>
  <c r="T490" i="2"/>
  <c r="Q491" i="2"/>
  <c r="R491" i="2"/>
  <c r="S491" i="2"/>
  <c r="T491" i="2"/>
  <c r="Q492" i="2"/>
  <c r="R492" i="2"/>
  <c r="S492" i="2"/>
  <c r="T492" i="2"/>
  <c r="Q493" i="2"/>
  <c r="R493" i="2"/>
  <c r="S493" i="2"/>
  <c r="T493" i="2"/>
  <c r="Q494" i="2"/>
  <c r="R494" i="2"/>
  <c r="S494" i="2"/>
  <c r="T494" i="2"/>
  <c r="Q495" i="2"/>
  <c r="R495" i="2"/>
  <c r="S495" i="2"/>
  <c r="T495" i="2"/>
  <c r="Q496" i="2"/>
  <c r="R496" i="2"/>
  <c r="S496" i="2"/>
  <c r="T496" i="2"/>
  <c r="Q497" i="2"/>
  <c r="R497" i="2"/>
  <c r="S497" i="2"/>
  <c r="T497" i="2"/>
  <c r="Q498" i="2"/>
  <c r="R498" i="2"/>
  <c r="S498" i="2"/>
  <c r="T498" i="2"/>
  <c r="Q499" i="2"/>
  <c r="R499" i="2"/>
  <c r="S499" i="2"/>
  <c r="T499" i="2"/>
  <c r="Q500" i="2"/>
  <c r="R500" i="2"/>
  <c r="S500" i="2"/>
  <c r="T500" i="2"/>
  <c r="Q501" i="2"/>
  <c r="R501" i="2"/>
  <c r="S501" i="2"/>
  <c r="T501" i="2"/>
  <c r="Q502" i="2"/>
  <c r="R502" i="2"/>
  <c r="S502" i="2"/>
  <c r="T502" i="2"/>
  <c r="Q503" i="2"/>
  <c r="R503" i="2"/>
  <c r="S503" i="2"/>
  <c r="T503" i="2"/>
  <c r="Q504" i="2"/>
  <c r="R504" i="2"/>
  <c r="S504" i="2"/>
  <c r="T504" i="2"/>
  <c r="Q505" i="2"/>
  <c r="R505" i="2"/>
  <c r="S505" i="2"/>
  <c r="T505" i="2"/>
  <c r="Q506" i="2"/>
  <c r="R506" i="2"/>
  <c r="S506" i="2"/>
  <c r="T506" i="2"/>
  <c r="Q507" i="2"/>
  <c r="R507" i="2"/>
  <c r="S507" i="2"/>
  <c r="T507" i="2"/>
  <c r="Q508" i="2"/>
  <c r="R508" i="2"/>
  <c r="S508" i="2"/>
  <c r="T508" i="2"/>
  <c r="Q509" i="2"/>
  <c r="R509" i="2"/>
  <c r="S509" i="2"/>
  <c r="T509" i="2"/>
  <c r="Q510" i="2"/>
  <c r="R510" i="2"/>
  <c r="S510" i="2"/>
  <c r="T510" i="2"/>
  <c r="Q511" i="2"/>
  <c r="R511" i="2"/>
  <c r="S511" i="2"/>
  <c r="T511" i="2"/>
  <c r="Q512" i="2"/>
  <c r="R512" i="2"/>
  <c r="S512" i="2"/>
  <c r="T512" i="2"/>
  <c r="Q513" i="2"/>
  <c r="R513" i="2"/>
  <c r="S513" i="2"/>
  <c r="T513" i="2"/>
  <c r="Q514" i="2"/>
  <c r="R514" i="2"/>
  <c r="S514" i="2"/>
  <c r="T514" i="2"/>
  <c r="Q515" i="2"/>
  <c r="R515" i="2"/>
  <c r="S515" i="2"/>
  <c r="T515" i="2"/>
  <c r="Q516" i="2"/>
  <c r="R516" i="2"/>
  <c r="S516" i="2"/>
  <c r="T516" i="2"/>
  <c r="Q517" i="2"/>
  <c r="R517" i="2"/>
  <c r="S517" i="2"/>
  <c r="T517" i="2"/>
  <c r="Q518" i="2"/>
  <c r="R518" i="2"/>
  <c r="S518" i="2"/>
  <c r="T518" i="2"/>
  <c r="Q519" i="2"/>
  <c r="R519" i="2"/>
  <c r="S519" i="2"/>
  <c r="T519" i="2"/>
  <c r="Q520" i="2"/>
  <c r="R520" i="2"/>
  <c r="S520" i="2"/>
  <c r="T520" i="2"/>
  <c r="Q521" i="2"/>
  <c r="R521" i="2"/>
  <c r="S521" i="2"/>
  <c r="T521" i="2"/>
  <c r="Q522" i="2"/>
  <c r="R522" i="2"/>
  <c r="S522" i="2"/>
  <c r="T522" i="2"/>
  <c r="Q523" i="2"/>
  <c r="R523" i="2"/>
  <c r="S523" i="2"/>
  <c r="T523" i="2"/>
  <c r="Q524" i="2"/>
  <c r="R524" i="2"/>
  <c r="S524" i="2"/>
  <c r="T524" i="2"/>
  <c r="Q525" i="2"/>
  <c r="R525" i="2"/>
  <c r="S525" i="2"/>
  <c r="T525" i="2"/>
  <c r="Q526" i="2"/>
  <c r="R526" i="2"/>
  <c r="S526" i="2"/>
  <c r="T526" i="2"/>
  <c r="Q527" i="2"/>
  <c r="R527" i="2"/>
  <c r="S527" i="2"/>
  <c r="T527" i="2"/>
  <c r="Q528" i="2"/>
  <c r="R528" i="2"/>
  <c r="S528" i="2"/>
  <c r="T528" i="2"/>
  <c r="Q529" i="2"/>
  <c r="R529" i="2"/>
  <c r="S529" i="2"/>
  <c r="T529" i="2"/>
  <c r="Q530" i="2"/>
  <c r="R530" i="2"/>
  <c r="S530" i="2"/>
  <c r="T530" i="2"/>
  <c r="Q531" i="2"/>
  <c r="R531" i="2"/>
  <c r="S531" i="2"/>
  <c r="T531" i="2"/>
  <c r="Q532" i="2"/>
  <c r="R532" i="2"/>
  <c r="S532" i="2"/>
  <c r="T532" i="2"/>
  <c r="Q533" i="2"/>
  <c r="R533" i="2"/>
  <c r="S533" i="2"/>
  <c r="T533" i="2"/>
  <c r="Q534" i="2"/>
  <c r="R534" i="2"/>
  <c r="S534" i="2"/>
  <c r="T534" i="2"/>
  <c r="Q535" i="2"/>
  <c r="R535" i="2"/>
  <c r="S535" i="2"/>
  <c r="T535" i="2"/>
  <c r="Q536" i="2"/>
  <c r="R536" i="2"/>
  <c r="S536" i="2"/>
  <c r="T536" i="2"/>
  <c r="Q537" i="2"/>
  <c r="R537" i="2"/>
  <c r="S537" i="2"/>
  <c r="T537" i="2"/>
  <c r="Q538" i="2"/>
  <c r="R538" i="2"/>
  <c r="S538" i="2"/>
  <c r="T538" i="2"/>
  <c r="Q539" i="2"/>
  <c r="R539" i="2"/>
  <c r="S539" i="2"/>
  <c r="T539" i="2"/>
  <c r="Q540" i="2"/>
  <c r="R540" i="2"/>
  <c r="S540" i="2"/>
  <c r="T540" i="2"/>
  <c r="T4" i="2"/>
  <c r="S4" i="2"/>
  <c r="R4" i="2"/>
  <c r="Q4" i="2"/>
  <c r="U5" i="2" l="1"/>
  <c r="V5" i="2"/>
  <c r="W5" i="2"/>
  <c r="X5" i="2"/>
  <c r="Y5" i="2"/>
  <c r="Z5" i="2"/>
  <c r="AA5" i="2"/>
  <c r="AB5" i="2"/>
  <c r="AC5" i="2"/>
  <c r="AD5" i="2"/>
  <c r="U6" i="2"/>
  <c r="V6" i="2"/>
  <c r="W6" i="2"/>
  <c r="X6" i="2"/>
  <c r="Y6" i="2"/>
  <c r="Z6" i="2"/>
  <c r="AA6" i="2"/>
  <c r="AB6" i="2"/>
  <c r="AC6" i="2"/>
  <c r="AD6" i="2"/>
  <c r="U7" i="2"/>
  <c r="V7" i="2"/>
  <c r="W7" i="2"/>
  <c r="X7" i="2"/>
  <c r="Y7" i="2"/>
  <c r="Z7" i="2"/>
  <c r="AA7" i="2"/>
  <c r="AB7" i="2"/>
  <c r="AC7" i="2"/>
  <c r="AD7" i="2"/>
  <c r="U8" i="2"/>
  <c r="V8" i="2"/>
  <c r="W8" i="2"/>
  <c r="X8" i="2"/>
  <c r="Y8" i="2"/>
  <c r="Z8" i="2"/>
  <c r="AA8" i="2"/>
  <c r="AB8" i="2"/>
  <c r="AC8" i="2"/>
  <c r="AD8" i="2"/>
  <c r="U9" i="2"/>
  <c r="V9" i="2"/>
  <c r="W9" i="2"/>
  <c r="X9" i="2"/>
  <c r="Y9" i="2"/>
  <c r="Z9" i="2"/>
  <c r="AA9" i="2"/>
  <c r="AB9" i="2"/>
  <c r="AC9" i="2"/>
  <c r="AD9" i="2"/>
  <c r="U10" i="2"/>
  <c r="V10" i="2"/>
  <c r="W10" i="2"/>
  <c r="X10" i="2"/>
  <c r="Y10" i="2"/>
  <c r="Z10" i="2"/>
  <c r="AA10" i="2"/>
  <c r="AB10" i="2"/>
  <c r="AC10" i="2"/>
  <c r="AD10" i="2"/>
  <c r="U11" i="2"/>
  <c r="V11" i="2"/>
  <c r="W11" i="2"/>
  <c r="X11" i="2"/>
  <c r="Y11" i="2"/>
  <c r="Z11" i="2"/>
  <c r="AA11" i="2"/>
  <c r="AB11" i="2"/>
  <c r="AC11" i="2"/>
  <c r="AD11" i="2"/>
  <c r="U12" i="2"/>
  <c r="V12" i="2"/>
  <c r="W12" i="2"/>
  <c r="X12" i="2"/>
  <c r="Y12" i="2"/>
  <c r="Z12" i="2"/>
  <c r="AA12" i="2"/>
  <c r="AB12" i="2"/>
  <c r="AC12" i="2"/>
  <c r="AD12" i="2"/>
  <c r="U13" i="2"/>
  <c r="V13" i="2"/>
  <c r="W13" i="2"/>
  <c r="X13" i="2"/>
  <c r="Y13" i="2"/>
  <c r="Z13" i="2"/>
  <c r="AA13" i="2"/>
  <c r="AB13" i="2"/>
  <c r="AC13" i="2"/>
  <c r="AD13" i="2"/>
  <c r="U14" i="2"/>
  <c r="V14" i="2"/>
  <c r="W14" i="2"/>
  <c r="X14" i="2"/>
  <c r="Y14" i="2"/>
  <c r="Z14" i="2"/>
  <c r="AA14" i="2"/>
  <c r="AB14" i="2"/>
  <c r="AC14" i="2"/>
  <c r="AD14" i="2"/>
  <c r="U15" i="2"/>
  <c r="V15" i="2"/>
  <c r="W15" i="2"/>
  <c r="X15" i="2"/>
  <c r="Y15" i="2"/>
  <c r="Z15" i="2"/>
  <c r="AA15" i="2"/>
  <c r="AB15" i="2"/>
  <c r="AC15" i="2"/>
  <c r="AD15" i="2"/>
  <c r="U16" i="2"/>
  <c r="V16" i="2"/>
  <c r="W16" i="2"/>
  <c r="X16" i="2"/>
  <c r="Y16" i="2"/>
  <c r="Z16" i="2"/>
  <c r="AA16" i="2"/>
  <c r="AB16" i="2"/>
  <c r="AC16" i="2"/>
  <c r="AD16" i="2"/>
  <c r="U17" i="2"/>
  <c r="V17" i="2"/>
  <c r="W17" i="2"/>
  <c r="X17" i="2"/>
  <c r="Y17" i="2"/>
  <c r="Z17" i="2"/>
  <c r="AA17" i="2"/>
  <c r="AB17" i="2"/>
  <c r="AC17" i="2"/>
  <c r="AD17" i="2"/>
  <c r="U18" i="2"/>
  <c r="V18" i="2"/>
  <c r="W18" i="2"/>
  <c r="X18" i="2"/>
  <c r="Y18" i="2"/>
  <c r="Z18" i="2"/>
  <c r="AA18" i="2"/>
  <c r="AB18" i="2"/>
  <c r="AC18" i="2"/>
  <c r="AD18" i="2"/>
  <c r="U19" i="2"/>
  <c r="V19" i="2"/>
  <c r="W19" i="2"/>
  <c r="X19" i="2"/>
  <c r="Y19" i="2"/>
  <c r="Z19" i="2"/>
  <c r="AA19" i="2"/>
  <c r="AB19" i="2"/>
  <c r="AC19" i="2"/>
  <c r="AD19" i="2"/>
  <c r="U20" i="2"/>
  <c r="V20" i="2"/>
  <c r="W20" i="2"/>
  <c r="X20" i="2"/>
  <c r="Y20" i="2"/>
  <c r="Z20" i="2"/>
  <c r="AA20" i="2"/>
  <c r="AB20" i="2"/>
  <c r="AC20" i="2"/>
  <c r="AD20" i="2"/>
  <c r="U21" i="2"/>
  <c r="V21" i="2"/>
  <c r="W21" i="2"/>
  <c r="X21" i="2"/>
  <c r="Y21" i="2"/>
  <c r="Z21" i="2"/>
  <c r="AA21" i="2"/>
  <c r="AB21" i="2"/>
  <c r="AC21" i="2"/>
  <c r="AD21" i="2"/>
  <c r="U22" i="2"/>
  <c r="V22" i="2"/>
  <c r="W22" i="2"/>
  <c r="X22" i="2"/>
  <c r="Y22" i="2"/>
  <c r="Z22" i="2"/>
  <c r="AA22" i="2"/>
  <c r="AB22" i="2"/>
  <c r="AC22" i="2"/>
  <c r="AD22" i="2"/>
  <c r="U23" i="2"/>
  <c r="V23" i="2"/>
  <c r="W23" i="2"/>
  <c r="X23" i="2"/>
  <c r="Y23" i="2"/>
  <c r="Z23" i="2"/>
  <c r="AA23" i="2"/>
  <c r="AB23" i="2"/>
  <c r="AC23" i="2"/>
  <c r="AD23" i="2"/>
  <c r="U24" i="2"/>
  <c r="V24" i="2"/>
  <c r="W24" i="2"/>
  <c r="X24" i="2"/>
  <c r="Y24" i="2"/>
  <c r="Z24" i="2"/>
  <c r="AA24" i="2"/>
  <c r="AB24" i="2"/>
  <c r="AC24" i="2"/>
  <c r="AD24" i="2"/>
  <c r="U25" i="2"/>
  <c r="V25" i="2"/>
  <c r="W25" i="2"/>
  <c r="X25" i="2"/>
  <c r="Y25" i="2"/>
  <c r="Z25" i="2"/>
  <c r="AA25" i="2"/>
  <c r="AB25" i="2"/>
  <c r="AC25" i="2"/>
  <c r="AD25" i="2"/>
  <c r="U26" i="2"/>
  <c r="V26" i="2"/>
  <c r="W26" i="2"/>
  <c r="X26" i="2"/>
  <c r="Y26" i="2"/>
  <c r="Z26" i="2"/>
  <c r="AA26" i="2"/>
  <c r="AB26" i="2"/>
  <c r="AC26" i="2"/>
  <c r="AD26" i="2"/>
  <c r="U27" i="2"/>
  <c r="V27" i="2"/>
  <c r="W27" i="2"/>
  <c r="X27" i="2"/>
  <c r="Y27" i="2"/>
  <c r="Z27" i="2"/>
  <c r="AA27" i="2"/>
  <c r="AB27" i="2"/>
  <c r="AC27" i="2"/>
  <c r="AD27" i="2"/>
  <c r="U28" i="2"/>
  <c r="V28" i="2"/>
  <c r="W28" i="2"/>
  <c r="X28" i="2"/>
  <c r="Y28" i="2"/>
  <c r="Z28" i="2"/>
  <c r="AA28" i="2"/>
  <c r="AB28" i="2"/>
  <c r="AC28" i="2"/>
  <c r="AD28" i="2"/>
  <c r="U29" i="2"/>
  <c r="V29" i="2"/>
  <c r="W29" i="2"/>
  <c r="X29" i="2"/>
  <c r="Y29" i="2"/>
  <c r="Z29" i="2"/>
  <c r="AA29" i="2"/>
  <c r="AB29" i="2"/>
  <c r="AC29" i="2"/>
  <c r="AD29" i="2"/>
  <c r="U30" i="2"/>
  <c r="V30" i="2"/>
  <c r="W30" i="2"/>
  <c r="X30" i="2"/>
  <c r="Y30" i="2"/>
  <c r="Z30" i="2"/>
  <c r="AA30" i="2"/>
  <c r="AB30" i="2"/>
  <c r="AC30" i="2"/>
  <c r="AD30" i="2"/>
  <c r="U31" i="2"/>
  <c r="V31" i="2"/>
  <c r="W31" i="2"/>
  <c r="X31" i="2"/>
  <c r="Y31" i="2"/>
  <c r="Z31" i="2"/>
  <c r="AA31" i="2"/>
  <c r="AB31" i="2"/>
  <c r="AC31" i="2"/>
  <c r="AD31" i="2"/>
  <c r="U32" i="2"/>
  <c r="V32" i="2"/>
  <c r="W32" i="2"/>
  <c r="X32" i="2"/>
  <c r="Y32" i="2"/>
  <c r="Z32" i="2"/>
  <c r="AA32" i="2"/>
  <c r="AB32" i="2"/>
  <c r="AC32" i="2"/>
  <c r="AD32" i="2"/>
  <c r="U33" i="2"/>
  <c r="V33" i="2"/>
  <c r="W33" i="2"/>
  <c r="X33" i="2"/>
  <c r="Y33" i="2"/>
  <c r="Z33" i="2"/>
  <c r="AA33" i="2"/>
  <c r="AB33" i="2"/>
  <c r="AC33" i="2"/>
  <c r="AD33" i="2"/>
  <c r="U34" i="2"/>
  <c r="V34" i="2"/>
  <c r="W34" i="2"/>
  <c r="X34" i="2"/>
  <c r="Y34" i="2"/>
  <c r="Z34" i="2"/>
  <c r="AA34" i="2"/>
  <c r="AB34" i="2"/>
  <c r="AC34" i="2"/>
  <c r="AD34" i="2"/>
  <c r="U35" i="2"/>
  <c r="V35" i="2"/>
  <c r="W35" i="2"/>
  <c r="X35" i="2"/>
  <c r="Y35" i="2"/>
  <c r="Z35" i="2"/>
  <c r="AA35" i="2"/>
  <c r="AB35" i="2"/>
  <c r="AC35" i="2"/>
  <c r="AD35" i="2"/>
  <c r="U36" i="2"/>
  <c r="V36" i="2"/>
  <c r="W36" i="2"/>
  <c r="X36" i="2"/>
  <c r="Y36" i="2"/>
  <c r="Z36" i="2"/>
  <c r="AA36" i="2"/>
  <c r="AB36" i="2"/>
  <c r="AC36" i="2"/>
  <c r="AD36" i="2"/>
  <c r="U37" i="2"/>
  <c r="V37" i="2"/>
  <c r="W37" i="2"/>
  <c r="X37" i="2"/>
  <c r="Y37" i="2"/>
  <c r="Z37" i="2"/>
  <c r="AA37" i="2"/>
  <c r="AB37" i="2"/>
  <c r="AC37" i="2"/>
  <c r="AD37" i="2"/>
  <c r="U38" i="2"/>
  <c r="V38" i="2"/>
  <c r="W38" i="2"/>
  <c r="X38" i="2"/>
  <c r="Y38" i="2"/>
  <c r="Z38" i="2"/>
  <c r="AA38" i="2"/>
  <c r="AB38" i="2"/>
  <c r="AC38" i="2"/>
  <c r="AD38" i="2"/>
  <c r="U39" i="2"/>
  <c r="V39" i="2"/>
  <c r="W39" i="2"/>
  <c r="X39" i="2"/>
  <c r="Y39" i="2"/>
  <c r="Z39" i="2"/>
  <c r="AA39" i="2"/>
  <c r="AB39" i="2"/>
  <c r="AC39" i="2"/>
  <c r="AD39" i="2"/>
  <c r="U40" i="2"/>
  <c r="V40" i="2"/>
  <c r="W40" i="2"/>
  <c r="X40" i="2"/>
  <c r="Y40" i="2"/>
  <c r="Z40" i="2"/>
  <c r="AA40" i="2"/>
  <c r="AB40" i="2"/>
  <c r="AC40" i="2"/>
  <c r="AD40" i="2"/>
  <c r="U41" i="2"/>
  <c r="V41" i="2"/>
  <c r="W41" i="2"/>
  <c r="X41" i="2"/>
  <c r="Y41" i="2"/>
  <c r="Z41" i="2"/>
  <c r="AA41" i="2"/>
  <c r="AB41" i="2"/>
  <c r="AC41" i="2"/>
  <c r="AD41" i="2"/>
  <c r="U42" i="2"/>
  <c r="V42" i="2"/>
  <c r="W42" i="2"/>
  <c r="X42" i="2"/>
  <c r="Y42" i="2"/>
  <c r="Z42" i="2"/>
  <c r="AA42" i="2"/>
  <c r="AB42" i="2"/>
  <c r="AC42" i="2"/>
  <c r="AD42" i="2"/>
  <c r="U43" i="2"/>
  <c r="V43" i="2"/>
  <c r="W43" i="2"/>
  <c r="X43" i="2"/>
  <c r="Y43" i="2"/>
  <c r="Z43" i="2"/>
  <c r="AA43" i="2"/>
  <c r="AB43" i="2"/>
  <c r="AC43" i="2"/>
  <c r="AD43" i="2"/>
  <c r="U44" i="2"/>
  <c r="V44" i="2"/>
  <c r="W44" i="2"/>
  <c r="X44" i="2"/>
  <c r="Y44" i="2"/>
  <c r="Z44" i="2"/>
  <c r="AA44" i="2"/>
  <c r="AB44" i="2"/>
  <c r="AC44" i="2"/>
  <c r="AD44" i="2"/>
  <c r="U45" i="2"/>
  <c r="V45" i="2"/>
  <c r="W45" i="2"/>
  <c r="X45" i="2"/>
  <c r="Y45" i="2"/>
  <c r="Z45" i="2"/>
  <c r="AA45" i="2"/>
  <c r="AB45" i="2"/>
  <c r="AC45" i="2"/>
  <c r="AD45" i="2"/>
  <c r="U46" i="2"/>
  <c r="V46" i="2"/>
  <c r="W46" i="2"/>
  <c r="X46" i="2"/>
  <c r="Y46" i="2"/>
  <c r="Z46" i="2"/>
  <c r="AA46" i="2"/>
  <c r="AB46" i="2"/>
  <c r="AC46" i="2"/>
  <c r="AD46" i="2"/>
  <c r="U47" i="2"/>
  <c r="V47" i="2"/>
  <c r="W47" i="2"/>
  <c r="X47" i="2"/>
  <c r="Y47" i="2"/>
  <c r="Z47" i="2"/>
  <c r="AA47" i="2"/>
  <c r="AB47" i="2"/>
  <c r="AC47" i="2"/>
  <c r="AD47" i="2"/>
  <c r="U48" i="2"/>
  <c r="V48" i="2"/>
  <c r="W48" i="2"/>
  <c r="X48" i="2"/>
  <c r="Y48" i="2"/>
  <c r="Z48" i="2"/>
  <c r="AA48" i="2"/>
  <c r="AB48" i="2"/>
  <c r="AC48" i="2"/>
  <c r="AD48" i="2"/>
  <c r="U49" i="2"/>
  <c r="V49" i="2"/>
  <c r="W49" i="2"/>
  <c r="X49" i="2"/>
  <c r="Y49" i="2"/>
  <c r="Z49" i="2"/>
  <c r="AA49" i="2"/>
  <c r="AB49" i="2"/>
  <c r="AC49" i="2"/>
  <c r="AD49" i="2"/>
  <c r="U50" i="2"/>
  <c r="V50" i="2"/>
  <c r="W50" i="2"/>
  <c r="X50" i="2"/>
  <c r="Y50" i="2"/>
  <c r="Z50" i="2"/>
  <c r="AA50" i="2"/>
  <c r="AB50" i="2"/>
  <c r="AC50" i="2"/>
  <c r="AD50" i="2"/>
  <c r="U51" i="2"/>
  <c r="V51" i="2"/>
  <c r="W51" i="2"/>
  <c r="X51" i="2"/>
  <c r="Y51" i="2"/>
  <c r="Z51" i="2"/>
  <c r="AA51" i="2"/>
  <c r="AB51" i="2"/>
  <c r="AC51" i="2"/>
  <c r="AD51" i="2"/>
  <c r="U52" i="2"/>
  <c r="V52" i="2"/>
  <c r="W52" i="2"/>
  <c r="X52" i="2"/>
  <c r="Y52" i="2"/>
  <c r="Z52" i="2"/>
  <c r="AA52" i="2"/>
  <c r="AB52" i="2"/>
  <c r="AC52" i="2"/>
  <c r="AD52" i="2"/>
  <c r="U53" i="2"/>
  <c r="V53" i="2"/>
  <c r="W53" i="2"/>
  <c r="X53" i="2"/>
  <c r="Y53" i="2"/>
  <c r="Z53" i="2"/>
  <c r="AA53" i="2"/>
  <c r="AB53" i="2"/>
  <c r="AC53" i="2"/>
  <c r="AD53" i="2"/>
  <c r="U54" i="2"/>
  <c r="V54" i="2"/>
  <c r="W54" i="2"/>
  <c r="X54" i="2"/>
  <c r="Y54" i="2"/>
  <c r="Z54" i="2"/>
  <c r="AA54" i="2"/>
  <c r="AB54" i="2"/>
  <c r="AC54" i="2"/>
  <c r="AD54" i="2"/>
  <c r="U55" i="2"/>
  <c r="V55" i="2"/>
  <c r="W55" i="2"/>
  <c r="X55" i="2"/>
  <c r="Y55" i="2"/>
  <c r="Z55" i="2"/>
  <c r="AA55" i="2"/>
  <c r="AB55" i="2"/>
  <c r="AC55" i="2"/>
  <c r="AD55" i="2"/>
  <c r="U56" i="2"/>
  <c r="V56" i="2"/>
  <c r="W56" i="2"/>
  <c r="X56" i="2"/>
  <c r="Y56" i="2"/>
  <c r="Z56" i="2"/>
  <c r="AA56" i="2"/>
  <c r="AB56" i="2"/>
  <c r="AC56" i="2"/>
  <c r="AD56" i="2"/>
  <c r="U57" i="2"/>
  <c r="V57" i="2"/>
  <c r="W57" i="2"/>
  <c r="X57" i="2"/>
  <c r="Y57" i="2"/>
  <c r="Z57" i="2"/>
  <c r="AA57" i="2"/>
  <c r="AB57" i="2"/>
  <c r="AC57" i="2"/>
  <c r="AD57" i="2"/>
  <c r="U58" i="2"/>
  <c r="V58" i="2"/>
  <c r="W58" i="2"/>
  <c r="X58" i="2"/>
  <c r="Y58" i="2"/>
  <c r="Z58" i="2"/>
  <c r="AA58" i="2"/>
  <c r="AB58" i="2"/>
  <c r="AC58" i="2"/>
  <c r="AD58" i="2"/>
  <c r="U59" i="2"/>
  <c r="V59" i="2"/>
  <c r="W59" i="2"/>
  <c r="X59" i="2"/>
  <c r="Y59" i="2"/>
  <c r="Z59" i="2"/>
  <c r="AA59" i="2"/>
  <c r="AB59" i="2"/>
  <c r="AC59" i="2"/>
  <c r="AD59" i="2"/>
  <c r="U60" i="2"/>
  <c r="V60" i="2"/>
  <c r="W60" i="2"/>
  <c r="X60" i="2"/>
  <c r="Y60" i="2"/>
  <c r="Z60" i="2"/>
  <c r="AA60" i="2"/>
  <c r="AB60" i="2"/>
  <c r="AC60" i="2"/>
  <c r="AD60" i="2"/>
  <c r="U61" i="2"/>
  <c r="V61" i="2"/>
  <c r="W61" i="2"/>
  <c r="X61" i="2"/>
  <c r="Y61" i="2"/>
  <c r="Z61" i="2"/>
  <c r="AA61" i="2"/>
  <c r="AB61" i="2"/>
  <c r="AC61" i="2"/>
  <c r="AD61" i="2"/>
  <c r="U62" i="2"/>
  <c r="V62" i="2"/>
  <c r="W62" i="2"/>
  <c r="X62" i="2"/>
  <c r="Y62" i="2"/>
  <c r="Z62" i="2"/>
  <c r="AA62" i="2"/>
  <c r="AB62" i="2"/>
  <c r="AC62" i="2"/>
  <c r="AD62" i="2"/>
  <c r="U63" i="2"/>
  <c r="V63" i="2"/>
  <c r="W63" i="2"/>
  <c r="X63" i="2"/>
  <c r="Y63" i="2"/>
  <c r="Z63" i="2"/>
  <c r="AA63" i="2"/>
  <c r="AB63" i="2"/>
  <c r="AC63" i="2"/>
  <c r="AD63" i="2"/>
  <c r="U64" i="2"/>
  <c r="V64" i="2"/>
  <c r="W64" i="2"/>
  <c r="X64" i="2"/>
  <c r="Y64" i="2"/>
  <c r="Z64" i="2"/>
  <c r="AA64" i="2"/>
  <c r="AB64" i="2"/>
  <c r="AC64" i="2"/>
  <c r="AD64" i="2"/>
  <c r="U65" i="2"/>
  <c r="V65" i="2"/>
  <c r="W65" i="2"/>
  <c r="X65" i="2"/>
  <c r="Y65" i="2"/>
  <c r="Z65" i="2"/>
  <c r="AA65" i="2"/>
  <c r="AB65" i="2"/>
  <c r="AC65" i="2"/>
  <c r="AD65" i="2"/>
  <c r="U66" i="2"/>
  <c r="V66" i="2"/>
  <c r="W66" i="2"/>
  <c r="X66" i="2"/>
  <c r="Y66" i="2"/>
  <c r="Z66" i="2"/>
  <c r="AA66" i="2"/>
  <c r="AB66" i="2"/>
  <c r="AC66" i="2"/>
  <c r="AD66" i="2"/>
  <c r="U67" i="2"/>
  <c r="V67" i="2"/>
  <c r="W67" i="2"/>
  <c r="X67" i="2"/>
  <c r="Y67" i="2"/>
  <c r="Z67" i="2"/>
  <c r="AA67" i="2"/>
  <c r="AB67" i="2"/>
  <c r="AC67" i="2"/>
  <c r="AD67" i="2"/>
  <c r="U68" i="2"/>
  <c r="V68" i="2"/>
  <c r="W68" i="2"/>
  <c r="X68" i="2"/>
  <c r="Y68" i="2"/>
  <c r="Z68" i="2"/>
  <c r="AA68" i="2"/>
  <c r="AB68" i="2"/>
  <c r="AC68" i="2"/>
  <c r="AD68" i="2"/>
  <c r="U69" i="2"/>
  <c r="V69" i="2"/>
  <c r="W69" i="2"/>
  <c r="X69" i="2"/>
  <c r="Y69" i="2"/>
  <c r="Z69" i="2"/>
  <c r="AA69" i="2"/>
  <c r="AB69" i="2"/>
  <c r="AC69" i="2"/>
  <c r="AD69" i="2"/>
  <c r="U70" i="2"/>
  <c r="V70" i="2"/>
  <c r="W70" i="2"/>
  <c r="X70" i="2"/>
  <c r="Y70" i="2"/>
  <c r="Z70" i="2"/>
  <c r="AA70" i="2"/>
  <c r="AB70" i="2"/>
  <c r="AC70" i="2"/>
  <c r="AD70" i="2"/>
  <c r="U71" i="2"/>
  <c r="V71" i="2"/>
  <c r="W71" i="2"/>
  <c r="X71" i="2"/>
  <c r="Y71" i="2"/>
  <c r="Z71" i="2"/>
  <c r="AA71" i="2"/>
  <c r="AB71" i="2"/>
  <c r="AC71" i="2"/>
  <c r="AD71" i="2"/>
  <c r="U72" i="2"/>
  <c r="V72" i="2"/>
  <c r="W72" i="2"/>
  <c r="X72" i="2"/>
  <c r="Y72" i="2"/>
  <c r="Z72" i="2"/>
  <c r="AA72" i="2"/>
  <c r="AB72" i="2"/>
  <c r="AC72" i="2"/>
  <c r="AD72" i="2"/>
  <c r="U73" i="2"/>
  <c r="V73" i="2"/>
  <c r="W73" i="2"/>
  <c r="X73" i="2"/>
  <c r="Y73" i="2"/>
  <c r="Z73" i="2"/>
  <c r="AA73" i="2"/>
  <c r="AB73" i="2"/>
  <c r="AC73" i="2"/>
  <c r="AD73" i="2"/>
  <c r="U74" i="2"/>
  <c r="V74" i="2"/>
  <c r="W74" i="2"/>
  <c r="X74" i="2"/>
  <c r="Y74" i="2"/>
  <c r="Z74" i="2"/>
  <c r="AA74" i="2"/>
  <c r="AB74" i="2"/>
  <c r="AC74" i="2"/>
  <c r="AD74" i="2"/>
  <c r="U75" i="2"/>
  <c r="V75" i="2"/>
  <c r="W75" i="2"/>
  <c r="X75" i="2"/>
  <c r="Y75" i="2"/>
  <c r="Z75" i="2"/>
  <c r="AA75" i="2"/>
  <c r="AB75" i="2"/>
  <c r="AC75" i="2"/>
  <c r="AD75" i="2"/>
  <c r="U76" i="2"/>
  <c r="V76" i="2"/>
  <c r="W76" i="2"/>
  <c r="X76" i="2"/>
  <c r="Y76" i="2"/>
  <c r="Z76" i="2"/>
  <c r="AA76" i="2"/>
  <c r="AB76" i="2"/>
  <c r="AC76" i="2"/>
  <c r="AD76" i="2"/>
  <c r="U77" i="2"/>
  <c r="V77" i="2"/>
  <c r="W77" i="2"/>
  <c r="X77" i="2"/>
  <c r="Y77" i="2"/>
  <c r="Z77" i="2"/>
  <c r="AA77" i="2"/>
  <c r="AB77" i="2"/>
  <c r="AC77" i="2"/>
  <c r="AD77" i="2"/>
  <c r="U78" i="2"/>
  <c r="V78" i="2"/>
  <c r="W78" i="2"/>
  <c r="X78" i="2"/>
  <c r="Y78" i="2"/>
  <c r="Z78" i="2"/>
  <c r="AA78" i="2"/>
  <c r="AB78" i="2"/>
  <c r="AC78" i="2"/>
  <c r="AD78" i="2"/>
  <c r="U79" i="2"/>
  <c r="V79" i="2"/>
  <c r="W79" i="2"/>
  <c r="X79" i="2"/>
  <c r="Y79" i="2"/>
  <c r="Z79" i="2"/>
  <c r="AA79" i="2"/>
  <c r="AB79" i="2"/>
  <c r="AC79" i="2"/>
  <c r="AD79" i="2"/>
  <c r="U80" i="2"/>
  <c r="V80" i="2"/>
  <c r="W80" i="2"/>
  <c r="X80" i="2"/>
  <c r="Y80" i="2"/>
  <c r="Z80" i="2"/>
  <c r="AA80" i="2"/>
  <c r="AB80" i="2"/>
  <c r="AC80" i="2"/>
  <c r="AD80" i="2"/>
  <c r="U81" i="2"/>
  <c r="V81" i="2"/>
  <c r="W81" i="2"/>
  <c r="X81" i="2"/>
  <c r="Y81" i="2"/>
  <c r="Z81" i="2"/>
  <c r="AA81" i="2"/>
  <c r="AB81" i="2"/>
  <c r="AC81" i="2"/>
  <c r="AD81" i="2"/>
  <c r="U82" i="2"/>
  <c r="V82" i="2"/>
  <c r="W82" i="2"/>
  <c r="X82" i="2"/>
  <c r="Y82" i="2"/>
  <c r="Z82" i="2"/>
  <c r="AA82" i="2"/>
  <c r="AB82" i="2"/>
  <c r="AC82" i="2"/>
  <c r="AD82" i="2"/>
  <c r="U83" i="2"/>
  <c r="V83" i="2"/>
  <c r="W83" i="2"/>
  <c r="X83" i="2"/>
  <c r="Y83" i="2"/>
  <c r="Z83" i="2"/>
  <c r="AA83" i="2"/>
  <c r="AB83" i="2"/>
  <c r="AC83" i="2"/>
  <c r="AD83" i="2"/>
  <c r="U84" i="2"/>
  <c r="V84" i="2"/>
  <c r="W84" i="2"/>
  <c r="X84" i="2"/>
  <c r="Y84" i="2"/>
  <c r="Z84" i="2"/>
  <c r="AA84" i="2"/>
  <c r="AB84" i="2"/>
  <c r="AC84" i="2"/>
  <c r="AD84" i="2"/>
  <c r="U85" i="2"/>
  <c r="V85" i="2"/>
  <c r="W85" i="2"/>
  <c r="X85" i="2"/>
  <c r="Y85" i="2"/>
  <c r="Z85" i="2"/>
  <c r="AA85" i="2"/>
  <c r="AB85" i="2"/>
  <c r="AC85" i="2"/>
  <c r="AD85" i="2"/>
  <c r="U86" i="2"/>
  <c r="V86" i="2"/>
  <c r="W86" i="2"/>
  <c r="X86" i="2"/>
  <c r="Y86" i="2"/>
  <c r="Z86" i="2"/>
  <c r="AA86" i="2"/>
  <c r="AB86" i="2"/>
  <c r="AC86" i="2"/>
  <c r="AD86" i="2"/>
  <c r="U87" i="2"/>
  <c r="V87" i="2"/>
  <c r="W87" i="2"/>
  <c r="X87" i="2"/>
  <c r="Y87" i="2"/>
  <c r="Z87" i="2"/>
  <c r="AA87" i="2"/>
  <c r="AB87" i="2"/>
  <c r="AC87" i="2"/>
  <c r="AD87" i="2"/>
  <c r="U88" i="2"/>
  <c r="V88" i="2"/>
  <c r="W88" i="2"/>
  <c r="X88" i="2"/>
  <c r="Y88" i="2"/>
  <c r="Z88" i="2"/>
  <c r="AA88" i="2"/>
  <c r="AB88" i="2"/>
  <c r="AC88" i="2"/>
  <c r="AD88" i="2"/>
  <c r="U89" i="2"/>
  <c r="V89" i="2"/>
  <c r="W89" i="2"/>
  <c r="X89" i="2"/>
  <c r="Y89" i="2"/>
  <c r="Z89" i="2"/>
  <c r="AA89" i="2"/>
  <c r="AB89" i="2"/>
  <c r="AC89" i="2"/>
  <c r="AD89" i="2"/>
  <c r="U90" i="2"/>
  <c r="V90" i="2"/>
  <c r="W90" i="2"/>
  <c r="X90" i="2"/>
  <c r="Y90" i="2"/>
  <c r="Z90" i="2"/>
  <c r="AA90" i="2"/>
  <c r="AB90" i="2"/>
  <c r="AC90" i="2"/>
  <c r="AD90" i="2"/>
  <c r="U91" i="2"/>
  <c r="V91" i="2"/>
  <c r="W91" i="2"/>
  <c r="X91" i="2"/>
  <c r="Y91" i="2"/>
  <c r="Z91" i="2"/>
  <c r="AA91" i="2"/>
  <c r="AB91" i="2"/>
  <c r="AC91" i="2"/>
  <c r="AD91" i="2"/>
  <c r="U92" i="2"/>
  <c r="V92" i="2"/>
  <c r="W92" i="2"/>
  <c r="X92" i="2"/>
  <c r="Y92" i="2"/>
  <c r="Z92" i="2"/>
  <c r="AA92" i="2"/>
  <c r="AB92" i="2"/>
  <c r="AC92" i="2"/>
  <c r="AD92" i="2"/>
  <c r="U93" i="2"/>
  <c r="V93" i="2"/>
  <c r="W93" i="2"/>
  <c r="X93" i="2"/>
  <c r="Y93" i="2"/>
  <c r="Z93" i="2"/>
  <c r="AA93" i="2"/>
  <c r="AB93" i="2"/>
  <c r="AC93" i="2"/>
  <c r="AD93" i="2"/>
  <c r="U94" i="2"/>
  <c r="V94" i="2"/>
  <c r="W94" i="2"/>
  <c r="X94" i="2"/>
  <c r="Y94" i="2"/>
  <c r="Z94" i="2"/>
  <c r="AA94" i="2"/>
  <c r="AB94" i="2"/>
  <c r="AC94" i="2"/>
  <c r="AD94" i="2"/>
  <c r="U95" i="2"/>
  <c r="V95" i="2"/>
  <c r="W95" i="2"/>
  <c r="X95" i="2"/>
  <c r="Y95" i="2"/>
  <c r="Z95" i="2"/>
  <c r="AA95" i="2"/>
  <c r="AB95" i="2"/>
  <c r="AC95" i="2"/>
  <c r="AD95" i="2"/>
  <c r="U96" i="2"/>
  <c r="V96" i="2"/>
  <c r="W96" i="2"/>
  <c r="X96" i="2"/>
  <c r="Y96" i="2"/>
  <c r="Z96" i="2"/>
  <c r="AA96" i="2"/>
  <c r="AB96" i="2"/>
  <c r="AC96" i="2"/>
  <c r="AD96" i="2"/>
  <c r="U97" i="2"/>
  <c r="V97" i="2"/>
  <c r="W97" i="2"/>
  <c r="X97" i="2"/>
  <c r="Y97" i="2"/>
  <c r="Z97" i="2"/>
  <c r="AA97" i="2"/>
  <c r="AB97" i="2"/>
  <c r="AC97" i="2"/>
  <c r="AD97" i="2"/>
  <c r="U98" i="2"/>
  <c r="V98" i="2"/>
  <c r="W98" i="2"/>
  <c r="X98" i="2"/>
  <c r="Y98" i="2"/>
  <c r="Z98" i="2"/>
  <c r="AA98" i="2"/>
  <c r="AB98" i="2"/>
  <c r="AC98" i="2"/>
  <c r="AD98" i="2"/>
  <c r="U99" i="2"/>
  <c r="V99" i="2"/>
  <c r="W99" i="2"/>
  <c r="X99" i="2"/>
  <c r="Y99" i="2"/>
  <c r="Z99" i="2"/>
  <c r="AA99" i="2"/>
  <c r="AB99" i="2"/>
  <c r="AC99" i="2"/>
  <c r="AD99" i="2"/>
  <c r="U100" i="2"/>
  <c r="V100" i="2"/>
  <c r="W100" i="2"/>
  <c r="X100" i="2"/>
  <c r="Y100" i="2"/>
  <c r="Z100" i="2"/>
  <c r="AA100" i="2"/>
  <c r="AB100" i="2"/>
  <c r="AC100" i="2"/>
  <c r="AD100" i="2"/>
  <c r="U101" i="2"/>
  <c r="V101" i="2"/>
  <c r="W101" i="2"/>
  <c r="X101" i="2"/>
  <c r="Y101" i="2"/>
  <c r="Z101" i="2"/>
  <c r="AA101" i="2"/>
  <c r="AB101" i="2"/>
  <c r="AC101" i="2"/>
  <c r="AD101" i="2"/>
  <c r="U102" i="2"/>
  <c r="V102" i="2"/>
  <c r="W102" i="2"/>
  <c r="X102" i="2"/>
  <c r="Y102" i="2"/>
  <c r="Z102" i="2"/>
  <c r="AA102" i="2"/>
  <c r="AB102" i="2"/>
  <c r="AC102" i="2"/>
  <c r="AD102" i="2"/>
  <c r="U103" i="2"/>
  <c r="V103" i="2"/>
  <c r="W103" i="2"/>
  <c r="X103" i="2"/>
  <c r="Y103" i="2"/>
  <c r="Z103" i="2"/>
  <c r="AA103" i="2"/>
  <c r="AB103" i="2"/>
  <c r="AC103" i="2"/>
  <c r="AD103" i="2"/>
  <c r="U104" i="2"/>
  <c r="V104" i="2"/>
  <c r="W104" i="2"/>
  <c r="X104" i="2"/>
  <c r="Y104" i="2"/>
  <c r="Z104" i="2"/>
  <c r="AA104" i="2"/>
  <c r="AB104" i="2"/>
  <c r="AC104" i="2"/>
  <c r="AD104" i="2"/>
  <c r="U105" i="2"/>
  <c r="V105" i="2"/>
  <c r="W105" i="2"/>
  <c r="X105" i="2"/>
  <c r="Y105" i="2"/>
  <c r="Z105" i="2"/>
  <c r="AA105" i="2"/>
  <c r="AB105" i="2"/>
  <c r="AC105" i="2"/>
  <c r="AD105" i="2"/>
  <c r="U106" i="2"/>
  <c r="V106" i="2"/>
  <c r="W106" i="2"/>
  <c r="X106" i="2"/>
  <c r="Y106" i="2"/>
  <c r="Z106" i="2"/>
  <c r="AA106" i="2"/>
  <c r="AB106" i="2"/>
  <c r="AC106" i="2"/>
  <c r="AD106" i="2"/>
  <c r="U107" i="2"/>
  <c r="V107" i="2"/>
  <c r="W107" i="2"/>
  <c r="X107" i="2"/>
  <c r="Y107" i="2"/>
  <c r="Z107" i="2"/>
  <c r="AA107" i="2"/>
  <c r="AB107" i="2"/>
  <c r="AC107" i="2"/>
  <c r="AD107" i="2"/>
  <c r="U108" i="2"/>
  <c r="V108" i="2"/>
  <c r="W108" i="2"/>
  <c r="X108" i="2"/>
  <c r="Y108" i="2"/>
  <c r="Z108" i="2"/>
  <c r="AA108" i="2"/>
  <c r="AB108" i="2"/>
  <c r="AC108" i="2"/>
  <c r="AD108" i="2"/>
  <c r="U109" i="2"/>
  <c r="V109" i="2"/>
  <c r="W109" i="2"/>
  <c r="X109" i="2"/>
  <c r="Y109" i="2"/>
  <c r="Z109" i="2"/>
  <c r="AA109" i="2"/>
  <c r="AB109" i="2"/>
  <c r="AC109" i="2"/>
  <c r="AD109" i="2"/>
  <c r="U110" i="2"/>
  <c r="V110" i="2"/>
  <c r="W110" i="2"/>
  <c r="X110" i="2"/>
  <c r="Y110" i="2"/>
  <c r="Z110" i="2"/>
  <c r="AA110" i="2"/>
  <c r="AB110" i="2"/>
  <c r="AC110" i="2"/>
  <c r="AD110" i="2"/>
  <c r="U111" i="2"/>
  <c r="V111" i="2"/>
  <c r="W111" i="2"/>
  <c r="X111" i="2"/>
  <c r="Y111" i="2"/>
  <c r="Z111" i="2"/>
  <c r="AA111" i="2"/>
  <c r="AB111" i="2"/>
  <c r="AC111" i="2"/>
  <c r="AD111" i="2"/>
  <c r="U112" i="2"/>
  <c r="V112" i="2"/>
  <c r="W112" i="2"/>
  <c r="X112" i="2"/>
  <c r="Y112" i="2"/>
  <c r="Z112" i="2"/>
  <c r="AA112" i="2"/>
  <c r="AB112" i="2"/>
  <c r="AC112" i="2"/>
  <c r="AD112" i="2"/>
  <c r="U113" i="2"/>
  <c r="V113" i="2"/>
  <c r="W113" i="2"/>
  <c r="X113" i="2"/>
  <c r="Y113" i="2"/>
  <c r="Z113" i="2"/>
  <c r="AA113" i="2"/>
  <c r="AB113" i="2"/>
  <c r="AC113" i="2"/>
  <c r="AD113" i="2"/>
  <c r="U114" i="2"/>
  <c r="V114" i="2"/>
  <c r="W114" i="2"/>
  <c r="X114" i="2"/>
  <c r="Y114" i="2"/>
  <c r="Z114" i="2"/>
  <c r="AA114" i="2"/>
  <c r="AB114" i="2"/>
  <c r="AC114" i="2"/>
  <c r="AD114" i="2"/>
  <c r="U115" i="2"/>
  <c r="V115" i="2"/>
  <c r="W115" i="2"/>
  <c r="X115" i="2"/>
  <c r="Y115" i="2"/>
  <c r="Z115" i="2"/>
  <c r="AA115" i="2"/>
  <c r="AB115" i="2"/>
  <c r="AC115" i="2"/>
  <c r="AD115" i="2"/>
  <c r="U116" i="2"/>
  <c r="V116" i="2"/>
  <c r="W116" i="2"/>
  <c r="X116" i="2"/>
  <c r="Y116" i="2"/>
  <c r="Z116" i="2"/>
  <c r="AA116" i="2"/>
  <c r="AB116" i="2"/>
  <c r="AC116" i="2"/>
  <c r="AD116" i="2"/>
  <c r="U117" i="2"/>
  <c r="V117" i="2"/>
  <c r="W117" i="2"/>
  <c r="X117" i="2"/>
  <c r="Y117" i="2"/>
  <c r="Z117" i="2"/>
  <c r="AA117" i="2"/>
  <c r="AB117" i="2"/>
  <c r="AC117" i="2"/>
  <c r="AD117" i="2"/>
  <c r="U118" i="2"/>
  <c r="V118" i="2"/>
  <c r="W118" i="2"/>
  <c r="X118" i="2"/>
  <c r="Y118" i="2"/>
  <c r="Z118" i="2"/>
  <c r="AA118" i="2"/>
  <c r="AB118" i="2"/>
  <c r="AC118" i="2"/>
  <c r="AD118" i="2"/>
  <c r="U119" i="2"/>
  <c r="V119" i="2"/>
  <c r="W119" i="2"/>
  <c r="X119" i="2"/>
  <c r="Y119" i="2"/>
  <c r="Z119" i="2"/>
  <c r="AA119" i="2"/>
  <c r="AB119" i="2"/>
  <c r="AC119" i="2"/>
  <c r="AD119" i="2"/>
  <c r="U120" i="2"/>
  <c r="V120" i="2"/>
  <c r="W120" i="2"/>
  <c r="X120" i="2"/>
  <c r="Y120" i="2"/>
  <c r="Z120" i="2"/>
  <c r="AA120" i="2"/>
  <c r="AB120" i="2"/>
  <c r="AC120" i="2"/>
  <c r="AD120" i="2"/>
  <c r="U121" i="2"/>
  <c r="V121" i="2"/>
  <c r="W121" i="2"/>
  <c r="X121" i="2"/>
  <c r="Y121" i="2"/>
  <c r="Z121" i="2"/>
  <c r="AA121" i="2"/>
  <c r="AB121" i="2"/>
  <c r="AC121" i="2"/>
  <c r="AD121" i="2"/>
  <c r="U122" i="2"/>
  <c r="V122" i="2"/>
  <c r="W122" i="2"/>
  <c r="X122" i="2"/>
  <c r="Y122" i="2"/>
  <c r="Z122" i="2"/>
  <c r="AA122" i="2"/>
  <c r="AB122" i="2"/>
  <c r="AC122" i="2"/>
  <c r="AD122" i="2"/>
  <c r="U123" i="2"/>
  <c r="V123" i="2"/>
  <c r="W123" i="2"/>
  <c r="X123" i="2"/>
  <c r="Y123" i="2"/>
  <c r="Z123" i="2"/>
  <c r="AA123" i="2"/>
  <c r="AB123" i="2"/>
  <c r="AC123" i="2"/>
  <c r="AD123" i="2"/>
  <c r="U124" i="2"/>
  <c r="V124" i="2"/>
  <c r="W124" i="2"/>
  <c r="X124" i="2"/>
  <c r="Y124" i="2"/>
  <c r="Z124" i="2"/>
  <c r="AA124" i="2"/>
  <c r="AB124" i="2"/>
  <c r="AC124" i="2"/>
  <c r="AD124" i="2"/>
  <c r="U125" i="2"/>
  <c r="V125" i="2"/>
  <c r="W125" i="2"/>
  <c r="X125" i="2"/>
  <c r="Y125" i="2"/>
  <c r="Z125" i="2"/>
  <c r="AA125" i="2"/>
  <c r="AB125" i="2"/>
  <c r="AC125" i="2"/>
  <c r="AD125" i="2"/>
  <c r="U126" i="2"/>
  <c r="V126" i="2"/>
  <c r="W126" i="2"/>
  <c r="X126" i="2"/>
  <c r="Y126" i="2"/>
  <c r="Z126" i="2"/>
  <c r="AA126" i="2"/>
  <c r="AB126" i="2"/>
  <c r="AC126" i="2"/>
  <c r="AD126" i="2"/>
  <c r="U127" i="2"/>
  <c r="V127" i="2"/>
  <c r="W127" i="2"/>
  <c r="X127" i="2"/>
  <c r="Y127" i="2"/>
  <c r="Z127" i="2"/>
  <c r="AA127" i="2"/>
  <c r="AB127" i="2"/>
  <c r="AC127" i="2"/>
  <c r="AD127" i="2"/>
  <c r="U128" i="2"/>
  <c r="V128" i="2"/>
  <c r="W128" i="2"/>
  <c r="X128" i="2"/>
  <c r="Y128" i="2"/>
  <c r="Z128" i="2"/>
  <c r="AA128" i="2"/>
  <c r="AB128" i="2"/>
  <c r="AC128" i="2"/>
  <c r="AD128" i="2"/>
  <c r="U129" i="2"/>
  <c r="V129" i="2"/>
  <c r="W129" i="2"/>
  <c r="X129" i="2"/>
  <c r="Y129" i="2"/>
  <c r="Z129" i="2"/>
  <c r="AA129" i="2"/>
  <c r="AB129" i="2"/>
  <c r="AC129" i="2"/>
  <c r="AD129" i="2"/>
  <c r="U130" i="2"/>
  <c r="V130" i="2"/>
  <c r="W130" i="2"/>
  <c r="X130" i="2"/>
  <c r="Y130" i="2"/>
  <c r="Z130" i="2"/>
  <c r="AA130" i="2"/>
  <c r="AB130" i="2"/>
  <c r="AC130" i="2"/>
  <c r="AD130" i="2"/>
  <c r="U131" i="2"/>
  <c r="V131" i="2"/>
  <c r="W131" i="2"/>
  <c r="X131" i="2"/>
  <c r="Y131" i="2"/>
  <c r="Z131" i="2"/>
  <c r="AA131" i="2"/>
  <c r="AB131" i="2"/>
  <c r="AC131" i="2"/>
  <c r="AD131" i="2"/>
  <c r="U132" i="2"/>
  <c r="V132" i="2"/>
  <c r="W132" i="2"/>
  <c r="X132" i="2"/>
  <c r="Y132" i="2"/>
  <c r="Z132" i="2"/>
  <c r="AA132" i="2"/>
  <c r="AB132" i="2"/>
  <c r="AC132" i="2"/>
  <c r="AD132" i="2"/>
  <c r="U133" i="2"/>
  <c r="V133" i="2"/>
  <c r="W133" i="2"/>
  <c r="X133" i="2"/>
  <c r="Y133" i="2"/>
  <c r="Z133" i="2"/>
  <c r="AA133" i="2"/>
  <c r="AB133" i="2"/>
  <c r="AC133" i="2"/>
  <c r="AD133" i="2"/>
  <c r="U134" i="2"/>
  <c r="V134" i="2"/>
  <c r="W134" i="2"/>
  <c r="X134" i="2"/>
  <c r="Y134" i="2"/>
  <c r="Z134" i="2"/>
  <c r="AA134" i="2"/>
  <c r="AB134" i="2"/>
  <c r="AC134" i="2"/>
  <c r="AD134" i="2"/>
  <c r="U135" i="2"/>
  <c r="V135" i="2"/>
  <c r="W135" i="2"/>
  <c r="X135" i="2"/>
  <c r="Y135" i="2"/>
  <c r="Z135" i="2"/>
  <c r="AA135" i="2"/>
  <c r="AB135" i="2"/>
  <c r="AC135" i="2"/>
  <c r="AD135" i="2"/>
  <c r="U136" i="2"/>
  <c r="V136" i="2"/>
  <c r="W136" i="2"/>
  <c r="X136" i="2"/>
  <c r="Y136" i="2"/>
  <c r="Z136" i="2"/>
  <c r="AA136" i="2"/>
  <c r="AB136" i="2"/>
  <c r="AC136" i="2"/>
  <c r="AD136" i="2"/>
  <c r="U137" i="2"/>
  <c r="V137" i="2"/>
  <c r="W137" i="2"/>
  <c r="X137" i="2"/>
  <c r="Y137" i="2"/>
  <c r="Z137" i="2"/>
  <c r="AA137" i="2"/>
  <c r="AB137" i="2"/>
  <c r="AC137" i="2"/>
  <c r="AD137" i="2"/>
  <c r="U138" i="2"/>
  <c r="V138" i="2"/>
  <c r="W138" i="2"/>
  <c r="X138" i="2"/>
  <c r="Y138" i="2"/>
  <c r="Z138" i="2"/>
  <c r="AA138" i="2"/>
  <c r="AB138" i="2"/>
  <c r="AC138" i="2"/>
  <c r="AD138" i="2"/>
  <c r="U139" i="2"/>
  <c r="V139" i="2"/>
  <c r="W139" i="2"/>
  <c r="X139" i="2"/>
  <c r="Y139" i="2"/>
  <c r="Z139" i="2"/>
  <c r="AA139" i="2"/>
  <c r="AB139" i="2"/>
  <c r="AC139" i="2"/>
  <c r="AD139" i="2"/>
  <c r="U140" i="2"/>
  <c r="V140" i="2"/>
  <c r="W140" i="2"/>
  <c r="X140" i="2"/>
  <c r="Y140" i="2"/>
  <c r="Z140" i="2"/>
  <c r="AA140" i="2"/>
  <c r="AB140" i="2"/>
  <c r="AC140" i="2"/>
  <c r="AD140" i="2"/>
  <c r="U141" i="2"/>
  <c r="V141" i="2"/>
  <c r="W141" i="2"/>
  <c r="X141" i="2"/>
  <c r="Y141" i="2"/>
  <c r="Z141" i="2"/>
  <c r="AA141" i="2"/>
  <c r="AB141" i="2"/>
  <c r="AC141" i="2"/>
  <c r="AD141" i="2"/>
  <c r="U142" i="2"/>
  <c r="V142" i="2"/>
  <c r="W142" i="2"/>
  <c r="X142" i="2"/>
  <c r="Y142" i="2"/>
  <c r="Z142" i="2"/>
  <c r="AA142" i="2"/>
  <c r="AB142" i="2"/>
  <c r="AC142" i="2"/>
  <c r="AD142" i="2"/>
  <c r="U143" i="2"/>
  <c r="V143" i="2"/>
  <c r="W143" i="2"/>
  <c r="X143" i="2"/>
  <c r="Y143" i="2"/>
  <c r="Z143" i="2"/>
  <c r="AA143" i="2"/>
  <c r="AB143" i="2"/>
  <c r="AC143" i="2"/>
  <c r="AD143" i="2"/>
  <c r="U144" i="2"/>
  <c r="V144" i="2"/>
  <c r="W144" i="2"/>
  <c r="X144" i="2"/>
  <c r="Y144" i="2"/>
  <c r="Z144" i="2"/>
  <c r="AA144" i="2"/>
  <c r="AB144" i="2"/>
  <c r="AC144" i="2"/>
  <c r="AD144" i="2"/>
  <c r="U145" i="2"/>
  <c r="V145" i="2"/>
  <c r="W145" i="2"/>
  <c r="X145" i="2"/>
  <c r="Y145" i="2"/>
  <c r="Z145" i="2"/>
  <c r="AA145" i="2"/>
  <c r="AB145" i="2"/>
  <c r="AC145" i="2"/>
  <c r="AD145" i="2"/>
  <c r="U146" i="2"/>
  <c r="V146" i="2"/>
  <c r="W146" i="2"/>
  <c r="X146" i="2"/>
  <c r="Y146" i="2"/>
  <c r="Z146" i="2"/>
  <c r="AA146" i="2"/>
  <c r="AB146" i="2"/>
  <c r="AC146" i="2"/>
  <c r="AD146" i="2"/>
  <c r="U147" i="2"/>
  <c r="V147" i="2"/>
  <c r="W147" i="2"/>
  <c r="X147" i="2"/>
  <c r="Y147" i="2"/>
  <c r="Z147" i="2"/>
  <c r="AA147" i="2"/>
  <c r="AB147" i="2"/>
  <c r="AC147" i="2"/>
  <c r="AD147" i="2"/>
  <c r="U148" i="2"/>
  <c r="V148" i="2"/>
  <c r="W148" i="2"/>
  <c r="X148" i="2"/>
  <c r="Y148" i="2"/>
  <c r="Z148" i="2"/>
  <c r="AA148" i="2"/>
  <c r="AB148" i="2"/>
  <c r="AC148" i="2"/>
  <c r="AD148" i="2"/>
  <c r="U149" i="2"/>
  <c r="V149" i="2"/>
  <c r="W149" i="2"/>
  <c r="X149" i="2"/>
  <c r="Y149" i="2"/>
  <c r="Z149" i="2"/>
  <c r="AA149" i="2"/>
  <c r="AB149" i="2"/>
  <c r="AC149" i="2"/>
  <c r="AD149" i="2"/>
  <c r="U150" i="2"/>
  <c r="V150" i="2"/>
  <c r="W150" i="2"/>
  <c r="X150" i="2"/>
  <c r="Y150" i="2"/>
  <c r="Z150" i="2"/>
  <c r="AA150" i="2"/>
  <c r="AB150" i="2"/>
  <c r="AC150" i="2"/>
  <c r="AD150" i="2"/>
  <c r="U151" i="2"/>
  <c r="V151" i="2"/>
  <c r="W151" i="2"/>
  <c r="X151" i="2"/>
  <c r="Y151" i="2"/>
  <c r="Z151" i="2"/>
  <c r="AA151" i="2"/>
  <c r="AB151" i="2"/>
  <c r="AC151" i="2"/>
  <c r="AD151" i="2"/>
  <c r="U152" i="2"/>
  <c r="V152" i="2"/>
  <c r="W152" i="2"/>
  <c r="X152" i="2"/>
  <c r="Y152" i="2"/>
  <c r="Z152" i="2"/>
  <c r="AA152" i="2"/>
  <c r="AB152" i="2"/>
  <c r="AC152" i="2"/>
  <c r="AD152" i="2"/>
  <c r="U153" i="2"/>
  <c r="V153" i="2"/>
  <c r="W153" i="2"/>
  <c r="X153" i="2"/>
  <c r="Y153" i="2"/>
  <c r="Z153" i="2"/>
  <c r="AA153" i="2"/>
  <c r="AB153" i="2"/>
  <c r="AC153" i="2"/>
  <c r="AD153" i="2"/>
  <c r="U154" i="2"/>
  <c r="V154" i="2"/>
  <c r="W154" i="2"/>
  <c r="X154" i="2"/>
  <c r="Y154" i="2"/>
  <c r="Z154" i="2"/>
  <c r="AA154" i="2"/>
  <c r="AB154" i="2"/>
  <c r="AC154" i="2"/>
  <c r="AD154" i="2"/>
  <c r="U155" i="2"/>
  <c r="V155" i="2"/>
  <c r="W155" i="2"/>
  <c r="X155" i="2"/>
  <c r="Y155" i="2"/>
  <c r="Z155" i="2"/>
  <c r="AA155" i="2"/>
  <c r="AB155" i="2"/>
  <c r="AC155" i="2"/>
  <c r="AD155" i="2"/>
  <c r="U156" i="2"/>
  <c r="V156" i="2"/>
  <c r="W156" i="2"/>
  <c r="X156" i="2"/>
  <c r="Y156" i="2"/>
  <c r="Z156" i="2"/>
  <c r="AA156" i="2"/>
  <c r="AB156" i="2"/>
  <c r="AC156" i="2"/>
  <c r="AD156" i="2"/>
  <c r="U157" i="2"/>
  <c r="V157" i="2"/>
  <c r="W157" i="2"/>
  <c r="X157" i="2"/>
  <c r="Y157" i="2"/>
  <c r="Z157" i="2"/>
  <c r="AA157" i="2"/>
  <c r="AB157" i="2"/>
  <c r="AC157" i="2"/>
  <c r="AD157" i="2"/>
  <c r="U158" i="2"/>
  <c r="V158" i="2"/>
  <c r="W158" i="2"/>
  <c r="X158" i="2"/>
  <c r="Y158" i="2"/>
  <c r="Z158" i="2"/>
  <c r="AA158" i="2"/>
  <c r="AB158" i="2"/>
  <c r="AC158" i="2"/>
  <c r="AD158" i="2"/>
  <c r="U159" i="2"/>
  <c r="V159" i="2"/>
  <c r="W159" i="2"/>
  <c r="X159" i="2"/>
  <c r="Y159" i="2"/>
  <c r="Z159" i="2"/>
  <c r="AA159" i="2"/>
  <c r="AB159" i="2"/>
  <c r="AC159" i="2"/>
  <c r="AD159" i="2"/>
  <c r="U160" i="2"/>
  <c r="V160" i="2"/>
  <c r="W160" i="2"/>
  <c r="X160" i="2"/>
  <c r="Y160" i="2"/>
  <c r="Z160" i="2"/>
  <c r="AA160" i="2"/>
  <c r="AB160" i="2"/>
  <c r="AC160" i="2"/>
  <c r="AD160" i="2"/>
  <c r="U161" i="2"/>
  <c r="V161" i="2"/>
  <c r="W161" i="2"/>
  <c r="X161" i="2"/>
  <c r="Y161" i="2"/>
  <c r="Z161" i="2"/>
  <c r="AA161" i="2"/>
  <c r="AB161" i="2"/>
  <c r="AC161" i="2"/>
  <c r="AD161" i="2"/>
  <c r="U162" i="2"/>
  <c r="V162" i="2"/>
  <c r="W162" i="2"/>
  <c r="X162" i="2"/>
  <c r="Y162" i="2"/>
  <c r="Z162" i="2"/>
  <c r="AA162" i="2"/>
  <c r="AB162" i="2"/>
  <c r="AC162" i="2"/>
  <c r="AD162" i="2"/>
  <c r="U163" i="2"/>
  <c r="V163" i="2"/>
  <c r="W163" i="2"/>
  <c r="X163" i="2"/>
  <c r="Y163" i="2"/>
  <c r="Z163" i="2"/>
  <c r="AA163" i="2"/>
  <c r="AB163" i="2"/>
  <c r="AC163" i="2"/>
  <c r="AD163" i="2"/>
  <c r="U164" i="2"/>
  <c r="V164" i="2"/>
  <c r="W164" i="2"/>
  <c r="X164" i="2"/>
  <c r="Y164" i="2"/>
  <c r="Z164" i="2"/>
  <c r="AA164" i="2"/>
  <c r="AB164" i="2"/>
  <c r="AC164" i="2"/>
  <c r="AD164" i="2"/>
  <c r="U165" i="2"/>
  <c r="V165" i="2"/>
  <c r="W165" i="2"/>
  <c r="X165" i="2"/>
  <c r="Y165" i="2"/>
  <c r="Z165" i="2"/>
  <c r="AA165" i="2"/>
  <c r="AB165" i="2"/>
  <c r="AC165" i="2"/>
  <c r="AD165" i="2"/>
  <c r="U166" i="2"/>
  <c r="V166" i="2"/>
  <c r="W166" i="2"/>
  <c r="X166" i="2"/>
  <c r="Y166" i="2"/>
  <c r="Z166" i="2"/>
  <c r="AA166" i="2"/>
  <c r="AB166" i="2"/>
  <c r="AC166" i="2"/>
  <c r="AD166" i="2"/>
  <c r="U167" i="2"/>
  <c r="V167" i="2"/>
  <c r="W167" i="2"/>
  <c r="X167" i="2"/>
  <c r="Y167" i="2"/>
  <c r="Z167" i="2"/>
  <c r="AA167" i="2"/>
  <c r="AB167" i="2"/>
  <c r="AC167" i="2"/>
  <c r="AD167" i="2"/>
  <c r="U168" i="2"/>
  <c r="V168" i="2"/>
  <c r="W168" i="2"/>
  <c r="X168" i="2"/>
  <c r="Y168" i="2"/>
  <c r="Z168" i="2"/>
  <c r="AA168" i="2"/>
  <c r="AB168" i="2"/>
  <c r="AC168" i="2"/>
  <c r="AD168" i="2"/>
  <c r="U169" i="2"/>
  <c r="V169" i="2"/>
  <c r="W169" i="2"/>
  <c r="X169" i="2"/>
  <c r="Y169" i="2"/>
  <c r="Z169" i="2"/>
  <c r="AA169" i="2"/>
  <c r="AB169" i="2"/>
  <c r="AC169" i="2"/>
  <c r="AD169" i="2"/>
  <c r="U170" i="2"/>
  <c r="V170" i="2"/>
  <c r="W170" i="2"/>
  <c r="X170" i="2"/>
  <c r="Y170" i="2"/>
  <c r="Z170" i="2"/>
  <c r="AA170" i="2"/>
  <c r="AB170" i="2"/>
  <c r="AC170" i="2"/>
  <c r="AD170" i="2"/>
  <c r="U171" i="2"/>
  <c r="V171" i="2"/>
  <c r="W171" i="2"/>
  <c r="X171" i="2"/>
  <c r="Y171" i="2"/>
  <c r="Z171" i="2"/>
  <c r="AA171" i="2"/>
  <c r="AB171" i="2"/>
  <c r="AC171" i="2"/>
  <c r="AD171" i="2"/>
  <c r="U172" i="2"/>
  <c r="V172" i="2"/>
  <c r="W172" i="2"/>
  <c r="X172" i="2"/>
  <c r="Y172" i="2"/>
  <c r="Z172" i="2"/>
  <c r="AA172" i="2"/>
  <c r="AB172" i="2"/>
  <c r="AC172" i="2"/>
  <c r="AD172" i="2"/>
  <c r="U173" i="2"/>
  <c r="V173" i="2"/>
  <c r="W173" i="2"/>
  <c r="X173" i="2"/>
  <c r="Y173" i="2"/>
  <c r="Z173" i="2"/>
  <c r="AA173" i="2"/>
  <c r="AB173" i="2"/>
  <c r="AC173" i="2"/>
  <c r="AD173" i="2"/>
  <c r="U174" i="2"/>
  <c r="V174" i="2"/>
  <c r="W174" i="2"/>
  <c r="X174" i="2"/>
  <c r="Y174" i="2"/>
  <c r="Z174" i="2"/>
  <c r="AA174" i="2"/>
  <c r="AB174" i="2"/>
  <c r="AC174" i="2"/>
  <c r="AD174" i="2"/>
  <c r="U175" i="2"/>
  <c r="V175" i="2"/>
  <c r="W175" i="2"/>
  <c r="X175" i="2"/>
  <c r="Y175" i="2"/>
  <c r="Z175" i="2"/>
  <c r="AA175" i="2"/>
  <c r="AB175" i="2"/>
  <c r="AC175" i="2"/>
  <c r="AD175" i="2"/>
  <c r="U176" i="2"/>
  <c r="V176" i="2"/>
  <c r="W176" i="2"/>
  <c r="X176" i="2"/>
  <c r="Y176" i="2"/>
  <c r="Z176" i="2"/>
  <c r="AA176" i="2"/>
  <c r="AB176" i="2"/>
  <c r="AC176" i="2"/>
  <c r="AD176" i="2"/>
  <c r="U177" i="2"/>
  <c r="V177" i="2"/>
  <c r="W177" i="2"/>
  <c r="X177" i="2"/>
  <c r="Y177" i="2"/>
  <c r="Z177" i="2"/>
  <c r="AA177" i="2"/>
  <c r="AB177" i="2"/>
  <c r="AC177" i="2"/>
  <c r="AD177" i="2"/>
  <c r="U178" i="2"/>
  <c r="V178" i="2"/>
  <c r="W178" i="2"/>
  <c r="X178" i="2"/>
  <c r="Y178" i="2"/>
  <c r="Z178" i="2"/>
  <c r="AA178" i="2"/>
  <c r="AB178" i="2"/>
  <c r="AC178" i="2"/>
  <c r="AD178" i="2"/>
  <c r="U179" i="2"/>
  <c r="V179" i="2"/>
  <c r="W179" i="2"/>
  <c r="X179" i="2"/>
  <c r="Y179" i="2"/>
  <c r="Z179" i="2"/>
  <c r="AA179" i="2"/>
  <c r="AB179" i="2"/>
  <c r="AC179" i="2"/>
  <c r="AD179" i="2"/>
  <c r="U180" i="2"/>
  <c r="V180" i="2"/>
  <c r="W180" i="2"/>
  <c r="X180" i="2"/>
  <c r="Y180" i="2"/>
  <c r="Z180" i="2"/>
  <c r="AA180" i="2"/>
  <c r="AB180" i="2"/>
  <c r="AC180" i="2"/>
  <c r="AD180" i="2"/>
  <c r="U181" i="2"/>
  <c r="V181" i="2"/>
  <c r="W181" i="2"/>
  <c r="X181" i="2"/>
  <c r="Y181" i="2"/>
  <c r="Z181" i="2"/>
  <c r="AA181" i="2"/>
  <c r="AB181" i="2"/>
  <c r="AC181" i="2"/>
  <c r="AD181" i="2"/>
  <c r="U182" i="2"/>
  <c r="V182" i="2"/>
  <c r="W182" i="2"/>
  <c r="X182" i="2"/>
  <c r="Y182" i="2"/>
  <c r="Z182" i="2"/>
  <c r="AA182" i="2"/>
  <c r="AB182" i="2"/>
  <c r="AC182" i="2"/>
  <c r="AD182" i="2"/>
  <c r="U183" i="2"/>
  <c r="V183" i="2"/>
  <c r="W183" i="2"/>
  <c r="X183" i="2"/>
  <c r="Y183" i="2"/>
  <c r="Z183" i="2"/>
  <c r="AA183" i="2"/>
  <c r="AB183" i="2"/>
  <c r="AC183" i="2"/>
  <c r="AD183" i="2"/>
  <c r="U184" i="2"/>
  <c r="V184" i="2"/>
  <c r="W184" i="2"/>
  <c r="X184" i="2"/>
  <c r="Y184" i="2"/>
  <c r="Z184" i="2"/>
  <c r="AA184" i="2"/>
  <c r="AB184" i="2"/>
  <c r="AC184" i="2"/>
  <c r="AD184" i="2"/>
  <c r="U185" i="2"/>
  <c r="V185" i="2"/>
  <c r="W185" i="2"/>
  <c r="X185" i="2"/>
  <c r="Y185" i="2"/>
  <c r="Z185" i="2"/>
  <c r="AA185" i="2"/>
  <c r="AB185" i="2"/>
  <c r="AC185" i="2"/>
  <c r="AD185" i="2"/>
  <c r="U186" i="2"/>
  <c r="V186" i="2"/>
  <c r="W186" i="2"/>
  <c r="X186" i="2"/>
  <c r="Y186" i="2"/>
  <c r="Z186" i="2"/>
  <c r="AA186" i="2"/>
  <c r="AB186" i="2"/>
  <c r="AC186" i="2"/>
  <c r="AD186" i="2"/>
  <c r="U187" i="2"/>
  <c r="V187" i="2"/>
  <c r="W187" i="2"/>
  <c r="X187" i="2"/>
  <c r="Y187" i="2"/>
  <c r="Z187" i="2"/>
  <c r="AA187" i="2"/>
  <c r="AB187" i="2"/>
  <c r="AC187" i="2"/>
  <c r="AD187" i="2"/>
  <c r="U188" i="2"/>
  <c r="V188" i="2"/>
  <c r="W188" i="2"/>
  <c r="X188" i="2"/>
  <c r="Y188" i="2"/>
  <c r="Z188" i="2"/>
  <c r="AA188" i="2"/>
  <c r="AB188" i="2"/>
  <c r="AC188" i="2"/>
  <c r="AD188" i="2"/>
  <c r="U189" i="2"/>
  <c r="V189" i="2"/>
  <c r="W189" i="2"/>
  <c r="X189" i="2"/>
  <c r="Y189" i="2"/>
  <c r="Z189" i="2"/>
  <c r="AA189" i="2"/>
  <c r="AB189" i="2"/>
  <c r="AC189" i="2"/>
  <c r="AD189" i="2"/>
  <c r="U190" i="2"/>
  <c r="V190" i="2"/>
  <c r="W190" i="2"/>
  <c r="X190" i="2"/>
  <c r="Y190" i="2"/>
  <c r="Z190" i="2"/>
  <c r="AA190" i="2"/>
  <c r="AB190" i="2"/>
  <c r="AC190" i="2"/>
  <c r="AD190" i="2"/>
  <c r="U191" i="2"/>
  <c r="V191" i="2"/>
  <c r="W191" i="2"/>
  <c r="X191" i="2"/>
  <c r="Y191" i="2"/>
  <c r="Z191" i="2"/>
  <c r="AA191" i="2"/>
  <c r="AB191" i="2"/>
  <c r="AC191" i="2"/>
  <c r="AD191" i="2"/>
  <c r="U192" i="2"/>
  <c r="V192" i="2"/>
  <c r="W192" i="2"/>
  <c r="X192" i="2"/>
  <c r="Y192" i="2"/>
  <c r="Z192" i="2"/>
  <c r="AA192" i="2"/>
  <c r="AB192" i="2"/>
  <c r="AC192" i="2"/>
  <c r="AD192" i="2"/>
  <c r="U193" i="2"/>
  <c r="V193" i="2"/>
  <c r="W193" i="2"/>
  <c r="X193" i="2"/>
  <c r="Y193" i="2"/>
  <c r="Z193" i="2"/>
  <c r="AA193" i="2"/>
  <c r="AB193" i="2"/>
  <c r="AC193" i="2"/>
  <c r="AD193" i="2"/>
  <c r="U194" i="2"/>
  <c r="V194" i="2"/>
  <c r="W194" i="2"/>
  <c r="X194" i="2"/>
  <c r="Y194" i="2"/>
  <c r="Z194" i="2"/>
  <c r="AA194" i="2"/>
  <c r="AB194" i="2"/>
  <c r="AC194" i="2"/>
  <c r="AD194" i="2"/>
  <c r="U195" i="2"/>
  <c r="V195" i="2"/>
  <c r="W195" i="2"/>
  <c r="X195" i="2"/>
  <c r="Y195" i="2"/>
  <c r="Z195" i="2"/>
  <c r="AA195" i="2"/>
  <c r="AB195" i="2"/>
  <c r="AC195" i="2"/>
  <c r="AD195" i="2"/>
  <c r="U196" i="2"/>
  <c r="V196" i="2"/>
  <c r="W196" i="2"/>
  <c r="X196" i="2"/>
  <c r="Y196" i="2"/>
  <c r="Z196" i="2"/>
  <c r="AA196" i="2"/>
  <c r="AB196" i="2"/>
  <c r="AC196" i="2"/>
  <c r="AD196" i="2"/>
  <c r="U197" i="2"/>
  <c r="V197" i="2"/>
  <c r="W197" i="2"/>
  <c r="X197" i="2"/>
  <c r="Y197" i="2"/>
  <c r="Z197" i="2"/>
  <c r="AA197" i="2"/>
  <c r="AB197" i="2"/>
  <c r="AC197" i="2"/>
  <c r="AD197" i="2"/>
  <c r="U198" i="2"/>
  <c r="V198" i="2"/>
  <c r="W198" i="2"/>
  <c r="X198" i="2"/>
  <c r="Y198" i="2"/>
  <c r="Z198" i="2"/>
  <c r="AA198" i="2"/>
  <c r="AB198" i="2"/>
  <c r="AC198" i="2"/>
  <c r="AD198" i="2"/>
  <c r="U199" i="2"/>
  <c r="V199" i="2"/>
  <c r="W199" i="2"/>
  <c r="X199" i="2"/>
  <c r="Y199" i="2"/>
  <c r="Z199" i="2"/>
  <c r="AA199" i="2"/>
  <c r="AB199" i="2"/>
  <c r="AC199" i="2"/>
  <c r="AD199" i="2"/>
  <c r="U200" i="2"/>
  <c r="V200" i="2"/>
  <c r="W200" i="2"/>
  <c r="X200" i="2"/>
  <c r="Y200" i="2"/>
  <c r="Z200" i="2"/>
  <c r="AA200" i="2"/>
  <c r="AB200" i="2"/>
  <c r="AC200" i="2"/>
  <c r="AD200" i="2"/>
  <c r="U201" i="2"/>
  <c r="V201" i="2"/>
  <c r="W201" i="2"/>
  <c r="X201" i="2"/>
  <c r="Y201" i="2"/>
  <c r="Z201" i="2"/>
  <c r="AA201" i="2"/>
  <c r="AB201" i="2"/>
  <c r="AC201" i="2"/>
  <c r="AD201" i="2"/>
  <c r="U202" i="2"/>
  <c r="V202" i="2"/>
  <c r="W202" i="2"/>
  <c r="X202" i="2"/>
  <c r="Y202" i="2"/>
  <c r="Z202" i="2"/>
  <c r="AA202" i="2"/>
  <c r="AB202" i="2"/>
  <c r="AC202" i="2"/>
  <c r="AD202" i="2"/>
  <c r="U203" i="2"/>
  <c r="V203" i="2"/>
  <c r="W203" i="2"/>
  <c r="X203" i="2"/>
  <c r="Y203" i="2"/>
  <c r="Z203" i="2"/>
  <c r="AA203" i="2"/>
  <c r="AB203" i="2"/>
  <c r="AC203" i="2"/>
  <c r="AD203" i="2"/>
  <c r="U204" i="2"/>
  <c r="V204" i="2"/>
  <c r="W204" i="2"/>
  <c r="X204" i="2"/>
  <c r="Y204" i="2"/>
  <c r="Z204" i="2"/>
  <c r="AA204" i="2"/>
  <c r="AB204" i="2"/>
  <c r="AC204" i="2"/>
  <c r="AD204" i="2"/>
  <c r="U205" i="2"/>
  <c r="V205" i="2"/>
  <c r="W205" i="2"/>
  <c r="X205" i="2"/>
  <c r="Y205" i="2"/>
  <c r="Z205" i="2"/>
  <c r="AA205" i="2"/>
  <c r="AB205" i="2"/>
  <c r="AC205" i="2"/>
  <c r="AD205" i="2"/>
  <c r="U206" i="2"/>
  <c r="V206" i="2"/>
  <c r="W206" i="2"/>
  <c r="X206" i="2"/>
  <c r="Y206" i="2"/>
  <c r="Z206" i="2"/>
  <c r="AA206" i="2"/>
  <c r="AB206" i="2"/>
  <c r="AC206" i="2"/>
  <c r="AD206" i="2"/>
  <c r="U207" i="2"/>
  <c r="V207" i="2"/>
  <c r="W207" i="2"/>
  <c r="X207" i="2"/>
  <c r="Y207" i="2"/>
  <c r="Z207" i="2"/>
  <c r="AA207" i="2"/>
  <c r="AB207" i="2"/>
  <c r="AC207" i="2"/>
  <c r="AD207" i="2"/>
  <c r="U208" i="2"/>
  <c r="V208" i="2"/>
  <c r="W208" i="2"/>
  <c r="X208" i="2"/>
  <c r="Y208" i="2"/>
  <c r="Z208" i="2"/>
  <c r="AA208" i="2"/>
  <c r="AB208" i="2"/>
  <c r="AC208" i="2"/>
  <c r="AD208" i="2"/>
  <c r="U209" i="2"/>
  <c r="V209" i="2"/>
  <c r="W209" i="2"/>
  <c r="X209" i="2"/>
  <c r="Y209" i="2"/>
  <c r="Z209" i="2"/>
  <c r="AA209" i="2"/>
  <c r="AB209" i="2"/>
  <c r="AC209" i="2"/>
  <c r="AD209" i="2"/>
  <c r="U210" i="2"/>
  <c r="V210" i="2"/>
  <c r="W210" i="2"/>
  <c r="X210" i="2"/>
  <c r="Y210" i="2"/>
  <c r="Z210" i="2"/>
  <c r="AA210" i="2"/>
  <c r="AB210" i="2"/>
  <c r="AC210" i="2"/>
  <c r="AD210" i="2"/>
  <c r="U211" i="2"/>
  <c r="V211" i="2"/>
  <c r="W211" i="2"/>
  <c r="X211" i="2"/>
  <c r="Y211" i="2"/>
  <c r="Z211" i="2"/>
  <c r="AA211" i="2"/>
  <c r="AB211" i="2"/>
  <c r="AC211" i="2"/>
  <c r="AD211" i="2"/>
  <c r="U212" i="2"/>
  <c r="V212" i="2"/>
  <c r="W212" i="2"/>
  <c r="X212" i="2"/>
  <c r="Y212" i="2"/>
  <c r="Z212" i="2"/>
  <c r="AA212" i="2"/>
  <c r="AB212" i="2"/>
  <c r="AC212" i="2"/>
  <c r="AD212" i="2"/>
  <c r="U213" i="2"/>
  <c r="V213" i="2"/>
  <c r="W213" i="2"/>
  <c r="X213" i="2"/>
  <c r="Y213" i="2"/>
  <c r="Z213" i="2"/>
  <c r="AA213" i="2"/>
  <c r="AB213" i="2"/>
  <c r="AC213" i="2"/>
  <c r="AD213" i="2"/>
  <c r="U214" i="2"/>
  <c r="V214" i="2"/>
  <c r="W214" i="2"/>
  <c r="X214" i="2"/>
  <c r="Y214" i="2"/>
  <c r="Z214" i="2"/>
  <c r="AA214" i="2"/>
  <c r="AB214" i="2"/>
  <c r="AC214" i="2"/>
  <c r="AD214" i="2"/>
  <c r="U215" i="2"/>
  <c r="V215" i="2"/>
  <c r="W215" i="2"/>
  <c r="X215" i="2"/>
  <c r="Y215" i="2"/>
  <c r="Z215" i="2"/>
  <c r="AA215" i="2"/>
  <c r="AB215" i="2"/>
  <c r="AC215" i="2"/>
  <c r="AD215" i="2"/>
  <c r="U216" i="2"/>
  <c r="V216" i="2"/>
  <c r="W216" i="2"/>
  <c r="X216" i="2"/>
  <c r="Y216" i="2"/>
  <c r="Z216" i="2"/>
  <c r="AA216" i="2"/>
  <c r="AB216" i="2"/>
  <c r="AC216" i="2"/>
  <c r="AD216" i="2"/>
  <c r="U217" i="2"/>
  <c r="V217" i="2"/>
  <c r="W217" i="2"/>
  <c r="X217" i="2"/>
  <c r="Y217" i="2"/>
  <c r="Z217" i="2"/>
  <c r="AA217" i="2"/>
  <c r="AB217" i="2"/>
  <c r="AC217" i="2"/>
  <c r="AD217" i="2"/>
  <c r="U218" i="2"/>
  <c r="V218" i="2"/>
  <c r="W218" i="2"/>
  <c r="X218" i="2"/>
  <c r="Y218" i="2"/>
  <c r="Z218" i="2"/>
  <c r="AA218" i="2"/>
  <c r="AB218" i="2"/>
  <c r="AC218" i="2"/>
  <c r="AD218" i="2"/>
  <c r="U219" i="2"/>
  <c r="V219" i="2"/>
  <c r="W219" i="2"/>
  <c r="X219" i="2"/>
  <c r="Y219" i="2"/>
  <c r="Z219" i="2"/>
  <c r="AA219" i="2"/>
  <c r="AB219" i="2"/>
  <c r="AC219" i="2"/>
  <c r="AD219" i="2"/>
  <c r="U220" i="2"/>
  <c r="V220" i="2"/>
  <c r="W220" i="2"/>
  <c r="X220" i="2"/>
  <c r="Y220" i="2"/>
  <c r="Z220" i="2"/>
  <c r="AA220" i="2"/>
  <c r="AB220" i="2"/>
  <c r="AC220" i="2"/>
  <c r="AD220" i="2"/>
  <c r="U221" i="2"/>
  <c r="V221" i="2"/>
  <c r="W221" i="2"/>
  <c r="X221" i="2"/>
  <c r="Y221" i="2"/>
  <c r="Z221" i="2"/>
  <c r="AA221" i="2"/>
  <c r="AB221" i="2"/>
  <c r="AC221" i="2"/>
  <c r="AD221" i="2"/>
  <c r="U222" i="2"/>
  <c r="V222" i="2"/>
  <c r="W222" i="2"/>
  <c r="X222" i="2"/>
  <c r="Y222" i="2"/>
  <c r="Z222" i="2"/>
  <c r="AA222" i="2"/>
  <c r="AB222" i="2"/>
  <c r="AC222" i="2"/>
  <c r="AD222" i="2"/>
  <c r="U223" i="2"/>
  <c r="V223" i="2"/>
  <c r="W223" i="2"/>
  <c r="X223" i="2"/>
  <c r="Y223" i="2"/>
  <c r="Z223" i="2"/>
  <c r="AA223" i="2"/>
  <c r="AB223" i="2"/>
  <c r="AC223" i="2"/>
  <c r="AD223" i="2"/>
  <c r="U224" i="2"/>
  <c r="V224" i="2"/>
  <c r="W224" i="2"/>
  <c r="X224" i="2"/>
  <c r="Y224" i="2"/>
  <c r="Z224" i="2"/>
  <c r="AA224" i="2"/>
  <c r="AB224" i="2"/>
  <c r="AC224" i="2"/>
  <c r="AD224" i="2"/>
  <c r="U225" i="2"/>
  <c r="V225" i="2"/>
  <c r="W225" i="2"/>
  <c r="X225" i="2"/>
  <c r="Y225" i="2"/>
  <c r="Z225" i="2"/>
  <c r="AA225" i="2"/>
  <c r="AB225" i="2"/>
  <c r="AC225" i="2"/>
  <c r="AD225" i="2"/>
  <c r="U226" i="2"/>
  <c r="V226" i="2"/>
  <c r="W226" i="2"/>
  <c r="X226" i="2"/>
  <c r="Y226" i="2"/>
  <c r="Z226" i="2"/>
  <c r="AA226" i="2"/>
  <c r="AB226" i="2"/>
  <c r="AC226" i="2"/>
  <c r="AD226" i="2"/>
  <c r="U227" i="2"/>
  <c r="V227" i="2"/>
  <c r="W227" i="2"/>
  <c r="X227" i="2"/>
  <c r="Y227" i="2"/>
  <c r="Z227" i="2"/>
  <c r="AA227" i="2"/>
  <c r="AB227" i="2"/>
  <c r="AC227" i="2"/>
  <c r="AD227" i="2"/>
  <c r="U228" i="2"/>
  <c r="V228" i="2"/>
  <c r="W228" i="2"/>
  <c r="X228" i="2"/>
  <c r="Y228" i="2"/>
  <c r="Z228" i="2"/>
  <c r="AA228" i="2"/>
  <c r="AB228" i="2"/>
  <c r="AC228" i="2"/>
  <c r="AD228" i="2"/>
  <c r="U229" i="2"/>
  <c r="V229" i="2"/>
  <c r="W229" i="2"/>
  <c r="X229" i="2"/>
  <c r="Y229" i="2"/>
  <c r="Z229" i="2"/>
  <c r="AA229" i="2"/>
  <c r="AB229" i="2"/>
  <c r="AC229" i="2"/>
  <c r="AD229" i="2"/>
  <c r="U230" i="2"/>
  <c r="V230" i="2"/>
  <c r="W230" i="2"/>
  <c r="X230" i="2"/>
  <c r="Y230" i="2"/>
  <c r="Z230" i="2"/>
  <c r="AA230" i="2"/>
  <c r="AB230" i="2"/>
  <c r="AC230" i="2"/>
  <c r="AD230" i="2"/>
  <c r="U231" i="2"/>
  <c r="V231" i="2"/>
  <c r="W231" i="2"/>
  <c r="X231" i="2"/>
  <c r="Y231" i="2"/>
  <c r="Z231" i="2"/>
  <c r="AA231" i="2"/>
  <c r="AB231" i="2"/>
  <c r="AC231" i="2"/>
  <c r="AD231" i="2"/>
  <c r="U232" i="2"/>
  <c r="V232" i="2"/>
  <c r="W232" i="2"/>
  <c r="X232" i="2"/>
  <c r="Y232" i="2"/>
  <c r="Z232" i="2"/>
  <c r="AA232" i="2"/>
  <c r="AB232" i="2"/>
  <c r="AC232" i="2"/>
  <c r="AD232" i="2"/>
  <c r="U233" i="2"/>
  <c r="V233" i="2"/>
  <c r="W233" i="2"/>
  <c r="X233" i="2"/>
  <c r="Y233" i="2"/>
  <c r="Z233" i="2"/>
  <c r="AA233" i="2"/>
  <c r="AB233" i="2"/>
  <c r="AC233" i="2"/>
  <c r="AD233" i="2"/>
  <c r="U234" i="2"/>
  <c r="V234" i="2"/>
  <c r="W234" i="2"/>
  <c r="X234" i="2"/>
  <c r="Y234" i="2"/>
  <c r="Z234" i="2"/>
  <c r="AA234" i="2"/>
  <c r="AB234" i="2"/>
  <c r="AC234" i="2"/>
  <c r="AD234" i="2"/>
  <c r="U235" i="2"/>
  <c r="V235" i="2"/>
  <c r="W235" i="2"/>
  <c r="X235" i="2"/>
  <c r="Y235" i="2"/>
  <c r="Z235" i="2"/>
  <c r="AA235" i="2"/>
  <c r="AB235" i="2"/>
  <c r="AC235" i="2"/>
  <c r="AD235" i="2"/>
  <c r="U236" i="2"/>
  <c r="V236" i="2"/>
  <c r="W236" i="2"/>
  <c r="X236" i="2"/>
  <c r="Y236" i="2"/>
  <c r="Z236" i="2"/>
  <c r="AA236" i="2"/>
  <c r="AB236" i="2"/>
  <c r="AC236" i="2"/>
  <c r="AD236" i="2"/>
  <c r="U237" i="2"/>
  <c r="V237" i="2"/>
  <c r="W237" i="2"/>
  <c r="X237" i="2"/>
  <c r="Y237" i="2"/>
  <c r="Z237" i="2"/>
  <c r="AA237" i="2"/>
  <c r="AB237" i="2"/>
  <c r="AC237" i="2"/>
  <c r="AD237" i="2"/>
  <c r="U238" i="2"/>
  <c r="V238" i="2"/>
  <c r="W238" i="2"/>
  <c r="X238" i="2"/>
  <c r="Y238" i="2"/>
  <c r="Z238" i="2"/>
  <c r="AA238" i="2"/>
  <c r="AB238" i="2"/>
  <c r="AC238" i="2"/>
  <c r="AD238" i="2"/>
  <c r="U239" i="2"/>
  <c r="V239" i="2"/>
  <c r="W239" i="2"/>
  <c r="X239" i="2"/>
  <c r="Y239" i="2"/>
  <c r="Z239" i="2"/>
  <c r="AA239" i="2"/>
  <c r="AB239" i="2"/>
  <c r="AC239" i="2"/>
  <c r="AD239" i="2"/>
  <c r="U240" i="2"/>
  <c r="V240" i="2"/>
  <c r="W240" i="2"/>
  <c r="X240" i="2"/>
  <c r="Y240" i="2"/>
  <c r="Z240" i="2"/>
  <c r="AA240" i="2"/>
  <c r="AB240" i="2"/>
  <c r="AC240" i="2"/>
  <c r="AD240" i="2"/>
  <c r="U241" i="2"/>
  <c r="V241" i="2"/>
  <c r="W241" i="2"/>
  <c r="X241" i="2"/>
  <c r="Y241" i="2"/>
  <c r="Z241" i="2"/>
  <c r="AA241" i="2"/>
  <c r="AB241" i="2"/>
  <c r="AC241" i="2"/>
  <c r="AD241" i="2"/>
  <c r="U242" i="2"/>
  <c r="V242" i="2"/>
  <c r="W242" i="2"/>
  <c r="X242" i="2"/>
  <c r="Y242" i="2"/>
  <c r="Z242" i="2"/>
  <c r="AA242" i="2"/>
  <c r="AB242" i="2"/>
  <c r="AC242" i="2"/>
  <c r="AD242" i="2"/>
  <c r="U243" i="2"/>
  <c r="V243" i="2"/>
  <c r="W243" i="2"/>
  <c r="X243" i="2"/>
  <c r="Y243" i="2"/>
  <c r="Z243" i="2"/>
  <c r="AA243" i="2"/>
  <c r="AB243" i="2"/>
  <c r="AC243" i="2"/>
  <c r="AD243" i="2"/>
  <c r="U244" i="2"/>
  <c r="V244" i="2"/>
  <c r="W244" i="2"/>
  <c r="X244" i="2"/>
  <c r="Y244" i="2"/>
  <c r="Z244" i="2"/>
  <c r="AA244" i="2"/>
  <c r="AB244" i="2"/>
  <c r="AC244" i="2"/>
  <c r="AD244" i="2"/>
  <c r="U245" i="2"/>
  <c r="V245" i="2"/>
  <c r="W245" i="2"/>
  <c r="X245" i="2"/>
  <c r="Y245" i="2"/>
  <c r="Z245" i="2"/>
  <c r="AA245" i="2"/>
  <c r="AB245" i="2"/>
  <c r="AC245" i="2"/>
  <c r="AD245" i="2"/>
  <c r="U246" i="2"/>
  <c r="V246" i="2"/>
  <c r="W246" i="2"/>
  <c r="X246" i="2"/>
  <c r="Y246" i="2"/>
  <c r="Z246" i="2"/>
  <c r="AA246" i="2"/>
  <c r="AB246" i="2"/>
  <c r="AC246" i="2"/>
  <c r="AD246" i="2"/>
  <c r="U247" i="2"/>
  <c r="V247" i="2"/>
  <c r="W247" i="2"/>
  <c r="X247" i="2"/>
  <c r="Y247" i="2"/>
  <c r="Z247" i="2"/>
  <c r="AA247" i="2"/>
  <c r="AB247" i="2"/>
  <c r="AC247" i="2"/>
  <c r="AD247" i="2"/>
  <c r="U248" i="2"/>
  <c r="V248" i="2"/>
  <c r="W248" i="2"/>
  <c r="X248" i="2"/>
  <c r="Y248" i="2"/>
  <c r="Z248" i="2"/>
  <c r="AA248" i="2"/>
  <c r="AB248" i="2"/>
  <c r="AC248" i="2"/>
  <c r="AD248" i="2"/>
  <c r="U249" i="2"/>
  <c r="V249" i="2"/>
  <c r="W249" i="2"/>
  <c r="X249" i="2"/>
  <c r="Y249" i="2"/>
  <c r="Z249" i="2"/>
  <c r="AA249" i="2"/>
  <c r="AB249" i="2"/>
  <c r="AC249" i="2"/>
  <c r="AD249" i="2"/>
  <c r="U250" i="2"/>
  <c r="V250" i="2"/>
  <c r="W250" i="2"/>
  <c r="X250" i="2"/>
  <c r="Y250" i="2"/>
  <c r="Z250" i="2"/>
  <c r="AA250" i="2"/>
  <c r="AB250" i="2"/>
  <c r="AC250" i="2"/>
  <c r="AD250" i="2"/>
  <c r="U251" i="2"/>
  <c r="V251" i="2"/>
  <c r="W251" i="2"/>
  <c r="X251" i="2"/>
  <c r="Y251" i="2"/>
  <c r="Z251" i="2"/>
  <c r="AA251" i="2"/>
  <c r="AB251" i="2"/>
  <c r="AC251" i="2"/>
  <c r="AD251" i="2"/>
  <c r="U252" i="2"/>
  <c r="V252" i="2"/>
  <c r="W252" i="2"/>
  <c r="X252" i="2"/>
  <c r="Y252" i="2"/>
  <c r="Z252" i="2"/>
  <c r="AA252" i="2"/>
  <c r="AB252" i="2"/>
  <c r="AC252" i="2"/>
  <c r="AD252" i="2"/>
  <c r="U253" i="2"/>
  <c r="V253" i="2"/>
  <c r="W253" i="2"/>
  <c r="X253" i="2"/>
  <c r="Y253" i="2"/>
  <c r="Z253" i="2"/>
  <c r="AA253" i="2"/>
  <c r="AB253" i="2"/>
  <c r="AC253" i="2"/>
  <c r="AD253" i="2"/>
  <c r="U254" i="2"/>
  <c r="V254" i="2"/>
  <c r="W254" i="2"/>
  <c r="X254" i="2"/>
  <c r="Y254" i="2"/>
  <c r="Z254" i="2"/>
  <c r="AA254" i="2"/>
  <c r="AB254" i="2"/>
  <c r="AC254" i="2"/>
  <c r="AD254" i="2"/>
  <c r="U255" i="2"/>
  <c r="V255" i="2"/>
  <c r="W255" i="2"/>
  <c r="X255" i="2"/>
  <c r="Y255" i="2"/>
  <c r="Z255" i="2"/>
  <c r="AA255" i="2"/>
  <c r="AB255" i="2"/>
  <c r="AC255" i="2"/>
  <c r="AD255" i="2"/>
  <c r="U256" i="2"/>
  <c r="V256" i="2"/>
  <c r="W256" i="2"/>
  <c r="X256" i="2"/>
  <c r="Y256" i="2"/>
  <c r="Z256" i="2"/>
  <c r="AA256" i="2"/>
  <c r="AB256" i="2"/>
  <c r="AC256" i="2"/>
  <c r="AD256" i="2"/>
  <c r="U257" i="2"/>
  <c r="V257" i="2"/>
  <c r="W257" i="2"/>
  <c r="X257" i="2"/>
  <c r="Y257" i="2"/>
  <c r="Z257" i="2"/>
  <c r="AA257" i="2"/>
  <c r="AB257" i="2"/>
  <c r="AC257" i="2"/>
  <c r="AD257" i="2"/>
  <c r="U258" i="2"/>
  <c r="V258" i="2"/>
  <c r="W258" i="2"/>
  <c r="X258" i="2"/>
  <c r="Y258" i="2"/>
  <c r="Z258" i="2"/>
  <c r="AA258" i="2"/>
  <c r="AB258" i="2"/>
  <c r="AC258" i="2"/>
  <c r="AD258" i="2"/>
  <c r="U259" i="2"/>
  <c r="V259" i="2"/>
  <c r="W259" i="2"/>
  <c r="X259" i="2"/>
  <c r="Y259" i="2"/>
  <c r="Z259" i="2"/>
  <c r="AA259" i="2"/>
  <c r="AB259" i="2"/>
  <c r="AC259" i="2"/>
  <c r="AD259" i="2"/>
  <c r="U260" i="2"/>
  <c r="V260" i="2"/>
  <c r="W260" i="2"/>
  <c r="X260" i="2"/>
  <c r="Y260" i="2"/>
  <c r="Z260" i="2"/>
  <c r="AA260" i="2"/>
  <c r="AB260" i="2"/>
  <c r="AC260" i="2"/>
  <c r="AD260" i="2"/>
  <c r="U261" i="2"/>
  <c r="V261" i="2"/>
  <c r="W261" i="2"/>
  <c r="X261" i="2"/>
  <c r="Y261" i="2"/>
  <c r="Z261" i="2"/>
  <c r="AA261" i="2"/>
  <c r="AB261" i="2"/>
  <c r="AC261" i="2"/>
  <c r="AD261" i="2"/>
  <c r="U262" i="2"/>
  <c r="V262" i="2"/>
  <c r="W262" i="2"/>
  <c r="X262" i="2"/>
  <c r="Y262" i="2"/>
  <c r="Z262" i="2"/>
  <c r="AA262" i="2"/>
  <c r="AB262" i="2"/>
  <c r="AC262" i="2"/>
  <c r="AD262" i="2"/>
  <c r="U263" i="2"/>
  <c r="V263" i="2"/>
  <c r="W263" i="2"/>
  <c r="X263" i="2"/>
  <c r="Y263" i="2"/>
  <c r="Z263" i="2"/>
  <c r="AA263" i="2"/>
  <c r="AB263" i="2"/>
  <c r="AC263" i="2"/>
  <c r="AD263" i="2"/>
  <c r="U264" i="2"/>
  <c r="V264" i="2"/>
  <c r="W264" i="2"/>
  <c r="X264" i="2"/>
  <c r="Y264" i="2"/>
  <c r="Z264" i="2"/>
  <c r="AA264" i="2"/>
  <c r="AB264" i="2"/>
  <c r="AC264" i="2"/>
  <c r="AD264" i="2"/>
  <c r="U265" i="2"/>
  <c r="V265" i="2"/>
  <c r="W265" i="2"/>
  <c r="X265" i="2"/>
  <c r="Y265" i="2"/>
  <c r="Z265" i="2"/>
  <c r="AA265" i="2"/>
  <c r="AB265" i="2"/>
  <c r="AC265" i="2"/>
  <c r="AD265" i="2"/>
  <c r="U266" i="2"/>
  <c r="V266" i="2"/>
  <c r="W266" i="2"/>
  <c r="X266" i="2"/>
  <c r="Y266" i="2"/>
  <c r="Z266" i="2"/>
  <c r="AA266" i="2"/>
  <c r="AB266" i="2"/>
  <c r="AC266" i="2"/>
  <c r="AD266" i="2"/>
  <c r="U267" i="2"/>
  <c r="V267" i="2"/>
  <c r="W267" i="2"/>
  <c r="X267" i="2"/>
  <c r="Y267" i="2"/>
  <c r="Z267" i="2"/>
  <c r="AA267" i="2"/>
  <c r="AB267" i="2"/>
  <c r="AC267" i="2"/>
  <c r="AD267" i="2"/>
  <c r="U268" i="2"/>
  <c r="V268" i="2"/>
  <c r="W268" i="2"/>
  <c r="X268" i="2"/>
  <c r="Y268" i="2"/>
  <c r="Z268" i="2"/>
  <c r="AA268" i="2"/>
  <c r="AB268" i="2"/>
  <c r="AC268" i="2"/>
  <c r="AD268" i="2"/>
  <c r="U269" i="2"/>
  <c r="V269" i="2"/>
  <c r="W269" i="2"/>
  <c r="X269" i="2"/>
  <c r="Y269" i="2"/>
  <c r="Z269" i="2"/>
  <c r="AA269" i="2"/>
  <c r="AB269" i="2"/>
  <c r="AC269" i="2"/>
  <c r="AD269" i="2"/>
  <c r="U270" i="2"/>
  <c r="V270" i="2"/>
  <c r="W270" i="2"/>
  <c r="X270" i="2"/>
  <c r="Y270" i="2"/>
  <c r="Z270" i="2"/>
  <c r="AA270" i="2"/>
  <c r="AB270" i="2"/>
  <c r="AC270" i="2"/>
  <c r="AD270" i="2"/>
  <c r="U271" i="2"/>
  <c r="V271" i="2"/>
  <c r="W271" i="2"/>
  <c r="X271" i="2"/>
  <c r="Y271" i="2"/>
  <c r="Z271" i="2"/>
  <c r="AA271" i="2"/>
  <c r="AB271" i="2"/>
  <c r="AC271" i="2"/>
  <c r="AD271" i="2"/>
  <c r="U272" i="2"/>
  <c r="V272" i="2"/>
  <c r="W272" i="2"/>
  <c r="X272" i="2"/>
  <c r="Y272" i="2"/>
  <c r="Z272" i="2"/>
  <c r="AA272" i="2"/>
  <c r="AB272" i="2"/>
  <c r="AC272" i="2"/>
  <c r="AD272" i="2"/>
  <c r="U273" i="2"/>
  <c r="V273" i="2"/>
  <c r="W273" i="2"/>
  <c r="X273" i="2"/>
  <c r="Y273" i="2"/>
  <c r="Z273" i="2"/>
  <c r="AA273" i="2"/>
  <c r="AB273" i="2"/>
  <c r="AC273" i="2"/>
  <c r="AD273" i="2"/>
  <c r="U274" i="2"/>
  <c r="V274" i="2"/>
  <c r="W274" i="2"/>
  <c r="X274" i="2"/>
  <c r="Y274" i="2"/>
  <c r="Z274" i="2"/>
  <c r="AA274" i="2"/>
  <c r="AB274" i="2"/>
  <c r="AC274" i="2"/>
  <c r="AD274" i="2"/>
  <c r="U275" i="2"/>
  <c r="V275" i="2"/>
  <c r="W275" i="2"/>
  <c r="X275" i="2"/>
  <c r="Y275" i="2"/>
  <c r="Z275" i="2"/>
  <c r="AA275" i="2"/>
  <c r="AB275" i="2"/>
  <c r="AC275" i="2"/>
  <c r="AD275" i="2"/>
  <c r="U276" i="2"/>
  <c r="V276" i="2"/>
  <c r="W276" i="2"/>
  <c r="X276" i="2"/>
  <c r="Y276" i="2"/>
  <c r="Z276" i="2"/>
  <c r="AA276" i="2"/>
  <c r="AB276" i="2"/>
  <c r="AC276" i="2"/>
  <c r="AD276" i="2"/>
  <c r="U277" i="2"/>
  <c r="V277" i="2"/>
  <c r="W277" i="2"/>
  <c r="X277" i="2"/>
  <c r="Y277" i="2"/>
  <c r="Z277" i="2"/>
  <c r="AA277" i="2"/>
  <c r="AB277" i="2"/>
  <c r="AC277" i="2"/>
  <c r="AD277" i="2"/>
  <c r="U278" i="2"/>
  <c r="V278" i="2"/>
  <c r="W278" i="2"/>
  <c r="X278" i="2"/>
  <c r="Y278" i="2"/>
  <c r="Z278" i="2"/>
  <c r="AA278" i="2"/>
  <c r="AB278" i="2"/>
  <c r="AC278" i="2"/>
  <c r="AD278" i="2"/>
  <c r="U279" i="2"/>
  <c r="V279" i="2"/>
  <c r="W279" i="2"/>
  <c r="X279" i="2"/>
  <c r="Y279" i="2"/>
  <c r="Z279" i="2"/>
  <c r="AA279" i="2"/>
  <c r="AB279" i="2"/>
  <c r="AC279" i="2"/>
  <c r="AD279" i="2"/>
  <c r="U280" i="2"/>
  <c r="V280" i="2"/>
  <c r="W280" i="2"/>
  <c r="X280" i="2"/>
  <c r="Y280" i="2"/>
  <c r="Z280" i="2"/>
  <c r="AA280" i="2"/>
  <c r="AB280" i="2"/>
  <c r="AC280" i="2"/>
  <c r="AD280" i="2"/>
  <c r="U281" i="2"/>
  <c r="V281" i="2"/>
  <c r="W281" i="2"/>
  <c r="X281" i="2"/>
  <c r="Y281" i="2"/>
  <c r="Z281" i="2"/>
  <c r="AA281" i="2"/>
  <c r="AB281" i="2"/>
  <c r="AC281" i="2"/>
  <c r="AD281" i="2"/>
  <c r="U282" i="2"/>
  <c r="V282" i="2"/>
  <c r="W282" i="2"/>
  <c r="X282" i="2"/>
  <c r="Y282" i="2"/>
  <c r="Z282" i="2"/>
  <c r="AA282" i="2"/>
  <c r="AB282" i="2"/>
  <c r="AC282" i="2"/>
  <c r="AD282" i="2"/>
  <c r="U283" i="2"/>
  <c r="V283" i="2"/>
  <c r="W283" i="2"/>
  <c r="X283" i="2"/>
  <c r="Y283" i="2"/>
  <c r="Z283" i="2"/>
  <c r="AA283" i="2"/>
  <c r="AB283" i="2"/>
  <c r="AC283" i="2"/>
  <c r="AD283" i="2"/>
  <c r="U284" i="2"/>
  <c r="V284" i="2"/>
  <c r="W284" i="2"/>
  <c r="X284" i="2"/>
  <c r="Y284" i="2"/>
  <c r="Z284" i="2"/>
  <c r="AA284" i="2"/>
  <c r="AB284" i="2"/>
  <c r="AC284" i="2"/>
  <c r="AD284" i="2"/>
  <c r="U285" i="2"/>
  <c r="V285" i="2"/>
  <c r="W285" i="2"/>
  <c r="X285" i="2"/>
  <c r="Y285" i="2"/>
  <c r="Z285" i="2"/>
  <c r="AA285" i="2"/>
  <c r="AB285" i="2"/>
  <c r="AC285" i="2"/>
  <c r="AD285" i="2"/>
  <c r="U286" i="2"/>
  <c r="V286" i="2"/>
  <c r="W286" i="2"/>
  <c r="X286" i="2"/>
  <c r="Y286" i="2"/>
  <c r="Z286" i="2"/>
  <c r="AA286" i="2"/>
  <c r="AB286" i="2"/>
  <c r="AC286" i="2"/>
  <c r="AD286" i="2"/>
  <c r="U287" i="2"/>
  <c r="V287" i="2"/>
  <c r="W287" i="2"/>
  <c r="X287" i="2"/>
  <c r="Y287" i="2"/>
  <c r="Z287" i="2"/>
  <c r="AA287" i="2"/>
  <c r="AB287" i="2"/>
  <c r="AC287" i="2"/>
  <c r="AD287" i="2"/>
  <c r="U288" i="2"/>
  <c r="V288" i="2"/>
  <c r="W288" i="2"/>
  <c r="X288" i="2"/>
  <c r="Y288" i="2"/>
  <c r="Z288" i="2"/>
  <c r="AA288" i="2"/>
  <c r="AB288" i="2"/>
  <c r="AC288" i="2"/>
  <c r="AD288" i="2"/>
  <c r="U289" i="2"/>
  <c r="V289" i="2"/>
  <c r="W289" i="2"/>
  <c r="X289" i="2"/>
  <c r="Y289" i="2"/>
  <c r="Z289" i="2"/>
  <c r="AA289" i="2"/>
  <c r="AB289" i="2"/>
  <c r="AC289" i="2"/>
  <c r="AD289" i="2"/>
  <c r="U290" i="2"/>
  <c r="V290" i="2"/>
  <c r="W290" i="2"/>
  <c r="X290" i="2"/>
  <c r="Y290" i="2"/>
  <c r="Z290" i="2"/>
  <c r="AA290" i="2"/>
  <c r="AB290" i="2"/>
  <c r="AC290" i="2"/>
  <c r="AD290" i="2"/>
  <c r="U291" i="2"/>
  <c r="V291" i="2"/>
  <c r="W291" i="2"/>
  <c r="X291" i="2"/>
  <c r="Y291" i="2"/>
  <c r="Z291" i="2"/>
  <c r="AA291" i="2"/>
  <c r="AB291" i="2"/>
  <c r="AC291" i="2"/>
  <c r="AD291" i="2"/>
  <c r="U292" i="2"/>
  <c r="V292" i="2"/>
  <c r="W292" i="2"/>
  <c r="X292" i="2"/>
  <c r="Y292" i="2"/>
  <c r="Z292" i="2"/>
  <c r="AA292" i="2"/>
  <c r="AB292" i="2"/>
  <c r="AC292" i="2"/>
  <c r="AD292" i="2"/>
  <c r="U293" i="2"/>
  <c r="V293" i="2"/>
  <c r="W293" i="2"/>
  <c r="X293" i="2"/>
  <c r="Y293" i="2"/>
  <c r="Z293" i="2"/>
  <c r="AA293" i="2"/>
  <c r="AB293" i="2"/>
  <c r="AC293" i="2"/>
  <c r="AD293" i="2"/>
  <c r="U294" i="2"/>
  <c r="V294" i="2"/>
  <c r="W294" i="2"/>
  <c r="X294" i="2"/>
  <c r="Y294" i="2"/>
  <c r="Z294" i="2"/>
  <c r="AA294" i="2"/>
  <c r="AB294" i="2"/>
  <c r="AC294" i="2"/>
  <c r="AD294" i="2"/>
  <c r="U295" i="2"/>
  <c r="V295" i="2"/>
  <c r="W295" i="2"/>
  <c r="X295" i="2"/>
  <c r="Y295" i="2"/>
  <c r="Z295" i="2"/>
  <c r="AA295" i="2"/>
  <c r="AB295" i="2"/>
  <c r="AC295" i="2"/>
  <c r="AD295" i="2"/>
  <c r="U296" i="2"/>
  <c r="V296" i="2"/>
  <c r="W296" i="2"/>
  <c r="X296" i="2"/>
  <c r="Y296" i="2"/>
  <c r="Z296" i="2"/>
  <c r="AA296" i="2"/>
  <c r="AB296" i="2"/>
  <c r="AC296" i="2"/>
  <c r="AD296" i="2"/>
  <c r="U297" i="2"/>
  <c r="V297" i="2"/>
  <c r="W297" i="2"/>
  <c r="X297" i="2"/>
  <c r="Y297" i="2"/>
  <c r="Z297" i="2"/>
  <c r="AA297" i="2"/>
  <c r="AB297" i="2"/>
  <c r="AC297" i="2"/>
  <c r="AD297" i="2"/>
  <c r="U298" i="2"/>
  <c r="V298" i="2"/>
  <c r="W298" i="2"/>
  <c r="X298" i="2"/>
  <c r="Y298" i="2"/>
  <c r="Z298" i="2"/>
  <c r="AA298" i="2"/>
  <c r="AB298" i="2"/>
  <c r="AC298" i="2"/>
  <c r="AD298" i="2"/>
  <c r="U299" i="2"/>
  <c r="V299" i="2"/>
  <c r="W299" i="2"/>
  <c r="X299" i="2"/>
  <c r="Y299" i="2"/>
  <c r="Z299" i="2"/>
  <c r="AA299" i="2"/>
  <c r="AB299" i="2"/>
  <c r="AC299" i="2"/>
  <c r="AD299" i="2"/>
  <c r="U300" i="2"/>
  <c r="V300" i="2"/>
  <c r="W300" i="2"/>
  <c r="X300" i="2"/>
  <c r="Y300" i="2"/>
  <c r="Z300" i="2"/>
  <c r="AA300" i="2"/>
  <c r="AB300" i="2"/>
  <c r="AC300" i="2"/>
  <c r="AD300" i="2"/>
  <c r="U301" i="2"/>
  <c r="V301" i="2"/>
  <c r="W301" i="2"/>
  <c r="X301" i="2"/>
  <c r="Y301" i="2"/>
  <c r="Z301" i="2"/>
  <c r="AA301" i="2"/>
  <c r="AB301" i="2"/>
  <c r="AC301" i="2"/>
  <c r="AD301" i="2"/>
  <c r="U302" i="2"/>
  <c r="V302" i="2"/>
  <c r="W302" i="2"/>
  <c r="X302" i="2"/>
  <c r="Y302" i="2"/>
  <c r="Z302" i="2"/>
  <c r="AA302" i="2"/>
  <c r="AB302" i="2"/>
  <c r="AC302" i="2"/>
  <c r="AD302" i="2"/>
  <c r="U303" i="2"/>
  <c r="V303" i="2"/>
  <c r="W303" i="2"/>
  <c r="X303" i="2"/>
  <c r="Y303" i="2"/>
  <c r="Z303" i="2"/>
  <c r="AA303" i="2"/>
  <c r="AB303" i="2"/>
  <c r="AC303" i="2"/>
  <c r="AD303" i="2"/>
  <c r="U304" i="2"/>
  <c r="V304" i="2"/>
  <c r="W304" i="2"/>
  <c r="X304" i="2"/>
  <c r="Y304" i="2"/>
  <c r="Z304" i="2"/>
  <c r="AA304" i="2"/>
  <c r="AB304" i="2"/>
  <c r="AC304" i="2"/>
  <c r="AD304" i="2"/>
  <c r="U305" i="2"/>
  <c r="V305" i="2"/>
  <c r="W305" i="2"/>
  <c r="X305" i="2"/>
  <c r="Y305" i="2"/>
  <c r="Z305" i="2"/>
  <c r="AA305" i="2"/>
  <c r="AB305" i="2"/>
  <c r="AC305" i="2"/>
  <c r="AD305" i="2"/>
  <c r="U306" i="2"/>
  <c r="V306" i="2"/>
  <c r="W306" i="2"/>
  <c r="X306" i="2"/>
  <c r="Y306" i="2"/>
  <c r="Z306" i="2"/>
  <c r="AA306" i="2"/>
  <c r="AB306" i="2"/>
  <c r="AC306" i="2"/>
  <c r="AD306" i="2"/>
  <c r="U307" i="2"/>
  <c r="V307" i="2"/>
  <c r="W307" i="2"/>
  <c r="X307" i="2"/>
  <c r="Y307" i="2"/>
  <c r="Z307" i="2"/>
  <c r="AA307" i="2"/>
  <c r="AB307" i="2"/>
  <c r="AC307" i="2"/>
  <c r="AD307" i="2"/>
  <c r="U308" i="2"/>
  <c r="V308" i="2"/>
  <c r="W308" i="2"/>
  <c r="X308" i="2"/>
  <c r="Y308" i="2"/>
  <c r="Z308" i="2"/>
  <c r="AA308" i="2"/>
  <c r="AB308" i="2"/>
  <c r="AC308" i="2"/>
  <c r="AD308" i="2"/>
  <c r="U309" i="2"/>
  <c r="V309" i="2"/>
  <c r="W309" i="2"/>
  <c r="X309" i="2"/>
  <c r="Y309" i="2"/>
  <c r="Z309" i="2"/>
  <c r="AA309" i="2"/>
  <c r="AB309" i="2"/>
  <c r="AC309" i="2"/>
  <c r="AD309" i="2"/>
  <c r="U310" i="2"/>
  <c r="V310" i="2"/>
  <c r="W310" i="2"/>
  <c r="X310" i="2"/>
  <c r="Y310" i="2"/>
  <c r="Z310" i="2"/>
  <c r="AA310" i="2"/>
  <c r="AB310" i="2"/>
  <c r="AC310" i="2"/>
  <c r="AD310" i="2"/>
  <c r="U311" i="2"/>
  <c r="V311" i="2"/>
  <c r="W311" i="2"/>
  <c r="X311" i="2"/>
  <c r="Y311" i="2"/>
  <c r="Z311" i="2"/>
  <c r="AA311" i="2"/>
  <c r="AB311" i="2"/>
  <c r="AC311" i="2"/>
  <c r="AD311" i="2"/>
  <c r="U312" i="2"/>
  <c r="V312" i="2"/>
  <c r="W312" i="2"/>
  <c r="X312" i="2"/>
  <c r="Y312" i="2"/>
  <c r="Z312" i="2"/>
  <c r="AA312" i="2"/>
  <c r="AB312" i="2"/>
  <c r="AC312" i="2"/>
  <c r="AD312" i="2"/>
  <c r="U313" i="2"/>
  <c r="V313" i="2"/>
  <c r="W313" i="2"/>
  <c r="X313" i="2"/>
  <c r="Y313" i="2"/>
  <c r="Z313" i="2"/>
  <c r="AA313" i="2"/>
  <c r="AB313" i="2"/>
  <c r="AC313" i="2"/>
  <c r="AD313" i="2"/>
  <c r="U314" i="2"/>
  <c r="V314" i="2"/>
  <c r="W314" i="2"/>
  <c r="X314" i="2"/>
  <c r="Y314" i="2"/>
  <c r="Z314" i="2"/>
  <c r="AA314" i="2"/>
  <c r="AB314" i="2"/>
  <c r="AC314" i="2"/>
  <c r="AD314" i="2"/>
  <c r="U315" i="2"/>
  <c r="V315" i="2"/>
  <c r="W315" i="2"/>
  <c r="X315" i="2"/>
  <c r="Y315" i="2"/>
  <c r="Z315" i="2"/>
  <c r="AA315" i="2"/>
  <c r="AB315" i="2"/>
  <c r="AC315" i="2"/>
  <c r="AD315" i="2"/>
  <c r="U316" i="2"/>
  <c r="V316" i="2"/>
  <c r="W316" i="2"/>
  <c r="X316" i="2"/>
  <c r="Y316" i="2"/>
  <c r="Z316" i="2"/>
  <c r="AA316" i="2"/>
  <c r="AB316" i="2"/>
  <c r="AC316" i="2"/>
  <c r="AD316" i="2"/>
  <c r="U317" i="2"/>
  <c r="V317" i="2"/>
  <c r="W317" i="2"/>
  <c r="X317" i="2"/>
  <c r="Y317" i="2"/>
  <c r="Z317" i="2"/>
  <c r="AA317" i="2"/>
  <c r="AB317" i="2"/>
  <c r="AC317" i="2"/>
  <c r="AD317" i="2"/>
  <c r="U318" i="2"/>
  <c r="V318" i="2"/>
  <c r="W318" i="2"/>
  <c r="X318" i="2"/>
  <c r="Y318" i="2"/>
  <c r="Z318" i="2"/>
  <c r="AA318" i="2"/>
  <c r="AB318" i="2"/>
  <c r="AC318" i="2"/>
  <c r="AD318" i="2"/>
  <c r="U319" i="2"/>
  <c r="V319" i="2"/>
  <c r="W319" i="2"/>
  <c r="X319" i="2"/>
  <c r="Y319" i="2"/>
  <c r="Z319" i="2"/>
  <c r="AA319" i="2"/>
  <c r="AB319" i="2"/>
  <c r="AC319" i="2"/>
  <c r="AD319" i="2"/>
  <c r="U320" i="2"/>
  <c r="V320" i="2"/>
  <c r="W320" i="2"/>
  <c r="X320" i="2"/>
  <c r="Y320" i="2"/>
  <c r="Z320" i="2"/>
  <c r="AA320" i="2"/>
  <c r="AB320" i="2"/>
  <c r="AC320" i="2"/>
  <c r="AD320" i="2"/>
  <c r="U321" i="2"/>
  <c r="V321" i="2"/>
  <c r="W321" i="2"/>
  <c r="X321" i="2"/>
  <c r="Y321" i="2"/>
  <c r="Z321" i="2"/>
  <c r="AA321" i="2"/>
  <c r="AB321" i="2"/>
  <c r="AC321" i="2"/>
  <c r="AD321" i="2"/>
  <c r="U322" i="2"/>
  <c r="V322" i="2"/>
  <c r="W322" i="2"/>
  <c r="X322" i="2"/>
  <c r="Y322" i="2"/>
  <c r="Z322" i="2"/>
  <c r="AA322" i="2"/>
  <c r="AB322" i="2"/>
  <c r="AC322" i="2"/>
  <c r="AD322" i="2"/>
  <c r="U323" i="2"/>
  <c r="V323" i="2"/>
  <c r="W323" i="2"/>
  <c r="X323" i="2"/>
  <c r="Y323" i="2"/>
  <c r="Z323" i="2"/>
  <c r="AA323" i="2"/>
  <c r="AB323" i="2"/>
  <c r="AC323" i="2"/>
  <c r="AD323" i="2"/>
  <c r="U324" i="2"/>
  <c r="V324" i="2"/>
  <c r="W324" i="2"/>
  <c r="X324" i="2"/>
  <c r="Y324" i="2"/>
  <c r="Z324" i="2"/>
  <c r="AA324" i="2"/>
  <c r="AB324" i="2"/>
  <c r="AC324" i="2"/>
  <c r="AD324" i="2"/>
  <c r="U325" i="2"/>
  <c r="V325" i="2"/>
  <c r="W325" i="2"/>
  <c r="X325" i="2"/>
  <c r="Y325" i="2"/>
  <c r="Z325" i="2"/>
  <c r="AA325" i="2"/>
  <c r="AB325" i="2"/>
  <c r="AC325" i="2"/>
  <c r="AD325" i="2"/>
  <c r="U326" i="2"/>
  <c r="V326" i="2"/>
  <c r="W326" i="2"/>
  <c r="X326" i="2"/>
  <c r="Y326" i="2"/>
  <c r="Z326" i="2"/>
  <c r="AA326" i="2"/>
  <c r="AB326" i="2"/>
  <c r="AC326" i="2"/>
  <c r="AD326" i="2"/>
  <c r="U327" i="2"/>
  <c r="V327" i="2"/>
  <c r="W327" i="2"/>
  <c r="X327" i="2"/>
  <c r="Y327" i="2"/>
  <c r="Z327" i="2"/>
  <c r="AA327" i="2"/>
  <c r="AB327" i="2"/>
  <c r="AC327" i="2"/>
  <c r="AD327" i="2"/>
  <c r="U328" i="2"/>
  <c r="V328" i="2"/>
  <c r="W328" i="2"/>
  <c r="X328" i="2"/>
  <c r="Y328" i="2"/>
  <c r="Z328" i="2"/>
  <c r="AA328" i="2"/>
  <c r="AB328" i="2"/>
  <c r="AC328" i="2"/>
  <c r="AD328" i="2"/>
  <c r="U329" i="2"/>
  <c r="V329" i="2"/>
  <c r="W329" i="2"/>
  <c r="X329" i="2"/>
  <c r="Y329" i="2"/>
  <c r="Z329" i="2"/>
  <c r="AA329" i="2"/>
  <c r="AB329" i="2"/>
  <c r="AC329" i="2"/>
  <c r="AD329" i="2"/>
  <c r="U330" i="2"/>
  <c r="V330" i="2"/>
  <c r="W330" i="2"/>
  <c r="X330" i="2"/>
  <c r="Y330" i="2"/>
  <c r="Z330" i="2"/>
  <c r="AA330" i="2"/>
  <c r="AB330" i="2"/>
  <c r="AC330" i="2"/>
  <c r="AD330" i="2"/>
  <c r="U331" i="2"/>
  <c r="V331" i="2"/>
  <c r="W331" i="2"/>
  <c r="X331" i="2"/>
  <c r="Y331" i="2"/>
  <c r="Z331" i="2"/>
  <c r="AA331" i="2"/>
  <c r="AB331" i="2"/>
  <c r="AC331" i="2"/>
  <c r="AD331" i="2"/>
  <c r="U332" i="2"/>
  <c r="V332" i="2"/>
  <c r="W332" i="2"/>
  <c r="X332" i="2"/>
  <c r="Y332" i="2"/>
  <c r="Z332" i="2"/>
  <c r="AA332" i="2"/>
  <c r="AB332" i="2"/>
  <c r="AC332" i="2"/>
  <c r="AD332" i="2"/>
  <c r="U333" i="2"/>
  <c r="V333" i="2"/>
  <c r="W333" i="2"/>
  <c r="X333" i="2"/>
  <c r="Y333" i="2"/>
  <c r="Z333" i="2"/>
  <c r="AA333" i="2"/>
  <c r="AB333" i="2"/>
  <c r="AC333" i="2"/>
  <c r="AD333" i="2"/>
  <c r="U334" i="2"/>
  <c r="V334" i="2"/>
  <c r="W334" i="2"/>
  <c r="X334" i="2"/>
  <c r="Y334" i="2"/>
  <c r="Z334" i="2"/>
  <c r="AA334" i="2"/>
  <c r="AB334" i="2"/>
  <c r="AC334" i="2"/>
  <c r="AD334" i="2"/>
  <c r="U335" i="2"/>
  <c r="V335" i="2"/>
  <c r="W335" i="2"/>
  <c r="X335" i="2"/>
  <c r="Y335" i="2"/>
  <c r="Z335" i="2"/>
  <c r="AA335" i="2"/>
  <c r="AB335" i="2"/>
  <c r="AC335" i="2"/>
  <c r="AD335" i="2"/>
  <c r="U336" i="2"/>
  <c r="V336" i="2"/>
  <c r="W336" i="2"/>
  <c r="X336" i="2"/>
  <c r="Y336" i="2"/>
  <c r="Z336" i="2"/>
  <c r="AA336" i="2"/>
  <c r="AB336" i="2"/>
  <c r="AC336" i="2"/>
  <c r="AD336" i="2"/>
  <c r="U337" i="2"/>
  <c r="V337" i="2"/>
  <c r="W337" i="2"/>
  <c r="X337" i="2"/>
  <c r="Y337" i="2"/>
  <c r="Z337" i="2"/>
  <c r="AA337" i="2"/>
  <c r="AB337" i="2"/>
  <c r="AC337" i="2"/>
  <c r="AD337" i="2"/>
  <c r="U338" i="2"/>
  <c r="V338" i="2"/>
  <c r="W338" i="2"/>
  <c r="X338" i="2"/>
  <c r="Y338" i="2"/>
  <c r="Z338" i="2"/>
  <c r="AA338" i="2"/>
  <c r="AB338" i="2"/>
  <c r="AC338" i="2"/>
  <c r="AD338" i="2"/>
  <c r="U339" i="2"/>
  <c r="V339" i="2"/>
  <c r="W339" i="2"/>
  <c r="X339" i="2"/>
  <c r="Y339" i="2"/>
  <c r="Z339" i="2"/>
  <c r="AA339" i="2"/>
  <c r="AB339" i="2"/>
  <c r="AC339" i="2"/>
  <c r="AD339" i="2"/>
  <c r="U340" i="2"/>
  <c r="V340" i="2"/>
  <c r="W340" i="2"/>
  <c r="X340" i="2"/>
  <c r="Y340" i="2"/>
  <c r="Z340" i="2"/>
  <c r="AA340" i="2"/>
  <c r="AB340" i="2"/>
  <c r="AC340" i="2"/>
  <c r="AD340" i="2"/>
  <c r="U341" i="2"/>
  <c r="V341" i="2"/>
  <c r="W341" i="2"/>
  <c r="X341" i="2"/>
  <c r="Y341" i="2"/>
  <c r="Z341" i="2"/>
  <c r="AA341" i="2"/>
  <c r="AB341" i="2"/>
  <c r="AC341" i="2"/>
  <c r="AD341" i="2"/>
  <c r="U342" i="2"/>
  <c r="V342" i="2"/>
  <c r="W342" i="2"/>
  <c r="X342" i="2"/>
  <c r="Y342" i="2"/>
  <c r="Z342" i="2"/>
  <c r="AA342" i="2"/>
  <c r="AB342" i="2"/>
  <c r="AC342" i="2"/>
  <c r="AD342" i="2"/>
  <c r="U343" i="2"/>
  <c r="V343" i="2"/>
  <c r="W343" i="2"/>
  <c r="X343" i="2"/>
  <c r="Y343" i="2"/>
  <c r="Z343" i="2"/>
  <c r="AA343" i="2"/>
  <c r="AB343" i="2"/>
  <c r="AC343" i="2"/>
  <c r="AD343" i="2"/>
  <c r="U344" i="2"/>
  <c r="V344" i="2"/>
  <c r="W344" i="2"/>
  <c r="X344" i="2"/>
  <c r="Y344" i="2"/>
  <c r="Z344" i="2"/>
  <c r="AA344" i="2"/>
  <c r="AB344" i="2"/>
  <c r="AC344" i="2"/>
  <c r="AD344" i="2"/>
  <c r="U345" i="2"/>
  <c r="V345" i="2"/>
  <c r="W345" i="2"/>
  <c r="X345" i="2"/>
  <c r="Y345" i="2"/>
  <c r="Z345" i="2"/>
  <c r="AA345" i="2"/>
  <c r="AB345" i="2"/>
  <c r="AC345" i="2"/>
  <c r="AD345" i="2"/>
  <c r="U346" i="2"/>
  <c r="V346" i="2"/>
  <c r="W346" i="2"/>
  <c r="X346" i="2"/>
  <c r="Y346" i="2"/>
  <c r="Z346" i="2"/>
  <c r="AA346" i="2"/>
  <c r="AB346" i="2"/>
  <c r="AC346" i="2"/>
  <c r="AD346" i="2"/>
  <c r="U347" i="2"/>
  <c r="V347" i="2"/>
  <c r="W347" i="2"/>
  <c r="X347" i="2"/>
  <c r="Y347" i="2"/>
  <c r="Z347" i="2"/>
  <c r="AA347" i="2"/>
  <c r="AB347" i="2"/>
  <c r="AC347" i="2"/>
  <c r="AD347" i="2"/>
  <c r="U348" i="2"/>
  <c r="V348" i="2"/>
  <c r="W348" i="2"/>
  <c r="X348" i="2"/>
  <c r="Y348" i="2"/>
  <c r="Z348" i="2"/>
  <c r="AA348" i="2"/>
  <c r="AB348" i="2"/>
  <c r="AC348" i="2"/>
  <c r="AD348" i="2"/>
  <c r="U349" i="2"/>
  <c r="V349" i="2"/>
  <c r="W349" i="2"/>
  <c r="X349" i="2"/>
  <c r="Y349" i="2"/>
  <c r="Z349" i="2"/>
  <c r="AA349" i="2"/>
  <c r="AB349" i="2"/>
  <c r="AC349" i="2"/>
  <c r="AD349" i="2"/>
  <c r="U350" i="2"/>
  <c r="V350" i="2"/>
  <c r="W350" i="2"/>
  <c r="X350" i="2"/>
  <c r="Y350" i="2"/>
  <c r="Z350" i="2"/>
  <c r="AA350" i="2"/>
  <c r="AB350" i="2"/>
  <c r="AC350" i="2"/>
  <c r="AD350" i="2"/>
  <c r="U351" i="2"/>
  <c r="V351" i="2"/>
  <c r="W351" i="2"/>
  <c r="X351" i="2"/>
  <c r="Y351" i="2"/>
  <c r="Z351" i="2"/>
  <c r="AA351" i="2"/>
  <c r="AB351" i="2"/>
  <c r="AC351" i="2"/>
  <c r="AD351" i="2"/>
  <c r="U352" i="2"/>
  <c r="V352" i="2"/>
  <c r="W352" i="2"/>
  <c r="X352" i="2"/>
  <c r="Y352" i="2"/>
  <c r="Z352" i="2"/>
  <c r="AA352" i="2"/>
  <c r="AB352" i="2"/>
  <c r="AC352" i="2"/>
  <c r="AD352" i="2"/>
  <c r="U353" i="2"/>
  <c r="V353" i="2"/>
  <c r="W353" i="2"/>
  <c r="X353" i="2"/>
  <c r="Y353" i="2"/>
  <c r="Z353" i="2"/>
  <c r="AA353" i="2"/>
  <c r="AB353" i="2"/>
  <c r="AC353" i="2"/>
  <c r="AD353" i="2"/>
  <c r="U354" i="2"/>
  <c r="V354" i="2"/>
  <c r="W354" i="2"/>
  <c r="X354" i="2"/>
  <c r="Y354" i="2"/>
  <c r="Z354" i="2"/>
  <c r="AA354" i="2"/>
  <c r="AB354" i="2"/>
  <c r="AC354" i="2"/>
  <c r="AD354" i="2"/>
  <c r="U355" i="2"/>
  <c r="V355" i="2"/>
  <c r="W355" i="2"/>
  <c r="X355" i="2"/>
  <c r="Y355" i="2"/>
  <c r="Z355" i="2"/>
  <c r="AA355" i="2"/>
  <c r="AB355" i="2"/>
  <c r="AC355" i="2"/>
  <c r="AD355" i="2"/>
  <c r="U356" i="2"/>
  <c r="V356" i="2"/>
  <c r="W356" i="2"/>
  <c r="X356" i="2"/>
  <c r="Y356" i="2"/>
  <c r="Z356" i="2"/>
  <c r="AA356" i="2"/>
  <c r="AB356" i="2"/>
  <c r="AC356" i="2"/>
  <c r="AD356" i="2"/>
  <c r="U357" i="2"/>
  <c r="V357" i="2"/>
  <c r="W357" i="2"/>
  <c r="X357" i="2"/>
  <c r="Y357" i="2"/>
  <c r="Z357" i="2"/>
  <c r="AA357" i="2"/>
  <c r="AB357" i="2"/>
  <c r="AC357" i="2"/>
  <c r="AD357" i="2"/>
  <c r="U358" i="2"/>
  <c r="V358" i="2"/>
  <c r="W358" i="2"/>
  <c r="X358" i="2"/>
  <c r="Y358" i="2"/>
  <c r="Z358" i="2"/>
  <c r="AA358" i="2"/>
  <c r="AB358" i="2"/>
  <c r="AC358" i="2"/>
  <c r="AD358" i="2"/>
  <c r="U359" i="2"/>
  <c r="V359" i="2"/>
  <c r="W359" i="2"/>
  <c r="X359" i="2"/>
  <c r="Y359" i="2"/>
  <c r="Z359" i="2"/>
  <c r="AA359" i="2"/>
  <c r="AB359" i="2"/>
  <c r="AC359" i="2"/>
  <c r="AD359" i="2"/>
  <c r="U360" i="2"/>
  <c r="V360" i="2"/>
  <c r="W360" i="2"/>
  <c r="X360" i="2"/>
  <c r="Y360" i="2"/>
  <c r="Z360" i="2"/>
  <c r="AA360" i="2"/>
  <c r="AB360" i="2"/>
  <c r="AC360" i="2"/>
  <c r="AD360" i="2"/>
  <c r="U361" i="2"/>
  <c r="V361" i="2"/>
  <c r="W361" i="2"/>
  <c r="X361" i="2"/>
  <c r="Y361" i="2"/>
  <c r="Z361" i="2"/>
  <c r="AA361" i="2"/>
  <c r="AB361" i="2"/>
  <c r="AC361" i="2"/>
  <c r="AD361" i="2"/>
  <c r="U362" i="2"/>
  <c r="V362" i="2"/>
  <c r="W362" i="2"/>
  <c r="X362" i="2"/>
  <c r="Y362" i="2"/>
  <c r="Z362" i="2"/>
  <c r="AA362" i="2"/>
  <c r="AB362" i="2"/>
  <c r="AC362" i="2"/>
  <c r="AD362" i="2"/>
  <c r="U363" i="2"/>
  <c r="V363" i="2"/>
  <c r="W363" i="2"/>
  <c r="X363" i="2"/>
  <c r="Y363" i="2"/>
  <c r="Z363" i="2"/>
  <c r="AA363" i="2"/>
  <c r="AB363" i="2"/>
  <c r="AC363" i="2"/>
  <c r="AD363" i="2"/>
  <c r="U364" i="2"/>
  <c r="V364" i="2"/>
  <c r="W364" i="2"/>
  <c r="X364" i="2"/>
  <c r="Y364" i="2"/>
  <c r="Z364" i="2"/>
  <c r="AA364" i="2"/>
  <c r="AB364" i="2"/>
  <c r="AC364" i="2"/>
  <c r="AD364" i="2"/>
  <c r="U365" i="2"/>
  <c r="V365" i="2"/>
  <c r="W365" i="2"/>
  <c r="X365" i="2"/>
  <c r="Y365" i="2"/>
  <c r="Z365" i="2"/>
  <c r="AA365" i="2"/>
  <c r="AB365" i="2"/>
  <c r="AC365" i="2"/>
  <c r="AD365" i="2"/>
  <c r="U366" i="2"/>
  <c r="V366" i="2"/>
  <c r="W366" i="2"/>
  <c r="X366" i="2"/>
  <c r="Y366" i="2"/>
  <c r="Z366" i="2"/>
  <c r="AA366" i="2"/>
  <c r="AB366" i="2"/>
  <c r="AC366" i="2"/>
  <c r="AD366" i="2"/>
  <c r="U367" i="2"/>
  <c r="V367" i="2"/>
  <c r="W367" i="2"/>
  <c r="X367" i="2"/>
  <c r="Y367" i="2"/>
  <c r="Z367" i="2"/>
  <c r="AA367" i="2"/>
  <c r="AB367" i="2"/>
  <c r="AC367" i="2"/>
  <c r="AD367" i="2"/>
  <c r="U368" i="2"/>
  <c r="V368" i="2"/>
  <c r="W368" i="2"/>
  <c r="X368" i="2"/>
  <c r="Y368" i="2"/>
  <c r="Z368" i="2"/>
  <c r="AA368" i="2"/>
  <c r="AB368" i="2"/>
  <c r="AC368" i="2"/>
  <c r="AD368" i="2"/>
  <c r="U369" i="2"/>
  <c r="V369" i="2"/>
  <c r="W369" i="2"/>
  <c r="X369" i="2"/>
  <c r="Y369" i="2"/>
  <c r="Z369" i="2"/>
  <c r="AA369" i="2"/>
  <c r="AB369" i="2"/>
  <c r="AC369" i="2"/>
  <c r="AD369" i="2"/>
  <c r="U370" i="2"/>
  <c r="V370" i="2"/>
  <c r="W370" i="2"/>
  <c r="X370" i="2"/>
  <c r="Y370" i="2"/>
  <c r="Z370" i="2"/>
  <c r="AA370" i="2"/>
  <c r="AB370" i="2"/>
  <c r="AC370" i="2"/>
  <c r="AD370" i="2"/>
  <c r="U371" i="2"/>
  <c r="V371" i="2"/>
  <c r="W371" i="2"/>
  <c r="X371" i="2"/>
  <c r="Y371" i="2"/>
  <c r="Z371" i="2"/>
  <c r="AA371" i="2"/>
  <c r="AB371" i="2"/>
  <c r="AC371" i="2"/>
  <c r="AD371" i="2"/>
  <c r="U372" i="2"/>
  <c r="V372" i="2"/>
  <c r="W372" i="2"/>
  <c r="X372" i="2"/>
  <c r="Y372" i="2"/>
  <c r="Z372" i="2"/>
  <c r="AA372" i="2"/>
  <c r="AB372" i="2"/>
  <c r="AC372" i="2"/>
  <c r="AD372" i="2"/>
  <c r="U373" i="2"/>
  <c r="V373" i="2"/>
  <c r="W373" i="2"/>
  <c r="X373" i="2"/>
  <c r="Y373" i="2"/>
  <c r="Z373" i="2"/>
  <c r="AA373" i="2"/>
  <c r="AB373" i="2"/>
  <c r="AC373" i="2"/>
  <c r="AD373" i="2"/>
  <c r="U374" i="2"/>
  <c r="V374" i="2"/>
  <c r="W374" i="2"/>
  <c r="X374" i="2"/>
  <c r="Y374" i="2"/>
  <c r="Z374" i="2"/>
  <c r="AA374" i="2"/>
  <c r="AB374" i="2"/>
  <c r="AC374" i="2"/>
  <c r="AD374" i="2"/>
  <c r="U375" i="2"/>
  <c r="V375" i="2"/>
  <c r="W375" i="2"/>
  <c r="X375" i="2"/>
  <c r="Y375" i="2"/>
  <c r="Z375" i="2"/>
  <c r="AA375" i="2"/>
  <c r="AB375" i="2"/>
  <c r="AC375" i="2"/>
  <c r="AD375" i="2"/>
  <c r="U376" i="2"/>
  <c r="V376" i="2"/>
  <c r="W376" i="2"/>
  <c r="X376" i="2"/>
  <c r="Y376" i="2"/>
  <c r="Z376" i="2"/>
  <c r="AA376" i="2"/>
  <c r="AB376" i="2"/>
  <c r="AC376" i="2"/>
  <c r="AD376" i="2"/>
  <c r="U377" i="2"/>
  <c r="V377" i="2"/>
  <c r="W377" i="2"/>
  <c r="X377" i="2"/>
  <c r="Y377" i="2"/>
  <c r="Z377" i="2"/>
  <c r="AA377" i="2"/>
  <c r="AB377" i="2"/>
  <c r="AC377" i="2"/>
  <c r="AD377" i="2"/>
  <c r="U378" i="2"/>
  <c r="V378" i="2"/>
  <c r="W378" i="2"/>
  <c r="X378" i="2"/>
  <c r="Y378" i="2"/>
  <c r="Z378" i="2"/>
  <c r="AA378" i="2"/>
  <c r="AB378" i="2"/>
  <c r="AC378" i="2"/>
  <c r="AD378" i="2"/>
  <c r="U379" i="2"/>
  <c r="V379" i="2"/>
  <c r="W379" i="2"/>
  <c r="X379" i="2"/>
  <c r="Y379" i="2"/>
  <c r="Z379" i="2"/>
  <c r="AA379" i="2"/>
  <c r="AB379" i="2"/>
  <c r="AC379" i="2"/>
  <c r="AD379" i="2"/>
  <c r="U380" i="2"/>
  <c r="V380" i="2"/>
  <c r="W380" i="2"/>
  <c r="X380" i="2"/>
  <c r="Y380" i="2"/>
  <c r="Z380" i="2"/>
  <c r="AA380" i="2"/>
  <c r="AB380" i="2"/>
  <c r="AC380" i="2"/>
  <c r="AD380" i="2"/>
  <c r="U381" i="2"/>
  <c r="V381" i="2"/>
  <c r="W381" i="2"/>
  <c r="X381" i="2"/>
  <c r="Y381" i="2"/>
  <c r="Z381" i="2"/>
  <c r="AA381" i="2"/>
  <c r="AB381" i="2"/>
  <c r="AC381" i="2"/>
  <c r="AD381" i="2"/>
  <c r="U382" i="2"/>
  <c r="V382" i="2"/>
  <c r="W382" i="2"/>
  <c r="X382" i="2"/>
  <c r="Y382" i="2"/>
  <c r="Z382" i="2"/>
  <c r="AA382" i="2"/>
  <c r="AB382" i="2"/>
  <c r="AC382" i="2"/>
  <c r="AD382" i="2"/>
  <c r="U383" i="2"/>
  <c r="V383" i="2"/>
  <c r="W383" i="2"/>
  <c r="X383" i="2"/>
  <c r="Y383" i="2"/>
  <c r="Z383" i="2"/>
  <c r="AA383" i="2"/>
  <c r="AB383" i="2"/>
  <c r="AC383" i="2"/>
  <c r="AD383" i="2"/>
  <c r="U384" i="2"/>
  <c r="V384" i="2"/>
  <c r="W384" i="2"/>
  <c r="X384" i="2"/>
  <c r="Y384" i="2"/>
  <c r="Z384" i="2"/>
  <c r="AA384" i="2"/>
  <c r="AB384" i="2"/>
  <c r="AC384" i="2"/>
  <c r="AD384" i="2"/>
  <c r="U385" i="2"/>
  <c r="V385" i="2"/>
  <c r="W385" i="2"/>
  <c r="X385" i="2"/>
  <c r="Y385" i="2"/>
  <c r="Z385" i="2"/>
  <c r="AA385" i="2"/>
  <c r="AB385" i="2"/>
  <c r="AC385" i="2"/>
  <c r="AD385" i="2"/>
  <c r="U386" i="2"/>
  <c r="V386" i="2"/>
  <c r="W386" i="2"/>
  <c r="X386" i="2"/>
  <c r="Y386" i="2"/>
  <c r="Z386" i="2"/>
  <c r="AA386" i="2"/>
  <c r="AB386" i="2"/>
  <c r="AC386" i="2"/>
  <c r="AD386" i="2"/>
  <c r="U387" i="2"/>
  <c r="V387" i="2"/>
  <c r="W387" i="2"/>
  <c r="X387" i="2"/>
  <c r="Y387" i="2"/>
  <c r="Z387" i="2"/>
  <c r="AA387" i="2"/>
  <c r="AB387" i="2"/>
  <c r="AC387" i="2"/>
  <c r="AD387" i="2"/>
  <c r="U388" i="2"/>
  <c r="V388" i="2"/>
  <c r="W388" i="2"/>
  <c r="X388" i="2"/>
  <c r="Y388" i="2"/>
  <c r="Z388" i="2"/>
  <c r="AA388" i="2"/>
  <c r="AB388" i="2"/>
  <c r="AC388" i="2"/>
  <c r="AD388" i="2"/>
  <c r="U389" i="2"/>
  <c r="V389" i="2"/>
  <c r="W389" i="2"/>
  <c r="X389" i="2"/>
  <c r="Y389" i="2"/>
  <c r="Z389" i="2"/>
  <c r="AA389" i="2"/>
  <c r="AB389" i="2"/>
  <c r="AC389" i="2"/>
  <c r="AD389" i="2"/>
  <c r="U390" i="2"/>
  <c r="V390" i="2"/>
  <c r="W390" i="2"/>
  <c r="X390" i="2"/>
  <c r="Y390" i="2"/>
  <c r="Z390" i="2"/>
  <c r="AA390" i="2"/>
  <c r="AB390" i="2"/>
  <c r="AC390" i="2"/>
  <c r="AD390" i="2"/>
  <c r="U391" i="2"/>
  <c r="V391" i="2"/>
  <c r="W391" i="2"/>
  <c r="X391" i="2"/>
  <c r="Y391" i="2"/>
  <c r="Z391" i="2"/>
  <c r="AA391" i="2"/>
  <c r="AB391" i="2"/>
  <c r="AC391" i="2"/>
  <c r="AD391" i="2"/>
  <c r="U392" i="2"/>
  <c r="V392" i="2"/>
  <c r="W392" i="2"/>
  <c r="X392" i="2"/>
  <c r="Y392" i="2"/>
  <c r="Z392" i="2"/>
  <c r="AA392" i="2"/>
  <c r="AB392" i="2"/>
  <c r="AC392" i="2"/>
  <c r="AD392" i="2"/>
  <c r="U393" i="2"/>
  <c r="V393" i="2"/>
  <c r="W393" i="2"/>
  <c r="X393" i="2"/>
  <c r="Y393" i="2"/>
  <c r="Z393" i="2"/>
  <c r="AA393" i="2"/>
  <c r="AB393" i="2"/>
  <c r="AC393" i="2"/>
  <c r="AD393" i="2"/>
  <c r="U394" i="2"/>
  <c r="V394" i="2"/>
  <c r="W394" i="2"/>
  <c r="X394" i="2"/>
  <c r="Y394" i="2"/>
  <c r="Z394" i="2"/>
  <c r="AA394" i="2"/>
  <c r="AB394" i="2"/>
  <c r="AC394" i="2"/>
  <c r="AD394" i="2"/>
  <c r="U395" i="2"/>
  <c r="V395" i="2"/>
  <c r="W395" i="2"/>
  <c r="X395" i="2"/>
  <c r="Y395" i="2"/>
  <c r="Z395" i="2"/>
  <c r="AA395" i="2"/>
  <c r="AB395" i="2"/>
  <c r="AC395" i="2"/>
  <c r="AD395" i="2"/>
  <c r="U396" i="2"/>
  <c r="V396" i="2"/>
  <c r="W396" i="2"/>
  <c r="X396" i="2"/>
  <c r="Y396" i="2"/>
  <c r="Z396" i="2"/>
  <c r="AA396" i="2"/>
  <c r="AB396" i="2"/>
  <c r="AC396" i="2"/>
  <c r="AD396" i="2"/>
  <c r="U397" i="2"/>
  <c r="V397" i="2"/>
  <c r="W397" i="2"/>
  <c r="X397" i="2"/>
  <c r="Y397" i="2"/>
  <c r="Z397" i="2"/>
  <c r="AA397" i="2"/>
  <c r="AB397" i="2"/>
  <c r="AC397" i="2"/>
  <c r="AD397" i="2"/>
  <c r="U398" i="2"/>
  <c r="V398" i="2"/>
  <c r="W398" i="2"/>
  <c r="X398" i="2"/>
  <c r="Y398" i="2"/>
  <c r="Z398" i="2"/>
  <c r="AA398" i="2"/>
  <c r="AB398" i="2"/>
  <c r="AC398" i="2"/>
  <c r="AD398" i="2"/>
  <c r="U399" i="2"/>
  <c r="V399" i="2"/>
  <c r="W399" i="2"/>
  <c r="X399" i="2"/>
  <c r="Y399" i="2"/>
  <c r="Z399" i="2"/>
  <c r="AA399" i="2"/>
  <c r="AB399" i="2"/>
  <c r="AC399" i="2"/>
  <c r="AD399" i="2"/>
  <c r="U400" i="2"/>
  <c r="V400" i="2"/>
  <c r="W400" i="2"/>
  <c r="X400" i="2"/>
  <c r="Y400" i="2"/>
  <c r="Z400" i="2"/>
  <c r="AA400" i="2"/>
  <c r="AB400" i="2"/>
  <c r="AC400" i="2"/>
  <c r="AD400" i="2"/>
  <c r="U401" i="2"/>
  <c r="V401" i="2"/>
  <c r="W401" i="2"/>
  <c r="X401" i="2"/>
  <c r="Y401" i="2"/>
  <c r="Z401" i="2"/>
  <c r="AA401" i="2"/>
  <c r="AB401" i="2"/>
  <c r="AC401" i="2"/>
  <c r="AD401" i="2"/>
  <c r="U402" i="2"/>
  <c r="V402" i="2"/>
  <c r="W402" i="2"/>
  <c r="X402" i="2"/>
  <c r="Y402" i="2"/>
  <c r="Z402" i="2"/>
  <c r="AA402" i="2"/>
  <c r="AB402" i="2"/>
  <c r="AC402" i="2"/>
  <c r="AD402" i="2"/>
  <c r="U403" i="2"/>
  <c r="V403" i="2"/>
  <c r="W403" i="2"/>
  <c r="X403" i="2"/>
  <c r="Y403" i="2"/>
  <c r="Z403" i="2"/>
  <c r="AA403" i="2"/>
  <c r="AB403" i="2"/>
  <c r="AC403" i="2"/>
  <c r="AD403" i="2"/>
  <c r="U404" i="2"/>
  <c r="V404" i="2"/>
  <c r="W404" i="2"/>
  <c r="X404" i="2"/>
  <c r="Y404" i="2"/>
  <c r="Z404" i="2"/>
  <c r="AA404" i="2"/>
  <c r="AB404" i="2"/>
  <c r="AC404" i="2"/>
  <c r="AD404" i="2"/>
  <c r="U405" i="2"/>
  <c r="V405" i="2"/>
  <c r="W405" i="2"/>
  <c r="X405" i="2"/>
  <c r="Y405" i="2"/>
  <c r="Z405" i="2"/>
  <c r="AA405" i="2"/>
  <c r="AB405" i="2"/>
  <c r="AC405" i="2"/>
  <c r="AD405" i="2"/>
  <c r="U406" i="2"/>
  <c r="V406" i="2"/>
  <c r="W406" i="2"/>
  <c r="X406" i="2"/>
  <c r="Y406" i="2"/>
  <c r="Z406" i="2"/>
  <c r="AA406" i="2"/>
  <c r="AB406" i="2"/>
  <c r="AC406" i="2"/>
  <c r="AD406" i="2"/>
  <c r="U407" i="2"/>
  <c r="V407" i="2"/>
  <c r="W407" i="2"/>
  <c r="X407" i="2"/>
  <c r="Y407" i="2"/>
  <c r="Z407" i="2"/>
  <c r="AA407" i="2"/>
  <c r="AB407" i="2"/>
  <c r="AC407" i="2"/>
  <c r="AD407" i="2"/>
  <c r="U408" i="2"/>
  <c r="V408" i="2"/>
  <c r="W408" i="2"/>
  <c r="X408" i="2"/>
  <c r="Y408" i="2"/>
  <c r="Z408" i="2"/>
  <c r="AA408" i="2"/>
  <c r="AB408" i="2"/>
  <c r="AC408" i="2"/>
  <c r="AD408" i="2"/>
  <c r="U409" i="2"/>
  <c r="V409" i="2"/>
  <c r="W409" i="2"/>
  <c r="X409" i="2"/>
  <c r="Y409" i="2"/>
  <c r="Z409" i="2"/>
  <c r="AA409" i="2"/>
  <c r="AB409" i="2"/>
  <c r="AC409" i="2"/>
  <c r="AD409" i="2"/>
  <c r="U410" i="2"/>
  <c r="V410" i="2"/>
  <c r="W410" i="2"/>
  <c r="X410" i="2"/>
  <c r="Y410" i="2"/>
  <c r="Z410" i="2"/>
  <c r="AA410" i="2"/>
  <c r="AB410" i="2"/>
  <c r="AC410" i="2"/>
  <c r="AD410" i="2"/>
  <c r="U411" i="2"/>
  <c r="V411" i="2"/>
  <c r="W411" i="2"/>
  <c r="X411" i="2"/>
  <c r="Y411" i="2"/>
  <c r="Z411" i="2"/>
  <c r="AA411" i="2"/>
  <c r="AB411" i="2"/>
  <c r="AC411" i="2"/>
  <c r="AD411" i="2"/>
  <c r="U412" i="2"/>
  <c r="V412" i="2"/>
  <c r="W412" i="2"/>
  <c r="X412" i="2"/>
  <c r="Y412" i="2"/>
  <c r="Z412" i="2"/>
  <c r="AA412" i="2"/>
  <c r="AB412" i="2"/>
  <c r="AC412" i="2"/>
  <c r="AD412" i="2"/>
  <c r="U413" i="2"/>
  <c r="V413" i="2"/>
  <c r="W413" i="2"/>
  <c r="X413" i="2"/>
  <c r="Y413" i="2"/>
  <c r="Z413" i="2"/>
  <c r="AA413" i="2"/>
  <c r="AB413" i="2"/>
  <c r="AC413" i="2"/>
  <c r="AD413" i="2"/>
  <c r="U414" i="2"/>
  <c r="V414" i="2"/>
  <c r="W414" i="2"/>
  <c r="X414" i="2"/>
  <c r="Y414" i="2"/>
  <c r="Z414" i="2"/>
  <c r="AA414" i="2"/>
  <c r="AB414" i="2"/>
  <c r="AC414" i="2"/>
  <c r="AD414" i="2"/>
  <c r="U415" i="2"/>
  <c r="V415" i="2"/>
  <c r="W415" i="2"/>
  <c r="X415" i="2"/>
  <c r="Y415" i="2"/>
  <c r="Z415" i="2"/>
  <c r="AA415" i="2"/>
  <c r="AB415" i="2"/>
  <c r="AC415" i="2"/>
  <c r="AD415" i="2"/>
  <c r="U416" i="2"/>
  <c r="V416" i="2"/>
  <c r="W416" i="2"/>
  <c r="X416" i="2"/>
  <c r="Y416" i="2"/>
  <c r="Z416" i="2"/>
  <c r="AA416" i="2"/>
  <c r="AB416" i="2"/>
  <c r="AC416" i="2"/>
  <c r="AD416" i="2"/>
  <c r="U417" i="2"/>
  <c r="V417" i="2"/>
  <c r="W417" i="2"/>
  <c r="X417" i="2"/>
  <c r="Y417" i="2"/>
  <c r="Z417" i="2"/>
  <c r="AA417" i="2"/>
  <c r="AB417" i="2"/>
  <c r="AC417" i="2"/>
  <c r="AD417" i="2"/>
  <c r="U418" i="2"/>
  <c r="V418" i="2"/>
  <c r="W418" i="2"/>
  <c r="X418" i="2"/>
  <c r="Y418" i="2"/>
  <c r="Z418" i="2"/>
  <c r="AA418" i="2"/>
  <c r="AB418" i="2"/>
  <c r="AC418" i="2"/>
  <c r="AD418" i="2"/>
  <c r="U419" i="2"/>
  <c r="V419" i="2"/>
  <c r="W419" i="2"/>
  <c r="X419" i="2"/>
  <c r="Y419" i="2"/>
  <c r="Z419" i="2"/>
  <c r="AA419" i="2"/>
  <c r="AB419" i="2"/>
  <c r="AC419" i="2"/>
  <c r="AD419" i="2"/>
  <c r="U420" i="2"/>
  <c r="V420" i="2"/>
  <c r="W420" i="2"/>
  <c r="X420" i="2"/>
  <c r="Y420" i="2"/>
  <c r="Z420" i="2"/>
  <c r="AA420" i="2"/>
  <c r="AB420" i="2"/>
  <c r="AC420" i="2"/>
  <c r="AD420" i="2"/>
  <c r="U421" i="2"/>
  <c r="V421" i="2"/>
  <c r="W421" i="2"/>
  <c r="X421" i="2"/>
  <c r="Y421" i="2"/>
  <c r="Z421" i="2"/>
  <c r="AA421" i="2"/>
  <c r="AB421" i="2"/>
  <c r="AC421" i="2"/>
  <c r="AD421" i="2"/>
  <c r="U422" i="2"/>
  <c r="V422" i="2"/>
  <c r="W422" i="2"/>
  <c r="X422" i="2"/>
  <c r="Y422" i="2"/>
  <c r="Z422" i="2"/>
  <c r="AA422" i="2"/>
  <c r="AB422" i="2"/>
  <c r="AC422" i="2"/>
  <c r="AD422" i="2"/>
  <c r="U423" i="2"/>
  <c r="V423" i="2"/>
  <c r="W423" i="2"/>
  <c r="X423" i="2"/>
  <c r="Y423" i="2"/>
  <c r="Z423" i="2"/>
  <c r="AA423" i="2"/>
  <c r="AB423" i="2"/>
  <c r="AC423" i="2"/>
  <c r="AD423" i="2"/>
  <c r="U424" i="2"/>
  <c r="V424" i="2"/>
  <c r="W424" i="2"/>
  <c r="X424" i="2"/>
  <c r="Y424" i="2"/>
  <c r="Z424" i="2"/>
  <c r="AA424" i="2"/>
  <c r="AB424" i="2"/>
  <c r="AC424" i="2"/>
  <c r="AD424" i="2"/>
  <c r="U425" i="2"/>
  <c r="V425" i="2"/>
  <c r="W425" i="2"/>
  <c r="X425" i="2"/>
  <c r="Y425" i="2"/>
  <c r="Z425" i="2"/>
  <c r="AA425" i="2"/>
  <c r="AB425" i="2"/>
  <c r="AC425" i="2"/>
  <c r="AD425" i="2"/>
  <c r="U426" i="2"/>
  <c r="V426" i="2"/>
  <c r="W426" i="2"/>
  <c r="X426" i="2"/>
  <c r="Y426" i="2"/>
  <c r="Z426" i="2"/>
  <c r="AA426" i="2"/>
  <c r="AB426" i="2"/>
  <c r="AC426" i="2"/>
  <c r="AD426" i="2"/>
  <c r="U427" i="2"/>
  <c r="V427" i="2"/>
  <c r="W427" i="2"/>
  <c r="X427" i="2"/>
  <c r="Y427" i="2"/>
  <c r="Z427" i="2"/>
  <c r="AA427" i="2"/>
  <c r="AB427" i="2"/>
  <c r="AC427" i="2"/>
  <c r="AD427" i="2"/>
  <c r="U428" i="2"/>
  <c r="V428" i="2"/>
  <c r="W428" i="2"/>
  <c r="X428" i="2"/>
  <c r="Y428" i="2"/>
  <c r="Z428" i="2"/>
  <c r="AA428" i="2"/>
  <c r="AB428" i="2"/>
  <c r="AC428" i="2"/>
  <c r="AD428" i="2"/>
  <c r="U429" i="2"/>
  <c r="V429" i="2"/>
  <c r="W429" i="2"/>
  <c r="X429" i="2"/>
  <c r="Y429" i="2"/>
  <c r="Z429" i="2"/>
  <c r="AA429" i="2"/>
  <c r="AB429" i="2"/>
  <c r="AC429" i="2"/>
  <c r="AD429" i="2"/>
  <c r="U430" i="2"/>
  <c r="V430" i="2"/>
  <c r="W430" i="2"/>
  <c r="X430" i="2"/>
  <c r="Y430" i="2"/>
  <c r="Z430" i="2"/>
  <c r="AA430" i="2"/>
  <c r="AB430" i="2"/>
  <c r="AC430" i="2"/>
  <c r="AD430" i="2"/>
  <c r="U431" i="2"/>
  <c r="V431" i="2"/>
  <c r="W431" i="2"/>
  <c r="X431" i="2"/>
  <c r="Y431" i="2"/>
  <c r="Z431" i="2"/>
  <c r="AA431" i="2"/>
  <c r="AB431" i="2"/>
  <c r="AC431" i="2"/>
  <c r="AD431" i="2"/>
  <c r="U432" i="2"/>
  <c r="V432" i="2"/>
  <c r="W432" i="2"/>
  <c r="X432" i="2"/>
  <c r="Y432" i="2"/>
  <c r="Z432" i="2"/>
  <c r="AA432" i="2"/>
  <c r="AB432" i="2"/>
  <c r="AC432" i="2"/>
  <c r="AD432" i="2"/>
  <c r="U433" i="2"/>
  <c r="V433" i="2"/>
  <c r="W433" i="2"/>
  <c r="X433" i="2"/>
  <c r="Y433" i="2"/>
  <c r="Z433" i="2"/>
  <c r="AA433" i="2"/>
  <c r="AB433" i="2"/>
  <c r="AC433" i="2"/>
  <c r="AD433" i="2"/>
  <c r="U434" i="2"/>
  <c r="V434" i="2"/>
  <c r="W434" i="2"/>
  <c r="X434" i="2"/>
  <c r="Y434" i="2"/>
  <c r="Z434" i="2"/>
  <c r="AA434" i="2"/>
  <c r="AB434" i="2"/>
  <c r="AC434" i="2"/>
  <c r="AD434" i="2"/>
  <c r="U435" i="2"/>
  <c r="V435" i="2"/>
  <c r="W435" i="2"/>
  <c r="X435" i="2"/>
  <c r="Y435" i="2"/>
  <c r="Z435" i="2"/>
  <c r="AA435" i="2"/>
  <c r="AB435" i="2"/>
  <c r="AC435" i="2"/>
  <c r="AD435" i="2"/>
  <c r="U436" i="2"/>
  <c r="V436" i="2"/>
  <c r="W436" i="2"/>
  <c r="X436" i="2"/>
  <c r="Y436" i="2"/>
  <c r="Z436" i="2"/>
  <c r="AA436" i="2"/>
  <c r="AB436" i="2"/>
  <c r="AC436" i="2"/>
  <c r="AD436" i="2"/>
  <c r="U437" i="2"/>
  <c r="V437" i="2"/>
  <c r="W437" i="2"/>
  <c r="X437" i="2"/>
  <c r="Y437" i="2"/>
  <c r="Z437" i="2"/>
  <c r="AA437" i="2"/>
  <c r="AB437" i="2"/>
  <c r="AC437" i="2"/>
  <c r="AD437" i="2"/>
  <c r="U438" i="2"/>
  <c r="V438" i="2"/>
  <c r="W438" i="2"/>
  <c r="X438" i="2"/>
  <c r="Y438" i="2"/>
  <c r="Z438" i="2"/>
  <c r="AA438" i="2"/>
  <c r="AB438" i="2"/>
  <c r="AC438" i="2"/>
  <c r="AD438" i="2"/>
  <c r="U439" i="2"/>
  <c r="V439" i="2"/>
  <c r="W439" i="2"/>
  <c r="X439" i="2"/>
  <c r="Y439" i="2"/>
  <c r="Z439" i="2"/>
  <c r="AA439" i="2"/>
  <c r="AB439" i="2"/>
  <c r="AC439" i="2"/>
  <c r="AD439" i="2"/>
  <c r="U440" i="2"/>
  <c r="V440" i="2"/>
  <c r="W440" i="2"/>
  <c r="X440" i="2"/>
  <c r="Y440" i="2"/>
  <c r="Z440" i="2"/>
  <c r="AA440" i="2"/>
  <c r="AB440" i="2"/>
  <c r="AC440" i="2"/>
  <c r="AD440" i="2"/>
  <c r="U441" i="2"/>
  <c r="V441" i="2"/>
  <c r="W441" i="2"/>
  <c r="X441" i="2"/>
  <c r="Y441" i="2"/>
  <c r="Z441" i="2"/>
  <c r="AA441" i="2"/>
  <c r="AB441" i="2"/>
  <c r="AC441" i="2"/>
  <c r="AD441" i="2"/>
  <c r="U442" i="2"/>
  <c r="V442" i="2"/>
  <c r="W442" i="2"/>
  <c r="X442" i="2"/>
  <c r="Y442" i="2"/>
  <c r="Z442" i="2"/>
  <c r="AA442" i="2"/>
  <c r="AB442" i="2"/>
  <c r="AC442" i="2"/>
  <c r="AD442" i="2"/>
  <c r="U443" i="2"/>
  <c r="V443" i="2"/>
  <c r="W443" i="2"/>
  <c r="X443" i="2"/>
  <c r="Y443" i="2"/>
  <c r="Z443" i="2"/>
  <c r="AA443" i="2"/>
  <c r="AB443" i="2"/>
  <c r="AC443" i="2"/>
  <c r="AD443" i="2"/>
  <c r="U444" i="2"/>
  <c r="V444" i="2"/>
  <c r="W444" i="2"/>
  <c r="X444" i="2"/>
  <c r="Y444" i="2"/>
  <c r="Z444" i="2"/>
  <c r="AA444" i="2"/>
  <c r="AB444" i="2"/>
  <c r="AC444" i="2"/>
  <c r="AD444" i="2"/>
  <c r="U445" i="2"/>
  <c r="V445" i="2"/>
  <c r="W445" i="2"/>
  <c r="X445" i="2"/>
  <c r="Y445" i="2"/>
  <c r="Z445" i="2"/>
  <c r="AA445" i="2"/>
  <c r="AB445" i="2"/>
  <c r="AC445" i="2"/>
  <c r="AD445" i="2"/>
  <c r="U446" i="2"/>
  <c r="V446" i="2"/>
  <c r="W446" i="2"/>
  <c r="X446" i="2"/>
  <c r="Y446" i="2"/>
  <c r="Z446" i="2"/>
  <c r="AA446" i="2"/>
  <c r="AB446" i="2"/>
  <c r="AC446" i="2"/>
  <c r="AD446" i="2"/>
  <c r="U447" i="2"/>
  <c r="V447" i="2"/>
  <c r="W447" i="2"/>
  <c r="X447" i="2"/>
  <c r="Y447" i="2"/>
  <c r="Z447" i="2"/>
  <c r="AA447" i="2"/>
  <c r="AB447" i="2"/>
  <c r="AC447" i="2"/>
  <c r="AD447" i="2"/>
  <c r="U448" i="2"/>
  <c r="V448" i="2"/>
  <c r="W448" i="2"/>
  <c r="X448" i="2"/>
  <c r="Y448" i="2"/>
  <c r="Z448" i="2"/>
  <c r="AA448" i="2"/>
  <c r="AB448" i="2"/>
  <c r="AC448" i="2"/>
  <c r="AD448" i="2"/>
  <c r="U449" i="2"/>
  <c r="V449" i="2"/>
  <c r="W449" i="2"/>
  <c r="X449" i="2"/>
  <c r="Y449" i="2"/>
  <c r="Z449" i="2"/>
  <c r="AA449" i="2"/>
  <c r="AB449" i="2"/>
  <c r="AC449" i="2"/>
  <c r="AD449" i="2"/>
  <c r="U450" i="2"/>
  <c r="V450" i="2"/>
  <c r="W450" i="2"/>
  <c r="X450" i="2"/>
  <c r="Y450" i="2"/>
  <c r="Z450" i="2"/>
  <c r="AA450" i="2"/>
  <c r="AB450" i="2"/>
  <c r="AC450" i="2"/>
  <c r="AD450" i="2"/>
  <c r="U451" i="2"/>
  <c r="V451" i="2"/>
  <c r="W451" i="2"/>
  <c r="X451" i="2"/>
  <c r="Y451" i="2"/>
  <c r="Z451" i="2"/>
  <c r="AA451" i="2"/>
  <c r="AB451" i="2"/>
  <c r="AC451" i="2"/>
  <c r="AD451" i="2"/>
  <c r="U452" i="2"/>
  <c r="V452" i="2"/>
  <c r="W452" i="2"/>
  <c r="X452" i="2"/>
  <c r="Y452" i="2"/>
  <c r="Z452" i="2"/>
  <c r="AA452" i="2"/>
  <c r="AB452" i="2"/>
  <c r="AC452" i="2"/>
  <c r="AD452" i="2"/>
  <c r="U453" i="2"/>
  <c r="V453" i="2"/>
  <c r="W453" i="2"/>
  <c r="X453" i="2"/>
  <c r="Y453" i="2"/>
  <c r="Z453" i="2"/>
  <c r="AA453" i="2"/>
  <c r="AB453" i="2"/>
  <c r="AC453" i="2"/>
  <c r="AD453" i="2"/>
  <c r="U454" i="2"/>
  <c r="V454" i="2"/>
  <c r="W454" i="2"/>
  <c r="X454" i="2"/>
  <c r="Y454" i="2"/>
  <c r="Z454" i="2"/>
  <c r="AA454" i="2"/>
  <c r="AB454" i="2"/>
  <c r="AC454" i="2"/>
  <c r="AD454" i="2"/>
  <c r="U455" i="2"/>
  <c r="V455" i="2"/>
  <c r="W455" i="2"/>
  <c r="X455" i="2"/>
  <c r="Y455" i="2"/>
  <c r="Z455" i="2"/>
  <c r="AA455" i="2"/>
  <c r="AB455" i="2"/>
  <c r="AC455" i="2"/>
  <c r="AD455" i="2"/>
  <c r="U456" i="2"/>
  <c r="V456" i="2"/>
  <c r="W456" i="2"/>
  <c r="X456" i="2"/>
  <c r="Y456" i="2"/>
  <c r="Z456" i="2"/>
  <c r="AA456" i="2"/>
  <c r="AB456" i="2"/>
  <c r="AC456" i="2"/>
  <c r="AD456" i="2"/>
  <c r="U457" i="2"/>
  <c r="V457" i="2"/>
  <c r="W457" i="2"/>
  <c r="X457" i="2"/>
  <c r="Y457" i="2"/>
  <c r="Z457" i="2"/>
  <c r="AA457" i="2"/>
  <c r="AB457" i="2"/>
  <c r="AC457" i="2"/>
  <c r="AD457" i="2"/>
  <c r="U458" i="2"/>
  <c r="V458" i="2"/>
  <c r="W458" i="2"/>
  <c r="X458" i="2"/>
  <c r="Y458" i="2"/>
  <c r="Z458" i="2"/>
  <c r="AA458" i="2"/>
  <c r="AB458" i="2"/>
  <c r="AC458" i="2"/>
  <c r="AD458" i="2"/>
  <c r="U459" i="2"/>
  <c r="V459" i="2"/>
  <c r="W459" i="2"/>
  <c r="X459" i="2"/>
  <c r="Y459" i="2"/>
  <c r="Z459" i="2"/>
  <c r="AA459" i="2"/>
  <c r="AB459" i="2"/>
  <c r="AC459" i="2"/>
  <c r="AD459" i="2"/>
  <c r="U460" i="2"/>
  <c r="V460" i="2"/>
  <c r="W460" i="2"/>
  <c r="X460" i="2"/>
  <c r="Y460" i="2"/>
  <c r="Z460" i="2"/>
  <c r="AA460" i="2"/>
  <c r="AB460" i="2"/>
  <c r="AC460" i="2"/>
  <c r="AD460" i="2"/>
  <c r="U461" i="2"/>
  <c r="V461" i="2"/>
  <c r="W461" i="2"/>
  <c r="X461" i="2"/>
  <c r="Y461" i="2"/>
  <c r="Z461" i="2"/>
  <c r="AA461" i="2"/>
  <c r="AB461" i="2"/>
  <c r="AC461" i="2"/>
  <c r="AD461" i="2"/>
  <c r="U462" i="2"/>
  <c r="V462" i="2"/>
  <c r="W462" i="2"/>
  <c r="X462" i="2"/>
  <c r="Y462" i="2"/>
  <c r="Z462" i="2"/>
  <c r="AA462" i="2"/>
  <c r="AB462" i="2"/>
  <c r="AC462" i="2"/>
  <c r="AD462" i="2"/>
  <c r="U463" i="2"/>
  <c r="V463" i="2"/>
  <c r="W463" i="2"/>
  <c r="X463" i="2"/>
  <c r="Y463" i="2"/>
  <c r="Z463" i="2"/>
  <c r="AA463" i="2"/>
  <c r="AB463" i="2"/>
  <c r="AC463" i="2"/>
  <c r="AD463" i="2"/>
  <c r="U464" i="2"/>
  <c r="V464" i="2"/>
  <c r="W464" i="2"/>
  <c r="X464" i="2"/>
  <c r="Y464" i="2"/>
  <c r="Z464" i="2"/>
  <c r="AA464" i="2"/>
  <c r="AB464" i="2"/>
  <c r="AC464" i="2"/>
  <c r="AD464" i="2"/>
  <c r="U465" i="2"/>
  <c r="V465" i="2"/>
  <c r="W465" i="2"/>
  <c r="X465" i="2"/>
  <c r="Y465" i="2"/>
  <c r="Z465" i="2"/>
  <c r="AA465" i="2"/>
  <c r="AB465" i="2"/>
  <c r="AC465" i="2"/>
  <c r="AD465" i="2"/>
  <c r="U466" i="2"/>
  <c r="V466" i="2"/>
  <c r="W466" i="2"/>
  <c r="X466" i="2"/>
  <c r="Y466" i="2"/>
  <c r="Z466" i="2"/>
  <c r="AA466" i="2"/>
  <c r="AB466" i="2"/>
  <c r="AC466" i="2"/>
  <c r="AD466" i="2"/>
  <c r="U467" i="2"/>
  <c r="V467" i="2"/>
  <c r="W467" i="2"/>
  <c r="X467" i="2"/>
  <c r="Y467" i="2"/>
  <c r="Z467" i="2"/>
  <c r="AA467" i="2"/>
  <c r="AB467" i="2"/>
  <c r="AC467" i="2"/>
  <c r="AD467" i="2"/>
  <c r="U468" i="2"/>
  <c r="V468" i="2"/>
  <c r="W468" i="2"/>
  <c r="X468" i="2"/>
  <c r="Y468" i="2"/>
  <c r="Z468" i="2"/>
  <c r="AA468" i="2"/>
  <c r="AB468" i="2"/>
  <c r="AC468" i="2"/>
  <c r="AD468" i="2"/>
  <c r="U469" i="2"/>
  <c r="V469" i="2"/>
  <c r="W469" i="2"/>
  <c r="X469" i="2"/>
  <c r="Y469" i="2"/>
  <c r="Z469" i="2"/>
  <c r="AA469" i="2"/>
  <c r="AB469" i="2"/>
  <c r="AC469" i="2"/>
  <c r="AD469" i="2"/>
  <c r="U470" i="2"/>
  <c r="V470" i="2"/>
  <c r="W470" i="2"/>
  <c r="X470" i="2"/>
  <c r="Y470" i="2"/>
  <c r="Z470" i="2"/>
  <c r="AA470" i="2"/>
  <c r="AB470" i="2"/>
  <c r="AC470" i="2"/>
  <c r="AD470" i="2"/>
  <c r="U471" i="2"/>
  <c r="V471" i="2"/>
  <c r="W471" i="2"/>
  <c r="X471" i="2"/>
  <c r="Y471" i="2"/>
  <c r="Z471" i="2"/>
  <c r="AA471" i="2"/>
  <c r="AB471" i="2"/>
  <c r="AC471" i="2"/>
  <c r="AD471" i="2"/>
  <c r="U472" i="2"/>
  <c r="V472" i="2"/>
  <c r="W472" i="2"/>
  <c r="X472" i="2"/>
  <c r="Y472" i="2"/>
  <c r="Z472" i="2"/>
  <c r="AA472" i="2"/>
  <c r="AB472" i="2"/>
  <c r="AC472" i="2"/>
  <c r="AD472" i="2"/>
  <c r="U473" i="2"/>
  <c r="V473" i="2"/>
  <c r="W473" i="2"/>
  <c r="X473" i="2"/>
  <c r="Y473" i="2"/>
  <c r="Z473" i="2"/>
  <c r="AA473" i="2"/>
  <c r="AB473" i="2"/>
  <c r="AC473" i="2"/>
  <c r="AD473" i="2"/>
  <c r="U474" i="2"/>
  <c r="V474" i="2"/>
  <c r="W474" i="2"/>
  <c r="X474" i="2"/>
  <c r="Y474" i="2"/>
  <c r="Z474" i="2"/>
  <c r="AA474" i="2"/>
  <c r="AB474" i="2"/>
  <c r="AC474" i="2"/>
  <c r="AD474" i="2"/>
  <c r="U475" i="2"/>
  <c r="V475" i="2"/>
  <c r="W475" i="2"/>
  <c r="X475" i="2"/>
  <c r="Y475" i="2"/>
  <c r="Z475" i="2"/>
  <c r="AA475" i="2"/>
  <c r="AB475" i="2"/>
  <c r="AC475" i="2"/>
  <c r="AD475" i="2"/>
  <c r="U476" i="2"/>
  <c r="V476" i="2"/>
  <c r="W476" i="2"/>
  <c r="X476" i="2"/>
  <c r="Y476" i="2"/>
  <c r="Z476" i="2"/>
  <c r="AA476" i="2"/>
  <c r="AB476" i="2"/>
  <c r="AC476" i="2"/>
  <c r="AD476" i="2"/>
  <c r="U477" i="2"/>
  <c r="V477" i="2"/>
  <c r="W477" i="2"/>
  <c r="X477" i="2"/>
  <c r="Y477" i="2"/>
  <c r="Z477" i="2"/>
  <c r="AA477" i="2"/>
  <c r="AB477" i="2"/>
  <c r="AC477" i="2"/>
  <c r="AD477" i="2"/>
  <c r="U478" i="2"/>
  <c r="V478" i="2"/>
  <c r="W478" i="2"/>
  <c r="X478" i="2"/>
  <c r="Y478" i="2"/>
  <c r="Z478" i="2"/>
  <c r="AA478" i="2"/>
  <c r="AB478" i="2"/>
  <c r="AC478" i="2"/>
  <c r="AD478" i="2"/>
  <c r="U479" i="2"/>
  <c r="V479" i="2"/>
  <c r="W479" i="2"/>
  <c r="X479" i="2"/>
  <c r="Y479" i="2"/>
  <c r="Z479" i="2"/>
  <c r="AA479" i="2"/>
  <c r="AB479" i="2"/>
  <c r="AC479" i="2"/>
  <c r="AD479" i="2"/>
  <c r="U480" i="2"/>
  <c r="V480" i="2"/>
  <c r="W480" i="2"/>
  <c r="X480" i="2"/>
  <c r="Y480" i="2"/>
  <c r="Z480" i="2"/>
  <c r="AA480" i="2"/>
  <c r="AB480" i="2"/>
  <c r="AC480" i="2"/>
  <c r="AD480" i="2"/>
  <c r="U481" i="2"/>
  <c r="V481" i="2"/>
  <c r="W481" i="2"/>
  <c r="X481" i="2"/>
  <c r="Y481" i="2"/>
  <c r="Z481" i="2"/>
  <c r="AA481" i="2"/>
  <c r="AB481" i="2"/>
  <c r="AC481" i="2"/>
  <c r="AD481" i="2"/>
  <c r="U482" i="2"/>
  <c r="V482" i="2"/>
  <c r="W482" i="2"/>
  <c r="X482" i="2"/>
  <c r="Y482" i="2"/>
  <c r="Z482" i="2"/>
  <c r="AA482" i="2"/>
  <c r="AB482" i="2"/>
  <c r="AC482" i="2"/>
  <c r="AD482" i="2"/>
  <c r="U483" i="2"/>
  <c r="V483" i="2"/>
  <c r="W483" i="2"/>
  <c r="X483" i="2"/>
  <c r="Y483" i="2"/>
  <c r="Z483" i="2"/>
  <c r="AA483" i="2"/>
  <c r="AB483" i="2"/>
  <c r="AC483" i="2"/>
  <c r="AD483" i="2"/>
  <c r="U484" i="2"/>
  <c r="V484" i="2"/>
  <c r="W484" i="2"/>
  <c r="X484" i="2"/>
  <c r="Y484" i="2"/>
  <c r="Z484" i="2"/>
  <c r="AA484" i="2"/>
  <c r="AB484" i="2"/>
  <c r="AC484" i="2"/>
  <c r="AD484" i="2"/>
  <c r="U485" i="2"/>
  <c r="V485" i="2"/>
  <c r="W485" i="2"/>
  <c r="X485" i="2"/>
  <c r="Y485" i="2"/>
  <c r="Z485" i="2"/>
  <c r="AA485" i="2"/>
  <c r="AB485" i="2"/>
  <c r="AC485" i="2"/>
  <c r="AD485" i="2"/>
  <c r="U486" i="2"/>
  <c r="V486" i="2"/>
  <c r="W486" i="2"/>
  <c r="X486" i="2"/>
  <c r="Y486" i="2"/>
  <c r="Z486" i="2"/>
  <c r="AA486" i="2"/>
  <c r="AB486" i="2"/>
  <c r="AC486" i="2"/>
  <c r="AD486" i="2"/>
  <c r="U487" i="2"/>
  <c r="V487" i="2"/>
  <c r="W487" i="2"/>
  <c r="X487" i="2"/>
  <c r="Y487" i="2"/>
  <c r="Z487" i="2"/>
  <c r="AA487" i="2"/>
  <c r="AB487" i="2"/>
  <c r="AC487" i="2"/>
  <c r="AD487" i="2"/>
  <c r="U488" i="2"/>
  <c r="V488" i="2"/>
  <c r="W488" i="2"/>
  <c r="X488" i="2"/>
  <c r="Y488" i="2"/>
  <c r="Z488" i="2"/>
  <c r="AA488" i="2"/>
  <c r="AB488" i="2"/>
  <c r="AC488" i="2"/>
  <c r="AD488" i="2"/>
  <c r="U489" i="2"/>
  <c r="V489" i="2"/>
  <c r="W489" i="2"/>
  <c r="X489" i="2"/>
  <c r="Y489" i="2"/>
  <c r="Z489" i="2"/>
  <c r="AA489" i="2"/>
  <c r="AB489" i="2"/>
  <c r="AC489" i="2"/>
  <c r="AD489" i="2"/>
  <c r="U490" i="2"/>
  <c r="V490" i="2"/>
  <c r="W490" i="2"/>
  <c r="X490" i="2"/>
  <c r="Y490" i="2"/>
  <c r="Z490" i="2"/>
  <c r="AA490" i="2"/>
  <c r="AB490" i="2"/>
  <c r="AC490" i="2"/>
  <c r="AD490" i="2"/>
  <c r="U491" i="2"/>
  <c r="V491" i="2"/>
  <c r="W491" i="2"/>
  <c r="X491" i="2"/>
  <c r="Y491" i="2"/>
  <c r="Z491" i="2"/>
  <c r="AA491" i="2"/>
  <c r="AB491" i="2"/>
  <c r="AC491" i="2"/>
  <c r="AD491" i="2"/>
  <c r="U492" i="2"/>
  <c r="V492" i="2"/>
  <c r="W492" i="2"/>
  <c r="X492" i="2"/>
  <c r="Y492" i="2"/>
  <c r="Z492" i="2"/>
  <c r="AA492" i="2"/>
  <c r="AB492" i="2"/>
  <c r="AC492" i="2"/>
  <c r="AD492" i="2"/>
  <c r="U493" i="2"/>
  <c r="V493" i="2"/>
  <c r="W493" i="2"/>
  <c r="X493" i="2"/>
  <c r="Y493" i="2"/>
  <c r="Z493" i="2"/>
  <c r="AA493" i="2"/>
  <c r="AB493" i="2"/>
  <c r="AC493" i="2"/>
  <c r="AD493" i="2"/>
  <c r="U494" i="2"/>
  <c r="V494" i="2"/>
  <c r="W494" i="2"/>
  <c r="X494" i="2"/>
  <c r="Y494" i="2"/>
  <c r="Z494" i="2"/>
  <c r="AA494" i="2"/>
  <c r="AB494" i="2"/>
  <c r="AC494" i="2"/>
  <c r="AD494" i="2"/>
  <c r="U495" i="2"/>
  <c r="V495" i="2"/>
  <c r="W495" i="2"/>
  <c r="X495" i="2"/>
  <c r="Y495" i="2"/>
  <c r="Z495" i="2"/>
  <c r="AA495" i="2"/>
  <c r="AB495" i="2"/>
  <c r="AC495" i="2"/>
  <c r="AD495" i="2"/>
  <c r="U496" i="2"/>
  <c r="V496" i="2"/>
  <c r="W496" i="2"/>
  <c r="X496" i="2"/>
  <c r="Y496" i="2"/>
  <c r="Z496" i="2"/>
  <c r="AA496" i="2"/>
  <c r="AB496" i="2"/>
  <c r="AC496" i="2"/>
  <c r="AD496" i="2"/>
  <c r="U497" i="2"/>
  <c r="V497" i="2"/>
  <c r="W497" i="2"/>
  <c r="X497" i="2"/>
  <c r="Y497" i="2"/>
  <c r="Z497" i="2"/>
  <c r="AA497" i="2"/>
  <c r="AB497" i="2"/>
  <c r="AC497" i="2"/>
  <c r="AD497" i="2"/>
  <c r="U498" i="2"/>
  <c r="V498" i="2"/>
  <c r="W498" i="2"/>
  <c r="X498" i="2"/>
  <c r="Y498" i="2"/>
  <c r="Z498" i="2"/>
  <c r="AA498" i="2"/>
  <c r="AB498" i="2"/>
  <c r="AC498" i="2"/>
  <c r="AD498" i="2"/>
  <c r="U499" i="2"/>
  <c r="V499" i="2"/>
  <c r="W499" i="2"/>
  <c r="X499" i="2"/>
  <c r="Y499" i="2"/>
  <c r="Z499" i="2"/>
  <c r="AA499" i="2"/>
  <c r="AB499" i="2"/>
  <c r="AC499" i="2"/>
  <c r="AD499" i="2"/>
  <c r="U500" i="2"/>
  <c r="V500" i="2"/>
  <c r="W500" i="2"/>
  <c r="X500" i="2"/>
  <c r="Y500" i="2"/>
  <c r="Z500" i="2"/>
  <c r="AA500" i="2"/>
  <c r="AB500" i="2"/>
  <c r="AC500" i="2"/>
  <c r="AD500" i="2"/>
  <c r="U501" i="2"/>
  <c r="V501" i="2"/>
  <c r="W501" i="2"/>
  <c r="X501" i="2"/>
  <c r="Y501" i="2"/>
  <c r="Z501" i="2"/>
  <c r="AA501" i="2"/>
  <c r="AB501" i="2"/>
  <c r="AC501" i="2"/>
  <c r="AD501" i="2"/>
  <c r="U502" i="2"/>
  <c r="V502" i="2"/>
  <c r="W502" i="2"/>
  <c r="X502" i="2"/>
  <c r="Y502" i="2"/>
  <c r="Z502" i="2"/>
  <c r="AA502" i="2"/>
  <c r="AB502" i="2"/>
  <c r="AC502" i="2"/>
  <c r="AD502" i="2"/>
  <c r="U503" i="2"/>
  <c r="V503" i="2"/>
  <c r="W503" i="2"/>
  <c r="X503" i="2"/>
  <c r="Y503" i="2"/>
  <c r="Z503" i="2"/>
  <c r="AA503" i="2"/>
  <c r="AB503" i="2"/>
  <c r="AC503" i="2"/>
  <c r="AD503" i="2"/>
  <c r="U504" i="2"/>
  <c r="V504" i="2"/>
  <c r="W504" i="2"/>
  <c r="X504" i="2"/>
  <c r="Y504" i="2"/>
  <c r="Z504" i="2"/>
  <c r="AA504" i="2"/>
  <c r="AB504" i="2"/>
  <c r="AC504" i="2"/>
  <c r="AD504" i="2"/>
  <c r="U505" i="2"/>
  <c r="V505" i="2"/>
  <c r="W505" i="2"/>
  <c r="X505" i="2"/>
  <c r="Y505" i="2"/>
  <c r="Z505" i="2"/>
  <c r="AA505" i="2"/>
  <c r="AB505" i="2"/>
  <c r="AC505" i="2"/>
  <c r="AD505" i="2"/>
  <c r="U506" i="2"/>
  <c r="V506" i="2"/>
  <c r="W506" i="2"/>
  <c r="X506" i="2"/>
  <c r="Y506" i="2"/>
  <c r="Z506" i="2"/>
  <c r="AA506" i="2"/>
  <c r="AB506" i="2"/>
  <c r="AC506" i="2"/>
  <c r="AD506" i="2"/>
  <c r="U507" i="2"/>
  <c r="V507" i="2"/>
  <c r="W507" i="2"/>
  <c r="X507" i="2"/>
  <c r="Y507" i="2"/>
  <c r="Z507" i="2"/>
  <c r="AA507" i="2"/>
  <c r="AB507" i="2"/>
  <c r="AC507" i="2"/>
  <c r="AD507" i="2"/>
  <c r="U508" i="2"/>
  <c r="V508" i="2"/>
  <c r="W508" i="2"/>
  <c r="X508" i="2"/>
  <c r="Y508" i="2"/>
  <c r="Z508" i="2"/>
  <c r="AA508" i="2"/>
  <c r="AB508" i="2"/>
  <c r="AC508" i="2"/>
  <c r="AD508" i="2"/>
  <c r="U509" i="2"/>
  <c r="V509" i="2"/>
  <c r="W509" i="2"/>
  <c r="X509" i="2"/>
  <c r="Y509" i="2"/>
  <c r="Z509" i="2"/>
  <c r="AA509" i="2"/>
  <c r="AB509" i="2"/>
  <c r="AC509" i="2"/>
  <c r="AD509" i="2"/>
  <c r="U510" i="2"/>
  <c r="V510" i="2"/>
  <c r="W510" i="2"/>
  <c r="X510" i="2"/>
  <c r="Y510" i="2"/>
  <c r="Z510" i="2"/>
  <c r="AA510" i="2"/>
  <c r="AB510" i="2"/>
  <c r="AC510" i="2"/>
  <c r="AD510" i="2"/>
  <c r="U511" i="2"/>
  <c r="V511" i="2"/>
  <c r="W511" i="2"/>
  <c r="X511" i="2"/>
  <c r="Y511" i="2"/>
  <c r="Z511" i="2"/>
  <c r="AA511" i="2"/>
  <c r="AB511" i="2"/>
  <c r="AC511" i="2"/>
  <c r="AD511" i="2"/>
  <c r="U512" i="2"/>
  <c r="V512" i="2"/>
  <c r="W512" i="2"/>
  <c r="X512" i="2"/>
  <c r="Y512" i="2"/>
  <c r="Z512" i="2"/>
  <c r="AA512" i="2"/>
  <c r="AB512" i="2"/>
  <c r="AC512" i="2"/>
  <c r="AD512" i="2"/>
  <c r="U513" i="2"/>
  <c r="V513" i="2"/>
  <c r="W513" i="2"/>
  <c r="X513" i="2"/>
  <c r="Y513" i="2"/>
  <c r="Z513" i="2"/>
  <c r="AA513" i="2"/>
  <c r="AB513" i="2"/>
  <c r="AC513" i="2"/>
  <c r="AD513" i="2"/>
  <c r="U514" i="2"/>
  <c r="V514" i="2"/>
  <c r="W514" i="2"/>
  <c r="X514" i="2"/>
  <c r="Y514" i="2"/>
  <c r="Z514" i="2"/>
  <c r="AA514" i="2"/>
  <c r="AB514" i="2"/>
  <c r="AC514" i="2"/>
  <c r="AD514" i="2"/>
  <c r="U515" i="2"/>
  <c r="V515" i="2"/>
  <c r="W515" i="2"/>
  <c r="X515" i="2"/>
  <c r="Y515" i="2"/>
  <c r="Z515" i="2"/>
  <c r="AA515" i="2"/>
  <c r="AB515" i="2"/>
  <c r="AC515" i="2"/>
  <c r="AD515" i="2"/>
  <c r="U516" i="2"/>
  <c r="V516" i="2"/>
  <c r="W516" i="2"/>
  <c r="X516" i="2"/>
  <c r="Y516" i="2"/>
  <c r="Z516" i="2"/>
  <c r="AA516" i="2"/>
  <c r="AB516" i="2"/>
  <c r="AC516" i="2"/>
  <c r="AD516" i="2"/>
  <c r="U517" i="2"/>
  <c r="V517" i="2"/>
  <c r="W517" i="2"/>
  <c r="X517" i="2"/>
  <c r="Y517" i="2"/>
  <c r="Z517" i="2"/>
  <c r="AA517" i="2"/>
  <c r="AB517" i="2"/>
  <c r="AC517" i="2"/>
  <c r="AD517" i="2"/>
  <c r="U518" i="2"/>
  <c r="V518" i="2"/>
  <c r="W518" i="2"/>
  <c r="X518" i="2"/>
  <c r="Y518" i="2"/>
  <c r="Z518" i="2"/>
  <c r="AA518" i="2"/>
  <c r="AB518" i="2"/>
  <c r="AC518" i="2"/>
  <c r="AD518" i="2"/>
  <c r="U519" i="2"/>
  <c r="V519" i="2"/>
  <c r="W519" i="2"/>
  <c r="X519" i="2"/>
  <c r="Y519" i="2"/>
  <c r="Z519" i="2"/>
  <c r="AA519" i="2"/>
  <c r="AB519" i="2"/>
  <c r="AC519" i="2"/>
  <c r="AD519" i="2"/>
  <c r="U520" i="2"/>
  <c r="V520" i="2"/>
  <c r="W520" i="2"/>
  <c r="X520" i="2"/>
  <c r="Y520" i="2"/>
  <c r="Z520" i="2"/>
  <c r="AA520" i="2"/>
  <c r="AB520" i="2"/>
  <c r="AC520" i="2"/>
  <c r="AD520" i="2"/>
  <c r="U521" i="2"/>
  <c r="V521" i="2"/>
  <c r="W521" i="2"/>
  <c r="X521" i="2"/>
  <c r="Y521" i="2"/>
  <c r="Z521" i="2"/>
  <c r="AA521" i="2"/>
  <c r="AB521" i="2"/>
  <c r="AC521" i="2"/>
  <c r="AD521" i="2"/>
  <c r="U522" i="2"/>
  <c r="V522" i="2"/>
  <c r="W522" i="2"/>
  <c r="X522" i="2"/>
  <c r="Y522" i="2"/>
  <c r="Z522" i="2"/>
  <c r="AA522" i="2"/>
  <c r="AB522" i="2"/>
  <c r="AC522" i="2"/>
  <c r="AD522" i="2"/>
  <c r="U523" i="2"/>
  <c r="V523" i="2"/>
  <c r="W523" i="2"/>
  <c r="X523" i="2"/>
  <c r="Y523" i="2"/>
  <c r="Z523" i="2"/>
  <c r="AA523" i="2"/>
  <c r="AB523" i="2"/>
  <c r="AC523" i="2"/>
  <c r="AD523" i="2"/>
  <c r="U524" i="2"/>
  <c r="V524" i="2"/>
  <c r="W524" i="2"/>
  <c r="X524" i="2"/>
  <c r="Y524" i="2"/>
  <c r="Z524" i="2"/>
  <c r="AA524" i="2"/>
  <c r="AB524" i="2"/>
  <c r="AC524" i="2"/>
  <c r="AD524" i="2"/>
  <c r="U525" i="2"/>
  <c r="V525" i="2"/>
  <c r="W525" i="2"/>
  <c r="X525" i="2"/>
  <c r="Y525" i="2"/>
  <c r="Z525" i="2"/>
  <c r="AA525" i="2"/>
  <c r="AB525" i="2"/>
  <c r="AC525" i="2"/>
  <c r="AD525" i="2"/>
  <c r="U526" i="2"/>
  <c r="V526" i="2"/>
  <c r="W526" i="2"/>
  <c r="X526" i="2"/>
  <c r="Y526" i="2"/>
  <c r="Z526" i="2"/>
  <c r="AA526" i="2"/>
  <c r="AB526" i="2"/>
  <c r="AC526" i="2"/>
  <c r="AD526" i="2"/>
  <c r="U527" i="2"/>
  <c r="V527" i="2"/>
  <c r="W527" i="2"/>
  <c r="X527" i="2"/>
  <c r="Y527" i="2"/>
  <c r="Z527" i="2"/>
  <c r="AA527" i="2"/>
  <c r="AB527" i="2"/>
  <c r="AC527" i="2"/>
  <c r="AD527" i="2"/>
  <c r="U528" i="2"/>
  <c r="V528" i="2"/>
  <c r="W528" i="2"/>
  <c r="X528" i="2"/>
  <c r="Y528" i="2"/>
  <c r="Z528" i="2"/>
  <c r="AA528" i="2"/>
  <c r="AB528" i="2"/>
  <c r="AC528" i="2"/>
  <c r="AD528" i="2"/>
  <c r="V529" i="2"/>
  <c r="W529" i="2"/>
  <c r="X529" i="2"/>
  <c r="Y529" i="2"/>
  <c r="Z529" i="2"/>
  <c r="AA529" i="2"/>
  <c r="AB529" i="2"/>
  <c r="AC529" i="2"/>
  <c r="AD529" i="2"/>
  <c r="U530" i="2"/>
  <c r="V530" i="2"/>
  <c r="W530" i="2"/>
  <c r="X530" i="2"/>
  <c r="Y530" i="2"/>
  <c r="Z530" i="2"/>
  <c r="AA530" i="2"/>
  <c r="AB530" i="2"/>
  <c r="AC530" i="2"/>
  <c r="AD530" i="2"/>
  <c r="U531" i="2"/>
  <c r="V531" i="2"/>
  <c r="W531" i="2"/>
  <c r="X531" i="2"/>
  <c r="Y531" i="2"/>
  <c r="Z531" i="2"/>
  <c r="AA531" i="2"/>
  <c r="AB531" i="2"/>
  <c r="AC531" i="2"/>
  <c r="AD531" i="2"/>
  <c r="U532" i="2"/>
  <c r="V532" i="2"/>
  <c r="W532" i="2"/>
  <c r="X532" i="2"/>
  <c r="Y532" i="2"/>
  <c r="Z532" i="2"/>
  <c r="AA532" i="2"/>
  <c r="AB532" i="2"/>
  <c r="AC532" i="2"/>
  <c r="AD532" i="2"/>
  <c r="U533" i="2"/>
  <c r="V533" i="2"/>
  <c r="W533" i="2"/>
  <c r="X533" i="2"/>
  <c r="Y533" i="2"/>
  <c r="Z533" i="2"/>
  <c r="AA533" i="2"/>
  <c r="AB533" i="2"/>
  <c r="AC533" i="2"/>
  <c r="AD533" i="2"/>
  <c r="U534" i="2"/>
  <c r="V534" i="2"/>
  <c r="W534" i="2"/>
  <c r="X534" i="2"/>
  <c r="Y534" i="2"/>
  <c r="Z534" i="2"/>
  <c r="AA534" i="2"/>
  <c r="AB534" i="2"/>
  <c r="AC534" i="2"/>
  <c r="AD534" i="2"/>
  <c r="U535" i="2"/>
  <c r="V535" i="2"/>
  <c r="W535" i="2"/>
  <c r="X535" i="2"/>
  <c r="Y535" i="2"/>
  <c r="Z535" i="2"/>
  <c r="AA535" i="2"/>
  <c r="AB535" i="2"/>
  <c r="AC535" i="2"/>
  <c r="AD535" i="2"/>
  <c r="U536" i="2"/>
  <c r="V536" i="2"/>
  <c r="W536" i="2"/>
  <c r="X536" i="2"/>
  <c r="Y536" i="2"/>
  <c r="Z536" i="2"/>
  <c r="AA536" i="2"/>
  <c r="AB536" i="2"/>
  <c r="AC536" i="2"/>
  <c r="AD536" i="2"/>
  <c r="U537" i="2"/>
  <c r="V537" i="2"/>
  <c r="W537" i="2"/>
  <c r="X537" i="2"/>
  <c r="Y537" i="2"/>
  <c r="Z537" i="2"/>
  <c r="AA537" i="2"/>
  <c r="AB537" i="2"/>
  <c r="AC537" i="2"/>
  <c r="AD537" i="2"/>
  <c r="U538" i="2"/>
  <c r="V538" i="2"/>
  <c r="W538" i="2"/>
  <c r="X538" i="2"/>
  <c r="Y538" i="2"/>
  <c r="Z538" i="2"/>
  <c r="AA538" i="2"/>
  <c r="AB538" i="2"/>
  <c r="AC538" i="2"/>
  <c r="AD538" i="2"/>
  <c r="U539" i="2"/>
  <c r="V539" i="2"/>
  <c r="W539" i="2"/>
  <c r="X539" i="2"/>
  <c r="Y539" i="2"/>
  <c r="Z539" i="2"/>
  <c r="AA539" i="2"/>
  <c r="AB539" i="2"/>
  <c r="AC539" i="2"/>
  <c r="AD539" i="2"/>
  <c r="U540" i="2"/>
  <c r="V540" i="2"/>
  <c r="W540" i="2"/>
  <c r="X540" i="2"/>
  <c r="Y540" i="2"/>
  <c r="Z540" i="2"/>
  <c r="AA540" i="2"/>
  <c r="AB540" i="2"/>
  <c r="AC540" i="2"/>
  <c r="AD540" i="2"/>
  <c r="V4" i="2"/>
  <c r="W4" i="2"/>
  <c r="X4" i="2"/>
  <c r="Y4" i="2"/>
  <c r="Z4" i="2"/>
  <c r="AA4" i="2"/>
  <c r="AB4" i="2"/>
  <c r="AC4" i="2"/>
  <c r="AD4" i="2"/>
  <c r="U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Unit_costs_per_region!$H$18:$J$24" type="102" refreshedVersion="6" minRefreshableVersion="5">
    <extLst>
      <ext xmlns:x15="http://schemas.microsoft.com/office/spreadsheetml/2010/11/main" uri="{DE250136-89BD-433C-8126-D09CA5730AF9}">
        <x15:connection id="Range">
          <x15:rangePr sourceName="_xlcn.WorksheetConnection_Unit_costs_per_regionH18J241"/>
        </x15:connection>
      </ext>
    </extLst>
  </connection>
</connections>
</file>

<file path=xl/sharedStrings.xml><?xml version="1.0" encoding="utf-8"?>
<sst xmlns="http://schemas.openxmlformats.org/spreadsheetml/2006/main" count="22281" uniqueCount="1350">
  <si>
    <t>Country</t>
  </si>
  <si>
    <t>Project ID</t>
  </si>
  <si>
    <t>Component</t>
  </si>
  <si>
    <t>Section</t>
  </si>
  <si>
    <t>Code</t>
  </si>
  <si>
    <t>Cost Type</t>
  </si>
  <si>
    <t>Year</t>
  </si>
  <si>
    <t>Work Type</t>
  </si>
  <si>
    <t>Duration</t>
  </si>
  <si>
    <t>Length (km)</t>
  </si>
  <si>
    <t>Unit Cost</t>
  </si>
  <si>
    <t>Agg check</t>
  </si>
  <si>
    <t>Outlier explanation</t>
  </si>
  <si>
    <t>Outlier Categories</t>
  </si>
  <si>
    <t>P001785</t>
  </si>
  <si>
    <t>Capacity of contractors</t>
  </si>
  <si>
    <t>Ratio</t>
  </si>
  <si>
    <t>Capacity of counterpart</t>
  </si>
  <si>
    <t>Macroeconomic conditions</t>
  </si>
  <si>
    <t>Weather shocks</t>
  </si>
  <si>
    <t>Quality of estimates</t>
  </si>
  <si>
    <t>Change of project scope</t>
  </si>
  <si>
    <t>Competition</t>
  </si>
  <si>
    <t>Political events</t>
  </si>
  <si>
    <t>Procurement system</t>
  </si>
  <si>
    <t>Mozambique</t>
  </si>
  <si>
    <t>C1</t>
  </si>
  <si>
    <t/>
  </si>
  <si>
    <t>P001785C1</t>
  </si>
  <si>
    <t>Estimate</t>
  </si>
  <si>
    <t>USD</t>
  </si>
  <si>
    <t>x</t>
  </si>
  <si>
    <t>Actual</t>
  </si>
  <si>
    <t>2001 / 2007</t>
  </si>
  <si>
    <t>Chad</t>
  </si>
  <si>
    <t>P035672</t>
  </si>
  <si>
    <t>S1</t>
  </si>
  <si>
    <t>P035672C1S1</t>
  </si>
  <si>
    <t>Strengthening</t>
  </si>
  <si>
    <t>2000 / 2009</t>
  </si>
  <si>
    <t>S2</t>
  </si>
  <si>
    <t>P035672C1S2</t>
  </si>
  <si>
    <t>C2</t>
  </si>
  <si>
    <t>P035672C2</t>
  </si>
  <si>
    <t>Routine Maintenance</t>
  </si>
  <si>
    <t>Estonia</t>
  </si>
  <si>
    <t>P035775</t>
  </si>
  <si>
    <t>P035775C1</t>
  </si>
  <si>
    <t>2000 / 2005</t>
  </si>
  <si>
    <t>Georgia</t>
  </si>
  <si>
    <t>P040556</t>
  </si>
  <si>
    <t>P040556C1</t>
  </si>
  <si>
    <t>2000 / 2006</t>
  </si>
  <si>
    <t>Vietnam</t>
  </si>
  <si>
    <t>P042927</t>
  </si>
  <si>
    <t>P042927C1</t>
  </si>
  <si>
    <t>Widening</t>
  </si>
  <si>
    <t>2000 / 2011</t>
  </si>
  <si>
    <t>Croatia</t>
  </si>
  <si>
    <t>P043195</t>
  </si>
  <si>
    <t>C3</t>
  </si>
  <si>
    <t>P043195C3</t>
  </si>
  <si>
    <t>2003 / 2013</t>
  </si>
  <si>
    <t>Ethiopia</t>
  </si>
  <si>
    <t>P044613</t>
  </si>
  <si>
    <t>P044613C1S1</t>
  </si>
  <si>
    <t>2003 / 2010</t>
  </si>
  <si>
    <t>P044613C1S2</t>
  </si>
  <si>
    <t>Asphalt Mix Resurfacing</t>
  </si>
  <si>
    <t>S3</t>
  </si>
  <si>
    <t>P044613C1S3</t>
  </si>
  <si>
    <t>S4</t>
  </si>
  <si>
    <t>P044613C1S4</t>
  </si>
  <si>
    <t>P044613C2</t>
  </si>
  <si>
    <t>New 1L Road</t>
  </si>
  <si>
    <t>Nepal</t>
  </si>
  <si>
    <t>P045052</t>
  </si>
  <si>
    <t>P045052C1</t>
  </si>
  <si>
    <t>Surface Treatment Resurfacing</t>
  </si>
  <si>
    <t>1999 / 2007</t>
  </si>
  <si>
    <t>P045052C2</t>
  </si>
  <si>
    <t>China</t>
  </si>
  <si>
    <t>P045915</t>
  </si>
  <si>
    <t>P045915C1</t>
  </si>
  <si>
    <t>New 6L Expressway</t>
  </si>
  <si>
    <t>2000 / 2008</t>
  </si>
  <si>
    <t>Papua New Guinea</t>
  </si>
  <si>
    <t>P054238</t>
  </si>
  <si>
    <t>P054238C1</t>
  </si>
  <si>
    <t>1999 / 2008</t>
  </si>
  <si>
    <t>Brazil</t>
  </si>
  <si>
    <t>P055954</t>
  </si>
  <si>
    <t>P055954C1</t>
  </si>
  <si>
    <t>2001 / 2006</t>
  </si>
  <si>
    <t>P055954C2</t>
  </si>
  <si>
    <t>Mongolia</t>
  </si>
  <si>
    <t>P056200</t>
  </si>
  <si>
    <t>P056200C1</t>
  </si>
  <si>
    <t>2001 / 2008</t>
  </si>
  <si>
    <t xml:space="preserve">P056596 </t>
  </si>
  <si>
    <t>P056596 C1</t>
  </si>
  <si>
    <t>2001 / 2009</t>
  </si>
  <si>
    <t>Congo, Dem. Rep.</t>
  </si>
  <si>
    <t>P057296</t>
  </si>
  <si>
    <t>P057296C1</t>
  </si>
  <si>
    <t>2007 / 2010</t>
  </si>
  <si>
    <t>P058843</t>
  </si>
  <si>
    <t>P058843C1</t>
  </si>
  <si>
    <t>2000 / 2007</t>
  </si>
  <si>
    <t>P058845</t>
  </si>
  <si>
    <t>P058845C1S1</t>
  </si>
  <si>
    <t>New 4L Expressway</t>
  </si>
  <si>
    <t>P058845C2</t>
  </si>
  <si>
    <t>Bhutan</t>
  </si>
  <si>
    <t>P059481</t>
  </si>
  <si>
    <t>P059481C1</t>
  </si>
  <si>
    <t>1999 / 2006</t>
  </si>
  <si>
    <t>Burundi</t>
  </si>
  <si>
    <t>P064876</t>
  </si>
  <si>
    <t>P064876C1</t>
  </si>
  <si>
    <t>2004 / 2016</t>
  </si>
  <si>
    <t>P064876C2</t>
  </si>
  <si>
    <t>Gravel Resurfacing</t>
  </si>
  <si>
    <t>India</t>
  </si>
  <si>
    <t>P067606</t>
  </si>
  <si>
    <t>P067606C1</t>
  </si>
  <si>
    <t>2002 / 2011</t>
  </si>
  <si>
    <t>P067606C2</t>
  </si>
  <si>
    <t>Nicaragua</t>
  </si>
  <si>
    <t>P068673</t>
  </si>
  <si>
    <t>P068673C1</t>
  </si>
  <si>
    <t>Partial Widening and Reconstruction</t>
  </si>
  <si>
    <t>P068673C2</t>
  </si>
  <si>
    <t>Albania</t>
  </si>
  <si>
    <t>P068853</t>
  </si>
  <si>
    <t>P068853C1S1</t>
  </si>
  <si>
    <t>Bituminous Pavement Preventive Treatment</t>
  </si>
  <si>
    <t>1999 / 2004</t>
  </si>
  <si>
    <t>P068853C1S2</t>
  </si>
  <si>
    <t>P068853C1S3</t>
  </si>
  <si>
    <t>P068853C1S4</t>
  </si>
  <si>
    <t>S5</t>
  </si>
  <si>
    <t>P068853C1S5</t>
  </si>
  <si>
    <t>S6</t>
  </si>
  <si>
    <t>P068853C1S6</t>
  </si>
  <si>
    <t>P069889</t>
  </si>
  <si>
    <t>P069889C1</t>
  </si>
  <si>
    <t>2007 / 2011</t>
  </si>
  <si>
    <t>P069889C2</t>
  </si>
  <si>
    <t>Yemen, Rep.</t>
  </si>
  <si>
    <t>P070391</t>
  </si>
  <si>
    <t>P070391C1</t>
  </si>
  <si>
    <t>P070391C2</t>
  </si>
  <si>
    <t>P070519</t>
  </si>
  <si>
    <t>P070519C1S1</t>
  </si>
  <si>
    <t>2005 / 2013</t>
  </si>
  <si>
    <t>P070519C1S2</t>
  </si>
  <si>
    <t>P071244</t>
  </si>
  <si>
    <t>P071244C1</t>
  </si>
  <si>
    <t>Bangladesh</t>
  </si>
  <si>
    <t>P071435</t>
  </si>
  <si>
    <t>P071435C1</t>
  </si>
  <si>
    <t>Partial Widening</t>
  </si>
  <si>
    <t>BDT</t>
  </si>
  <si>
    <t>P071435C2</t>
  </si>
  <si>
    <t>P071435C3</t>
  </si>
  <si>
    <t>Madagascar</t>
  </si>
  <si>
    <t>P073689</t>
  </si>
  <si>
    <t>P073689C1</t>
  </si>
  <si>
    <t>2002 / 2013</t>
  </si>
  <si>
    <t>P073776</t>
  </si>
  <si>
    <t>P073776C1</t>
  </si>
  <si>
    <t>Uganda</t>
  </si>
  <si>
    <t>P074079</t>
  </si>
  <si>
    <t>P074079C1S1</t>
  </si>
  <si>
    <t>2004 / 2012</t>
  </si>
  <si>
    <t>P074079C1S2</t>
  </si>
  <si>
    <t>Cameroon</t>
  </si>
  <si>
    <t>P074490</t>
  </si>
  <si>
    <t>P074490C1</t>
  </si>
  <si>
    <t>2002 / 2010</t>
  </si>
  <si>
    <t>Thailand</t>
  </si>
  <si>
    <t>P075173</t>
  </si>
  <si>
    <t>P075173C2</t>
  </si>
  <si>
    <t>P075407</t>
  </si>
  <si>
    <t>P075407C1</t>
  </si>
  <si>
    <t>2006 / 2014</t>
  </si>
  <si>
    <t>P075407C2</t>
  </si>
  <si>
    <t>Lesotho</t>
  </si>
  <si>
    <t>P075566</t>
  </si>
  <si>
    <t>P075566C1</t>
  </si>
  <si>
    <t>2006 / 2015</t>
  </si>
  <si>
    <t>P076714</t>
  </si>
  <si>
    <t>P076714C1</t>
  </si>
  <si>
    <t>RMB</t>
  </si>
  <si>
    <t>2003 / 2009</t>
  </si>
  <si>
    <t>P076714C1S1</t>
  </si>
  <si>
    <t>P076714C1S2</t>
  </si>
  <si>
    <t>P076714C1S3</t>
  </si>
  <si>
    <t>P076714C2</t>
  </si>
  <si>
    <t>P076714C2S1</t>
  </si>
  <si>
    <t>P076714C2S2</t>
  </si>
  <si>
    <t>P076714C2S3</t>
  </si>
  <si>
    <t>P076714C2S4</t>
  </si>
  <si>
    <t>P076714C2S5</t>
  </si>
  <si>
    <t>P077856</t>
  </si>
  <si>
    <t>P077856C1</t>
  </si>
  <si>
    <t>Sierra Leone</t>
  </si>
  <si>
    <t>P078389</t>
  </si>
  <si>
    <t>P078389C1</t>
  </si>
  <si>
    <t>2005 / 2014</t>
  </si>
  <si>
    <t>P078949</t>
  </si>
  <si>
    <t>P078949C1S1</t>
  </si>
  <si>
    <t>New 2L Highway</t>
  </si>
  <si>
    <t>P078949C1S2</t>
  </si>
  <si>
    <t>P078949C1S3</t>
  </si>
  <si>
    <t>Rwanda</t>
  </si>
  <si>
    <t>P079414</t>
  </si>
  <si>
    <t>P079414C1S1</t>
  </si>
  <si>
    <t>2007 / 2015</t>
  </si>
  <si>
    <t>Mali</t>
  </si>
  <si>
    <t>P079749_2</t>
  </si>
  <si>
    <t>P079749_2C1S2</t>
  </si>
  <si>
    <t>2008 / 2015</t>
  </si>
  <si>
    <t>P081749</t>
  </si>
  <si>
    <t>P081749C1</t>
  </si>
  <si>
    <t>2004 / 2010</t>
  </si>
  <si>
    <t>P081749C2S1</t>
  </si>
  <si>
    <t>Morocco</t>
  </si>
  <si>
    <t>P082754</t>
  </si>
  <si>
    <t>P082754C1</t>
  </si>
  <si>
    <t>MAD</t>
  </si>
  <si>
    <t>2004 / 2011</t>
  </si>
  <si>
    <t>P082754C1S1</t>
  </si>
  <si>
    <t>S10</t>
  </si>
  <si>
    <t>P082754C1S10</t>
  </si>
  <si>
    <t>S11</t>
  </si>
  <si>
    <t>P082754C1S11</t>
  </si>
  <si>
    <t>S12</t>
  </si>
  <si>
    <t>P082754C1S12</t>
  </si>
  <si>
    <t>P082754C1S2</t>
  </si>
  <si>
    <t>P082754C1S3</t>
  </si>
  <si>
    <t>P082754C1S4</t>
  </si>
  <si>
    <t>P082754C1S5</t>
  </si>
  <si>
    <t>P082754C1S6</t>
  </si>
  <si>
    <t>S7</t>
  </si>
  <si>
    <t>P082754C1S7</t>
  </si>
  <si>
    <t>S8</t>
  </si>
  <si>
    <t>P082754C1S8</t>
  </si>
  <si>
    <t>S9</t>
  </si>
  <si>
    <t>P082754C1S9</t>
  </si>
  <si>
    <t>P082806</t>
  </si>
  <si>
    <t>P082806C1S1</t>
  </si>
  <si>
    <t>P082806C1S2</t>
  </si>
  <si>
    <t>P082806C1S3</t>
  </si>
  <si>
    <t>P082998</t>
  </si>
  <si>
    <t>P082998C1S1</t>
  </si>
  <si>
    <t>P082998C1S2</t>
  </si>
  <si>
    <t>P082998C1S3</t>
  </si>
  <si>
    <t>P082998C1S4</t>
  </si>
  <si>
    <t>2004 / 2007</t>
  </si>
  <si>
    <t>P082998C2S1</t>
  </si>
  <si>
    <t>P082998C2S2</t>
  </si>
  <si>
    <t xml:space="preserve">P083588 </t>
  </si>
  <si>
    <t>P083588 C1</t>
  </si>
  <si>
    <t>2007 / 2017</t>
  </si>
  <si>
    <t>P083923</t>
  </si>
  <si>
    <t>P083923C1S1</t>
  </si>
  <si>
    <t>P083923C1S2</t>
  </si>
  <si>
    <t>P083923C1S3</t>
  </si>
  <si>
    <t>P083952</t>
  </si>
  <si>
    <t>P083952C1</t>
  </si>
  <si>
    <t>P083952C2</t>
  </si>
  <si>
    <t>P083952C3</t>
  </si>
  <si>
    <t>Sri Lanka</t>
  </si>
  <si>
    <t>P086411</t>
  </si>
  <si>
    <t>P086411C1</t>
  </si>
  <si>
    <t>2005 / 2016</t>
  </si>
  <si>
    <t>P086411C2</t>
  </si>
  <si>
    <t>P090075</t>
  </si>
  <si>
    <t>P090075C1</t>
  </si>
  <si>
    <t>2007 / 2016</t>
  </si>
  <si>
    <t>P091020</t>
  </si>
  <si>
    <t>P091020C1</t>
  </si>
  <si>
    <t>P091020C2</t>
  </si>
  <si>
    <t>P091020C2S1</t>
  </si>
  <si>
    <t>P091020C2S2</t>
  </si>
  <si>
    <t>P091020C2S3</t>
  </si>
  <si>
    <t>P091020C2S4</t>
  </si>
  <si>
    <t>P091020C2S5</t>
  </si>
  <si>
    <t>P091020C2S6</t>
  </si>
  <si>
    <t>P091020C2S7</t>
  </si>
  <si>
    <t>Macedonia, FYR</t>
  </si>
  <si>
    <t>P091723</t>
  </si>
  <si>
    <t>P091723C1</t>
  </si>
  <si>
    <t>2007 / 2012</t>
  </si>
  <si>
    <t>Bulgaria</t>
  </si>
  <si>
    <t>P094018</t>
  </si>
  <si>
    <t>P094018C1</t>
  </si>
  <si>
    <t>2007 / 2014</t>
  </si>
  <si>
    <t>Sudan</t>
  </si>
  <si>
    <t>P095081</t>
  </si>
  <si>
    <t>P095081C1S1</t>
  </si>
  <si>
    <t>2006 / 2013</t>
  </si>
  <si>
    <t>P095081C1S2</t>
  </si>
  <si>
    <t>P095081C1S3</t>
  </si>
  <si>
    <t>P095460</t>
  </si>
  <si>
    <t>P095460C1</t>
  </si>
  <si>
    <t>Poland</t>
  </si>
  <si>
    <t>P096214</t>
  </si>
  <si>
    <t>P096214C1</t>
  </si>
  <si>
    <t>2006 / 2012</t>
  </si>
  <si>
    <t>P099112</t>
  </si>
  <si>
    <t>P099112C1</t>
  </si>
  <si>
    <t>2008 / 2012</t>
  </si>
  <si>
    <t>P099112C2</t>
  </si>
  <si>
    <t>Argentina</t>
  </si>
  <si>
    <t>P099585</t>
  </si>
  <si>
    <t>P099585C1</t>
  </si>
  <si>
    <t>P099585C2</t>
  </si>
  <si>
    <t>P099992</t>
  </si>
  <si>
    <t>P099992C1</t>
  </si>
  <si>
    <t xml:space="preserve">Ukraine </t>
  </si>
  <si>
    <t>P100580</t>
  </si>
  <si>
    <t>P100580C1</t>
  </si>
  <si>
    <t>UAH</t>
  </si>
  <si>
    <t>2009 / 2015</t>
  </si>
  <si>
    <t>Moldova</t>
  </si>
  <si>
    <t>P100929</t>
  </si>
  <si>
    <t>P100929C1</t>
  </si>
  <si>
    <t>P106663</t>
  </si>
  <si>
    <t>P106663C1</t>
  </si>
  <si>
    <t>Kyrgyz Republic</t>
  </si>
  <si>
    <t>P107608</t>
  </si>
  <si>
    <t>P107608C1S1</t>
  </si>
  <si>
    <t>P107608C1S2</t>
  </si>
  <si>
    <t>2015 / 2011</t>
  </si>
  <si>
    <t>P107833</t>
  </si>
  <si>
    <t>P107833C1S1</t>
  </si>
  <si>
    <t>2008 / 2013</t>
  </si>
  <si>
    <t>P107833C1S2</t>
  </si>
  <si>
    <t>P107833C1S3</t>
  </si>
  <si>
    <t>P107833C2S1</t>
  </si>
  <si>
    <t>P107833C2S2</t>
  </si>
  <si>
    <t>P107833C2S3</t>
  </si>
  <si>
    <t>P107833C2S4</t>
  </si>
  <si>
    <t>P107833C2S5</t>
  </si>
  <si>
    <t>P107833C2S6</t>
  </si>
  <si>
    <t>P107833C2S7</t>
  </si>
  <si>
    <t>P107833C2S8</t>
  </si>
  <si>
    <t>Armenia</t>
  </si>
  <si>
    <t>P115486</t>
  </si>
  <si>
    <t>P115486C1</t>
  </si>
  <si>
    <t>2009 / 2014</t>
  </si>
  <si>
    <t>P004397</t>
  </si>
  <si>
    <t>P004397C1S1</t>
  </si>
  <si>
    <t>PGK</t>
  </si>
  <si>
    <t>2002 / 2012</t>
  </si>
  <si>
    <t>P004397C1S2</t>
  </si>
  <si>
    <t>Reconstruction</t>
  </si>
  <si>
    <t>P004397C2S1</t>
  </si>
  <si>
    <t>P004397C2S2</t>
  </si>
  <si>
    <t>P009972</t>
  </si>
  <si>
    <t>P009972C1S1</t>
  </si>
  <si>
    <t>Widening and Reconstruction</t>
  </si>
  <si>
    <t>INR</t>
  </si>
  <si>
    <t>P009972C1S2</t>
  </si>
  <si>
    <t>P009972C1S3</t>
  </si>
  <si>
    <t>P009972C1S4</t>
  </si>
  <si>
    <t>P009972C1S5</t>
  </si>
  <si>
    <t>P009972C1S6</t>
  </si>
  <si>
    <t>P009972C1S7</t>
  </si>
  <si>
    <t>Pakistan</t>
  </si>
  <si>
    <t>P010556</t>
  </si>
  <si>
    <t>P010556C1S10</t>
  </si>
  <si>
    <t>PKR</t>
  </si>
  <si>
    <t>S14</t>
  </si>
  <si>
    <t>P010556C1S14</t>
  </si>
  <si>
    <t>S15</t>
  </si>
  <si>
    <t>P010556C1S15</t>
  </si>
  <si>
    <t>P010556C1S4</t>
  </si>
  <si>
    <t>P010556C1S5</t>
  </si>
  <si>
    <t>P010556C1S6</t>
  </si>
  <si>
    <t>P010556C1S7</t>
  </si>
  <si>
    <t>Philippines</t>
  </si>
  <si>
    <t>P039019</t>
  </si>
  <si>
    <t>P039019C1S1</t>
  </si>
  <si>
    <t>Upgrading</t>
  </si>
  <si>
    <t>PHP</t>
  </si>
  <si>
    <t>P039019C1S2</t>
  </si>
  <si>
    <t>P039019C1S3</t>
  </si>
  <si>
    <t>P039019C1S4</t>
  </si>
  <si>
    <t>P039019C1S5</t>
  </si>
  <si>
    <t>P039019C1S8</t>
  </si>
  <si>
    <t>P039019C1S9</t>
  </si>
  <si>
    <t>P039019C2</t>
  </si>
  <si>
    <t>P039019C3</t>
  </si>
  <si>
    <t>Belize</t>
  </si>
  <si>
    <t>P040150</t>
  </si>
  <si>
    <t>P040150C1S1</t>
  </si>
  <si>
    <t>Indonesia</t>
  </si>
  <si>
    <t>P040578</t>
  </si>
  <si>
    <t>P040578C1S1</t>
  </si>
  <si>
    <t>P040578C1S2</t>
  </si>
  <si>
    <t>Azerbaijan</t>
  </si>
  <si>
    <t>P040716</t>
  </si>
  <si>
    <t>P040716C1S1</t>
  </si>
  <si>
    <t>P040716C1S2</t>
  </si>
  <si>
    <t>Peru</t>
  </si>
  <si>
    <t>P044601</t>
  </si>
  <si>
    <t>P044601C1</t>
  </si>
  <si>
    <t>P044601C2</t>
  </si>
  <si>
    <t>P044829</t>
  </si>
  <si>
    <t>P044829C1</t>
  </si>
  <si>
    <t>P044829C1S1</t>
  </si>
  <si>
    <t>P044829C1S2</t>
  </si>
  <si>
    <t>P044829C1S3</t>
  </si>
  <si>
    <t>P044829C1S4</t>
  </si>
  <si>
    <t>P044829C1S5</t>
  </si>
  <si>
    <t>P044829C1S6</t>
  </si>
  <si>
    <t>P050649</t>
  </si>
  <si>
    <t>P050649C1</t>
  </si>
  <si>
    <t>2003 / 2012</t>
  </si>
  <si>
    <t>P050649C1S1</t>
  </si>
  <si>
    <t>P050649C1S2</t>
  </si>
  <si>
    <t>P050649C1S3</t>
  </si>
  <si>
    <t>P050649C1S4</t>
  </si>
  <si>
    <t>P050649C2</t>
  </si>
  <si>
    <t>P050719</t>
  </si>
  <si>
    <t>P050719C1</t>
  </si>
  <si>
    <t>P050719C1S1</t>
  </si>
  <si>
    <t>P050719C1S2</t>
  </si>
  <si>
    <t>P050719C1S3</t>
  </si>
  <si>
    <t>P052208</t>
  </si>
  <si>
    <t>P052208C1S1</t>
  </si>
  <si>
    <t>Senegal</t>
  </si>
  <si>
    <t>P055472</t>
  </si>
  <si>
    <t>P055472C1</t>
  </si>
  <si>
    <t>Uruguay</t>
  </si>
  <si>
    <t>P057481</t>
  </si>
  <si>
    <t>2005 / 2012</t>
  </si>
  <si>
    <t>P057481C1S1</t>
  </si>
  <si>
    <t>P057481C1S2</t>
  </si>
  <si>
    <t>P057481C1S3</t>
  </si>
  <si>
    <t>Honduras</t>
  </si>
  <si>
    <t>P057538</t>
  </si>
  <si>
    <t>P057538C1S1</t>
  </si>
  <si>
    <t>P057538C1S2</t>
  </si>
  <si>
    <t>P057538C1S3</t>
  </si>
  <si>
    <t>P057538C1S4</t>
  </si>
  <si>
    <t>P057538C2</t>
  </si>
  <si>
    <t>P057538C3</t>
  </si>
  <si>
    <t>P057731</t>
  </si>
  <si>
    <t>P057731C1S1</t>
  </si>
  <si>
    <t>2001 / 2011</t>
  </si>
  <si>
    <t>P057731C1S2</t>
  </si>
  <si>
    <t>P057731C1S3</t>
  </si>
  <si>
    <t>P057731C1S4</t>
  </si>
  <si>
    <t>P058844</t>
  </si>
  <si>
    <t>P058844C1</t>
  </si>
  <si>
    <t>P058844C2</t>
  </si>
  <si>
    <t>P058847</t>
  </si>
  <si>
    <t>P058847C1</t>
  </si>
  <si>
    <t>P058847C2</t>
  </si>
  <si>
    <t>P059663</t>
  </si>
  <si>
    <t>P059663C1S1</t>
  </si>
  <si>
    <t>P059663C1S2</t>
  </si>
  <si>
    <t>P059663C2</t>
  </si>
  <si>
    <t>P059864</t>
  </si>
  <si>
    <t>P059864C1</t>
  </si>
  <si>
    <t>Lao PDR</t>
  </si>
  <si>
    <t>P064821</t>
  </si>
  <si>
    <t>P064821C1S1</t>
  </si>
  <si>
    <t>2001 / 2005</t>
  </si>
  <si>
    <t>P064821C1S10</t>
  </si>
  <si>
    <t>P064821C1S11</t>
  </si>
  <si>
    <t>P064821C1S2</t>
  </si>
  <si>
    <t>P064821C1S3</t>
  </si>
  <si>
    <t>P064821C1S4</t>
  </si>
  <si>
    <t>P064821C1S5</t>
  </si>
  <si>
    <t>P064821C1S6</t>
  </si>
  <si>
    <t>P064821C1S7</t>
  </si>
  <si>
    <t>P064821C1S8</t>
  </si>
  <si>
    <t>P064821C1S9</t>
  </si>
  <si>
    <t>Guinea</t>
  </si>
  <si>
    <t>P065127</t>
  </si>
  <si>
    <t>P065127C1</t>
  </si>
  <si>
    <t>2004 / 2013</t>
  </si>
  <si>
    <t>P065436</t>
  </si>
  <si>
    <t>P065436C1</t>
  </si>
  <si>
    <t>P065436C1S1</t>
  </si>
  <si>
    <t>P065436C1S2</t>
  </si>
  <si>
    <t>P065436C1S3</t>
  </si>
  <si>
    <t>P065436C1S4</t>
  </si>
  <si>
    <t>Mexico</t>
  </si>
  <si>
    <t>P065779</t>
  </si>
  <si>
    <t>P065779C1S1</t>
  </si>
  <si>
    <t>P065779C1S10</t>
  </si>
  <si>
    <t>P065779C1S11</t>
  </si>
  <si>
    <t>P065779C1S12</t>
  </si>
  <si>
    <t>S13</t>
  </si>
  <si>
    <t>P065779C1S13</t>
  </si>
  <si>
    <t>P065779C1S14</t>
  </si>
  <si>
    <t>P065779C1S15</t>
  </si>
  <si>
    <t>S16</t>
  </si>
  <si>
    <t>P065779C1S16</t>
  </si>
  <si>
    <t>S17</t>
  </si>
  <si>
    <t>P065779C1S17</t>
  </si>
  <si>
    <t>S18</t>
  </si>
  <si>
    <t>P065779C1S18</t>
  </si>
  <si>
    <t>S19</t>
  </si>
  <si>
    <t>P065779C1S19</t>
  </si>
  <si>
    <t>P065779C1S2</t>
  </si>
  <si>
    <t>S20</t>
  </si>
  <si>
    <t>P065779C1S20</t>
  </si>
  <si>
    <t>S21</t>
  </si>
  <si>
    <t>P065779C1S21</t>
  </si>
  <si>
    <t>S22</t>
  </si>
  <si>
    <t>P065779C1S22</t>
  </si>
  <si>
    <t>S23</t>
  </si>
  <si>
    <t>P065779C1S23</t>
  </si>
  <si>
    <t>S24</t>
  </si>
  <si>
    <t>P065779C1S24</t>
  </si>
  <si>
    <t>S25</t>
  </si>
  <si>
    <t>P065779C1S25</t>
  </si>
  <si>
    <t>S26</t>
  </si>
  <si>
    <t>P065779C1S26</t>
  </si>
  <si>
    <t>S27</t>
  </si>
  <si>
    <t>P065779C1S27</t>
  </si>
  <si>
    <t>S28</t>
  </si>
  <si>
    <t>P065779C1S28</t>
  </si>
  <si>
    <t>S29</t>
  </si>
  <si>
    <t>P065779C1S29</t>
  </si>
  <si>
    <t>P065779C1S3</t>
  </si>
  <si>
    <t>S30</t>
  </si>
  <si>
    <t>P065779C1S30</t>
  </si>
  <si>
    <t>S31</t>
  </si>
  <si>
    <t>P065779C1S31</t>
  </si>
  <si>
    <t>S32</t>
  </si>
  <si>
    <t>P065779C1S32</t>
  </si>
  <si>
    <t>S33</t>
  </si>
  <si>
    <t>P065779C1S33</t>
  </si>
  <si>
    <t>S34</t>
  </si>
  <si>
    <t>P065779C1S34</t>
  </si>
  <si>
    <t>S35</t>
  </si>
  <si>
    <t>P065779C1S35</t>
  </si>
  <si>
    <t>S36</t>
  </si>
  <si>
    <t>P065779C1S36</t>
  </si>
  <si>
    <t>S37</t>
  </si>
  <si>
    <t>P065779C1S37</t>
  </si>
  <si>
    <t>S38</t>
  </si>
  <si>
    <t>P065779C1S38</t>
  </si>
  <si>
    <t>S39</t>
  </si>
  <si>
    <t>P065779C1S39</t>
  </si>
  <si>
    <t>P065779C1S4</t>
  </si>
  <si>
    <t>S40</t>
  </si>
  <si>
    <t>P065779C1S40</t>
  </si>
  <si>
    <t>S41</t>
  </si>
  <si>
    <t>P065779C1S41</t>
  </si>
  <si>
    <t>S42</t>
  </si>
  <si>
    <t>P065779C1S42</t>
  </si>
  <si>
    <t>S43</t>
  </si>
  <si>
    <t>P065779C1S43</t>
  </si>
  <si>
    <t>S44</t>
  </si>
  <si>
    <t>P065779C1S44</t>
  </si>
  <si>
    <t>S45</t>
  </si>
  <si>
    <t>P065779C1S45</t>
  </si>
  <si>
    <t>S46</t>
  </si>
  <si>
    <t>P065779C1S46</t>
  </si>
  <si>
    <t>S47</t>
  </si>
  <si>
    <t>P065779C1S47</t>
  </si>
  <si>
    <t>S48</t>
  </si>
  <si>
    <t>P065779C1S48</t>
  </si>
  <si>
    <t>S49</t>
  </si>
  <si>
    <t>P065779C1S49</t>
  </si>
  <si>
    <t>P065779C1S5</t>
  </si>
  <si>
    <t>S50</t>
  </si>
  <si>
    <t>P065779C1S50</t>
  </si>
  <si>
    <t>S51</t>
  </si>
  <si>
    <t>P065779C1S51</t>
  </si>
  <si>
    <t>P065779C1S6</t>
  </si>
  <si>
    <t>P065779C1S7</t>
  </si>
  <si>
    <t>P065779C1S8</t>
  </si>
  <si>
    <t>P065779C1S9</t>
  </si>
  <si>
    <t>P068752</t>
  </si>
  <si>
    <t>P068752C1</t>
  </si>
  <si>
    <t>2005 / 2011</t>
  </si>
  <si>
    <t>P068752C2</t>
  </si>
  <si>
    <t>P068752C2S1</t>
  </si>
  <si>
    <t>CNY</t>
  </si>
  <si>
    <t>P068752C2S2</t>
  </si>
  <si>
    <t>P068752C2S3</t>
  </si>
  <si>
    <t>P068752C2S4</t>
  </si>
  <si>
    <t>P068752C2S5</t>
  </si>
  <si>
    <t>Bolivia</t>
  </si>
  <si>
    <t>P068968</t>
  </si>
  <si>
    <t>P068968C1</t>
  </si>
  <si>
    <t>P068968C2</t>
  </si>
  <si>
    <t>P069852</t>
  </si>
  <si>
    <t>P069852C2</t>
  </si>
  <si>
    <t>Djibouti</t>
  </si>
  <si>
    <t>P069930</t>
  </si>
  <si>
    <t>P069930C1</t>
  </si>
  <si>
    <t>P069930C2</t>
  </si>
  <si>
    <t>P070421</t>
  </si>
  <si>
    <t>P070421C1</t>
  </si>
  <si>
    <t>P070421C1S1</t>
  </si>
  <si>
    <t>P070421C1S10</t>
  </si>
  <si>
    <t>P070421C1S11</t>
  </si>
  <si>
    <t>P070421C1S2</t>
  </si>
  <si>
    <t>P070421C1S3</t>
  </si>
  <si>
    <t>P070421C1S4</t>
  </si>
  <si>
    <t>P070421C1S5</t>
  </si>
  <si>
    <t>P070421C1S6</t>
  </si>
  <si>
    <t>P070421C1S7</t>
  </si>
  <si>
    <t>P070421C1S8</t>
  </si>
  <si>
    <t>P070421C1S9</t>
  </si>
  <si>
    <t>P070421C2</t>
  </si>
  <si>
    <t>P070441</t>
  </si>
  <si>
    <t>P070441C1</t>
  </si>
  <si>
    <t>2002 / 2008</t>
  </si>
  <si>
    <t>P070441C2</t>
  </si>
  <si>
    <t>P070459</t>
  </si>
  <si>
    <t>P070459C1</t>
  </si>
  <si>
    <t>P070459C2</t>
  </si>
  <si>
    <t>P070459C2S1</t>
  </si>
  <si>
    <t>P070459C2S2</t>
  </si>
  <si>
    <t>P070459C2S3</t>
  </si>
  <si>
    <t>P070459C2S4</t>
  </si>
  <si>
    <t>Cambodia</t>
  </si>
  <si>
    <t>P071207</t>
  </si>
  <si>
    <t>P071207C1S1</t>
  </si>
  <si>
    <t>P071207C1S10</t>
  </si>
  <si>
    <t>P071207C1S2</t>
  </si>
  <si>
    <t>P071207C1S3</t>
  </si>
  <si>
    <t>P071207C1S4</t>
  </si>
  <si>
    <t>P071207C1S5</t>
  </si>
  <si>
    <t>P071207C1S6</t>
  </si>
  <si>
    <t>P071207C1S7</t>
  </si>
  <si>
    <t>P071207C1S8</t>
  </si>
  <si>
    <t>P071207C1S9</t>
  </si>
  <si>
    <t>Zambia</t>
  </si>
  <si>
    <t>P071985</t>
  </si>
  <si>
    <t>P071985C1S1</t>
  </si>
  <si>
    <t>2004 / 2015</t>
  </si>
  <si>
    <t>P071985C1S2</t>
  </si>
  <si>
    <t>P071985C1S3</t>
  </si>
  <si>
    <t>P071985C1S4</t>
  </si>
  <si>
    <t>P072539</t>
  </si>
  <si>
    <t>P072539C1</t>
  </si>
  <si>
    <t>P072539C2</t>
  </si>
  <si>
    <t>Burkina Faso</t>
  </si>
  <si>
    <t>P074030</t>
  </si>
  <si>
    <t>P074030C1</t>
  </si>
  <si>
    <t>2003 / 2014</t>
  </si>
  <si>
    <t>P074290</t>
  </si>
  <si>
    <t>P074290C1</t>
  </si>
  <si>
    <t>P074290C1S1</t>
  </si>
  <si>
    <t>P074290C1S2</t>
  </si>
  <si>
    <t>P074290C1S3</t>
  </si>
  <si>
    <t>P074290C1S4</t>
  </si>
  <si>
    <t>P074290C1S5</t>
  </si>
  <si>
    <t>P074290C1S6</t>
  </si>
  <si>
    <t>P074290C1S7</t>
  </si>
  <si>
    <t>P074290C1S8</t>
  </si>
  <si>
    <t>Nigeria</t>
  </si>
  <si>
    <t>P074963</t>
  </si>
  <si>
    <t>P074963C1</t>
  </si>
  <si>
    <t>P074963C1S1</t>
  </si>
  <si>
    <t>P074963C1S2</t>
  </si>
  <si>
    <t>Yugoslavia, FR (Serbia/Montenegro)</t>
  </si>
  <si>
    <t>P075207</t>
  </si>
  <si>
    <t>P075207C1S1</t>
  </si>
  <si>
    <t>P075207C1S2</t>
  </si>
  <si>
    <t>P075207C1S3</t>
  </si>
  <si>
    <t>P075207C1S4</t>
  </si>
  <si>
    <t>Samoa</t>
  </si>
  <si>
    <t>P075523</t>
  </si>
  <si>
    <t>P075523C1S1</t>
  </si>
  <si>
    <t>P075523C1S2</t>
  </si>
  <si>
    <t>P075523C1S3</t>
  </si>
  <si>
    <t>P075613</t>
  </si>
  <si>
    <t>P075613C1</t>
  </si>
  <si>
    <t>2007 / 2013</t>
  </si>
  <si>
    <t>P075613C2</t>
  </si>
  <si>
    <t>P077977</t>
  </si>
  <si>
    <t>P077977C1S1</t>
  </si>
  <si>
    <t>P077977C1S2</t>
  </si>
  <si>
    <t>P077977C1S3</t>
  </si>
  <si>
    <t>P077977C1S4</t>
  </si>
  <si>
    <t>P078170</t>
  </si>
  <si>
    <t>P078170C2</t>
  </si>
  <si>
    <t>Concrete Pavement Restoration</t>
  </si>
  <si>
    <t>2004 / 2009</t>
  </si>
  <si>
    <t>Afghanistan</t>
  </si>
  <si>
    <t>P078284</t>
  </si>
  <si>
    <t>P078284C1</t>
  </si>
  <si>
    <t>2003 / 2008</t>
  </si>
  <si>
    <t>P078284C1S1</t>
  </si>
  <si>
    <t>P078284C1S2</t>
  </si>
  <si>
    <t>P078284C2</t>
  </si>
  <si>
    <t>Tanzania</t>
  </si>
  <si>
    <t>P078387</t>
  </si>
  <si>
    <t>P078387C1S1</t>
  </si>
  <si>
    <t>P078387C1S2</t>
  </si>
  <si>
    <t>P078813</t>
  </si>
  <si>
    <t>P078813C1</t>
  </si>
  <si>
    <t>P078813C1S1</t>
  </si>
  <si>
    <t>P078813C1S2</t>
  </si>
  <si>
    <t>P079351</t>
  </si>
  <si>
    <t>P079351C1</t>
  </si>
  <si>
    <t>P079906</t>
  </si>
  <si>
    <t>P079906C1</t>
  </si>
  <si>
    <t>P079906C1S1</t>
  </si>
  <si>
    <t>P079906C1S2</t>
  </si>
  <si>
    <t>P079906C1S3</t>
  </si>
  <si>
    <t>Jordan</t>
  </si>
  <si>
    <t>P081505</t>
  </si>
  <si>
    <t>P081505C1S1</t>
  </si>
  <si>
    <t>P081505C1S2</t>
  </si>
  <si>
    <t>P081505C1S3</t>
  </si>
  <si>
    <t>Paraguay</t>
  </si>
  <si>
    <t>P082026</t>
  </si>
  <si>
    <t>P082026C1</t>
  </si>
  <si>
    <t>2006 / 2016</t>
  </si>
  <si>
    <t>P082026C1S1</t>
  </si>
  <si>
    <t>P082026C1S2</t>
  </si>
  <si>
    <t>P082026C1S3</t>
  </si>
  <si>
    <t>P082026C2</t>
  </si>
  <si>
    <t>P082026C2S1</t>
  </si>
  <si>
    <t>P082026C2S2</t>
  </si>
  <si>
    <t>P082026C2S3</t>
  </si>
  <si>
    <t>P082472</t>
  </si>
  <si>
    <t>P082472C1</t>
  </si>
  <si>
    <t>2008 / 2008</t>
  </si>
  <si>
    <t>Kenya</t>
  </si>
  <si>
    <t>P082615</t>
  </si>
  <si>
    <t>P082615C1S1</t>
  </si>
  <si>
    <t>P082615C1S2</t>
  </si>
  <si>
    <t>P082615C1S3</t>
  </si>
  <si>
    <t>P082615C1S4</t>
  </si>
  <si>
    <t>P082615C1S5</t>
  </si>
  <si>
    <t>P083110</t>
  </si>
  <si>
    <t>P083110C1</t>
  </si>
  <si>
    <t>P083543</t>
  </si>
  <si>
    <t>P083543C1</t>
  </si>
  <si>
    <t>P083543C1S1</t>
  </si>
  <si>
    <t>P083543C1S10</t>
  </si>
  <si>
    <t>P083543C1S11</t>
  </si>
  <si>
    <t>P083543C1S12</t>
  </si>
  <si>
    <t>P083543C1S13</t>
  </si>
  <si>
    <t>P083543C1S14</t>
  </si>
  <si>
    <t>P083543C1S15</t>
  </si>
  <si>
    <t>P083543C1S16</t>
  </si>
  <si>
    <t>P083543C1S17</t>
  </si>
  <si>
    <t>P083543C1S18</t>
  </si>
  <si>
    <t>P083543C1S19</t>
  </si>
  <si>
    <t>P083543C1S2</t>
  </si>
  <si>
    <t>P083543C1S20</t>
  </si>
  <si>
    <t>P083543C1S21</t>
  </si>
  <si>
    <t>P083543C1S22</t>
  </si>
  <si>
    <t>P083543C1S23</t>
  </si>
  <si>
    <t>P083543C1S24</t>
  </si>
  <si>
    <t>P083543C1S25</t>
  </si>
  <si>
    <t>P083543C1S26</t>
  </si>
  <si>
    <t>P083543C1S27</t>
  </si>
  <si>
    <t>P083543C1S28</t>
  </si>
  <si>
    <t>P083543C1S29</t>
  </si>
  <si>
    <t>P083543C1S3</t>
  </si>
  <si>
    <t>P083543C1S30</t>
  </si>
  <si>
    <t>P083543C1S31</t>
  </si>
  <si>
    <t>P083543C1S32</t>
  </si>
  <si>
    <t>P083543C1S33</t>
  </si>
  <si>
    <t>P083543C1S34</t>
  </si>
  <si>
    <t>P083543C1S35</t>
  </si>
  <si>
    <t>P083543C1S36</t>
  </si>
  <si>
    <t>P083543C1S37</t>
  </si>
  <si>
    <t>P083543C1S38</t>
  </si>
  <si>
    <t>P083543C1S39</t>
  </si>
  <si>
    <t>P083543C1S4</t>
  </si>
  <si>
    <t>P083543C1S40</t>
  </si>
  <si>
    <t>P083543C1S5</t>
  </si>
  <si>
    <t>P083543C1S6</t>
  </si>
  <si>
    <t>P083543C1S7</t>
  </si>
  <si>
    <t>P083543C1S8</t>
  </si>
  <si>
    <t>P083543C1S9</t>
  </si>
  <si>
    <t>P086277</t>
  </si>
  <si>
    <t>P086277C1</t>
  </si>
  <si>
    <t>Cape Verde</t>
  </si>
  <si>
    <t>P087004</t>
  </si>
  <si>
    <t>P087004C1S1</t>
  </si>
  <si>
    <t>P087004C1S2</t>
  </si>
  <si>
    <t>P087004C1S3</t>
  </si>
  <si>
    <t>Iraq</t>
  </si>
  <si>
    <t>P087735</t>
  </si>
  <si>
    <t>P087735C1</t>
  </si>
  <si>
    <t>2014 / 2014</t>
  </si>
  <si>
    <t>P087735C1S1</t>
  </si>
  <si>
    <t>P087735C1S10</t>
  </si>
  <si>
    <t>P087735C1S11</t>
  </si>
  <si>
    <t>P087735C1S12</t>
  </si>
  <si>
    <t>P087735C1S13</t>
  </si>
  <si>
    <t>P087735C1S2</t>
  </si>
  <si>
    <t>P087735C1S3</t>
  </si>
  <si>
    <t>P087735C1S4</t>
  </si>
  <si>
    <t>P087735C1S5</t>
  </si>
  <si>
    <t>P087735C1S6</t>
  </si>
  <si>
    <t>P087735C1S7</t>
  </si>
  <si>
    <t>P087735C1S8</t>
  </si>
  <si>
    <t>P087735C1S9</t>
  </si>
  <si>
    <t>P087735C2</t>
  </si>
  <si>
    <t>P087735C2S1</t>
  </si>
  <si>
    <t>P087735C2S2</t>
  </si>
  <si>
    <t>P087735C2S3</t>
  </si>
  <si>
    <t>P087735C2S4</t>
  </si>
  <si>
    <t>P088153</t>
  </si>
  <si>
    <t>P088153C1</t>
  </si>
  <si>
    <t>P091077</t>
  </si>
  <si>
    <t>P091077C1</t>
  </si>
  <si>
    <t>P091077C1S1</t>
  </si>
  <si>
    <t>P091077C1S2</t>
  </si>
  <si>
    <t>P091077C1S3</t>
  </si>
  <si>
    <t>P091077C1S4</t>
  </si>
  <si>
    <t>P091077C1S5</t>
  </si>
  <si>
    <t>P091077C1S6</t>
  </si>
  <si>
    <t>Mauritius</t>
  </si>
  <si>
    <t>P091828</t>
  </si>
  <si>
    <t>P091828C1S1</t>
  </si>
  <si>
    <t>P091828C1S2</t>
  </si>
  <si>
    <t>P091828C1S3</t>
  </si>
  <si>
    <t>P091828C1S4</t>
  </si>
  <si>
    <t>Romania</t>
  </si>
  <si>
    <t>P093812</t>
  </si>
  <si>
    <t>P093812C1</t>
  </si>
  <si>
    <t>2006 / 2010</t>
  </si>
  <si>
    <t>P093906</t>
  </si>
  <si>
    <t>P093906C1</t>
  </si>
  <si>
    <t>2006 / 2011</t>
  </si>
  <si>
    <t>P093906C2</t>
  </si>
  <si>
    <t>P094044</t>
  </si>
  <si>
    <t>P094044C1S1</t>
  </si>
  <si>
    <t>P094488</t>
  </si>
  <si>
    <t>P094488C1S1</t>
  </si>
  <si>
    <t>Administrative processes</t>
  </si>
  <si>
    <t>2005 / 2005</t>
  </si>
  <si>
    <t>P094488C1S2</t>
  </si>
  <si>
    <t>Angola</t>
  </si>
  <si>
    <t>P095229</t>
  </si>
  <si>
    <t>P095229C1S1</t>
  </si>
  <si>
    <t>Haiti</t>
  </si>
  <si>
    <t>P095523</t>
  </si>
  <si>
    <t>P095523C1S1</t>
  </si>
  <si>
    <t>P095523C1S2</t>
  </si>
  <si>
    <t>P095569</t>
  </si>
  <si>
    <t>P095569C1</t>
  </si>
  <si>
    <t>P095570</t>
  </si>
  <si>
    <t>P095570C1</t>
  </si>
  <si>
    <t>P095570C1S1</t>
  </si>
  <si>
    <t>P095570C1S2</t>
  </si>
  <si>
    <t>P095570C1S3</t>
  </si>
  <si>
    <t>P096023</t>
  </si>
  <si>
    <t>P096023C1S1</t>
  </si>
  <si>
    <t>2008 / 2017</t>
  </si>
  <si>
    <t>P096023C1S2</t>
  </si>
  <si>
    <t>P098837</t>
  </si>
  <si>
    <t>P098837C1</t>
  </si>
  <si>
    <t>2011 / 2013</t>
  </si>
  <si>
    <t>P099894</t>
  </si>
  <si>
    <t>P099894C1</t>
  </si>
  <si>
    <t>EUR</t>
  </si>
  <si>
    <t>P099894C1S1</t>
  </si>
  <si>
    <t>P099894C1S2</t>
  </si>
  <si>
    <t>P099894C1S3</t>
  </si>
  <si>
    <t>P099894C1S4</t>
  </si>
  <si>
    <t>P099894C1S5</t>
  </si>
  <si>
    <t>P099894C1S6</t>
  </si>
  <si>
    <t>P100332</t>
  </si>
  <si>
    <t>P100332C1</t>
  </si>
  <si>
    <t>P100332C1S1</t>
  </si>
  <si>
    <t>P100332C1S2</t>
  </si>
  <si>
    <t>P100332C1S3</t>
  </si>
  <si>
    <t>P101258</t>
  </si>
  <si>
    <t>P101258C1</t>
  </si>
  <si>
    <t>2009 / 2016</t>
  </si>
  <si>
    <t>P107101</t>
  </si>
  <si>
    <t>P107101C1S1</t>
  </si>
  <si>
    <t>2010 / 2012</t>
  </si>
  <si>
    <t>P107101C1S2</t>
  </si>
  <si>
    <t>P107101C1S3</t>
  </si>
  <si>
    <t>P107101C1S4</t>
  </si>
  <si>
    <t>P107840</t>
  </si>
  <si>
    <t>P107840C1S1</t>
  </si>
  <si>
    <t>2008 / 2016</t>
  </si>
  <si>
    <t>P107840C1S10</t>
  </si>
  <si>
    <t>P107840C1S11</t>
  </si>
  <si>
    <t>P107840C1S2</t>
  </si>
  <si>
    <t>P107840C1S3</t>
  </si>
  <si>
    <t>P107840C1S4</t>
  </si>
  <si>
    <t>P107840C1S5</t>
  </si>
  <si>
    <t>P107840C1S6</t>
  </si>
  <si>
    <t>P107840C1S7</t>
  </si>
  <si>
    <t>P107840C1S8</t>
  </si>
  <si>
    <t>P107840C1S9</t>
  </si>
  <si>
    <t>P107847</t>
  </si>
  <si>
    <t>P107847C1S1</t>
  </si>
  <si>
    <t>P107847C1S2</t>
  </si>
  <si>
    <t>P107847C1S3</t>
  </si>
  <si>
    <t>P109058</t>
  </si>
  <si>
    <t>P109058C1S1</t>
  </si>
  <si>
    <t>P109058C1S2</t>
  </si>
  <si>
    <t>P109058C1S3</t>
  </si>
  <si>
    <t>Belarus</t>
  </si>
  <si>
    <t>P118375</t>
  </si>
  <si>
    <t>P118375C1S1</t>
  </si>
  <si>
    <t>2010 / 2016</t>
  </si>
  <si>
    <t>P118375C1S2</t>
  </si>
  <si>
    <t>P118375C1S3</t>
  </si>
  <si>
    <t>P118375C1S4</t>
  </si>
  <si>
    <t>South Sudan</t>
  </si>
  <si>
    <t>P118579</t>
  </si>
  <si>
    <t>P118579C1S1</t>
  </si>
  <si>
    <t>2010 / 2013</t>
  </si>
  <si>
    <t>P118579C1S2</t>
  </si>
  <si>
    <t>P118579C1S3</t>
  </si>
  <si>
    <t>P118579C1S4</t>
  </si>
  <si>
    <t>P118579C1S5</t>
  </si>
  <si>
    <t>P118579C1S6</t>
  </si>
  <si>
    <t>P118579C1S7</t>
  </si>
  <si>
    <t>P118579C1S8</t>
  </si>
  <si>
    <t>P125584</t>
  </si>
  <si>
    <t>P125584C1S1</t>
  </si>
  <si>
    <t>2011 / 2016</t>
  </si>
  <si>
    <t>P128966</t>
  </si>
  <si>
    <t>P128966C1</t>
  </si>
  <si>
    <t>2012 / 2016</t>
  </si>
  <si>
    <t>(All)</t>
  </si>
  <si>
    <t>Sum of Political events</t>
  </si>
  <si>
    <t>Sum of Weather shocks</t>
  </si>
  <si>
    <t>Sum of Procurement system</t>
  </si>
  <si>
    <t>Sum of Administrative processes</t>
  </si>
  <si>
    <t>Sum of Capacity of counterpart</t>
  </si>
  <si>
    <t>Sum of Capacity of contractors</t>
  </si>
  <si>
    <t>Sum of Competition</t>
  </si>
  <si>
    <t>Sum of Quality of estimates</t>
  </si>
  <si>
    <t>Sum of Change of project scope</t>
  </si>
  <si>
    <t>East Asia and Pacific</t>
  </si>
  <si>
    <t>Latin America and Caribbean</t>
  </si>
  <si>
    <t>Europe and Central Asia</t>
  </si>
  <si>
    <t>South Asia</t>
  </si>
  <si>
    <t>Middle East and North Africa</t>
  </si>
  <si>
    <t>Sub-Saharan Africa</t>
  </si>
  <si>
    <t>Region</t>
  </si>
  <si>
    <t>Row Labels</t>
  </si>
  <si>
    <t>Grand Total</t>
  </si>
  <si>
    <t>Average of Length (km)</t>
  </si>
  <si>
    <t>cost_outlier_over</t>
  </si>
  <si>
    <t>cost_outlier_under</t>
  </si>
  <si>
    <t>Length_outlier_over</t>
  </si>
  <si>
    <t>Length_outlier_under</t>
  </si>
  <si>
    <t>Average of Length_outlier_over</t>
  </si>
  <si>
    <t>Average of Length_outlier_under</t>
  </si>
  <si>
    <t>Average of cost_outlier_over</t>
  </si>
  <si>
    <t>Average of cost_outlier_under</t>
  </si>
  <si>
    <t>Cost 
(M; USD)</t>
  </si>
  <si>
    <t>CCY</t>
  </si>
  <si>
    <t>Cost 
(M)</t>
  </si>
  <si>
    <t xml:space="preserve">Macroeconomic conditions; Weather shocks ; </t>
  </si>
  <si>
    <t xml:space="preserve">limited availability of construction materials; adverse weather conditions (prolonged wet weather); </t>
  </si>
  <si>
    <t xml:space="preserve">Macroeconomic conditions; Weather shocks; </t>
  </si>
  <si>
    <t xml:space="preserve">Change of project scope; Weather shocks; </t>
  </si>
  <si>
    <t xml:space="preserve">An additional financing meant that the total loan amount went from USD 200 million to over USD 500 milllion; 2010 floods (the worst flooding in over 80 years in Pakistan) led to a revision in the scope of certain contracts; </t>
  </si>
  <si>
    <t>Capacity of counterpart (Procurement system); Quality of estimates; Weather shocks</t>
  </si>
  <si>
    <t>slow procurement process and the mis-procurement of several documents; as a result some of the contracts were financed by the government - a 13% cost overrun is estimated resulted from the roads  financed by the government; the road length is about 23% less than estimated at appraisal as a result of the fiscal crises experienced by the government ; actual unit costs more than double the appraisal estimates; typhoons</t>
  </si>
  <si>
    <t>slow procurement process and the mis-procurement of several documents; as a result some of the contracts were financed by the government - a 13% cost overrun is estimated resulted from the roads  financed by the government; actual unit costs more than double the appraisal estimates; typhoons</t>
  </si>
  <si>
    <t xml:space="preserve">Political events ; ; </t>
  </si>
  <si>
    <t xml:space="preserve">Frequent changes at high levels of government, coupled with a bias towards short-term solutions, and lack of conviction vis-a-vis the reforms it supported, limited the institutional impact of the project; ; </t>
  </si>
  <si>
    <t>Macroeconomic conditions ; Weather shocks; Quality of estimates</t>
  </si>
  <si>
    <t>increased costs of the upgrading works due to delays and the consequent increase in the prices of key construction materials (bitumen and steel);  appreciation of Indian Rupee vis-à-vis the US Dollar; higher costs were incurred due to heavy monsoons and tsunamis that took place during the extended construction periods
; actual costs of O&amp;M were higher vis-à-vis the estimate cost</t>
  </si>
  <si>
    <t>Political events ; Weather shocks ; Macroeconomic conditions</t>
  </si>
  <si>
    <t>an economic crisis ensued as a result of the political crisis over the outcome of the presidential elections in December 2001; extra-costs were incurred for additional works to rehabilitate the cyclone damaged works in progress, and for compensations to contractors ; cost fluctuations (inflation, international oil price, valuation of the national currency)</t>
  </si>
  <si>
    <t xml:space="preserve">Quality of estimates; Capacity of counterpart; </t>
  </si>
  <si>
    <t xml:space="preserve">the cost of externalities was difficult to assess accurately due to methodological problems; as a result the actual cost of externalities turned out to be 32% higher than the estimated cost ; higher costs were incurred due to substantial delays resulting from the lack of counterpart funds; </t>
  </si>
  <si>
    <t xml:space="preserve">Quality of estimates; ; </t>
  </si>
  <si>
    <t xml:space="preserve">Cost estimates established at the time of project preparation turned out to be underestimated; ; </t>
  </si>
  <si>
    <t xml:space="preserve">Change of project scope; Quality of estimates; </t>
  </si>
  <si>
    <t xml:space="preserve">A heavier and more expensive pavement rehabilitation solution was adopted, including platform widening; Cost estimates established at the time of project preparation turned out to be underestimated; </t>
  </si>
  <si>
    <t xml:space="preserve">Macroeconomic conditions; Quality of estimates; </t>
  </si>
  <si>
    <t xml:space="preserve">Higher costs were incurred as a result of the SDR/US dollar devaluation; most of the civil works carried out under the Project experienced cost increases in relation to estimate; (these increases resulted from: additional tasks identified during works execution not contemplated during road engineering designs;  changes needed due to problems in engineering designs and to considerable lags between the dates of design preparation and of works execution and  price adjustments higher than originally budgeted); </t>
  </si>
  <si>
    <t xml:space="preserve">Change of project scope; ; </t>
  </si>
  <si>
    <t xml:space="preserve">the greater actual length resulted from the highly satisfactory performance of the road maintenace pilot program to that date (Dec 2005); ; </t>
  </si>
  <si>
    <t xml:space="preserve">Procurement system; Quality of estimates; </t>
  </si>
  <si>
    <t xml:space="preserve">higher costs were incurred as a result of the delayed procurement of civil works partly due to prolonged discussions on the harmonization of the Borrower’s and the Bank’s procurement guidelines; gross underestimation of costs in the PAD; price difference between the detailed design estimate and the actual contract price; inadequate investigation during the detailed design stage of the sub-soil conditions and deterioration of the road conditions as well as the adoption of new regulations/standards issued by MMDA; </t>
  </si>
  <si>
    <t xml:space="preserve">Macroeconomic conditions; Procurement system; </t>
  </si>
  <si>
    <t xml:space="preserve">steep, volatile price increases—particularly on fuel and bitumen—had a significant impact on appraised cost estimates; inflation averaged more than 11 percent between 2003 and 2011, peaking at 23.1 percent in 2008 and reaching nearly 20 percent again in 2011; Project activities encountered delays during a high-profile incident related to media reports of alleged corruption of several individuals from PMU that were brought to light in December 2005; the incident interrupted all ODA (Official Development Assistance) project activities implemented by MOT (Ministry of Transport) for more than two years;; </t>
  </si>
  <si>
    <t>Macroeconomic conditions; Quality of estimates; Procurement system</t>
  </si>
  <si>
    <t>steep, volatile price increases—particularly on fuel and bitumen—had a significant impact on appraised cost estimates; inflation averaged more than 11 percent between 2003 and 2011, peaking at 23.1 percent in 2008 and reaching nearly 20 percent again in 2011; There had been systemic non-compliance with the Resettlement Policy Framework (RPF) and Resettlement Action Plan on several aspects and entitlements; Project activities encountered delays during a high-profile incident related to media reports of alleged corruption of several individuals from PMU that were brought to light in December 2005; the incident interrupted all ODA (Official Development Assistance) project activities implemented by MOT (Ministry of Transport) for more than two years;</t>
  </si>
  <si>
    <t xml:space="preserve">the change in the length of civil works resulted from the threefold expansion of the ongoing maintenance program; ; </t>
  </si>
  <si>
    <t>Capacity of counterpart (Procurement system); Quality of estimates; Change of project scope</t>
  </si>
  <si>
    <t>lower costs were incurred due to cost effective competitive bidding procedures; much lower bid prices of maintenance works compared to the engineer's estimates; the change in the length of the civil works was made possible due to the threefold expansion of the ongoing maintenance program; the higher coverage of periodic maintenance reduced the needs for routine maintenance on some sections which led to a reduction of the actual costs for routine maintenance</t>
  </si>
  <si>
    <t xml:space="preserve">Capacity of counterpart ; Quality of estimates; </t>
  </si>
  <si>
    <t xml:space="preserve">cost overruns resulted from effectiveness delay ; total project cost was US$332.2 million versus the original US$309 million; rehabilitation/reconstruction contracts were slightly higher than estimated ; </t>
  </si>
  <si>
    <t xml:space="preserve">cost overruns resulted from effectiveness delay ; total project cost was US$332.2 million versus the original US$309 million;  rehabilitation/reconstruction contracts were slightly higher than estimated ; </t>
  </si>
  <si>
    <t xml:space="preserve">lower costs were incurred as a result of the significant decrease in the reconstruction or major rehabilitation works due to the DGCC policy of giving priority to periodic maintenance over reconstruction / rehabilitation; ; </t>
  </si>
  <si>
    <t xml:space="preserve">less kilometers than those estimated in the PAD were rehabilitated or reconstructed due to a higher deterioration than expected in some roads and due to the DGCC policy of giving priority to periodic maintenance over reconstruction / rehabilitation ; ; </t>
  </si>
  <si>
    <t xml:space="preserve">lower costs were incurred as a result of the DGCC policy of giving priority to periodic maintenance over reconstruction / rehabilitation; ; </t>
  </si>
  <si>
    <t xml:space="preserve">Change of project scope; Capacity of counterpart (Procurement system); </t>
  </si>
  <si>
    <t xml:space="preserve">widening of the scope of the program ; unforeseeable problems in the evaluation and awarding of bids; </t>
  </si>
  <si>
    <t>Capacity of counterpart ; Quality of estimates; Change of project scope</t>
  </si>
  <si>
    <t>cost overruns resulted from effectiveness delay ; total project cost was US$332.2 million versus the original US$309 million;  rehabilitation/reconstruction contracts were slightly higher than estimated ; extension of the road length and its scope due to the DGCC policy of giving priority to periodic maintenance over reconstruction / rehabilitation to prevent that the roads in fair condition deteriorated and fell into the poor condition category</t>
  </si>
  <si>
    <t>cost overruns resulted from effectiveness delay ; total project cost was US$332.2 million versus the original US$309 million; rehabilitation/reconstruction contracts were slightly higher than estimated ; extension of the road length and its scope due to the DGCC policy of giving priority to periodic maintenance over reconstruction / rehabilitation to prevent that the roads in fair condition deteriorated and fell into the poor condition category</t>
  </si>
  <si>
    <t xml:space="preserve">extension of the road length and its scope due to the DGCC policy of giving priority to periodic maintenance over reconstruction / rehabilitation to prevent that the roads in fair condition deteriorated and fell into the poor condition category; ; </t>
  </si>
  <si>
    <t xml:space="preserve">cost overruns resulted from effectiveness delay ; total project cost was US$332.2 million versus the original US$309 million; </t>
  </si>
  <si>
    <t xml:space="preserve">the change in the length of civil works resulted from lower initial price contract ; ; </t>
  </si>
  <si>
    <t xml:space="preserve">Weather shocks ; Quality of estimates; </t>
  </si>
  <si>
    <t xml:space="preserve">higher costs were incurred due to delays caused by poor weather conditions; differences between actual geological conditions and those adopted in design drawings ; </t>
  </si>
  <si>
    <t>Macroeconomic conditions; Weather shocks ; Change of project scope</t>
  </si>
  <si>
    <t>changes in world market and prices led to a dramatic increase in the costs of works items that use asphalt products ; unforseen weather conditions in the aftermath of El Nino phenomenon (2007) demanded the re-direction of the implementing agency’s efforts to attend, under emergency response, the most vulnerable roads; the scope and implementation of the periodic maintenance of the national highway system was severely affected by the lower-than-expected level of counterpart funds assigned to the Road Maintenance National Account</t>
  </si>
  <si>
    <t xml:space="preserve">Macroeconomic conditions; Capacity of contractor; </t>
  </si>
  <si>
    <t xml:space="preserve">dollar depreciation and higher than expected increase in prices of construction materials (cement, steel, and bitumen); significant cost increases resulted from the technical capacity constraints and the lack of proper construction management skills and experience of local contractors; </t>
  </si>
  <si>
    <t xml:space="preserve">lower actual costs were incurred as a result of lower vehicle operating costs and capital costs ; ; </t>
  </si>
  <si>
    <t xml:space="preserve">Capacity of contractor; Macroeconomic conditions; </t>
  </si>
  <si>
    <t xml:space="preserve">significant cost increases resulted from the technical capacity constraints and the lack of proper construction management skills and experience of local contractors; dollar depreciation and higher than expected increase in prices of construction materials (cement, steel, and bitumen); </t>
  </si>
  <si>
    <t>Quality of estimates; Macroeconomic conditions; Capacity of contractor</t>
  </si>
  <si>
    <t>actual construction costs (excluding resettlement) were about 32% higher than the estimates; over the course of the project there was a 13.3% devaluation in the USD against the Chinese RMB; procurement cost overruns of under 15%</t>
  </si>
  <si>
    <t xml:space="preserve">the interconnecting roads were upgraded to four-lane roads as opposed to two-lane roads as agreed at the time of appraisal ; ; </t>
  </si>
  <si>
    <t xml:space="preserve">Change of project scope; Capacity of counterpart; </t>
  </si>
  <si>
    <t xml:space="preserve">The project was designed with an implementation period of about four years, but with one suspension and three extensions, ended up lasting nearly eight years.; Implementing agency displayed renewed energy and follow-through during final stages of project; </t>
  </si>
  <si>
    <t xml:space="preserve">Change of project scope; Procurement system; </t>
  </si>
  <si>
    <t xml:space="preserve">The project was designed with an implementation period of about four years, but with one suspension and three extensions, ended up lasting nearly eight years.; Complaints of procurement irregularities led to an investigation by the Bank's INT, which found that Sub-standard designs were resulting in multiple variation orders and cost overruns. ; </t>
  </si>
  <si>
    <t xml:space="preserve">project costs for road works were lower than estimated; ; </t>
  </si>
  <si>
    <t>Capacity of counterpart (Procurement system); Change of project scope; Quality of estimates</t>
  </si>
  <si>
    <t xml:space="preserve">poor procurement planning contributed to cost escalations ; the change in the length of civil works resulted from the restructuring of the project the project (2008) following the contractors' termination of contracts due to non payment of bills; the project was completed with a 35% cost overrun associated with land acquisition and pre-construction activities for road widening works of the original budget plan </t>
  </si>
  <si>
    <t xml:space="preserve">Capacity of counterpart (Procurement system); Quality of estimates; </t>
  </si>
  <si>
    <t xml:space="preserve">poor procurement planning contributed to cost escalations ; the project was completed with a 35% cost overrun associated with land acquisition and pre-construction activities for road widening works of the original budget plan ; </t>
  </si>
  <si>
    <t xml:space="preserve"> increase in overall construction costs by about 30 percent between the launch of the project implementation and the 2006 restructuring; major drop of about 32 percent in the value of the US$ vis-àvis the FCFA from FCFA660 at appraisal (December 2002) to FCFA450 at the original project closing date (September 30, 2008); exchange rate fluctuations; steady increase of oil prices ; higher costs were incurred as a result of floodings ; the change in the length of the civil works led to the restructuring of the project which resulted from the financial constraints and overly optimistic budget planning </t>
  </si>
  <si>
    <t>Macroeconomic conditions; Capacity of counterpart; Change of project scope</t>
  </si>
  <si>
    <t>the Construction Price Index almost doubled between January 2005 and December 2010, with particularly sharp increases through 2008; the on-grant financing agreement between the national and sub-national governments required 100% pre-financing by the sub-national governments and many of them experienced a lack of funds to provide the full portion of the contract amount;; It was anticipated that there would be 230 contract packages, but only 104 contract packages were completed</t>
  </si>
  <si>
    <t xml:space="preserve">Capacity of counterpart; Change of project scope; </t>
  </si>
  <si>
    <t xml:space="preserve">the on-grant financing agreement between the national and sub-national governments required 100% pre-financing by the sub-national governments and many of them experienced a lack of funds to provide the full portion of the contract amount;; It was anticipated that there would be 230 contract packages, but only 104 contract packages were completed; </t>
  </si>
  <si>
    <t>Macroeconomic conditions; Change of project scope; Change of project scope</t>
  </si>
  <si>
    <t>the Construction Price Index almost doubled between January 2005 and December 2010, with particularly sharp increases through 2008; It was anticipated that there would be 230 contract packages, but only 104 contract packages were completed; Fewer national inter-urban roads (C1S1) were resurfaced, but more of these roads were reconstructed</t>
  </si>
  <si>
    <t xml:space="preserve">Macroeconomic conditions; ; </t>
  </si>
  <si>
    <t xml:space="preserve">higher cost of road works were incurred due to an increase in the price of diesel and primium motor spirit ; ; </t>
  </si>
  <si>
    <t xml:space="preserve">there was a systemic weaknesses in the engineering design process, namely: (i) very poor guidelines in the design Terms of Reference (TORs); (ii) insufficient surveys of existing road conditions, drainage systems, bridges, and culverts,; Project experienced slow progress during the first 2 years of implementation, because there were 3 different Project Coordinators and a continuous shortage of capacity within the counterpart agency; </t>
  </si>
  <si>
    <t>Capacity of counterpart; Weather shocks; Quality of estimates</t>
  </si>
  <si>
    <t>The Government had to build capacity, which included due diligence in contracting an appropriate caliber of Component Managers in each implementing agency, establishing a qualified PMU (; An 8.0 magnitude earthquake struck Samoa in 2009, and there was a Hurricane in 2012. Both affected the project; significant under-estimation at both appraisal and during implementation of the costs of the largest works contracts,</t>
  </si>
  <si>
    <t xml:space="preserve">high inflation of labor and fuel prices ; ; </t>
  </si>
  <si>
    <t xml:space="preserve">the change in the length of civil works resulted from the fact that some works originally envisaged for Jharkhand were dispensed which caused a reallocation of funds ; ; </t>
  </si>
  <si>
    <t>Political events; Competition; Change of project scope</t>
  </si>
  <si>
    <t xml:space="preserve">security-related expenses resulting from the fragile security situation in the country; weak governance; insufficient competition and security premium pushed up bid prices for the civil works and consultant services; the availabilty of funds determined the actual length of the roads that were rehabilitated  </t>
  </si>
  <si>
    <t xml:space="preserve">Capacity of counterpart; Procurement system; </t>
  </si>
  <si>
    <t xml:space="preserve">Continued weak procurement capacity of the newly restructured roads agency (DNR); The cost of road works for Bamako – Bougouni doubled from about US$17.8 million at appraisal to about US$37.5 million based on actual bids received; therefore only 85 km out of the planned 407 km of maintenance works on the Sévaré – Gao road could be funded; </t>
  </si>
  <si>
    <t>Political events; Competition; Quality of estimates</t>
  </si>
  <si>
    <t>repeated sabotage of the Arab Gas Pipeline in the Sinai Peninsula bringing relatively inexpensive gas from Egypt, and the need to substitute this gas with expensive liquid fuel from elsewhere to maintain electric power supplies; Retendering for section 1 due to only 2 bidders participating in initial tender; virtually all the specific forecasts proved overoptimistic</t>
  </si>
  <si>
    <t xml:space="preserve">Political events; Quality of estimates; </t>
  </si>
  <si>
    <t xml:space="preserve">repeated sabotage of the Arab Gas Pipeline in the Sinai Peninsula bringing relatively inexpensive gas from Egypt, and the need to substitute this gas with expensive liquid fuel from elsewhere to maintain electric power supplies; virtually all the specific forecasts proved overoptimistic; </t>
  </si>
  <si>
    <t xml:space="preserve">estimated capital costs were higher than at appraisal due to the fact that initial designs dated from before the Project was approved and also the rate of deterioration of the pavement was greater than anticipated; ; </t>
  </si>
  <si>
    <t xml:space="preserve">a reduced works program was implemented than envisaged at appraisal with a total length improved was 140 km but at a capital cost of $24.6 mn as opposed to the initially planned 338km at a capital cost of $12.6 mn; ; </t>
  </si>
  <si>
    <t xml:space="preserve">a reduced works program was implemented than envisaged at appraisal with a total length improved was 140 km but at a capital cost of $24.6 mn as opposed to the initially planned 338km at a capital cost of $12.6 mn; final capital costs of the works were significantly higher than estimated ; </t>
  </si>
  <si>
    <t xml:space="preserve">Quality of estimates; Change of project scope; </t>
  </si>
  <si>
    <t xml:space="preserve">higher costs were incurred as a result of issues arising from involuntary resettlement; ; final capital costs of the works were significantly higher than estimated ; a reduced works program was implemented than envisaged at appraisal with a total length improved was 140 km but at a capital cost of $24.6 mn as opposed to the initially planned 338km at a capital cost of $12.6 mn; </t>
  </si>
  <si>
    <t>Political events; Macroeconomic conditions; Weather shocks</t>
  </si>
  <si>
    <t>Post-election violence displaced about 350,000 people and led the [Project] to suspend operations in several locations due to temporal unavailability of labor; The prices of key construction materials in the international market increased, particularly steel, fuel and bitumen, resulting in high bid prices of the civil works contracts; Floods in 2006/07 caused significant deterioration in the project road sections, meaning that additional works became necessary</t>
  </si>
  <si>
    <t xml:space="preserve">Weather shocks; Political events; </t>
  </si>
  <si>
    <t xml:space="preserve">Flood damage caused by the Mekong River in 2008 and flooding caused by Typhoon Ketsana in 2009; the floods and landslides created undue damages to roads and bridges in many provinces, which required additional financing of over US$40 million.; A Prime Ministerial budget circular placed a threshold on the MPWT maintenance budget; setting a budget ceiling unrelated to actual need placed a significant risk on the financial and physical sustainability of the road maintenance program; </t>
  </si>
  <si>
    <t xml:space="preserve">Change of project scope; Change of project scope; </t>
  </si>
  <si>
    <t xml:space="preserve">During appraisal, the Bank team had argued for relatively low standard of rehabilitation with the counterpart arguing for a higher standard. During implementation, it was found that roads rehabilitated to the Bank suggested standards soon deteriorated after rehabilitation thus requiring maintenance interventions. This experience led the Bank team to agree that the roads be rehabilitated to higher standard; The project also had to implement three other Bank operations related to the upgrading of the E60 road corridor.; </t>
  </si>
  <si>
    <t>Capacity of Counterpart; Change of project scope; Political events</t>
  </si>
  <si>
    <t xml:space="preserve">Despite a high degree of project readiness and client commitment at the preparation stage, the project experienced early implementation delay partly due to delay in ratification by Parliament before effectiveness could be declared (ISR 1) and partly due to delay in tendering sub-projects under Part A (ISR 2). On the former issue, ratification was stalled due to the overall country context at the time. The Bank team was supported by the CD, who sent a letter to the MoF urging the GoI to take action towards credit signing and effectiveness; The project was able to disburse approximately 85 percent of project funds by the time of project closing. There were several restructurings. ; Increasingly difficult operating environment due to the worsening security situation: The effect of security issues on the project cannot be overstated. First, it disrupted or delayed the progress of tendering packages and performing rehabilitation works as different areas of the country became inaccessible due to insecurity. Second, it proved difficult to attract qualified international bidders for the technical assistance components as international consulting firms were reluctant to come to Baghdad. Third, price contingencies were inadequate to cover the rising cost of sourcing construction material. Fourth, the difficult operating environment and depletion of resources caused several contractors to underperform on their responsibilities, leading to work sites being vacated or subcontracted without prior approval. </t>
  </si>
  <si>
    <t>Macroeconomic conditions; Competition; Quality of estimates</t>
  </si>
  <si>
    <t>Cost increase for road works due to changes in world markets and prices (particularly increase in the cost of petrol and associated byproducts such as asphalt and fuels) so that between Jan 2004 and Dec 2009 the cost of road works in Argentina had increased by about 90%); Limited competition due to the industry being strained as a result of an imbalance between its capacity (eroded after the 2001 economic crisis) and the high demand for road works following an upsurge of public investments in the sector; The first round of bidding involved 10 contracts and resulted in bidders’ proposals being much higher than expected with a limited price variation among the bids; the government decided to cancel the bidding process and postpone all subsequent biddings under the project until an in-depth analysis was carried out</t>
  </si>
  <si>
    <t>Capacity of contractor; Procurement system; Competition</t>
  </si>
  <si>
    <t>Quality of contractors and supervision consultant services: during appraisal this risk was correctly identified as substantial, and proved to be true during implementation. In particular the quality with regards to safeguards compliance fell short, particularly in early stages of implementation, with lack of adequate trained personnel on both the supervision and contractor side. The quality of Contractor project implementation varied greatly and due to lack of proper project management, as well as lack of adequate human resources works were delayed. High staff turnover also impacted the ability of the contractors to deliver quality services. ; The major factors that impacted project implementation are initial delays with procurement processes; quality of bidding documents and safeguards compliance. ; Shortage of materials: during 2010-2012, there was a shortage of cement in the country impacting project implementation and adding to delays in works activities.</t>
  </si>
  <si>
    <t xml:space="preserve">There was an unanticipated increase in crude oil prices, which, since Mauritius is a series of islands, increased the costs of imported materials; The cost estimates of upgrading B6 road were not carefully checked at the project appraisal stage in Dec 2009; it was not until the completion of the bidding documents in late 2010 that the cost estimates were updated and revised to US$31.7 million (constituting about a 20 percent increase);; </t>
  </si>
  <si>
    <t xml:space="preserve">Macroeconomic conditions; Change of project scope; </t>
  </si>
  <si>
    <t xml:space="preserve">There was an unanticipated increase in crude oil prices, which, since Mauritius is a series of islands, increased the costs of imported materials; Total cost increased due to additional works performed to seal up cracked existing bituminous pavement layers; </t>
  </si>
  <si>
    <t>Change of project scope; Political events; Procurement system</t>
  </si>
  <si>
    <t>Problems with counterpart financing, resulting from the Jiangxi RRIP program led to reducing the scope of the LRIP componen; Implementation was further complicated by the selection and later replacement by Ganzhou local government, of LRIP roads (Meilin-Longbu replaced by Anyuan-Dingnan road, and Chongyi-Longgou replaced by Xinjeng-Chijiang road, although the latter replacement was too late for implementation within the project timeframe). ; Misprocurement by the Guangzhou City Prefecture led to the cancellation of the Chongyi-Longgou.</t>
  </si>
  <si>
    <t>Political events; Quality of estimates; Weather shocks</t>
  </si>
  <si>
    <t xml:space="preserve">(i) Political economy played the most direct and critical part in implementation of the Project. Due to its high visibility, the Project was under political watch and pressure right from the start of its preparation. The PAD explicitly highlighted “the Government’s priority for a speedy Project implementation” and even rated the risk of failure to implement it in a timely manner as low-to-medium. Due to that political pressure, the designs underwent quick review, procurement of the construction works was too speedy, and some Project road sections were twice opened prematurely to all traffic, which altogether affected the quality and timeliness of the work contracts and the quality of the outputs. (ii) The conflict with Russia in August 2008 interrupted construction and cut off some sources of materials. The contractor was not able to access the site for more than one week. ; Design and procurement of both road and bridge contracts took place at a very fast pace, and without proper and thorough review of designs. The timeline set for the preparation of the designs was 6 months, which was unrealistic and ambitious. The budget of 1.5% of the construction cost estimate was low and insufficient for the amount of surveys, geotechnical investigations, design development and checking required for a road project of this scale. The road designs were included in the bidding document in January 2008 — within a month after submission — without proper review by the RD. The road contract was signed in May 2008: 45 days given for the bid submission, while permitted under WB rules, was insufficient for the bidders to carry out site surveys and prepare informed bids for a contract of this size. Procurement of the bridge works was also carried out quickly; tenders were called in early 2009, and the contract was signed in April 2009. ; Harsh winter condition prevented the second road contractor from executing all remedial works and completing the remaining works — including those required by the Environmental Management Plan (EMP) — by the December 2011 deadline. </t>
  </si>
  <si>
    <t>Administrative processes; Macroeconomic conditions; Competition</t>
  </si>
  <si>
    <t>The pace of implementation of the civil works suffered delays thorough the project due to land acquisition, procurement issues, in addition to the lack of experience of ARS on implementing large construction work.; The 2006-2008 economic boom brought about by the oil revenues, which overheated the economy and caused inflation and currency appreciation, and the world economic crisis of 2008-2009, which disturbed the contractor’s finances, influenced the project implementation.  The project started to face a financing gap in 2009/2010. ; The pace of implementation of the civil works suffered delays thorough the project due availability of bitumen issues.</t>
  </si>
  <si>
    <t xml:space="preserve">Political events; Administrative processes; </t>
  </si>
  <si>
    <t xml:space="preserve">Initially, the PMIU, as well as contractors and consultants, faced extensive logistical difficulties when visiting the provinces due to inadequate transport infrastructure, the presence of unmarked land mines, and the tense security situation in the country. ; (i) Board approval of the EMRP-2 was delayed by 14 months while the Bank reviewed non-concessional borrowing by the GoA.  (ii) A number of factors under the control of the PMIU contributed to initial implementation delay but were remediated by the end of the project. These included: (a) logistics difficulty in coordination in the overall management of project activities, including preparation of work plans; (b) fragmented approach to the submission of procurement requests by the PMIU, which created confusion and delayed approvals; and (c) inadequate arrangements for the collection of project-related data needed for the agreed monitoring and evaluation procedures. ; </t>
  </si>
  <si>
    <t xml:space="preserve">Capacity of Counterpart; Weather shocks; </t>
  </si>
  <si>
    <t xml:space="preserve">Public sector weakness: The weakness of public sector management in Haiti was a long- standing issue that was yet to be resolved at the time of project implementation.  It has not been resolved to date.  Public sector institutions largely depend on external assistance to carry out their functions. Most projects are managed by ad hoc PCUs similarly supported by external assistance. Institutional capacity is with the private and NGO service sector paying higher salaries and therefore attracting more qualified staff.; Disruptions and delays caused by the 2007/2008 hurricanes and the 2010 earthquake: ; </t>
  </si>
  <si>
    <t xml:space="preserve">The Project adapted rapidly to external cost pressures due to higher-than-expected economic growth. An unprecedented countrywide economic boom, unexpected at the time of Appraisal, drove up input costs considerably (e.g., materials, machinery, labor, technical expertise). A survey taken in 2010 found that rehabilitation and periodic maintenance costs had increased by 40 and 50 percent, respectively, from the estimates used in the PAD. This not only led to the 2010 project restructuring that updated project costs and output targets, but it also led Provias to diffuse bids more widely and change bid requirements to encourage more firms to compete.  ; ; </t>
  </si>
  <si>
    <t>Change of project scope; Political events; Capacity of Counterpart</t>
  </si>
  <si>
    <t>The project initially sought to reestablish basic transport services in the war affected areas through spot improvement and maintenance of the existing roads. However, because of heavy deterioration on Damazin - Kurmuk road, spot improvement was no longer the preferred option, and required upgrading of the road to a higher standard which caused delays in the startup of the operation and excessively increasing the cost.    
 ; Insecurity and clearing of landmines: ; Delays in release of counterpart fund: The financing arrangement being joint between the GoNU and the MDTF has also affected implementation as the Government was unable to meet its obligation of availing counterpart funds on a timely manner. Timely release of counterpart funds was a challenge throughout project implementation negatively affecting progress, and at times, was put as a condition by contractors for completing outstanding works.</t>
  </si>
  <si>
    <t xml:space="preserve">Capacity of Counterpart; ; </t>
  </si>
  <si>
    <t xml:space="preserve">Staffing constraints of the Implementation Agency17: PESR’s staffing levels were not fully sufficient at times to manage the Project and meet its other responsibilities including managing a parallel support project funded by the EBRD and projects funded from the Macedonian National budget. PESR’s oversight of local roads rehabilitation, which is outside its mandate, consumed more of its time than necessary due to large number of road projects and relatively weak design capacity of some municipalities. The recruitment of additional qualified staff, particularly engineers, was constrained by their unavailability in the market. Only by 2011, PESR18 had increased the number of engineers in its employment to a sufficient level, so that the additional work load did not significantly affect PESR’s project management capabilities. Quality of design and works: The lack of detailed design for regional road rehabilitation led to prolonged implementation periods for selected roads. Initially, the typical designs used did not include full considerations of road safety, therefore requiring additional enhancements – i.e. road signs, marking and guardrails. Upon revealing these shortcoming during project supervision of ongoing works, the Bank team engaged a road safety consultant to prepare road safety audits to include necessary road interventions into the scope of works. The opportunity for design improvement was used not just for mitigating purposes, but also for introducing modern approaches to road safety by complying with newly adopted Guidelines for road safety developed in line with EU regulations.  A close cooperation between PESR and the Bank resulted in the road safety interventions being incorporated in the ongoing rehabilitation works and in a standalone initiative - a Road Safety Demonstration Road Project that was added for demonstration purposes of good practices in road safety.; ; </t>
  </si>
  <si>
    <t xml:space="preserve">; Quality of estimates; </t>
  </si>
  <si>
    <t xml:space="preserve">; The economic analysis done at appraisal was carried out for the Regional roads component, for which specific road sections have been identified. The analysis was done using the Highway Design and Maintenance Standards Model (HDM-III) comparing the rehabilitation alternative (the “project scenario”) to a base case (or “do minimum”) alternative. According to ICR's Economic and Financial Anlaysis sections on pp. 35-37, the ratio of the actual per estimated rehabilitation costs per km varies from 0.59 to 2.02. ; </t>
  </si>
  <si>
    <t xml:space="preserve">Capacity of Counterpart; Quality of estimates; </t>
  </si>
  <si>
    <t xml:space="preserve">Staffing constraints of the Implementation Agency17: PESR’s staffing levels were not fully sufficient at times to manage the Project and meet its other responsibilities including managing a parallel support project funded by the EBRD and projects funded from the Macedonian National budget. PESR’s oversight of local roads rehabilitation, which is outside its mandate, consumed more of its time than necessary due to large number of road projects and relatively weak design capacity of some municipalities. The recruitment of additional qualified staff, particularly engineers, was constrained by their unavailability in the market. Only by 2011, PESR18 had increased the number of engineers in its employment to a sufficient level, so that the additional work load did not significantly affect PESR’s project management capabilities. Quality of design and works: The lack of detailed design for regional road rehabilitation led to prolonged implementation periods for selected roads. Initially, the typical designs used did not include full considerations of road safety, therefore requiring additional enhancements – i.e. road signs, marking and guardrails. Upon revealing these shortcoming during project supervision of ongoing works, the Bank team engaged a road safety consultant to prepare road safety audits to include necessary road interventions into the scope of works. The opportunity for design improvement was used not just for mitigating purposes, but also for introducing modern approaches to road safety by complying with newly adopted Guidelines for road safety developed in line with EU regulations.  A close cooperation between PESR and the Bank resulted in the road safety interventions being incorporated in the ongoing rehabilitation works and in a standalone initiative - a Road Safety Demonstration Road Project that was added for demonstration purposes of good practices in road safety.; The economic analysis done at appraisal was carried out for the Regional roads component, for which specific road sections have been identified. The analysis was done using the Highway Design and Maintenance Standards Model (HDM-III) comparing the rehabilitation alternative (the “project scenario”) to a base case (or “do minimum”) alternative. According to ICR's Economic and Financial Anlaysis sections on pp. 35-37, the ratio of the actual per estimated rehabilitation costs per km varies from 0.59 to 2.02. ; </t>
  </si>
  <si>
    <t>Capacity of Counterpart; Quality of estimates; Weather shocks</t>
  </si>
  <si>
    <t>The counterpart's staffing levels were not fully sufficient at times to manage the Project and meet its other responsibilities including managing a parallel support project funded by the EBRD and projects funded from the Macedonian National budget.; The lack of detailed design for regional road rehabilitation led to prolonged implementation periods for selected roads.; During 2010, the country faced several cases of landslides and erosion negatively affecting the road network as a result of extraordinary periodic heavy rainfall.</t>
  </si>
  <si>
    <t>Quality of estimates; Macroeconomic conditions; Weather shocks</t>
  </si>
  <si>
    <t>Incorrect cost estimation because designs were not detailed enough at time of bidding (esp. for Uva Province’s mountainous roads) necessitating preparation of detailed designs; Significant increase in the cost of construction materials, esp. concrete, bitumen and fuel, which was amplified because Sri Lanka needed to import all materials; Due to extreme climatic conditions in Dec 2014 / Jan 2015 4 locations on hilly project roads in Uva suffered from landslides and several locations had slope failures</t>
  </si>
  <si>
    <t xml:space="preserve">Macroeconomic conditions; Capacity of counterpart; </t>
  </si>
  <si>
    <t xml:space="preserve">Significant increase in the cost of construction materials, esp. concrete, bitumen and fuel, which was amplified because Sri Lanka needed to import all materials; Supervision consultants had limited capacity for design review, which caused delays with the start of works, and not sufficient professional staff for supervision; </t>
  </si>
  <si>
    <t xml:space="preserve">Macroeconomic conditions; Capacity of contractors; </t>
  </si>
  <si>
    <t xml:space="preserve">Significant increase in the cost of construction materials, esp. concrete, bitumen and fuel, which was amplified because Sri Lanka needed to import all materials; Due to delays in implementation, 2 contracts in Northern Province were terminated and re-awarded; </t>
  </si>
  <si>
    <t xml:space="preserve">Tropical Storm No. 16 led to change in priorities where funding was diverted to emergency infrastructure restoration; With the 2010-2013 incoming presidential administration, there was a change in management and strategy in the counterpart, which led to a reversal in many aspects of the program, and accordingly, very little initial progress could be made in the implementation of the relevant component of the project; </t>
  </si>
  <si>
    <t xml:space="preserve">Capacity of counterpart; Political events; </t>
  </si>
  <si>
    <t xml:space="preserve">The freezing of recruitment of new civil servants by the government due to the economic crisis in 2009 limiting the capacity; There was a delay in the establishment of the authority and insufficient funds for road maintenance due to government budgetary constraints which remained a key impediment in operationalizing the authority, this was exacerbated by the delays and distruptions associated with the South Sudanese independence referendum period; </t>
  </si>
  <si>
    <t>Quality of estimates; Capacity of counterpart; Political events</t>
  </si>
  <si>
    <t>PAD overestimated length of section 8 at 260 km instead of 150km; The freezing of recruitment of new civil servants by the government due to the economic crisis in 2009 limiting the capacity; There was a delay in the establishment of the authority and insufficient funds for road maintenance due to government budgetary constraints which remained a key impediment in operationalizing the authority, this was exacerbated by the delays and distruptions associated with the South Sudanese independence referendum period</t>
  </si>
  <si>
    <t>Macroeconomic conditions ; Capacity of contractors; Capacity of counterpart</t>
  </si>
  <si>
    <t xml:space="preserve">higher costs were incurred due to unanticipated increases in the costs of fuel, construction material (cement, steel, and asphalt), equipment and spare parts; the depreciation of the US dollar resulted in higher bid prices compared to the appraisal estimates; cost overruns of civil works contacts resulted from insufficient qualified staff and the poor performance of some contractors and consultants ; higher costs were incurred due to a 20% increase of bid prices which resulted from delays in the  payment of VAT refunds to contractors </t>
  </si>
  <si>
    <t xml:space="preserve">Change of project scope  ; Capacity of contractors; Macroeconomic conditions </t>
  </si>
  <si>
    <t>higher costs resulting from a catastrophic pavement failure which led to a complete redesign of the road works (major reconstruction as opposed to the originally planned minor rehabilitation) ; higher costs were incurred following the termination of the major civil works contract for the strenghtening of exisiting paved roads under Component 1 due to the incapability of the contractor to execute the contract (it is estimated that the default of the contractor may have generated a cost to the government of up to US$6.7 million, essentially due to the additional works required to remedy the accelerated physical deterioration of the road that continued until the works resumed); the significant depreciation of the SDR (in which the IDA credit was denominated) vis-à-vis the national currency FCFA (in which most contracts were signed) resulted in a shortfall of Bank financing (the exchange rate of SDR1.00 = CFA 950 at negotiations fell steadily by 41 percent to a low CFA 560 at project completion)</t>
  </si>
  <si>
    <t xml:space="preserve">Capacity of counterpart; Macroeconomic conditions  ; </t>
  </si>
  <si>
    <t xml:space="preserve">delays to civil works implementation contributed to cost escalations; cost escalations resulted also from continuous challenges to identify suitable road segments for upgrading under the Mekong Delta Network Improvement (MDNI) sub-component; the final resettlement costs were more than double the appraisal estimates; this was the result of increasing compensation rates following inflationary pressures, coupled with increases in right-of-way acquisition for design changes that required road widening ; </t>
  </si>
  <si>
    <t xml:space="preserve">Macroeconomic conditions ; ; </t>
  </si>
  <si>
    <t xml:space="preserve">higher costs were incurred due to historical exchange rates of the SDR; ; </t>
  </si>
  <si>
    <t xml:space="preserve">higher costs were incurred due to historical exchange rates of the SDR ; ; </t>
  </si>
  <si>
    <t xml:space="preserve"> Political events; Quality of estimates ; Change of project scope </t>
  </si>
  <si>
    <t xml:space="preserve">the Maoist insurgency in Nepal entailed unprecedented security problems which caused the termination of nineteen new road construcrion contracts; the unstable political environment and the high political influence negatively impacted the ability of the Roads Boards Nepal (RBN) to achieve its objective of raising and managing funds for road maintenance; the PDOs were adversely affected by the budget crisis faced by the public sector;  the level of rock cutting and earthworks required were significantly underestimated during the design of engineering documents due to  lack of sufficient data ; as a successful component, not affected by the security situation in the country, an additional 86 km of rehabilitation works were included in the project during the second restructuring </t>
  </si>
  <si>
    <t xml:space="preserve">Weather shocks ; Macroeconomic conditions ; Capacity of counterpart </t>
  </si>
  <si>
    <t>unseasonal rainstorms ; overall inflation contributed to substantial cost increases ;  bid prices exceeding engineers' estimates on many contracts; this was due to delays arising from counterpart and EU funding, difficulty in finding qualified contractors and design creep</t>
  </si>
  <si>
    <t>Political events ; Quality of estimates ; Capacity of counterpart</t>
  </si>
  <si>
    <t>the DRC was emerging from one of the worst, largest and most complex conflicts in post-colonial Africa which had destroyed public institutions and the capacity of the government to execute development programs and projects; difficulty in making detailed and accurate assessments in the country at the time; asset conditions turned out to be worse than originally assessed ; lack of familiarity of the DRC government with the Bank's guidelines and procedures; difficulties in attracting reliable contractors; weak status of public finances</t>
  </si>
  <si>
    <t>Capacity of counterpart; Capacity of counterpart ; Macroeconomic conditions</t>
  </si>
  <si>
    <t>cost implications were incurred as a result of technically deficient road designs; the delay in the start of Phase-II contributed to the occurrence of a cost overrun of 16% by April 2006; cost overrun was incurred  due to US$ depreciation against INR</t>
  </si>
  <si>
    <t xml:space="preserve">Capacity of counterpart ; Weather shocks; Macroeconomic conditions </t>
  </si>
  <si>
    <t>the problem of power cuts that occurred at the end of September 2000 and worsened in late October 2000 hindered the activities of Contractors and Engineers thus resulting in higher costs sustained by the Contractors ; prolonged winter season ; initially unfavourable exchange rate between the SDR and US Dollar; towards the end of the project, the US Dollar began to weaken and this reversed the losses; however, the works’ contracts were paid to the Contractors in Albanian LEK, which strengthened against the US Dollar and thus offset the gains made against the SDR</t>
  </si>
  <si>
    <t>the problem of power cuts that occurred at the end of September 2000 and worsened in late October 2000 hindered the activities of Contractors and Engineers and thus resulted in higher costs sustained by the Contractors ; prolonged winter season; initially unfavourable exchange rate between the SDR and US Dollar; towards the end of the project, the US Dollar began to weaken and this reversed the losses; however, the works’ contracts were paid to the Contractors in Albanian LEK, which strengthened against the US Dollar and thus offset the gains made against the SDR</t>
  </si>
  <si>
    <t>the problem of power cuts that occurred at the end of September 2000 and worsened in late October 2000 hindered the activities of Contractors and Engineers thus resulting in higher costs sustained by the Contractors ; prolonged winter season; initially unfavourable exchange rate between the SDR and US Dollar; towards the end of the project, the US Dollar began to weaken and this reversed the losses; however, the works’ contracts were paid to the Contractors in Albanian LEK, which strengthened against the US Dollar and thus offset the gains made against the SDR</t>
  </si>
  <si>
    <t xml:space="preserve">Capacity of counterpart ; Capacity of counterpart ; Macroeconomic conditions </t>
  </si>
  <si>
    <t>due to the limited availability of funds, the initially planned to be repaired 24km had to be drastically reduced to only the very worst section for a total length of 1.5km; the problem of power cuts that occurred at the end of September 2000 and worsened in late October 2000 hindered the activities of Contractors and Engineers thus resulting in higher costs sustained by the Contractors ; initially unfavourable exchange rate between the SDR and US Dollar; towards the end of the project, the US Dollar began to weaken and this reversed the losses; however, the works’ contracts were paid to the Contractors in Albanian LEK, which strengthened against the US Dollar and thus offset the gains made against the SDR</t>
  </si>
  <si>
    <t xml:space="preserve"> Capacity of contractors; Weather shocks ; Macroeconomic conditions </t>
  </si>
  <si>
    <t>deficient engineering designs and overall slow implementation performance of the contractors led to cost overruns; increases in supervision costs and the costs of civil works; heavy and longer than normal monsoon period lasting over five months; shortage and disruptions of major commodities such as bitumen, oil, cement, steel and diesel fuel</t>
  </si>
  <si>
    <t xml:space="preserve">diesel fuel; ; </t>
  </si>
  <si>
    <t xml:space="preserve">Macroeconomic conditions  ; Quality of estimates ; Change of project scope </t>
  </si>
  <si>
    <t>the steady appreciation of the SDR resulted in lower unit costs than expected; overestimation of the costs of road works (approximately US$157,000 per km with reference to the PAD’s cost table, versus US$115,443 actual cost); almost all civil works contracts for road improvement experienced cost overruns as a result of large variation orders and contract amendments; contract unit prices turned out to be much lower compared to the ones estimated during project appraisal; the change in the length of the civil works was made possible because of the very low cost of the rehabilitation of the first 114 km which resulted from: design optimization during the detailed design stage, contract unit prices being much lower than estimated during project appraisal, and efficient use of resource materials during project implementation, whereby the application of leveling course material was limited to the minimum</t>
  </si>
  <si>
    <t xml:space="preserve">Macroeconomic conditions ; Quality of estimates ; </t>
  </si>
  <si>
    <t xml:space="preserve">the change in the length of the civil works was enabled because of the gradual increase in the US$ amount of the Credit throughout project implementation due to the steady appreciation of the SDR; the change in the length of the civil works was enabled because of an overestimation of the costs of road works (approximately US$157,000 per km with reference to the PAD’s cost table, versus US$115,443 actual cost); </t>
  </si>
  <si>
    <t xml:space="preserve">Macroeconomic conditions ; Quality of estimates; </t>
  </si>
  <si>
    <t xml:space="preserve">actual costs turned out to be higher than the estimated costs as a result of US dollar depreciation relative to the RMB (about 26 percent), increased construction material prices and inflation; increases in resettlements costs were incurred following a slow and difficult acquisition process ; </t>
  </si>
  <si>
    <t xml:space="preserve">Change of project scope ; ; </t>
  </si>
  <si>
    <t xml:space="preserve">full rehabilitation was undertaken for the rural roads instead of the agreed basic access standard which caused an increase in the cost per km thus leading to only about 1400 km of rural roads being rehabilitated against the original target of 3000 km; ; </t>
  </si>
  <si>
    <t xml:space="preserve">Macroeconomic conditions; Political events  ; Quality of estimates </t>
  </si>
  <si>
    <t xml:space="preserve">fluctuations in the prices of inputs as a result of the global economic crisis; fuel supply shortage resulting from the temporary closure of the refinery at Mombasa, followed by an intermittent break down of operations of the oil pipeline from Mombasa to Eldoret and the political crisis in Kenya at the of end 2007 to early 2008 ; the political crisis in Kenya at the of end 2007 to early 2008 contributed to a shortage of fuel supply; the substantial discrepancy between estimated and actual costs resulted from the fact that engineer’s estimates did not adequately address the issues affecting the cost of road construction contracts </t>
  </si>
  <si>
    <t xml:space="preserve">fluctuations in the prices of inputs following the global economic crisis; fuel supply shortage resulting from the temporary closure of the refinery at Mombasa, followed by an intermittent break down of operations of the oil pipeline from Mombasa to Eldoret and the political crisis in Kenya at the of end 2007 to early 2008 ; the political crisis in Kenya at the of end 2007 to early 2008 contributed to a fuel supply shortage; the substantial discrepancy between estimated and actual costs resulted from the fact that engineer’s estimates did not adequately address the issues affecting the cost of road construction contracts </t>
  </si>
  <si>
    <t xml:space="preserve">Macroeconomic conditions ; Change of project scope ; Quality of estimates </t>
  </si>
  <si>
    <t xml:space="preserve"> extreme inflationary increases in the price of the bitumen (48% cost increase in bituminous roads over the period 2005-2008); additional cost of construction was incurred following  the government’s determination that sealed surfaces would be more sustainable than gravel surfaces in rural areas ; unduly low initial cost estimates </t>
  </si>
  <si>
    <t>Macroeconomic conditions ; Change of project scope; Quality of estimates</t>
  </si>
  <si>
    <t xml:space="preserve">extreme inflationary increases in the price of the bitumen (48% cost increase in bituminous roads over the period 2005-2008); additional financing resulted in a greater actual length that underwent routine maintenance compared to the estimated length ;  unduly low initial cost estimates </t>
  </si>
  <si>
    <t xml:space="preserve">Under the Additional Financing it was originally intended to apply periodic maintenance (resealing and repairs) to two sections of road (64 km) – Nyene-Makhoroane and Teyateyaneng-Mapoteng Junction. However, after heavy damage to both roads due to extensive flooding complete rehabilitation became necessary. Since there was insufficient IDA funding for the whole 64 km, the Bank focused on the first lot (20 km) of the NyeneMakhoroane road, and GOL undertook to cover the costs of the latter (17 km) as well as the Teyateyaneng-Mapoteng road.; ; </t>
  </si>
  <si>
    <t xml:space="preserve">Macroeconomic conditions ; Competition; </t>
  </si>
  <si>
    <t xml:space="preserve">Dollar depreciation vis-à-vis the RMB.; At the bidding stage, the prices were lower than expected, due to strong competition for civil works contracts, ranging between 4-6 bids, depending on the package.; </t>
  </si>
  <si>
    <t xml:space="preserve">There is a typo in the ICR on p. 27. The actual Construction Cost (Million RMB) for Tanjiaqiao-Tongkou section should be 1,387 not 387.   ; ; </t>
  </si>
  <si>
    <t xml:space="preserve">Political events; Competition; </t>
  </si>
  <si>
    <t xml:space="preserve">The country was emerging from civil war anf the risk perceptions of potential bidders were not fully known. These were revealed overtime and through procurement process. ; The market assessment of the risk presented in two ways (i) low number of bids received (ii) high cost of bids which was incorporated as compensation for the risk. ; </t>
  </si>
  <si>
    <t xml:space="preserve">The estimate provided in the ICR on p. 43 has an error/typo and is too low. In addition, the estimated cost and the actual cost compare different length of roads.  While the estimated cost includes Bamako – Bougouni road (about 154 km), the actual cost includes (i) part of the rehabilitation of the Bamako-Bougouni (154 km) section of the Corridor and (ii) rehabilitation and strengthening of the Sikasso-Heremakono (45 km) section of the corridor.  Moreover, the actual cost includes additional activities apart from the road work (supervision, etc).; ; </t>
  </si>
  <si>
    <t xml:space="preserve">Weather shocks; Quality of estimates; </t>
  </si>
  <si>
    <t xml:space="preserve">extreme weather conditions (exceptionally heavy rains) caused the collapse of some slopes and retaining walls, which also caused increase in construction cost; cost estimates for bid prices were significantly underestimated; </t>
  </si>
  <si>
    <t xml:space="preserve">Higher costs were incurred due to unanticipated substantial increases in the costs of key inputs (specifically, oil-based and energy intensive inputs, including fuel, asphalt and cement) that occurred between appraisal and contracts signing; At the appraisal phase, only the roads sections that were going to be worked on during the first year of the project were clearly identified – as such, the estimation of the cost of the whole project was not exact; </t>
  </si>
  <si>
    <t xml:space="preserve"> Higher costs were incurred due to unanticipated substantial increases in the costs of key inputs (specifically, oil-based and energy intensive inputs, including fuel, asphalt and cement) that occurred between appraisal and contracts signing; At the appraisal phase, only the roads sections that were going to be worked on during the first year of the project were clearly identified – as such, the estimation of the cost of the whole project was not exact; </t>
  </si>
  <si>
    <t>; Weather shocks; Macroeconomic conditions</t>
  </si>
  <si>
    <t>;  Two cyclones and an unusual heavy rain created heavy damages; repairs had to be undertaken and financed by the contract. ; Upward contract price revision due mainly to the substantial gasoline price increase</t>
  </si>
  <si>
    <t>Weather shocks; Change of project scope; Macroeconomic conditions</t>
  </si>
  <si>
    <t xml:space="preserve"> Two cyclones and an unusual heavy rain created heavy damages; repairs had to be undertaken and financed by the contract. ; The change in the length of the civil works actually executed on RN2 and RN7 roads is due to an adjustment of the scope of activities during the January 2006 restructuring to reflect a shift in priorities; Upward contract price revision due mainly to the substantial gasoline price increase</t>
  </si>
  <si>
    <t xml:space="preserve">; Change of project scope; </t>
  </si>
  <si>
    <t xml:space="preserve">; The actual cost is much less than the estimated cost because the type of work carried out on that road was much cheaper than the type of work initially planned. At execution, the work was “downgraded” from paving the road to doing spot improvements; during the negotiation of a second contract, the available budget was found to be insufficient; </t>
  </si>
  <si>
    <t xml:space="preserve">Disparity between the engineer’s estimate and the bids.; The cost increases resulted from variation orders and changes in design/correction of design errors and the associated impact on price adjustments.; </t>
  </si>
  <si>
    <t xml:space="preserve">Macroeconomic conditions; Capacity of Counterpart ; </t>
  </si>
  <si>
    <t xml:space="preserve">National inflation, which had been steadily hovering around 7-8 percent per annum during the Project preparation phase, increased from 8.3 percent in 2007 to 23.1 percent in 2008 and once again from 8.9 percent in 2010 to 18.7 percent in 2011, during the critical first few years of project implementation. ; Insufficient allocation of counterpart funds for resettlement compensation presented a critical barrier to progress throughout project implementation. Delays in resettlement progress caused increased compensation payments to affected households over the course of the project.  The need for an unforeseen increase of US$52M in counterpart funds was flagged in late 2015 to cover additional resettlement costs. ; </t>
  </si>
  <si>
    <t>Change of project scope ; Macroeconomic conditions; Procurement system</t>
  </si>
  <si>
    <t>The Government, too, recognized the opportunity for additional financing in the project at an early stage. The timely application for increased support facilitated the preparation of a substantial additional financing. The Mid Term Review was instrumental in improving implementation by articulating the case for additional financing to bridge the shortfall in original financing and to meet Government of Nepal’s request for expanding the scope of project coverage.; Significant increase in the value of US$ vis-à-vis NPR.; The project also received significant benefit in terms of savings, especially after the 2009 restructuring, in terms of lower-than-estimated prices for all-season road contracts (due to e-bidding).</t>
  </si>
  <si>
    <t>Quality of estimates; Political events; Capacity</t>
  </si>
  <si>
    <t>The inadequacy of the original financing to meet the targets fixed at the time of appraisal suggests room for improvement with respect to cost estimates.; The implementation was hampered by abrupt changes of key government staff. For example, the sudden change of Project Coordinator in September 2012 had a significant negative impact on progress. After some months, the situation improved following the appointment of a new Project Coordinator in early 2013. ; The lack of capacity at DDC-level had adversely affected the dry-season roads sub-component in particular.</t>
  </si>
  <si>
    <t xml:space="preserve">The increase in construction costs in Nicaragua led to a project restructuring. A worldwide escalation of oil and commodity prices resulted in an increase in construction costs in Nicaragua following the project start-up.; The AF introduced several changes to the project structure. One of those chnages was partial adjustments to the road sections included under Component 2 to ensure the consistency of the overall package of works, as well as their economic, procurement, financial, social, and environmental viability. ; </t>
  </si>
  <si>
    <t xml:space="preserve">A worldwide escalation of oil and commodity prices resulted in an increase in construction costs in Sri Lanka following the Project start-up.; Bid prices were 6.8 percent above estimated prices at a time in which a construction boom brought about by reconstruction works after the end of the civil war, and rebuilding after the tsunami of December 2004 resulted in shortages of resources that affected the cost and pace of implementation.; </t>
  </si>
  <si>
    <t>Macroeconomic conditions; Change of project scope; Quality of estimates</t>
  </si>
  <si>
    <t>A worldwide escalation of oil and commodity prices resulted in an increase in construction costs in Sri Lanka following the Project start-up.; The use of higher standards for national highways to improve the safety environment as stipulated in the National Road Master Plan (NRMP) adopted in December 2007.  Under the Project, this new policy of the Ministry of Highways and Road Development necessitated widening of roads to 6.2 meter national standards with a 0.65 meter hard shoulder on the inside of the numerous bends.  As a result of the change in width of carriageway, all culverts had to be extended and other related matters addressed.   ; Bid prices were 6.8 percent above estimated prices at a time in which a construction boom brought about by reconstruction works after the end of the civil war, and rebuilding after the tsunami of December 2004 resulted in shortages of resources that affected the cost and pace of implementation.</t>
  </si>
  <si>
    <t>Weather shocks; Political events; Capacity</t>
  </si>
  <si>
    <t>A 7 month closure of a 300 meter stretch on one lane in YWE for safety reasons, because the parallel G205 was in danger of a landslide in a deep slope cut and a counterweight had to be placed on an YWE lane to stabilize the slope and to allow consolidation of the G205 embankment.; A 30% shortfall in expected toll revenue due to lower than expected traffic volume on YWE, as a result of the central government’s policy change to remove all tolls on Class II highways.; One sub-grade contract of YWE component was misprocured, because it started without the Bank’s ‘no objection’. The canceled funds, US$13.132 million, were transferred to the Rural Roads component.</t>
  </si>
  <si>
    <t xml:space="preserve">Capacity; ; </t>
  </si>
  <si>
    <t xml:space="preserve">(i) Implementation arrangements were complex, decentralized and appropriate. Implementation arrangements were complex, decentralized and appropriate. The PMO for World Bank Project at FPCD was responsible for the overall coordination and monitoring of implementing agencies, and served as the counterpart to the Bank. Responsibility for procurement and implementation of the YWE component rested under the Fujian Provincial Expressway Construction Directorate (FPECD), and the Longyan YWE Company and Sanming YWE Company established with capital from FPECD and the two municipalities. The two municipalities were in charge of resettlement implementation. This was a mammoth project: an expressway in a challenging topographical environment with 117 bridges (36 km), 32 tunnels (29 km), constituting 34% of its length. (ii) Given the meticulous preparation, the construction of the complex and costly Expressway was managed well and opened three months ahead of schedule. (iii) Training was key to successful implementation. Important international training addressed project management and toll road operations, financing, tunneling, supervision and new pavement technologies; however, some planned international study tours had to be canceled because of a change in national policy on overseas study tours. There were also domestic trainings on cement pavement maintenance technology for rural roads, bridge maintenance technology and management, and management of rural road construction. Training enhanced the technical capacity of local road maintenance staff, and played an important part in sustaining the long term impact of the project. On average, 95% of participants rated training as satisfactory.; ; </t>
  </si>
  <si>
    <t xml:space="preserve">Additional financing to build 61 more roads. Specifically for Fuzhou section, additional 283.29 milliom RMB were allocated. ; ; </t>
  </si>
  <si>
    <t xml:space="preserve">Additional financing to build 50 more roads. Specifically for Ningde section, additional 220.03 milliom RMB were allocated. ; ; </t>
  </si>
  <si>
    <t>Capacity; Change of project scope; Political events</t>
  </si>
  <si>
    <t xml:space="preserve">Claims submitted by the contractors due to delays. The primary reason for those delays was lack of full access to the facilities being rehabilitated during the start of implementation that resulted in extension of time. Then the design and supervision consultant (Project Manager) for the project abandoned their services in April 2009 citing non-payment of their services. This resulted in lack of and/or delayed instructions to the contractors as the MHPP was not fully capable of performing the role of the Project Manager in the interim. ; The other reasons that resulted in extension of time for all the ERWJ contracts included relocation of the Water Care Works, revised specifications of new pumps for the urban water supply, accommodation of variation orders and delays in issuance of drawings.; Insecurity and landmines. Some project sites especially roads experienced security issues at the time of project implementation. This often resulted in delays which mainly affected the Faraksika –Yambio road rehabilitation project. There was also danger of landmines in the roads projects which affected both civil works and feasibility studies. In the case of the civil works the roads had to be demined in order to enable activities to proceed. </t>
  </si>
  <si>
    <t xml:space="preserve">Road length was revised. Specifically, the baseline target road length to be rehabilitated, repaired and maintained at approval was 1,170 km (broken down as 250, 100 and 820 km respectively), not 1913 as reported in the ISRs and Aide Memoires during implementation. At time of first amendment to GLA, the road length to rehabilitate, repair and maintain was revised to 1,092 km (broken down as 250, 263 and 579 km respectively). During MTR the road length was further revised to 1,010 km (broken down as 168, 263, and 579 km respectively). The actual total length of 1,034 km of road network have been rehabilitated, repaired and maintained.  These include 170 km rehabilitated, 285 km repaired and 579 km maintained. Despite all the above revisions, no formal recording was done through project restructuring.; ; </t>
  </si>
  <si>
    <t xml:space="preserve">Macroeconomic conditions; Quality of estimates; Capacity of Counterpart </t>
  </si>
  <si>
    <t>High inflation, the decreasing US Dollar vs. Brazilian Real further and the 2008 global crisis resulted, in Bahia, in a severe fiscal crisis.; Approximately four years elapsed between the initial road assessments (end of 2004), on which the initial road works cost estimates were based, and the actual works contracting. Road conditions had meanwhile substantially deteriorated, and final engineering designs required adjustments to those prepared at a conceptual level four years earlier in the Project Appraisal Document. Rehabilitation costs consequently increased.; Unfamiliarity with Bank international financing, the Government of Bahia decided to wait for the loan to become effective before bidding the works engineering designs. This decision increased by a year the Project initial delay. Engineering designs started in May 2008; once contracted, delays issues were again compounded by the poor quality of the  designs, inducing back and forth exchanges between DERBA’s Project Coordination Unit and the consulting firms.</t>
  </si>
  <si>
    <t xml:space="preserve">Quality of estimates; Macroeconomic conditions; </t>
  </si>
  <si>
    <t xml:space="preserve">The actual prices of civil works far exceeded original estimates and the financing gap would require a reduction of the civil works targets.; A local inflation rate that far exceeded the rate of devaluation of the peso vis a vis the dollar.; </t>
  </si>
  <si>
    <t>Quality of estimates; Macroeconomic conditions; Political events</t>
  </si>
  <si>
    <t xml:space="preserve">The actual prices of civil works far exceeded original estimates and the financing gap would require a reduction of the civil works targets.; A local inflation rate that far exceeded the rate of devaluation of the peso vis a vis the dollar.; The Central government withdrew its support for the proposed additional financing and the civil works component could not be restored to its original size.  
 </t>
  </si>
  <si>
    <t>Procurement system; Change of project scope; Quality of estimates</t>
  </si>
  <si>
    <t xml:space="preserve">Declaration of mis-procurement, which caused significant delays. Specifically, during the events leading to mis-procurement, SRA showed its reliability as a project implementation agency by bringing the political interference to the World Bank’s and other partners’ attention. Due to this and the progress made on the institutional component, the Bank and its partners were confident that project implementation could continue with SRA despite the partial credit/loan cancellations.  However, to minimize the risk of further political intervention, EBRD and EIB did not start funding the cancelled sections until the political leadership suspected of interference changed two years after the declaration of mis-procurement. No changes were made to the anti-corruption guidelines or procedures which had worked as planned alerting stakeholders to the political interference.  ; The original engineering solution was the application of a leveling course and a wearing course of asphalt concrete, after carrying out localized repairs on the base course. However, following more detailed surveys it was clear that in many cases full rehabilitation or reconstruction would be required to provide a long term solution. ; For the civil works that were eventually funded the amount of work required to bring the roads to good condition was significantly greater than anticipated at appraisal. </t>
  </si>
  <si>
    <t xml:space="preserve">; Through an Additional Financing loan, civil works originally planned under other phases of the Program were executed under this Component; </t>
  </si>
  <si>
    <t xml:space="preserve">Capacity of contractors; Change of project scope; </t>
  </si>
  <si>
    <t xml:space="preserve">Local designers and contractors successfully applied new technologies and appropriate and cost-effective design standards based on international practices; The project went through 2 additional financing to rehabilitate more km of road; the closing dates were extended to allow time to carry out that extra work; the deviation in length and duration seem to be due to the fact that the project was initially created to respond to “the emergency needs of creating temporary employment in the wake of global crisis; </t>
  </si>
  <si>
    <t xml:space="preserve"> </t>
  </si>
  <si>
    <t>a. Length</t>
  </si>
  <si>
    <t>b. Unit cost ($ per km built)</t>
  </si>
  <si>
    <t>Figure 1</t>
  </si>
  <si>
    <t>Figure 2</t>
  </si>
  <si>
    <t>Figure 3</t>
  </si>
  <si>
    <t xml:space="preserve"> Capacity of contractors</t>
  </si>
  <si>
    <t>d. Project components with unit costs at +50% over original estimate</t>
  </si>
  <si>
    <t>a. Project components with length completed at +50% over original estimate</t>
  </si>
  <si>
    <t>c. Project components with unit costs at 50% under original estimate</t>
  </si>
  <si>
    <t>b. Project components with length completed at 50% under original estimate</t>
  </si>
  <si>
    <t>number</t>
  </si>
  <si>
    <t>share</t>
  </si>
  <si>
    <t>Count of Project ID</t>
  </si>
  <si>
    <t>Sum of cost_outlier_over</t>
  </si>
  <si>
    <t>Share</t>
  </si>
  <si>
    <t>ADD average cost</t>
  </si>
  <si>
    <t>Check_cost_over</t>
  </si>
  <si>
    <t>Check_cost_under</t>
  </si>
  <si>
    <t>Check_lenght_under</t>
  </si>
  <si>
    <t>Count of Unit costs</t>
  </si>
  <si>
    <t xml:space="preserve">Average of Cost </t>
  </si>
  <si>
    <t>Sample</t>
  </si>
  <si>
    <t>Average of Unit costs</t>
  </si>
  <si>
    <t>Count of Cost Type</t>
  </si>
  <si>
    <t>Actual avrg unit costs</t>
  </si>
  <si>
    <t>Estimated unit costs</t>
  </si>
  <si>
    <t>Share of major cost overruns</t>
  </si>
  <si>
    <t>Average unit cost</t>
  </si>
  <si>
    <r>
      <t xml:space="preserve">Tab: Ratios_region_outliers_per_region
Here we look at the share (%) of project components that go significantly overboard (ratio of x 1.50 or more) or underboard (ratio of x 0.50 or less) when comparing the actual projects (ex post) vs the original estimates (ex-ante). The criteria used are (a) length and (b) the unit cost. Below are examples on how to interpret results:
</t>
    </r>
    <r>
      <rPr>
        <b/>
        <sz val="12"/>
        <color theme="0"/>
        <rFont val="Calibri"/>
        <family val="2"/>
        <scheme val="minor"/>
      </rPr>
      <t xml:space="preserve">     </t>
    </r>
    <r>
      <rPr>
        <b/>
        <i/>
        <sz val="12"/>
        <color theme="0"/>
        <rFont val="Calibri"/>
        <family val="2"/>
        <scheme val="minor"/>
      </rPr>
      <t>&gt; Example from figure 2: 8% of the project components in South Asia end up with significantly more road (+50%) than what was initialy planned/forecasted.
     &gt; Example from figure 3: 49% of project components in Sub-Saharan African go significantly overboard in terms of unit costs compared to the initial estimates/forecasts.</t>
    </r>
  </si>
  <si>
    <r>
      <t xml:space="preserve">Tab Unit_costs_per_region
Here we are trying to get the average unit costs (USD per km) for project components across regions. However, there are different project types that are more or less costly (e.g. new 6l expressway vs.gravel resurfacing). So to compare apples to apples we must control for work types. We do this by focusing on the work types with the largest sample: (a) asphalt mix resurfacing; (b) reconstruction; and (c) upgrading. We also showcase the average project length as it is possible that larger projects are able to leverage economies of scale
</t>
    </r>
    <r>
      <rPr>
        <b/>
        <sz val="12"/>
        <color theme="0"/>
        <rFont val="Calibri"/>
        <family val="2"/>
        <scheme val="minor"/>
      </rPr>
      <t xml:space="preserve">   </t>
    </r>
    <r>
      <rPr>
        <b/>
        <i/>
        <sz val="12"/>
        <color theme="0"/>
        <rFont val="Calibri"/>
        <family val="2"/>
        <scheme val="minor"/>
      </rPr>
      <t xml:space="preserve">   &gt; Example from figure a: Sub-saharan african has the largest unit cost for actual 'asphalt mix resurfacing' projects, which stand at 0.22M per km. </t>
    </r>
  </si>
  <si>
    <r>
      <t xml:space="preserve">Tab Project_type_outliers
Here we look at the project types that were the most likely to be "major overruns" in terms of unit costs (USD per km). An overrun is when actual unit costs in terms of USD per KM (ex-ante) end up 50% higher compared to original estimate (ex-post). For the figure below, we are only illustrating the project types for which we have a sample size of over 10 project components.
     </t>
    </r>
    <r>
      <rPr>
        <b/>
        <i/>
        <sz val="12"/>
        <color theme="0"/>
        <rFont val="Calibri"/>
        <family val="2"/>
        <scheme val="minor"/>
      </rPr>
      <t xml:space="preserve"> &gt; Example: 50% of all "New 4L Expressway" project types end up as major overuns </t>
    </r>
  </si>
  <si>
    <t>Figure: share of project type that end up as overruns on unit-costs (USD per km)</t>
  </si>
  <si>
    <t>This tab just shows the ratios (actual/estimate) for the projects where we have complete data. Data comes directly from previous "printout" tab</t>
  </si>
  <si>
    <t>ZAR</t>
  </si>
  <si>
    <t>This tab only lists the projects for which we have complete data in terms of costs and lenghts on both the estimate (PAD) and the actual (ICR). From there we provide the explanations from the ICR in terms of why the project component witnessed a major overrun/underrun in terms of lenght and/or unit costs (USD per km)-- if applicable</t>
  </si>
  <si>
    <t>Ratio length (km)</t>
  </si>
  <si>
    <t>Ratio unit cost</t>
  </si>
  <si>
    <t>Ratio length</t>
  </si>
  <si>
    <t>Estimated unit costs (M/km)</t>
  </si>
  <si>
    <t>Actual avrg unit costs (M/km)</t>
  </si>
  <si>
    <t>AfDB project - P-TD-DB0-008</t>
  </si>
  <si>
    <t>CFAF</t>
  </si>
  <si>
    <t>Swaziland</t>
  </si>
  <si>
    <t>UA</t>
  </si>
  <si>
    <t>Niger</t>
  </si>
  <si>
    <t xml:space="preserve">AfDB project - P –Z1-DB0 -063 </t>
  </si>
  <si>
    <t>AfDB project P-KE-DB0-019</t>
  </si>
  <si>
    <t>KES</t>
  </si>
  <si>
    <t xml:space="preserve">AfDB P-GN-AB0-005
</t>
  </si>
  <si>
    <t>Benin</t>
  </si>
  <si>
    <t xml:space="preserve">AfDB-P-BJ-DB0-010 </t>
  </si>
  <si>
    <t>AfDB loan number: B/CAM/RTE/89/16</t>
  </si>
  <si>
    <t>AfDB loan number: F/BUF/RTE/92/19</t>
  </si>
  <si>
    <t xml:space="preserve">AfDB loan number: CS/LES/TR/86/18
</t>
  </si>
  <si>
    <t>AfDB loan number B/MRC/RTE/90/35</t>
  </si>
  <si>
    <t>Namibia</t>
  </si>
  <si>
    <t xml:space="preserve">AfDB loan number: F/NAM/ROD/92/1
</t>
  </si>
  <si>
    <t xml:space="preserve">AfDB loan numbers: F/LES/TRA-ROD/87/20 &amp; F/LES/ROD/93/SUP/8
</t>
  </si>
  <si>
    <t xml:space="preserve">AfDB loan number: F/BEN/ROD/92/27
</t>
  </si>
  <si>
    <t>FCFA</t>
  </si>
  <si>
    <t>Malawi</t>
  </si>
  <si>
    <t>AfDB loan F/MLW/AGR(RD)/87/15</t>
  </si>
  <si>
    <t>MWK</t>
  </si>
  <si>
    <t>AfDB P-BF-DB0-012</t>
  </si>
  <si>
    <t>Project number: 42017-013</t>
  </si>
  <si>
    <t>Kazakhstan</t>
  </si>
  <si>
    <t>KAZ</t>
  </si>
  <si>
    <t xml:space="preserve">Project numbers 29568 &amp; 32463 </t>
  </si>
  <si>
    <t>Loan numbers: ADB loan: B/SWA/ROD/89/15 and ADF loan: F/SWA/ROD/89/6</t>
  </si>
  <si>
    <t>Project Number: 42358-013</t>
  </si>
  <si>
    <t xml:space="preserve">Project Number: 43439-023 </t>
  </si>
  <si>
    <t>AfDB project - P-TD-DB0-008C1</t>
  </si>
  <si>
    <t>Loan numbers: ADB loan: B/SWA/ROD/89/15 and ADF loan: F/SWA/ROD/89/6C1</t>
  </si>
  <si>
    <t>0C1</t>
  </si>
  <si>
    <t>AfDB project - P –Z1-DB0 -063 C1</t>
  </si>
  <si>
    <t>AfDB project P-KE-DB0-019C1</t>
  </si>
  <si>
    <t>AfDB P-GN-AB0-005
C1</t>
  </si>
  <si>
    <t>AfDB-P-BJ-DB0-010 C1</t>
  </si>
  <si>
    <t>AfDB loan number: B/CAM/RTE/89/16C1S1</t>
  </si>
  <si>
    <t>AfDB loan number: B/CAM/RTE/89/16C1S2</t>
  </si>
  <si>
    <t>AfDB loan number: F/BUF/RTE/92/19C1</t>
  </si>
  <si>
    <t>AfDB loan number: CS/LES/TR/86/18
C1</t>
  </si>
  <si>
    <t>AfDB loan number B/MRC/RTE/90/35C1</t>
  </si>
  <si>
    <t>AfDB loan number: F/NAM/ROD/92/1
C1</t>
  </si>
  <si>
    <t>AfDB loan numbers: F/LES/TRA-ROD/87/20 &amp; F/LES/ROD/93/SUP/8
C1</t>
  </si>
  <si>
    <t>AfDB loan number: F/BEN/ROD/92/27
C1</t>
  </si>
  <si>
    <t>AfDB loan number: F/BEN/ROD/92/27
C2</t>
  </si>
  <si>
    <t>AfDB loan F/MLW/AGR(RD)/87/15C1</t>
  </si>
  <si>
    <t>AfDB P-BF-DB0-012C1</t>
  </si>
  <si>
    <t>Project number: 42017-013C1S1</t>
  </si>
  <si>
    <t>Project number: 42017-013C1S2</t>
  </si>
  <si>
    <t>Project number: 42017-013C1S3</t>
  </si>
  <si>
    <t>Project numbers 29568 &amp; 32463 C1</t>
  </si>
  <si>
    <t>Project Number: 42358-013C1</t>
  </si>
  <si>
    <t>Project Number: 43439-023 C1</t>
  </si>
  <si>
    <t>2009 / 2017</t>
  </si>
  <si>
    <t>SZL</t>
  </si>
  <si>
    <t>1988 / 1994</t>
  </si>
  <si>
    <t>1989 / 1999</t>
  </si>
  <si>
    <t>2010 / 2017</t>
  </si>
  <si>
    <t>2012 / 2011</t>
  </si>
  <si>
    <t>1988 / 1998</t>
  </si>
  <si>
    <t>1990 / 1999</t>
  </si>
  <si>
    <t>1985 / 1991</t>
  </si>
  <si>
    <t>1989 / 1998</t>
  </si>
  <si>
    <t>1991 / 1995</t>
  </si>
  <si>
    <t>1987 / 1997</t>
  </si>
  <si>
    <t>1992 / 1999</t>
  </si>
  <si>
    <t>1987 / 1999</t>
  </si>
  <si>
    <t>KHR</t>
  </si>
  <si>
    <t>upgrading</t>
  </si>
  <si>
    <t xml:space="preserve">Change of project scope </t>
  </si>
  <si>
    <t xml:space="preserve">The project cost differences are mainly explained by the additional costs of the modification of the roadway structure decided by the Government - The replacement of the two-layer surfacing course with 5 cm of bituminous concrete generated an additional cost of CFAF 11,055,332,234 or 30% of the total basic contract amount. </t>
  </si>
  <si>
    <t xml:space="preserve">; ; Change of project scope </t>
  </si>
  <si>
    <t xml:space="preserve">; ; The project cost differences are mainly explained by the additional costs of the modification of the roadway structure decided by the Government - The replacement of the two-layer surfacing course with 5 cm of bituminous concrete generated an additional cost of CFAF 11,055,332,234 or 30% of the total basic contract amount. </t>
  </si>
  <si>
    <t>Change of project scope; Capacity of Counterpart</t>
  </si>
  <si>
    <t>Major delay occurred during the precontract services, which was mainly attributable to: i) design review leading to substantial modifications in the original design, and ii) lack of familiarity of Bank procurement rules. As a result of the design review, the original project designs, especially the pavement and bridge structures, were significantly modified to accommodate the prevailing traffic loading.</t>
  </si>
  <si>
    <t>; ; Change of project scope; Capacity of Counterpart</t>
  </si>
  <si>
    <t>; ; Major delay occurred during the precontract services, which was mainly attributable to: i) design review leading to substantial modifications in the original design, and ii) lack of familiarity of Bank procurement rules. As a result of the design review, the original project designs, especially the pavement and bridge structures, were significantly modified to accommodate the prevailing traffic loading.</t>
  </si>
  <si>
    <t>Procurement procedures were inadequatelyapplied resulting in poor selection of most service providers, which affected the performance (P.9)</t>
  </si>
  <si>
    <t>only 15% of works was completed three years after the beginning of the project (annex p. 1/4)</t>
  </si>
  <si>
    <t>; Procurement system; Capacity of contractors</t>
  </si>
  <si>
    <t>; Procurement procedures were inadequatelyapplied resulting in poor selection of most service providers, which affected the performance (P.9); only 15% of works was completed three years after the beginning of the project (annex p. 1/4)</t>
  </si>
  <si>
    <t>macroeconomic conditions</t>
  </si>
  <si>
    <t>Depreciation of the UA (p.10 &amp; 28)</t>
  </si>
  <si>
    <t>The cost of works per kilometre rose to CFAF 155 million instead of the CFAF 145 million estimated at appraisal in 2003, owing to a surge in petroleum product prices in 2007 and 2008 (p.28)</t>
  </si>
  <si>
    <t>change of project scope</t>
  </si>
  <si>
    <t>line items were revised upwards due to construction of a new bridge and road alignment rectifications (p.28)</t>
  </si>
  <si>
    <t>macroeconomic conditions; macroeconomic conditions; change of project scope</t>
  </si>
  <si>
    <t>Depreciation of the UA (p.10 &amp; 28); The cost of works per kilometre rose to CFAF 155 million instead of the CFAF 145 million estimated at appraisal in 2003, owing to a surge in petroleum product prices in 2007 and 2008 (p.28); line items were revised upwards due to construction of a new bridge and road alignment rectifications (p.28)</t>
  </si>
  <si>
    <t>Modifications to the layout were made in some areas situated between Bafoussam and the Noun bridge reducing the lehght of the road by 155 meters. This made it possible to to reduce the cost of the expropriations. (annex 5 p. 1 of 2)</t>
  </si>
  <si>
    <t>; ; change of project scope</t>
  </si>
  <si>
    <t>; ; Modifications to the layout were made in some areas situated between Bafoussam and the Noun bridge reducing the lehght of the road by 155 meters. This made it possible to to reduce the cost of the expropriations. (annex 5 p. 1 of 2)</t>
  </si>
  <si>
    <t>The actual project cost exceeded the appraisal estimate mainly because of changes in the design (p.15)</t>
  </si>
  <si>
    <t>; ; The actual project cost exceeded the appraisal estimate mainly because of changes in the design (p.15)</t>
  </si>
  <si>
    <t xml:space="preserve">It should be noted that devaluation of the local currency over the implementation period of the project more than doubled project costs when measured in MWK (PCR p. 3). Instead of improving five roads, totalling 62 km, the project improved four roads, totalling 65 km, exceeding the projected target by nearly 5% while remaining within the original budget [when costs are calculated using the UA currency (AfDB currency)] (PCR p.6). </t>
  </si>
  <si>
    <t>; ; Macroeconomic conditions</t>
  </si>
  <si>
    <t xml:space="preserve">; ; It should be noted that devaluation of the local currency over the implementation period of the project more than doubled project costs when measured in MWK (PCR p. 3). Instead of improving five roads, totalling 62 km, the project improved four roads, totalling 65 km, exceeding the projected target by nearly 5% while remaining within the original budget [when costs are calculated using the UA currency (AfDB currency)] (PCR p.6). </t>
  </si>
  <si>
    <t>A contributing factor to cost overruns was the higher than expected price escalation for major construction inputs over a longer implementation period. Particularly, the cost of bitumen increased by 50% per annum during the period 2003–2007, and the rate of price escalation was high for steel, cement, and labor. The price escalation of 2.4% per annum estimated at appraisal was, therefore, far exceeded. (PCR p.5) - The length of the rehabilitated road was reduced due to the increased works on the main road sections as a result of very poor condition of the pavement and major bridges (PCR p. 2)</t>
  </si>
  <si>
    <t>; ; macroeconomic conditions</t>
  </si>
  <si>
    <t>; ; A contributing factor to cost overruns was the higher than expected price escalation for major construction inputs over a longer implementation period. Particularly, the cost of bitumen increased by 50% per annum during the period 2003–2007, and the rate of price escalation was high for steel, cement, and labor. The price escalation of 2.4% per annum estimated at appraisal was, therefore, far exceeded. (PCR p.5) - The length of the rehabilitated road was reduced due to the increased works on the main road sections as a result of very poor condition of the pavement and major bridges (PCR p. 2)</t>
  </si>
  <si>
    <t>The difference between total project costs at appraisal and completion is about $2.59 million, which was mainly due to the cost overruns of civil works, as a result of price increases beyond projections (PCR p. 5)</t>
  </si>
  <si>
    <t>; ; The difference between total project costs at appraisal and completion is about $2.59 million, which was mainly due to the cost overruns of civil works, as a result of price increases beyond projections (PCR p. 5)</t>
  </si>
  <si>
    <t>Sum of Macroeconomic conditions</t>
  </si>
  <si>
    <t>; ; Quality of estimates</t>
  </si>
  <si>
    <t>Quality of estimates ;</t>
  </si>
  <si>
    <r>
      <t xml:space="preserve">Tab: Ratios_estimate vs_outliers
Here we look at the actual (a) length and (b) unit cost (both converted into USD) of project components vis-à-vis the original estimates. To do this we compare the actual projects (ex-post) to the original estimates (ex-ante). 
    </t>
    </r>
    <r>
      <rPr>
        <b/>
        <i/>
        <sz val="12"/>
        <color theme="0"/>
        <rFont val="Calibri"/>
        <family val="2"/>
        <scheme val="minor"/>
      </rPr>
      <t xml:space="preserve"> &gt; Example from figure 1: the actual unit costs of project components in MENA end up 32% higher, on average, compared to the initial forecasts</t>
    </r>
  </si>
  <si>
    <r>
      <t>Tab:Outliers_by_type
Here we only look at project components that go significantly overboard (ratio of x 1.50 or more) or underboard (ratio of x 0.50 or less) when comparing the actual projects (ex post) vs the original estimates (ex-ante). The criteria used are (a) length and (b) unit costs. We then look at the reason provided by the ICR (implementation completion report) as to why the estimates were significantly off. ICRs provide 10 explanation categories (e.g. 'competition', 'weather shocks', 'political events', etc) which we use here. (</t>
    </r>
    <r>
      <rPr>
        <b/>
        <u/>
        <sz val="14"/>
        <color theme="0"/>
        <rFont val="Calibri"/>
        <family val="2"/>
        <scheme val="minor"/>
      </rPr>
      <t>note: several categories may be identified in an ICR</t>
    </r>
    <r>
      <rPr>
        <b/>
        <sz val="14"/>
        <color theme="0"/>
        <rFont val="Calibri"/>
        <family val="2"/>
        <scheme val="minor"/>
      </rPr>
      <t xml:space="preserve">).
</t>
    </r>
    <r>
      <rPr>
        <b/>
        <sz val="12"/>
        <color theme="0"/>
        <rFont val="Calibri"/>
        <family val="2"/>
        <scheme val="minor"/>
      </rPr>
      <t xml:space="preserve">    </t>
    </r>
    <r>
      <rPr>
        <b/>
        <i/>
        <sz val="12"/>
        <color theme="0"/>
        <rFont val="Calibri"/>
        <family val="2"/>
        <scheme val="minor"/>
      </rPr>
      <t xml:space="preserve">&gt; Example from figure (a): For 33 project components where the lenght of the road ended significantly higher than initially forecasted, 'change of the project scope' was identified as a  cause for the overrun in 79% of cases.
   &gt; Example from figure (d): For  173 project components where where unit costs ended up significantly higher than initially forecasted, 'quality of estimates' wase identified as a leading cause for the overrun in 50% of cases. </t>
    </r>
  </si>
  <si>
    <t>Figure a. 'Asphalt Mix Resurfacing' work type: 76 project components</t>
  </si>
  <si>
    <t>Figure c. 'Upgrading' work type: 99 projects</t>
  </si>
  <si>
    <t>Figure b. 'Reconstruction' work type: 128 projects</t>
  </si>
  <si>
    <t>Unit costs
(M USD per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</si>
</sst>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0_);_(* \(#,##0.0\);_(* &quot;-&quot;?_);_(@_)"/>
    <numFmt numFmtId="167" formatCode="0.0%"/>
  </numFmts>
  <fonts count="13"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9"/>
      <color theme="0"/>
      <name val="Calibri"/>
      <family val="2"/>
      <scheme val="minor"/>
    </font>
    <font>
      <sz val="11"/>
      <color theme="0"/>
      <name val="Calibri"/>
      <family val="2"/>
      <scheme val="minor"/>
    </font>
    <font>
      <b/>
      <sz val="14"/>
      <color theme="0"/>
      <name val="Calibri"/>
      <family val="2"/>
      <scheme val="minor"/>
    </font>
    <font>
      <sz val="14"/>
      <color theme="1"/>
      <name val="Calibri"/>
      <family val="2"/>
      <scheme val="minor"/>
    </font>
    <font>
      <b/>
      <i/>
      <sz val="12"/>
      <color theme="0"/>
      <name val="Calibri"/>
      <family val="2"/>
      <scheme val="minor"/>
    </font>
    <font>
      <i/>
      <sz val="11"/>
      <color theme="1"/>
      <name val="Calibri"/>
      <family val="2"/>
      <scheme val="minor"/>
    </font>
    <font>
      <b/>
      <u/>
      <sz val="14"/>
      <color theme="0"/>
      <name val="Calibri"/>
      <family val="2"/>
      <scheme val="minor"/>
    </font>
    <font>
      <sz val="14"/>
      <color theme="0"/>
      <name val="Calibri"/>
      <family val="2"/>
      <scheme val="minor"/>
    </font>
  </fonts>
  <fills count="28">
    <fill>
      <patternFill patternType="none"/>
    </fill>
    <fill>
      <patternFill patternType="gray125"/>
    </fill>
    <fill>
      <patternFill patternType="solid">
        <fgColor theme="1"/>
        <bgColor indexed="64"/>
      </patternFill>
    </fill>
    <fill>
      <patternFill patternType="solid">
        <fgColor rgb="FFF7F4ED"/>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0"/>
        <bgColor theme="4" tint="0.79998168889431442"/>
      </patternFill>
    </fill>
    <fill>
      <patternFill patternType="solid">
        <fgColor theme="4" tint="0.59999389629810485"/>
        <bgColor indexed="64"/>
      </patternFill>
    </fill>
    <fill>
      <patternFill patternType="solid">
        <fgColor theme="3"/>
        <bgColor indexed="64"/>
      </patternFill>
    </fill>
    <fill>
      <patternFill patternType="solid">
        <fgColor theme="4" tint="0.59999389629810485"/>
        <bgColor theme="4" tint="0.79998168889431442"/>
      </patternFill>
    </fill>
    <fill>
      <patternFill patternType="solid">
        <fgColor rgb="FFFFFF00"/>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theme="4" tint="-0.499984740745262"/>
        <bgColor theme="0"/>
      </patternFill>
    </fill>
    <fill>
      <patternFill patternType="solid">
        <fgColor rgb="FF002060"/>
        <bgColor indexed="64"/>
      </patternFill>
    </fill>
    <fill>
      <patternFill patternType="solid">
        <fgColor theme="0" tint="-0.499984740745262"/>
        <bgColor indexed="64"/>
      </patternFill>
    </fill>
    <fill>
      <patternFill patternType="solid">
        <fgColor theme="0"/>
        <bgColor rgb="FFFFFF00"/>
      </patternFill>
    </fill>
    <fill>
      <patternFill patternType="solid">
        <fgColor rgb="FFFFFF00"/>
        <bgColor rgb="FFFFFF00"/>
      </patternFill>
    </fill>
    <fill>
      <patternFill patternType="solid">
        <fgColor theme="8" tint="0.59999389629810485"/>
        <bgColor indexed="64"/>
      </patternFill>
    </fill>
    <fill>
      <patternFill patternType="solid">
        <fgColor theme="8" tint="0.59999389629810485"/>
        <bgColor theme="4" tint="0.79998168889431442"/>
      </patternFill>
    </fill>
    <fill>
      <patternFill patternType="solid">
        <fgColor theme="0"/>
        <bgColor theme="8" tint="0.79998168889431442"/>
      </patternFill>
    </fill>
    <fill>
      <patternFill patternType="solid">
        <fgColor theme="7" tint="0.79998168889431442"/>
        <bgColor rgb="FFFFFFCC"/>
      </patternFill>
    </fill>
    <fill>
      <patternFill patternType="solid">
        <fgColor theme="7" tint="0.79998168889431442"/>
        <bgColor indexed="64"/>
      </patternFill>
    </fill>
  </fills>
  <borders count="5">
    <border>
      <left/>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15">
    <xf numFmtId="0" fontId="0" fillId="0" borderId="0" xfId="0"/>
    <xf numFmtId="0" fontId="1" fillId="2" borderId="0" xfId="0" applyFont="1" applyFill="1" applyAlignment="1">
      <alignment horizontal="left" vertical="top" wrapText="1"/>
    </xf>
    <xf numFmtId="4" fontId="1" fillId="2" borderId="0" xfId="0" applyNumberFormat="1" applyFont="1" applyFill="1" applyAlignment="1">
      <alignment horizontal="left" vertical="top" wrapText="1"/>
    </xf>
    <xf numFmtId="0" fontId="1" fillId="2" borderId="0" xfId="0" applyNumberFormat="1" applyFont="1" applyFill="1" applyAlignment="1">
      <alignment horizontal="left" vertical="top" wrapText="1"/>
    </xf>
    <xf numFmtId="0" fontId="2" fillId="0" borderId="1" xfId="0" applyFont="1" applyBorder="1"/>
    <xf numFmtId="0" fontId="0" fillId="0" borderId="1" xfId="0" applyFont="1" applyBorder="1"/>
    <xf numFmtId="0" fontId="0" fillId="0" borderId="1" xfId="0" applyNumberFormat="1" applyFont="1" applyBorder="1" applyAlignment="1">
      <alignment horizontal="right"/>
    </xf>
    <xf numFmtId="0" fontId="0" fillId="0" borderId="1" xfId="0" applyNumberFormat="1" applyFont="1" applyBorder="1"/>
    <xf numFmtId="9" fontId="0" fillId="0" borderId="1" xfId="0" applyNumberFormat="1" applyFont="1" applyBorder="1"/>
    <xf numFmtId="9" fontId="0" fillId="3" borderId="1" xfId="0" applyNumberFormat="1" applyFont="1" applyFill="1" applyBorder="1"/>
    <xf numFmtId="2" fontId="0"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0" fontId="0" fillId="0" borderId="1" xfId="0" applyBorder="1" applyAlignment="1">
      <alignment wrapText="1"/>
    </xf>
    <xf numFmtId="0" fontId="3" fillId="2" borderId="0" xfId="0" applyFont="1" applyFill="1" applyAlignment="1">
      <alignment horizontal="left" vertical="top" wrapText="1"/>
    </xf>
    <xf numFmtId="4" fontId="3" fillId="2" borderId="0" xfId="0" applyNumberFormat="1" applyFont="1" applyFill="1" applyAlignment="1">
      <alignment horizontal="left" vertical="top" wrapText="1"/>
    </xf>
    <xf numFmtId="0" fontId="3" fillId="2" borderId="0" xfId="0" applyNumberFormat="1" applyFont="1" applyFill="1" applyAlignment="1">
      <alignment horizontal="left" vertical="top" wrapText="1"/>
    </xf>
    <xf numFmtId="0" fontId="3" fillId="2" borderId="0" xfId="0" applyNumberFormat="1" applyFont="1" applyFill="1" applyAlignment="1">
      <alignment horizontal="center" vertical="top" wrapText="1"/>
    </xf>
    <xf numFmtId="0" fontId="4" fillId="0" borderId="0" xfId="0" applyFont="1"/>
    <xf numFmtId="0" fontId="4" fillId="0" borderId="0" xfId="0" applyFont="1" applyAlignment="1">
      <alignment horizontal="left" vertical="top"/>
    </xf>
    <xf numFmtId="0" fontId="4" fillId="0" borderId="0" xfId="0" applyNumberFormat="1" applyFont="1" applyAlignment="1">
      <alignment horizontal="left" vertical="top"/>
    </xf>
    <xf numFmtId="164" fontId="4" fillId="0" borderId="0" xfId="0" applyNumberFormat="1" applyFont="1" applyAlignment="1">
      <alignment horizontal="left" vertical="top"/>
    </xf>
    <xf numFmtId="165" fontId="4" fillId="0" borderId="0" xfId="0" applyNumberFormat="1" applyFont="1" applyAlignment="1">
      <alignment horizontal="left" vertical="top"/>
    </xf>
    <xf numFmtId="2" fontId="4" fillId="0" borderId="0" xfId="0" applyNumberFormat="1" applyFont="1" applyAlignment="1">
      <alignment horizontal="left" vertical="top"/>
    </xf>
    <xf numFmtId="166" fontId="4" fillId="0" borderId="0" xfId="0" applyNumberFormat="1" applyFont="1" applyAlignment="1">
      <alignment horizontal="left" vertical="top"/>
    </xf>
    <xf numFmtId="43" fontId="4" fillId="3" borderId="0" xfId="0" applyNumberFormat="1" applyFont="1" applyFill="1" applyAlignment="1">
      <alignment horizontal="left" vertical="top"/>
    </xf>
    <xf numFmtId="43" fontId="4" fillId="5" borderId="0" xfId="0" applyNumberFormat="1" applyFont="1" applyFill="1" applyAlignment="1">
      <alignment horizontal="center" vertical="top"/>
    </xf>
    <xf numFmtId="2" fontId="4" fillId="0" borderId="0" xfId="0" applyNumberFormat="1" applyFont="1" applyAlignment="1">
      <alignment horizontal="left" vertical="top" wrapText="1"/>
    </xf>
    <xf numFmtId="166" fontId="4" fillId="0" borderId="0" xfId="0" applyNumberFormat="1" applyFont="1" applyAlignment="1">
      <alignment horizontal="left" vertical="top" wrapText="1"/>
    </xf>
    <xf numFmtId="0" fontId="4" fillId="0" borderId="1" xfId="0" applyFont="1" applyBorder="1" applyAlignment="1">
      <alignment horizontal="left" vertical="top"/>
    </xf>
    <xf numFmtId="0" fontId="4" fillId="0" borderId="1" xfId="0" applyNumberFormat="1" applyFont="1" applyBorder="1" applyAlignment="1">
      <alignment horizontal="left" vertical="top"/>
    </xf>
    <xf numFmtId="9" fontId="4" fillId="0" borderId="1" xfId="0" applyNumberFormat="1" applyFont="1" applyBorder="1" applyAlignment="1">
      <alignment horizontal="left" vertical="top"/>
    </xf>
    <xf numFmtId="9" fontId="4" fillId="0" borderId="1" xfId="0" applyNumberFormat="1" applyFont="1" applyBorder="1" applyAlignment="1">
      <alignment horizontal="right" vertical="top"/>
    </xf>
    <xf numFmtId="9" fontId="4" fillId="3" borderId="1" xfId="0" applyNumberFormat="1" applyFont="1" applyFill="1" applyBorder="1" applyAlignment="1">
      <alignment horizontal="right" vertical="top"/>
    </xf>
    <xf numFmtId="2" fontId="4" fillId="5" borderId="1" xfId="0" applyNumberFormat="1" applyFont="1" applyFill="1" applyBorder="1" applyAlignment="1">
      <alignment horizontal="center" vertical="top"/>
    </xf>
    <xf numFmtId="0" fontId="4" fillId="0" borderId="1" xfId="0" applyFont="1" applyBorder="1" applyAlignment="1">
      <alignment horizontal="left" vertical="top" wrapText="1"/>
    </xf>
    <xf numFmtId="9" fontId="4" fillId="0" borderId="1" xfId="0" applyNumberFormat="1" applyFont="1" applyBorder="1" applyAlignment="1">
      <alignment horizontal="left" vertical="top" wrapText="1"/>
    </xf>
    <xf numFmtId="0" fontId="4" fillId="0" borderId="0" xfId="0" applyFont="1" applyAlignment="1">
      <alignment wrapText="1"/>
    </xf>
    <xf numFmtId="43" fontId="0" fillId="3" borderId="0" xfId="0" applyNumberFormat="1" applyFill="1"/>
    <xf numFmtId="0" fontId="5" fillId="7" borderId="0" xfId="0" applyFont="1" applyFill="1" applyAlignment="1">
      <alignment vertical="top" wrapText="1"/>
    </xf>
    <xf numFmtId="0" fontId="5" fillId="7" borderId="2" xfId="0" applyFont="1" applyFill="1" applyBorder="1" applyAlignment="1">
      <alignment vertical="top" wrapText="1"/>
    </xf>
    <xf numFmtId="0" fontId="0" fillId="10" borderId="0" xfId="0" applyFill="1"/>
    <xf numFmtId="0" fontId="0" fillId="6" borderId="0" xfId="0" applyFill="1"/>
    <xf numFmtId="0" fontId="0" fillId="6" borderId="0" xfId="0" applyFill="1" applyAlignment="1">
      <alignment horizontal="left"/>
    </xf>
    <xf numFmtId="9" fontId="0" fillId="6" borderId="0" xfId="0" applyNumberFormat="1" applyFill="1"/>
    <xf numFmtId="10" fontId="0" fillId="6" borderId="0" xfId="0" applyNumberFormat="1" applyFill="1"/>
    <xf numFmtId="0" fontId="0" fillId="12" borderId="0" xfId="0" applyFill="1"/>
    <xf numFmtId="0" fontId="0" fillId="6" borderId="0" xfId="0" applyFill="1" applyAlignment="1">
      <alignment vertical="top"/>
    </xf>
    <xf numFmtId="0" fontId="0" fillId="4" borderId="0" xfId="0" applyFill="1" applyAlignment="1">
      <alignment horizontal="left" vertical="top" wrapText="1"/>
    </xf>
    <xf numFmtId="0" fontId="0" fillId="8" borderId="0" xfId="0" applyFill="1" applyAlignment="1">
      <alignment horizontal="left" vertical="top" wrapText="1"/>
    </xf>
    <xf numFmtId="0" fontId="2" fillId="15" borderId="0" xfId="0" applyFont="1" applyFill="1"/>
    <xf numFmtId="2" fontId="0" fillId="6" borderId="0" xfId="0" applyNumberFormat="1" applyFill="1"/>
    <xf numFmtId="0" fontId="0" fillId="4" borderId="0" xfId="0" applyFill="1"/>
    <xf numFmtId="0" fontId="2" fillId="14" borderId="3" xfId="0" applyFont="1" applyFill="1" applyBorder="1"/>
    <xf numFmtId="0" fontId="0" fillId="15" borderId="0" xfId="0" applyFill="1"/>
    <xf numFmtId="0" fontId="0" fillId="8" borderId="0" xfId="0" applyFill="1" applyAlignment="1">
      <alignment horizontal="right" vertical="top" wrapText="1"/>
    </xf>
    <xf numFmtId="0" fontId="0" fillId="6" borderId="0" xfId="0" applyFill="1" applyAlignment="1">
      <alignment horizontal="right"/>
    </xf>
    <xf numFmtId="0" fontId="0" fillId="6" borderId="0" xfId="0" applyNumberFormat="1" applyFill="1"/>
    <xf numFmtId="0" fontId="0" fillId="6" borderId="0" xfId="0" applyNumberFormat="1" applyFill="1" applyAlignment="1">
      <alignment horizontal="left"/>
    </xf>
    <xf numFmtId="0" fontId="0" fillId="11" borderId="0" xfId="0" applyFill="1"/>
    <xf numFmtId="0" fontId="10" fillId="6" borderId="0" xfId="0" applyFont="1" applyFill="1" applyAlignment="1">
      <alignment horizontal="right"/>
    </xf>
    <xf numFmtId="9" fontId="0" fillId="4" borderId="0" xfId="0" applyNumberFormat="1" applyFill="1"/>
    <xf numFmtId="0" fontId="0" fillId="6" borderId="0" xfId="0" applyFill="1" applyAlignment="1">
      <alignment wrapText="1"/>
    </xf>
    <xf numFmtId="0" fontId="0" fillId="10" borderId="0" xfId="0" applyFill="1" applyAlignment="1">
      <alignment wrapText="1"/>
    </xf>
    <xf numFmtId="0" fontId="6" fillId="17" borderId="0" xfId="0" applyFont="1" applyFill="1" applyAlignment="1">
      <alignment vertical="top" wrapText="1"/>
    </xf>
    <xf numFmtId="0" fontId="0" fillId="15" borderId="0" xfId="0" applyFill="1" applyAlignment="1">
      <alignment horizontal="left"/>
    </xf>
    <xf numFmtId="0" fontId="0" fillId="15" borderId="0" xfId="0" applyNumberFormat="1" applyFill="1"/>
    <xf numFmtId="0" fontId="2" fillId="15" borderId="3" xfId="0" applyFont="1" applyFill="1" applyBorder="1" applyAlignment="1">
      <alignment horizontal="left"/>
    </xf>
    <xf numFmtId="0" fontId="6" fillId="18" borderId="0" xfId="0" applyNumberFormat="1" applyFont="1" applyFill="1" applyAlignment="1">
      <alignment horizontal="left" wrapText="1"/>
    </xf>
    <xf numFmtId="0" fontId="0" fillId="20" borderId="0" xfId="0" applyFill="1"/>
    <xf numFmtId="4" fontId="0" fillId="15" borderId="0" xfId="0" applyNumberFormat="1" applyFill="1"/>
    <xf numFmtId="4" fontId="0" fillId="6" borderId="0" xfId="0" applyNumberFormat="1" applyFill="1"/>
    <xf numFmtId="0" fontId="0" fillId="6" borderId="0" xfId="0" applyFill="1" applyAlignment="1">
      <alignment horizontal="left" indent="1"/>
    </xf>
    <xf numFmtId="0" fontId="0" fillId="4" borderId="0" xfId="0" applyFill="1" applyAlignment="1">
      <alignment horizontal="right" wrapText="1"/>
    </xf>
    <xf numFmtId="0" fontId="0" fillId="6" borderId="0" xfId="0" applyFill="1" applyAlignment="1">
      <alignment horizontal="right" wrapText="1"/>
    </xf>
    <xf numFmtId="0" fontId="2" fillId="9" borderId="3" xfId="0" applyFont="1" applyFill="1" applyBorder="1" applyAlignment="1">
      <alignment horizontal="right" wrapText="1"/>
    </xf>
    <xf numFmtId="0" fontId="2" fillId="9" borderId="3" xfId="0" applyFont="1" applyFill="1" applyBorder="1" applyAlignment="1">
      <alignment horizontal="left" wrapText="1"/>
    </xf>
    <xf numFmtId="0" fontId="0" fillId="21" borderId="0" xfId="0" applyFill="1" applyAlignment="1">
      <alignment horizontal="left"/>
    </xf>
    <xf numFmtId="0" fontId="0" fillId="22" borderId="0" xfId="0" applyFill="1" applyAlignment="1">
      <alignment horizontal="left"/>
    </xf>
    <xf numFmtId="0" fontId="6" fillId="6" borderId="0" xfId="0" applyFont="1" applyFill="1"/>
    <xf numFmtId="0" fontId="0" fillId="23" borderId="0" xfId="0" applyFill="1"/>
    <xf numFmtId="0" fontId="2" fillId="23" borderId="0" xfId="0" applyFont="1" applyFill="1" applyAlignment="1">
      <alignment horizontal="center"/>
    </xf>
    <xf numFmtId="0" fontId="0" fillId="23" borderId="0" xfId="0" applyFill="1" applyAlignment="1">
      <alignment horizontal="right" wrapText="1"/>
    </xf>
    <xf numFmtId="0" fontId="12" fillId="19" borderId="0" xfId="0" applyFont="1" applyFill="1"/>
    <xf numFmtId="0" fontId="12" fillId="19" borderId="0" xfId="0" applyFont="1" applyFill="1" applyAlignment="1">
      <alignment wrapText="1"/>
    </xf>
    <xf numFmtId="0" fontId="8" fillId="0" borderId="0" xfId="0" applyFont="1"/>
    <xf numFmtId="0" fontId="12" fillId="19" borderId="0" xfId="0" applyFont="1" applyFill="1" applyAlignment="1">
      <alignment vertical="center"/>
    </xf>
    <xf numFmtId="0" fontId="0" fillId="26" borderId="0" xfId="0" applyFill="1" applyAlignment="1">
      <alignment horizontal="left" indent="1"/>
    </xf>
    <xf numFmtId="0" fontId="0" fillId="27" borderId="0" xfId="0" applyNumberFormat="1" applyFill="1"/>
    <xf numFmtId="4" fontId="0" fillId="27" borderId="0" xfId="0" applyNumberFormat="1" applyFill="1"/>
    <xf numFmtId="0" fontId="0" fillId="27" borderId="0" xfId="0" applyFill="1" applyAlignment="1">
      <alignment horizontal="left" indent="2"/>
    </xf>
    <xf numFmtId="0" fontId="0" fillId="27" borderId="0" xfId="0" applyFill="1" applyAlignment="1">
      <alignment horizontal="left" indent="1"/>
    </xf>
    <xf numFmtId="0" fontId="0" fillId="23" borderId="0" xfId="0" applyFill="1" applyAlignment="1">
      <alignment horizontal="center"/>
    </xf>
    <xf numFmtId="0" fontId="2" fillId="24" borderId="3" xfId="0" applyFont="1" applyFill="1" applyBorder="1" applyAlignment="1">
      <alignment horizontal="center"/>
    </xf>
    <xf numFmtId="167" fontId="2" fillId="6" borderId="4" xfId="0" applyNumberFormat="1" applyFont="1" applyFill="1" applyBorder="1"/>
    <xf numFmtId="0" fontId="0" fillId="8" borderId="0" xfId="0" applyFill="1" applyAlignment="1">
      <alignment horizontal="left"/>
    </xf>
    <xf numFmtId="0" fontId="0" fillId="8" borderId="0" xfId="0" applyNumberFormat="1" applyFill="1"/>
    <xf numFmtId="9" fontId="0" fillId="8" borderId="0" xfId="0" applyNumberFormat="1" applyFill="1"/>
    <xf numFmtId="9" fontId="4" fillId="0" borderId="1" xfId="0" applyNumberFormat="1" applyFont="1" applyFill="1" applyBorder="1" applyAlignment="1">
      <alignment horizontal="right" vertical="top"/>
    </xf>
    <xf numFmtId="0" fontId="12" fillId="19" borderId="0" xfId="0" applyFont="1" applyFill="1" applyAlignment="1">
      <alignment horizontal="right"/>
    </xf>
    <xf numFmtId="0" fontId="4" fillId="0" borderId="0" xfId="0" applyFont="1" applyAlignment="1">
      <alignment horizontal="right"/>
    </xf>
    <xf numFmtId="4" fontId="3" fillId="2" borderId="0" xfId="0" applyNumberFormat="1" applyFont="1" applyFill="1" applyAlignment="1">
      <alignment horizontal="right" vertical="top" wrapText="1"/>
    </xf>
    <xf numFmtId="0" fontId="4" fillId="0" borderId="0" xfId="0" applyFont="1" applyAlignment="1">
      <alignment horizontal="right" vertical="top"/>
    </xf>
    <xf numFmtId="43" fontId="4" fillId="0" borderId="0" xfId="0" applyNumberFormat="1" applyFont="1" applyAlignment="1">
      <alignment horizontal="right" vertical="top"/>
    </xf>
    <xf numFmtId="0" fontId="4" fillId="0" borderId="0" xfId="0" applyFont="1" applyFill="1" applyAlignment="1">
      <alignment horizontal="left" vertical="top"/>
    </xf>
    <xf numFmtId="0" fontId="4" fillId="0" borderId="0" xfId="0" applyNumberFormat="1" applyFont="1" applyFill="1" applyAlignment="1">
      <alignment horizontal="left" vertical="top"/>
    </xf>
    <xf numFmtId="0" fontId="4" fillId="0" borderId="0" xfId="0" applyFont="1" applyFill="1" applyAlignment="1">
      <alignment horizontal="right" vertical="top"/>
    </xf>
    <xf numFmtId="0" fontId="0" fillId="25" borderId="0" xfId="0" applyFill="1" applyAlignment="1">
      <alignment horizontal="right" vertical="top" wrapText="1"/>
    </xf>
    <xf numFmtId="0" fontId="7" fillId="13" borderId="0" xfId="0" applyFont="1" applyFill="1" applyAlignment="1">
      <alignment wrapText="1"/>
    </xf>
    <xf numFmtId="0" fontId="7" fillId="13" borderId="0" xfId="0" applyFont="1" applyFill="1" applyAlignment="1">
      <alignment horizontal="left" vertical="top" wrapText="1"/>
    </xf>
    <xf numFmtId="0" fontId="8" fillId="0" borderId="0" xfId="0" applyFont="1" applyAlignment="1">
      <alignment horizontal="left" vertical="top" wrapText="1"/>
    </xf>
    <xf numFmtId="0" fontId="0" fillId="0" borderId="0" xfId="0" applyAlignment="1"/>
    <xf numFmtId="0" fontId="7" fillId="16" borderId="0" xfId="0" applyFont="1" applyFill="1" applyAlignment="1">
      <alignment wrapText="1"/>
    </xf>
    <xf numFmtId="0" fontId="0" fillId="16" borderId="0" xfId="0" applyFill="1" applyAlignment="1"/>
    <xf numFmtId="0" fontId="7" fillId="19" borderId="0" xfId="0" applyFont="1" applyFill="1" applyAlignment="1">
      <alignment horizontal="left" vertical="top" wrapText="1"/>
    </xf>
    <xf numFmtId="0" fontId="0" fillId="19" borderId="0" xfId="0" applyFill="1" applyAlignment="1"/>
  </cellXfs>
  <cellStyles count="1">
    <cellStyle name="Normal" xfId="0" builtinId="0"/>
  </cellStyles>
  <dxfs count="4818">
    <dxf>
      <fill>
        <patternFill>
          <bgColor theme="8" tint="0.59999389629810485"/>
        </patternFill>
      </fill>
    </dxf>
    <dxf>
      <fill>
        <patternFill>
          <bgColor theme="8"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fgColor indexed="64"/>
          <bgColor theme="4" tint="0.7999816888943144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fgColor theme="4" tint="0.79998168889431442"/>
        </patternFill>
      </fill>
      <alignment horizontal="right" wrapText="1"/>
    </dxf>
    <dxf>
      <alignment horizontal="right"/>
    </dxf>
    <dxf>
      <alignment wrapText="1"/>
    </dxf>
    <dxf>
      <fill>
        <patternFill>
          <fgColor rgb="FFFFFF00"/>
        </patternFill>
      </fill>
    </dxf>
    <dxf>
      <fill>
        <patternFill>
          <fgColor rgb="FFFFFF00"/>
        </patternFill>
      </fill>
    </dxf>
    <dxf>
      <fill>
        <patternFill>
          <bgColor rgb="FFFFFF00"/>
        </patternFill>
      </fill>
    </dxf>
    <dxf>
      <fill>
        <patternFill>
          <bgColor rgb="FFFFFF00"/>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4" formatCode="#,##0.00"/>
    </dxf>
    <dxf>
      <numFmt numFmtId="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fgColor theme="8" tint="0.79998168889431442"/>
        </patternFill>
      </fill>
    </dxf>
    <dxf>
      <fill>
        <patternFill>
          <fgColor theme="0"/>
        </patternFill>
      </fill>
    </dxf>
    <dxf>
      <fill>
        <patternFill>
          <fgColor theme="0"/>
        </patternFill>
      </fill>
    </dxf>
    <dxf>
      <fill>
        <patternFill>
          <fgColor theme="0"/>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alignment horizontal="center"/>
    </dxf>
    <dxf>
      <fill>
        <patternFill>
          <bgColor theme="8" tint="0.59999389629810485"/>
        </patternFill>
      </fill>
    </dxf>
    <dxf>
      <fill>
        <patternFill>
          <bgColor theme="8"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fgColor indexed="64"/>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fgColor rgb="FFFFFFCC"/>
        </patternFill>
      </fill>
    </dxf>
    <dxf>
      <fill>
        <patternFill>
          <fgColor rgb="FFFFFFCC"/>
        </patternFill>
      </fill>
    </dxf>
    <dxf>
      <fill>
        <patternFill>
          <f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fgColor indexed="64"/>
          <bgColor theme="4" tint="0.7999816888943144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fgColor theme="4" tint="0.79998168889431442"/>
        </patternFill>
      </fill>
      <alignment horizontal="right" wrapText="1"/>
    </dxf>
    <dxf>
      <alignment horizontal="right"/>
    </dxf>
    <dxf>
      <alignment wrapText="1"/>
    </dxf>
    <dxf>
      <fill>
        <patternFill>
          <fgColor rgb="FFFFFF00"/>
        </patternFill>
      </fill>
    </dxf>
    <dxf>
      <fill>
        <patternFill>
          <fgColor rgb="FFFFFF00"/>
        </patternFill>
      </fill>
    </dxf>
    <dxf>
      <fill>
        <patternFill>
          <bgColor rgb="FFFFFF00"/>
        </patternFill>
      </fill>
    </dxf>
    <dxf>
      <fill>
        <patternFill>
          <bgColor rgb="FFFFFF00"/>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4" formatCode="#,##0.00"/>
    </dxf>
    <dxf>
      <numFmt numFmtId="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fgColor indexed="64"/>
          <bgColor theme="4" tint="0.79998168889431442"/>
        </patternFill>
      </fill>
    </dxf>
    <dxf>
      <fill>
        <patternFill>
          <fgColor theme="4" tint="0.79998168889431442"/>
        </patternFill>
      </fill>
      <alignment horizontal="left" vertical="top" wrapText="1"/>
    </dxf>
    <dxf>
      <fill>
        <patternFill>
          <fgColor indexed="64"/>
          <bgColor theme="4" tint="-0.499984740745262"/>
        </patternFill>
      </fill>
    </dxf>
    <dxf>
      <font>
        <color theme="0"/>
        <family val="2"/>
      </font>
      <fill>
        <patternFill>
          <fgColor theme="4" tint="-0.499984740745262"/>
        </patternFill>
      </fill>
    </dxf>
    <dxf>
      <alignment vertical="top"/>
    </dxf>
    <dxf>
      <alignment wrapText="1"/>
    </dxf>
    <dxf>
      <fill>
        <patternFill>
          <fgColor indexed="64"/>
          <bgColor theme="4" tint="0.79998168889431442"/>
        </patternFill>
      </fill>
    </dxf>
    <dxf>
      <fill>
        <patternFill>
          <fgColor theme="4" tint="0.79998168889431442"/>
        </patternFill>
      </fill>
    </dxf>
    <dxf>
      <alignment horizontal="left"/>
    </dxf>
    <dxf>
      <alignment horizontal="left"/>
    </dxf>
    <dxf>
      <alignment vertical="top"/>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alignment vertical="center"/>
    </dxf>
    <dxf>
      <alignment horizontal="center"/>
    </dxf>
    <dxf>
      <alignment wrapText="1"/>
    </dxf>
    <dxf>
      <fill>
        <patternFill>
          <fgColor indexed="64"/>
          <bgColor theme="4" tint="0.79998168889431442"/>
        </patternFill>
      </fill>
    </dxf>
    <dxf>
      <fill>
        <patternFill>
          <fgColor theme="4" tint="0.79998168889431442"/>
        </patternFill>
      </fill>
      <alignment horizontal="left" vertical="top" wrapText="1"/>
    </dxf>
    <dxf>
      <fill>
        <patternFill>
          <fgColor indexed="64"/>
          <bgColor theme="4" tint="-0.499984740745262"/>
        </patternFill>
      </fill>
    </dxf>
    <dxf>
      <font>
        <color theme="0"/>
        <family val="2"/>
      </font>
      <fill>
        <patternFill>
          <fgColor theme="4" tint="-0.499984740745262"/>
        </patternFill>
      </fill>
    </dxf>
    <dxf>
      <alignment vertical="top"/>
    </dxf>
    <dxf>
      <alignment wrapText="1"/>
    </dxf>
    <dxf>
      <fill>
        <patternFill>
          <fgColor theme="4" tint="0.79998168889431442"/>
        </patternFill>
      </fill>
    </dxf>
    <dxf>
      <alignment horizontal="left"/>
    </dxf>
    <dxf>
      <alignment horizontal="left"/>
    </dxf>
    <dxf>
      <alignment vertical="top"/>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alignment vertical="center"/>
    </dxf>
    <dxf>
      <alignment horizontal="center"/>
    </dxf>
    <dxf>
      <alignment wrapText="1"/>
    </dxf>
    <dxf>
      <fill>
        <patternFill>
          <fgColor indexed="64"/>
          <bgColor theme="4" tint="0.79998168889431442"/>
        </patternFill>
      </fill>
    </dxf>
    <dxf>
      <fill>
        <patternFill>
          <fgColor theme="4" tint="0.79998168889431442"/>
        </patternFill>
      </fill>
      <alignment horizontal="left" vertical="top" wrapText="1"/>
    </dxf>
    <dxf>
      <font>
        <color theme="0"/>
        <family val="2"/>
      </font>
    </dxf>
    <dxf>
      <font>
        <b val="0"/>
        <i val="0"/>
        <strike val="0"/>
        <condense val="0"/>
        <extend val="0"/>
        <outline val="0"/>
        <shadow val="0"/>
        <u val="none"/>
        <vertAlign val="baseline"/>
        <sz val="11"/>
        <color theme="1"/>
        <name val="Calibri"/>
        <family val="2"/>
        <scheme val="minor"/>
      </font>
      <fill>
        <patternFill>
          <fgColor theme="0"/>
        </patternFill>
      </fill>
    </dxf>
    <dxf>
      <font>
        <color theme="0"/>
        <family val="2"/>
      </font>
    </dxf>
    <dxf>
      <fill>
        <patternFill>
          <bgColor theme="4" tint="-0.499984740745262"/>
        </patternFill>
      </fill>
    </dxf>
    <dxf>
      <alignment vertical="top"/>
    </dxf>
    <dxf>
      <alignment wrapText="1"/>
    </dxf>
    <dxf>
      <alignment wrapText="1"/>
    </dxf>
    <dxf>
      <alignment horizontal="left"/>
    </dxf>
    <dxf>
      <alignment horizontal="left"/>
    </dxf>
    <dxf>
      <alignment vertical="top"/>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alignment vertical="center"/>
    </dxf>
    <dxf>
      <alignment horizontal="center"/>
    </dxf>
    <dxf>
      <alignment wrapText="1"/>
    </dxf>
    <dxf>
      <fill>
        <patternFill>
          <fgColor indexed="64"/>
          <bgColor theme="4" tint="0.79998168889431442"/>
        </patternFill>
      </fill>
    </dxf>
    <dxf>
      <fill>
        <patternFill>
          <fgColor theme="4" tint="0.79998168889431442"/>
        </patternFill>
      </fill>
      <alignment horizontal="left" vertical="top" wrapText="1"/>
    </dxf>
    <dxf>
      <fill>
        <patternFill>
          <fgColor indexed="64"/>
          <bgColor theme="4" tint="-0.499984740745262"/>
        </patternFill>
      </fill>
    </dxf>
    <dxf>
      <font>
        <color theme="0"/>
        <family val="2"/>
      </font>
      <fill>
        <patternFill>
          <fgColor theme="4" tint="-0.499984740745262"/>
        </patternFill>
      </fill>
    </dxf>
    <dxf>
      <alignment vertical="top"/>
    </dxf>
    <dxf>
      <alignment wrapText="1"/>
    </dxf>
    <dxf>
      <fill>
        <patternFill>
          <fgColor indexed="64"/>
          <bgColor theme="4" tint="0.79998168889431442"/>
        </patternFill>
      </fill>
    </dxf>
    <dxf>
      <fill>
        <patternFill>
          <fgColor theme="4" tint="0.79998168889431442"/>
        </patternFill>
      </fill>
    </dxf>
    <dxf>
      <alignment horizontal="left"/>
    </dxf>
    <dxf>
      <alignment horizontal="left"/>
    </dxf>
    <dxf>
      <alignment vertical="top"/>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alignment vertical="center"/>
    </dxf>
    <dxf>
      <alignment horizontal="center"/>
    </dxf>
    <dxf>
      <alignment wrapText="1"/>
    </dxf>
    <dxf>
      <fill>
        <patternFill>
          <fgColor theme="8" tint="0.79998168889431442"/>
        </patternFill>
      </fill>
      <alignment vertical="top" wrapText="1"/>
    </dxf>
    <dxf>
      <fill>
        <patternFill>
          <fgColor indexed="64"/>
          <bgColor theme="8" tint="0.79998168889431442"/>
        </patternFill>
      </fill>
    </dxf>
    <dxf>
      <alignment horizontal="right"/>
    </dxf>
    <dxf>
      <fill>
        <patternFill>
          <fgColor theme="8" tint="0.79998168889431442"/>
        </patternFill>
      </fill>
      <alignment horizontal="left" vertical="top" wrapText="1"/>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4" formatCode="0.00%"/>
    </dxf>
    <dxf>
      <numFmt numFmtId="13" formatCode="0%"/>
    </dxf>
    <dxf>
      <numFmt numFmtId="2" formatCode="0.00"/>
    </dxf>
    <dxf>
      <alignment horizontal="right"/>
    </dxf>
    <dxf>
      <fill>
        <patternFill>
          <bgColor theme="8" tint="0.79998168889431442"/>
        </patternFill>
      </fill>
    </dxf>
    <dxf>
      <fill>
        <patternFill>
          <bgColor theme="8" tint="0.79998168889431442"/>
        </patternFill>
      </fill>
    </dxf>
    <dxf>
      <alignment wrapText="1"/>
    </dxf>
    <dxf>
      <alignment wrapText="1"/>
    </dxf>
    <dxf>
      <alignment horizontal="left"/>
    </dxf>
    <dxf>
      <alignment horizontal="left"/>
    </dxf>
    <dxf>
      <alignment vertical="top"/>
    </dxf>
    <dxf>
      <alignment vertical="top"/>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4" formatCode="0.00%"/>
    </dxf>
    <dxf>
      <numFmt numFmtId="13" formatCode="0%"/>
    </dxf>
    <dxf>
      <numFmt numFmtId="2" formatCode="0.00"/>
    </dxf>
    <dxf>
      <fill>
        <patternFill>
          <bgColor theme="4" tint="0.59999389629810485"/>
        </patternFill>
      </fill>
    </dxf>
    <dxf>
      <fill>
        <patternFill>
          <bgColor theme="4"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2" formatCode="0.00"/>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colors>
    <mruColors>
      <color rgb="FFFFFFCC"/>
      <color rgb="FFFF3300"/>
      <color rgb="FFFF5050"/>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5.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original estimates: unit costs and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Ratios_estimate_vs_actual!$B$16</c:f>
              <c:strCache>
                <c:ptCount val="1"/>
                <c:pt idx="0">
                  <c:v>Ratio unit cost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Ratios_estimate_vs_actual!$A$17:$A$22</c:f>
              <c:strCache>
                <c:ptCount val="6"/>
                <c:pt idx="0">
                  <c:v>Sub-Saharan Africa</c:v>
                </c:pt>
                <c:pt idx="1">
                  <c:v>Latin America and Caribbean</c:v>
                </c:pt>
                <c:pt idx="2">
                  <c:v>South Asia</c:v>
                </c:pt>
                <c:pt idx="3">
                  <c:v>East Asia and Pacific</c:v>
                </c:pt>
                <c:pt idx="4">
                  <c:v>Middle East and North Africa</c:v>
                </c:pt>
                <c:pt idx="5">
                  <c:v>Europe and Central Asia</c:v>
                </c:pt>
              </c:strCache>
            </c:strRef>
          </c:cat>
          <c:val>
            <c:numRef>
              <c:f>Ratios_estimate_vs_actual!$B$17:$B$22</c:f>
              <c:numCache>
                <c:formatCode>0%</c:formatCode>
                <c:ptCount val="6"/>
                <c:pt idx="0">
                  <c:v>0.82868683553663391</c:v>
                </c:pt>
                <c:pt idx="1">
                  <c:v>0.81386033795535462</c:v>
                </c:pt>
                <c:pt idx="2">
                  <c:v>0.40679800598947424</c:v>
                </c:pt>
                <c:pt idx="3">
                  <c:v>0.38255690784311969</c:v>
                </c:pt>
                <c:pt idx="4">
                  <c:v>0.31674619665943937</c:v>
                </c:pt>
                <c:pt idx="5">
                  <c:v>0.16466861274446254</c:v>
                </c:pt>
              </c:numCache>
            </c:numRef>
          </c:val>
          <c:extLst>
            <c:ext xmlns:c16="http://schemas.microsoft.com/office/drawing/2014/chart" uri="{C3380CC4-5D6E-409C-BE32-E72D297353CC}">
              <c16:uniqueId val="{00000001-414C-4288-8F73-B1549DFAA177}"/>
            </c:ext>
          </c:extLst>
        </c:ser>
        <c:ser>
          <c:idx val="0"/>
          <c:order val="1"/>
          <c:tx>
            <c:strRef>
              <c:f>Ratios_estimate_vs_actual!$C$16</c:f>
              <c:strCache>
                <c:ptCount val="1"/>
                <c:pt idx="0">
                  <c:v>Ratio length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Ratios_estimate_vs_actual!$A$17:$A$22</c:f>
              <c:strCache>
                <c:ptCount val="6"/>
                <c:pt idx="0">
                  <c:v>Sub-Saharan Africa</c:v>
                </c:pt>
                <c:pt idx="1">
                  <c:v>Latin America and Caribbean</c:v>
                </c:pt>
                <c:pt idx="2">
                  <c:v>South Asia</c:v>
                </c:pt>
                <c:pt idx="3">
                  <c:v>East Asia and Pacific</c:v>
                </c:pt>
                <c:pt idx="4">
                  <c:v>Middle East and North Africa</c:v>
                </c:pt>
                <c:pt idx="5">
                  <c:v>Europe and Central Asia</c:v>
                </c:pt>
              </c:strCache>
            </c:strRef>
          </c:cat>
          <c:val>
            <c:numRef>
              <c:f>Ratios_estimate_vs_actual!$C$17:$C$22</c:f>
              <c:numCache>
                <c:formatCode>0%</c:formatCode>
                <c:ptCount val="6"/>
                <c:pt idx="0">
                  <c:v>-5.8736981018476575E-2</c:v>
                </c:pt>
                <c:pt idx="1">
                  <c:v>-2.5795800065556596E-2</c:v>
                </c:pt>
                <c:pt idx="2">
                  <c:v>2.7193978616540049E-2</c:v>
                </c:pt>
                <c:pt idx="3">
                  <c:v>8.7189421040640314E-2</c:v>
                </c:pt>
                <c:pt idx="4">
                  <c:v>-2.0240992113295886E-2</c:v>
                </c:pt>
                <c:pt idx="5">
                  <c:v>1.6054171490641034E-2</c:v>
                </c:pt>
              </c:numCache>
            </c:numRef>
          </c:val>
          <c:extLst>
            <c:ext xmlns:c16="http://schemas.microsoft.com/office/drawing/2014/chart" uri="{C3380CC4-5D6E-409C-BE32-E72D297353CC}">
              <c16:uniqueId val="{00000000-414C-4288-8F73-B1549DFAA177}"/>
            </c:ext>
          </c:extLst>
        </c:ser>
        <c:dLbls>
          <c:showLegendKey val="0"/>
          <c:showVal val="0"/>
          <c:showCatName val="0"/>
          <c:showSerName val="0"/>
          <c:showPercent val="0"/>
          <c:showBubbleSize val="0"/>
        </c:dLbls>
        <c:gapWidth val="219"/>
        <c:overlap val="-27"/>
        <c:axId val="2060961088"/>
        <c:axId val="1992710976"/>
      </c:barChart>
      <c:catAx>
        <c:axId val="2060961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710976"/>
        <c:crossesAt val="0"/>
        <c:auto val="1"/>
        <c:lblAlgn val="ctr"/>
        <c:lblOffset val="100"/>
        <c:noMultiLvlLbl val="0"/>
      </c:catAx>
      <c:valAx>
        <c:axId val="1992710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961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[ROCKS__update_Website. October18_Final.xlsx]Ratios_outliers_per_region!PivotTable8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baseline="0">
                <a:effectLst/>
              </a:rPr>
              <a:t>Share of outlying projects (unit costs)</a:t>
            </a:r>
            <a:endParaRPr lang="en-US" sz="1400" b="1">
              <a:effectLst/>
            </a:endParaRPr>
          </a:p>
        </c:rich>
      </c:tx>
      <c:layout>
        <c:manualLayout>
          <c:xMode val="edge"/>
          <c:yMode val="edge"/>
          <c:x val="0.32466521640207463"/>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6.3669755509906473E-2"/>
          <c:y val="9.2911766388139486E-2"/>
          <c:w val="0.9132950083286312"/>
          <c:h val="0.68447521689094681"/>
        </c:manualLayout>
      </c:layout>
      <c:barChart>
        <c:barDir val="col"/>
        <c:grouping val="clustered"/>
        <c:varyColors val="0"/>
        <c:ser>
          <c:idx val="0"/>
          <c:order val="0"/>
          <c:tx>
            <c:strRef>
              <c:f>Ratios_outliers_per_region!$B$16</c:f>
              <c:strCache>
                <c:ptCount val="1"/>
                <c:pt idx="0">
                  <c:v>Average of cost_outlier_over</c:v>
                </c:pt>
              </c:strCache>
            </c:strRef>
          </c:tx>
          <c:spPr>
            <a:solidFill>
              <a:schemeClr val="accent1"/>
            </a:solidFill>
            <a:ln>
              <a:noFill/>
            </a:ln>
            <a:effectLst/>
          </c:spPr>
          <c:invertIfNegative val="0"/>
          <c:cat>
            <c:strRef>
              <c:f>Ratios_outliers_per_region!$A$17:$A$23</c:f>
              <c:strCache>
                <c:ptCount val="6"/>
                <c:pt idx="0">
                  <c:v>East Asia and Pacific</c:v>
                </c:pt>
                <c:pt idx="1">
                  <c:v>Europe and Central Asia</c:v>
                </c:pt>
                <c:pt idx="2">
                  <c:v>Latin America and Caribbean</c:v>
                </c:pt>
                <c:pt idx="3">
                  <c:v>Middle East and North Africa</c:v>
                </c:pt>
                <c:pt idx="4">
                  <c:v>South Asia</c:v>
                </c:pt>
                <c:pt idx="5">
                  <c:v>Sub-Saharan Africa</c:v>
                </c:pt>
              </c:strCache>
            </c:strRef>
          </c:cat>
          <c:val>
            <c:numRef>
              <c:f>Ratios_outliers_per_region!$B$17:$B$23</c:f>
              <c:numCache>
                <c:formatCode>0%</c:formatCode>
                <c:ptCount val="6"/>
                <c:pt idx="0">
                  <c:v>0.26470588235294118</c:v>
                </c:pt>
                <c:pt idx="1">
                  <c:v>0.16455696202531644</c:v>
                </c:pt>
                <c:pt idx="2">
                  <c:v>0.42424242424242425</c:v>
                </c:pt>
                <c:pt idx="3">
                  <c:v>0.21052631578947367</c:v>
                </c:pt>
                <c:pt idx="4">
                  <c:v>0.24675324675324675</c:v>
                </c:pt>
                <c:pt idx="5">
                  <c:v>0.46938775510204084</c:v>
                </c:pt>
              </c:numCache>
            </c:numRef>
          </c:val>
          <c:extLst>
            <c:ext xmlns:c16="http://schemas.microsoft.com/office/drawing/2014/chart" uri="{C3380CC4-5D6E-409C-BE32-E72D297353CC}">
              <c16:uniqueId val="{00000002-A92C-4C1D-B219-9351904ECC21}"/>
            </c:ext>
          </c:extLst>
        </c:ser>
        <c:ser>
          <c:idx val="1"/>
          <c:order val="1"/>
          <c:tx>
            <c:strRef>
              <c:f>Ratios_outliers_per_region!$C$16</c:f>
              <c:strCache>
                <c:ptCount val="1"/>
                <c:pt idx="0">
                  <c:v>Average of cost_outlier_under</c:v>
                </c:pt>
              </c:strCache>
            </c:strRef>
          </c:tx>
          <c:spPr>
            <a:solidFill>
              <a:schemeClr val="accent2"/>
            </a:solidFill>
            <a:ln>
              <a:noFill/>
            </a:ln>
            <a:effectLst/>
          </c:spPr>
          <c:invertIfNegative val="0"/>
          <c:cat>
            <c:strRef>
              <c:f>Ratios_outliers_per_region!$A$17:$A$23</c:f>
              <c:strCache>
                <c:ptCount val="6"/>
                <c:pt idx="0">
                  <c:v>East Asia and Pacific</c:v>
                </c:pt>
                <c:pt idx="1">
                  <c:v>Europe and Central Asia</c:v>
                </c:pt>
                <c:pt idx="2">
                  <c:v>Latin America and Caribbean</c:v>
                </c:pt>
                <c:pt idx="3">
                  <c:v>Middle East and North Africa</c:v>
                </c:pt>
                <c:pt idx="4">
                  <c:v>South Asia</c:v>
                </c:pt>
                <c:pt idx="5">
                  <c:v>Sub-Saharan Africa</c:v>
                </c:pt>
              </c:strCache>
            </c:strRef>
          </c:cat>
          <c:val>
            <c:numRef>
              <c:f>Ratios_outliers_per_region!$C$17:$C$23</c:f>
              <c:numCache>
                <c:formatCode>0%</c:formatCode>
                <c:ptCount val="6"/>
                <c:pt idx="0">
                  <c:v>2.3529411764705882E-2</c:v>
                </c:pt>
                <c:pt idx="1">
                  <c:v>1.2658227848101266E-2</c:v>
                </c:pt>
                <c:pt idx="2">
                  <c:v>5.0505050505050504E-2</c:v>
                </c:pt>
                <c:pt idx="3">
                  <c:v>0</c:v>
                </c:pt>
                <c:pt idx="4">
                  <c:v>2.5974025974025976E-2</c:v>
                </c:pt>
                <c:pt idx="5">
                  <c:v>5.1020408163265307E-2</c:v>
                </c:pt>
              </c:numCache>
            </c:numRef>
          </c:val>
          <c:extLst>
            <c:ext xmlns:c16="http://schemas.microsoft.com/office/drawing/2014/chart" uri="{C3380CC4-5D6E-409C-BE32-E72D297353CC}">
              <c16:uniqueId val="{00000003-A92C-4C1D-B219-9351904ECC21}"/>
            </c:ext>
          </c:extLst>
        </c:ser>
        <c:dLbls>
          <c:showLegendKey val="0"/>
          <c:showVal val="0"/>
          <c:showCatName val="0"/>
          <c:showSerName val="0"/>
          <c:showPercent val="0"/>
          <c:showBubbleSize val="0"/>
        </c:dLbls>
        <c:gapWidth val="219"/>
        <c:overlap val="-27"/>
        <c:axId val="2060961088"/>
        <c:axId val="1992710976"/>
      </c:barChart>
      <c:catAx>
        <c:axId val="2060961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92710976"/>
        <c:crossesAt val="0"/>
        <c:auto val="1"/>
        <c:lblAlgn val="ctr"/>
        <c:lblOffset val="100"/>
        <c:noMultiLvlLbl val="0"/>
      </c:catAx>
      <c:valAx>
        <c:axId val="1992710976"/>
        <c:scaling>
          <c:orientation val="minMax"/>
          <c:max val="0.52"/>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961088"/>
        <c:crosses val="autoZero"/>
        <c:crossBetween val="between"/>
      </c:valAx>
      <c:spPr>
        <a:noFill/>
        <a:ln>
          <a:noFill/>
        </a:ln>
        <a:effectLst/>
      </c:spPr>
    </c:plotArea>
    <c:legend>
      <c:legendPos val="b"/>
      <c:layout>
        <c:manualLayout>
          <c:xMode val="edge"/>
          <c:yMode val="edge"/>
          <c:x val="0.10544624076559111"/>
          <c:y val="0.91734891001275409"/>
          <c:w val="0.56343998471312162"/>
          <c:h val="8.2650981513927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[ROCKS__update_Website. October18_Final.xlsx]Ratios_outliers_per_region!PivotTable6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Share of</a:t>
            </a:r>
            <a:r>
              <a:rPr lang="en-US" b="1" baseline="0"/>
              <a:t> outlying projects (length)</a:t>
            </a:r>
            <a:endParaRPr lang="en-US" b="1"/>
          </a:p>
        </c:rich>
      </c:tx>
      <c:layout>
        <c:manualLayout>
          <c:xMode val="edge"/>
          <c:yMode val="edge"/>
          <c:x val="0.3248124465760200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6.3681505558750448E-2"/>
          <c:y val="0.12381674599712969"/>
          <c:w val="0.91327900720095301"/>
          <c:h val="0.61271261411048716"/>
        </c:manualLayout>
      </c:layout>
      <c:barChart>
        <c:barDir val="col"/>
        <c:grouping val="clustered"/>
        <c:varyColors val="0"/>
        <c:ser>
          <c:idx val="0"/>
          <c:order val="0"/>
          <c:tx>
            <c:strRef>
              <c:f>Ratios_outliers_per_region!$B$4</c:f>
              <c:strCache>
                <c:ptCount val="1"/>
                <c:pt idx="0">
                  <c:v>Average of Length_outlier_over</c:v>
                </c:pt>
              </c:strCache>
            </c:strRef>
          </c:tx>
          <c:spPr>
            <a:solidFill>
              <a:schemeClr val="accent1"/>
            </a:solidFill>
            <a:ln>
              <a:noFill/>
            </a:ln>
            <a:effectLst/>
          </c:spPr>
          <c:invertIfNegative val="0"/>
          <c:cat>
            <c:strRef>
              <c:f>Ratios_outliers_per_region!$A$5:$A$11</c:f>
              <c:strCache>
                <c:ptCount val="6"/>
                <c:pt idx="0">
                  <c:v>East Asia and Pacific</c:v>
                </c:pt>
                <c:pt idx="1">
                  <c:v>Europe and Central Asia</c:v>
                </c:pt>
                <c:pt idx="2">
                  <c:v>Latin America and Caribbean</c:v>
                </c:pt>
                <c:pt idx="3">
                  <c:v>Middle East and North Africa</c:v>
                </c:pt>
                <c:pt idx="4">
                  <c:v>South Asia</c:v>
                </c:pt>
                <c:pt idx="5">
                  <c:v>Sub-Saharan Africa</c:v>
                </c:pt>
              </c:strCache>
            </c:strRef>
          </c:cat>
          <c:val>
            <c:numRef>
              <c:f>Ratios_outliers_per_region!$B$5:$B$11</c:f>
              <c:numCache>
                <c:formatCode>0%</c:formatCode>
                <c:ptCount val="6"/>
                <c:pt idx="0">
                  <c:v>0.1</c:v>
                </c:pt>
                <c:pt idx="1">
                  <c:v>2.5316455696202531E-2</c:v>
                </c:pt>
                <c:pt idx="2">
                  <c:v>5.0505050505050504E-2</c:v>
                </c:pt>
                <c:pt idx="3">
                  <c:v>0</c:v>
                </c:pt>
                <c:pt idx="4">
                  <c:v>7.792207792207792E-2</c:v>
                </c:pt>
                <c:pt idx="5">
                  <c:v>3.0612244897959183E-2</c:v>
                </c:pt>
              </c:numCache>
            </c:numRef>
          </c:val>
          <c:extLst>
            <c:ext xmlns:c16="http://schemas.microsoft.com/office/drawing/2014/chart" uri="{C3380CC4-5D6E-409C-BE32-E72D297353CC}">
              <c16:uniqueId val="{00000002-60D1-44B4-9618-FC568F149A15}"/>
            </c:ext>
          </c:extLst>
        </c:ser>
        <c:ser>
          <c:idx val="1"/>
          <c:order val="1"/>
          <c:tx>
            <c:strRef>
              <c:f>Ratios_outliers_per_region!$C$4</c:f>
              <c:strCache>
                <c:ptCount val="1"/>
                <c:pt idx="0">
                  <c:v>Average of Length_outlier_under</c:v>
                </c:pt>
              </c:strCache>
            </c:strRef>
          </c:tx>
          <c:spPr>
            <a:solidFill>
              <a:schemeClr val="accent2"/>
            </a:solidFill>
            <a:ln>
              <a:noFill/>
            </a:ln>
            <a:effectLst/>
          </c:spPr>
          <c:invertIfNegative val="0"/>
          <c:cat>
            <c:strRef>
              <c:f>Ratios_outliers_per_region!$A$5:$A$11</c:f>
              <c:strCache>
                <c:ptCount val="6"/>
                <c:pt idx="0">
                  <c:v>East Asia and Pacific</c:v>
                </c:pt>
                <c:pt idx="1">
                  <c:v>Europe and Central Asia</c:v>
                </c:pt>
                <c:pt idx="2">
                  <c:v>Latin America and Caribbean</c:v>
                </c:pt>
                <c:pt idx="3">
                  <c:v>Middle East and North Africa</c:v>
                </c:pt>
                <c:pt idx="4">
                  <c:v>South Asia</c:v>
                </c:pt>
                <c:pt idx="5">
                  <c:v>Sub-Saharan Africa</c:v>
                </c:pt>
              </c:strCache>
            </c:strRef>
          </c:cat>
          <c:val>
            <c:numRef>
              <c:f>Ratios_outliers_per_region!$C$5:$C$11</c:f>
              <c:numCache>
                <c:formatCode>0%</c:formatCode>
                <c:ptCount val="6"/>
                <c:pt idx="0">
                  <c:v>5.8823529411764705E-2</c:v>
                </c:pt>
                <c:pt idx="1">
                  <c:v>3.7974683544303799E-2</c:v>
                </c:pt>
                <c:pt idx="2">
                  <c:v>9.0909090909090912E-2</c:v>
                </c:pt>
                <c:pt idx="3">
                  <c:v>2.6315789473684209E-2</c:v>
                </c:pt>
                <c:pt idx="4">
                  <c:v>3.896103896103896E-2</c:v>
                </c:pt>
                <c:pt idx="5">
                  <c:v>0.10204081632653061</c:v>
                </c:pt>
              </c:numCache>
            </c:numRef>
          </c:val>
          <c:extLst>
            <c:ext xmlns:c16="http://schemas.microsoft.com/office/drawing/2014/chart" uri="{C3380CC4-5D6E-409C-BE32-E72D297353CC}">
              <c16:uniqueId val="{00000003-60D1-44B4-9618-FC568F149A15}"/>
            </c:ext>
          </c:extLst>
        </c:ser>
        <c:dLbls>
          <c:showLegendKey val="0"/>
          <c:showVal val="0"/>
          <c:showCatName val="0"/>
          <c:showSerName val="0"/>
          <c:showPercent val="0"/>
          <c:showBubbleSize val="0"/>
        </c:dLbls>
        <c:gapWidth val="219"/>
        <c:overlap val="-27"/>
        <c:axId val="2060961088"/>
        <c:axId val="1992710976"/>
      </c:barChart>
      <c:catAx>
        <c:axId val="2060961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92710976"/>
        <c:crossesAt val="0"/>
        <c:auto val="1"/>
        <c:lblAlgn val="ctr"/>
        <c:lblOffset val="100"/>
        <c:noMultiLvlLbl val="0"/>
      </c:catAx>
      <c:valAx>
        <c:axId val="1992710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961088"/>
        <c:crosses val="autoZero"/>
        <c:crossBetween val="between"/>
      </c:valAx>
      <c:spPr>
        <a:noFill/>
        <a:ln>
          <a:noFill/>
        </a:ln>
        <a:effectLst/>
      </c:spPr>
    </c:plotArea>
    <c:legend>
      <c:legendPos val="b"/>
      <c:layout>
        <c:manualLayout>
          <c:xMode val="edge"/>
          <c:yMode val="edge"/>
          <c:x val="0.20107086601511526"/>
          <c:y val="0.91035798602898521"/>
          <c:w val="0.60841526361066733"/>
          <c:h val="8.879537968470221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Lengt</a:t>
            </a:r>
            <a:r>
              <a:rPr lang="en-US" baseline="0"/>
              <a:t>h significantly over estimate: causes identified</a:t>
            </a:r>
            <a:endParaRPr lang="en-US"/>
          </a:p>
        </c:rich>
      </c:tx>
      <c:layout>
        <c:manualLayout>
          <c:xMode val="edge"/>
          <c:yMode val="edge"/>
          <c:x val="0.19079851997666961"/>
          <c:y val="1.87353303237873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83390398422324"/>
          <c:y val="0.15921702959644254"/>
          <c:w val="0.68843882845735771"/>
          <c:h val="0.7296136121055925"/>
        </c:manualLayout>
      </c:layout>
      <c:barChart>
        <c:barDir val="bar"/>
        <c:grouping val="clustered"/>
        <c:varyColors val="0"/>
        <c:ser>
          <c:idx val="0"/>
          <c:order val="0"/>
          <c:spPr>
            <a:solidFill>
              <a:schemeClr val="accent1"/>
            </a:solidFill>
            <a:ln>
              <a:noFill/>
            </a:ln>
            <a:effectLst/>
          </c:spPr>
          <c:invertIfNegative val="0"/>
          <c:cat>
            <c:strRef>
              <c:f>Outliers_by_type!$A$11:$A$20</c:f>
              <c:strCache>
                <c:ptCount val="10"/>
                <c:pt idx="0">
                  <c:v>Change of project scope</c:v>
                </c:pt>
                <c:pt idx="1">
                  <c:v>Quality of estimates</c:v>
                </c:pt>
                <c:pt idx="2">
                  <c:v>Macroeconomic conditions</c:v>
                </c:pt>
                <c:pt idx="3">
                  <c:v>Capacity of counterpart</c:v>
                </c:pt>
                <c:pt idx="4">
                  <c:v>Weather shocks</c:v>
                </c:pt>
                <c:pt idx="5">
                  <c:v>Procurement system</c:v>
                </c:pt>
                <c:pt idx="6">
                  <c:v>Capacity of contractors</c:v>
                </c:pt>
                <c:pt idx="7">
                  <c:v>Political events</c:v>
                </c:pt>
                <c:pt idx="8">
                  <c:v>Competition</c:v>
                </c:pt>
                <c:pt idx="9">
                  <c:v>Administrative processes</c:v>
                </c:pt>
              </c:strCache>
            </c:strRef>
          </c:cat>
          <c:val>
            <c:numRef>
              <c:f>Outliers_by_type!$C$11:$C$20</c:f>
              <c:numCache>
                <c:formatCode>General</c:formatCode>
                <c:ptCount val="10"/>
                <c:pt idx="0">
                  <c:v>26</c:v>
                </c:pt>
                <c:pt idx="1">
                  <c:v>8</c:v>
                </c:pt>
                <c:pt idx="2">
                  <c:v>5</c:v>
                </c:pt>
                <c:pt idx="3">
                  <c:v>5</c:v>
                </c:pt>
                <c:pt idx="4">
                  <c:v>2</c:v>
                </c:pt>
                <c:pt idx="5">
                  <c:v>2</c:v>
                </c:pt>
                <c:pt idx="6">
                  <c:v>1</c:v>
                </c:pt>
                <c:pt idx="7">
                  <c:v>1</c:v>
                </c:pt>
                <c:pt idx="8">
                  <c:v>0</c:v>
                </c:pt>
                <c:pt idx="9">
                  <c:v>0</c:v>
                </c:pt>
              </c:numCache>
            </c:numRef>
          </c:val>
          <c:extLst>
            <c:ext xmlns:c16="http://schemas.microsoft.com/office/drawing/2014/chart" uri="{C3380CC4-5D6E-409C-BE32-E72D297353CC}">
              <c16:uniqueId val="{00000000-2C3E-4A04-B78B-4164B19D588C}"/>
            </c:ext>
          </c:extLst>
        </c:ser>
        <c:dLbls>
          <c:showLegendKey val="0"/>
          <c:showVal val="0"/>
          <c:showCatName val="0"/>
          <c:showSerName val="0"/>
          <c:showPercent val="0"/>
          <c:showBubbleSize val="0"/>
        </c:dLbls>
        <c:gapWidth val="182"/>
        <c:axId val="1637618671"/>
        <c:axId val="1518772687"/>
      </c:barChart>
      <c:catAx>
        <c:axId val="163761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72687"/>
        <c:crosses val="autoZero"/>
        <c:auto val="1"/>
        <c:lblAlgn val="ctr"/>
        <c:lblOffset val="100"/>
        <c:noMultiLvlLbl val="0"/>
      </c:catAx>
      <c:valAx>
        <c:axId val="151877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1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Lengt</a:t>
            </a:r>
            <a:r>
              <a:rPr lang="en-US" baseline="0"/>
              <a:t>h significantly under estimate : causes identified</a:t>
            </a:r>
            <a:endParaRPr lang="en-US"/>
          </a:p>
        </c:rich>
      </c:tx>
      <c:layout>
        <c:manualLayout>
          <c:xMode val="edge"/>
          <c:yMode val="edge"/>
          <c:x val="0.15787187705992994"/>
          <c:y val="5.94581628360011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820500344300758"/>
          <c:y val="0.15921702959644254"/>
          <c:w val="0.68132180409897347"/>
          <c:h val="0.73833812198972881"/>
        </c:manualLayout>
      </c:layout>
      <c:barChart>
        <c:barDir val="bar"/>
        <c:grouping val="clustered"/>
        <c:varyColors val="0"/>
        <c:ser>
          <c:idx val="0"/>
          <c:order val="0"/>
          <c:spPr>
            <a:solidFill>
              <a:schemeClr val="accent1"/>
            </a:solidFill>
            <a:ln>
              <a:noFill/>
            </a:ln>
            <a:effectLst/>
          </c:spPr>
          <c:invertIfNegative val="0"/>
          <c:cat>
            <c:strRef>
              <c:f>Outliers_by_type!$N$11:$N$20</c:f>
              <c:strCache>
                <c:ptCount val="10"/>
                <c:pt idx="0">
                  <c:v>Change of project scope</c:v>
                </c:pt>
                <c:pt idx="1">
                  <c:v>Capacity of counterpart</c:v>
                </c:pt>
                <c:pt idx="2">
                  <c:v>Macroeconomic conditions</c:v>
                </c:pt>
                <c:pt idx="3">
                  <c:v>Quality of estimates</c:v>
                </c:pt>
                <c:pt idx="4">
                  <c:v>Political events</c:v>
                </c:pt>
                <c:pt idx="5">
                  <c:v>Procurement system</c:v>
                </c:pt>
                <c:pt idx="6">
                  <c:v>Weather shocks</c:v>
                </c:pt>
                <c:pt idx="7">
                  <c:v>Administrative processes</c:v>
                </c:pt>
                <c:pt idx="8">
                  <c:v>Competition</c:v>
                </c:pt>
                <c:pt idx="9">
                  <c:v>Capacity of contractors</c:v>
                </c:pt>
              </c:strCache>
            </c:strRef>
          </c:cat>
          <c:val>
            <c:numRef>
              <c:f>Outliers_by_type!$P$11:$P$20</c:f>
              <c:numCache>
                <c:formatCode>General</c:formatCode>
                <c:ptCount val="10"/>
                <c:pt idx="0">
                  <c:v>22</c:v>
                </c:pt>
                <c:pt idx="1">
                  <c:v>16</c:v>
                </c:pt>
                <c:pt idx="2">
                  <c:v>15</c:v>
                </c:pt>
                <c:pt idx="3">
                  <c:v>11</c:v>
                </c:pt>
                <c:pt idx="4">
                  <c:v>10</c:v>
                </c:pt>
                <c:pt idx="5">
                  <c:v>7</c:v>
                </c:pt>
                <c:pt idx="6">
                  <c:v>6</c:v>
                </c:pt>
                <c:pt idx="7">
                  <c:v>2</c:v>
                </c:pt>
                <c:pt idx="8">
                  <c:v>2</c:v>
                </c:pt>
                <c:pt idx="9">
                  <c:v>1</c:v>
                </c:pt>
              </c:numCache>
            </c:numRef>
          </c:val>
          <c:extLst>
            <c:ext xmlns:c16="http://schemas.microsoft.com/office/drawing/2014/chart" uri="{C3380CC4-5D6E-409C-BE32-E72D297353CC}">
              <c16:uniqueId val="{00000000-0D97-463D-852B-5DA7186F128E}"/>
            </c:ext>
          </c:extLst>
        </c:ser>
        <c:dLbls>
          <c:showLegendKey val="0"/>
          <c:showVal val="0"/>
          <c:showCatName val="0"/>
          <c:showSerName val="0"/>
          <c:showPercent val="0"/>
          <c:showBubbleSize val="0"/>
        </c:dLbls>
        <c:gapWidth val="182"/>
        <c:axId val="1637618671"/>
        <c:axId val="1518772687"/>
      </c:barChart>
      <c:catAx>
        <c:axId val="163761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72687"/>
        <c:crosses val="autoZero"/>
        <c:auto val="1"/>
        <c:lblAlgn val="ctr"/>
        <c:lblOffset val="100"/>
        <c:noMultiLvlLbl val="0"/>
      </c:catAx>
      <c:valAx>
        <c:axId val="151877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1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costs significantly</a:t>
            </a:r>
            <a:r>
              <a:rPr lang="en-US" baseline="0"/>
              <a:t> under estimate: causes identified</a:t>
            </a:r>
            <a:endParaRPr lang="en-US"/>
          </a:p>
        </c:rich>
      </c:tx>
      <c:layout>
        <c:manualLayout>
          <c:xMode val="edge"/>
          <c:yMode val="edge"/>
          <c:x val="0.12084815146944067"/>
          <c:y val="6.7118994267221577E-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83390398422324"/>
          <c:y val="0.15921702959644254"/>
          <c:w val="0.68843882845735771"/>
          <c:h val="0.7296136121055925"/>
        </c:manualLayout>
      </c:layout>
      <c:barChart>
        <c:barDir val="bar"/>
        <c:grouping val="clustered"/>
        <c:varyColors val="0"/>
        <c:ser>
          <c:idx val="0"/>
          <c:order val="0"/>
          <c:spPr>
            <a:solidFill>
              <a:schemeClr val="accent1"/>
            </a:solidFill>
            <a:ln>
              <a:noFill/>
            </a:ln>
            <a:effectLst/>
          </c:spPr>
          <c:invertIfNegative val="0"/>
          <c:cat>
            <c:strRef>
              <c:f>Outliers_by_type!$A$32:$A$41</c:f>
              <c:strCache>
                <c:ptCount val="10"/>
                <c:pt idx="0">
                  <c:v>Change of project scope</c:v>
                </c:pt>
                <c:pt idx="1">
                  <c:v>Quality of estimates</c:v>
                </c:pt>
                <c:pt idx="2">
                  <c:v>Macroeconomic conditions</c:v>
                </c:pt>
                <c:pt idx="3">
                  <c:v>Capacity of counterpart</c:v>
                </c:pt>
                <c:pt idx="4">
                  <c:v>Procurement system</c:v>
                </c:pt>
                <c:pt idx="5">
                  <c:v>Political events</c:v>
                </c:pt>
                <c:pt idx="6">
                  <c:v>Weather shocks</c:v>
                </c:pt>
                <c:pt idx="7">
                  <c:v>Administrative processes</c:v>
                </c:pt>
                <c:pt idx="8">
                  <c:v> Capacity of contractors</c:v>
                </c:pt>
                <c:pt idx="9">
                  <c:v>Competition</c:v>
                </c:pt>
              </c:strCache>
            </c:strRef>
          </c:cat>
          <c:val>
            <c:numRef>
              <c:f>Outliers_by_type!$C$32:$C$41</c:f>
              <c:numCache>
                <c:formatCode>General</c:formatCode>
                <c:ptCount val="10"/>
                <c:pt idx="0">
                  <c:v>10</c:v>
                </c:pt>
                <c:pt idx="1">
                  <c:v>7</c:v>
                </c:pt>
                <c:pt idx="2">
                  <c:v>3</c:v>
                </c:pt>
                <c:pt idx="3">
                  <c:v>2</c:v>
                </c:pt>
                <c:pt idx="4">
                  <c:v>2</c:v>
                </c:pt>
                <c:pt idx="5">
                  <c:v>1</c:v>
                </c:pt>
                <c:pt idx="6">
                  <c:v>1</c:v>
                </c:pt>
                <c:pt idx="7">
                  <c:v>0</c:v>
                </c:pt>
                <c:pt idx="8">
                  <c:v>0</c:v>
                </c:pt>
                <c:pt idx="9">
                  <c:v>0</c:v>
                </c:pt>
              </c:numCache>
            </c:numRef>
          </c:val>
          <c:extLst>
            <c:ext xmlns:c16="http://schemas.microsoft.com/office/drawing/2014/chart" uri="{C3380CC4-5D6E-409C-BE32-E72D297353CC}">
              <c16:uniqueId val="{00000000-0B00-4351-8078-222295F7BFA3}"/>
            </c:ext>
          </c:extLst>
        </c:ser>
        <c:dLbls>
          <c:showLegendKey val="0"/>
          <c:showVal val="0"/>
          <c:showCatName val="0"/>
          <c:showSerName val="0"/>
          <c:showPercent val="0"/>
          <c:showBubbleSize val="0"/>
        </c:dLbls>
        <c:gapWidth val="182"/>
        <c:axId val="1637618671"/>
        <c:axId val="1518772687"/>
      </c:barChart>
      <c:catAx>
        <c:axId val="163761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72687"/>
        <c:crosses val="autoZero"/>
        <c:auto val="1"/>
        <c:lblAlgn val="ctr"/>
        <c:lblOffset val="100"/>
        <c:noMultiLvlLbl val="0"/>
      </c:catAx>
      <c:valAx>
        <c:axId val="151877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1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costs significantly over estimate : causes identified</a:t>
            </a:r>
            <a:endParaRPr lang="en-US"/>
          </a:p>
        </c:rich>
      </c:tx>
      <c:layout>
        <c:manualLayout>
          <c:xMode val="edge"/>
          <c:yMode val="edge"/>
          <c:x val="0.14356131321302396"/>
          <c:y val="7.0775762493194194E-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820500344300758"/>
          <c:y val="0.15921702959644254"/>
          <c:w val="0.68132180409897347"/>
          <c:h val="0.73833812198972881"/>
        </c:manualLayout>
      </c:layout>
      <c:barChart>
        <c:barDir val="bar"/>
        <c:grouping val="clustered"/>
        <c:varyColors val="0"/>
        <c:ser>
          <c:idx val="0"/>
          <c:order val="0"/>
          <c:spPr>
            <a:solidFill>
              <a:schemeClr val="accent1"/>
            </a:solidFill>
            <a:ln>
              <a:noFill/>
            </a:ln>
            <a:effectLst/>
          </c:spPr>
          <c:invertIfNegative val="0"/>
          <c:cat>
            <c:strRef>
              <c:f>Outliers_by_type!$N$32:$N$41</c:f>
              <c:strCache>
                <c:ptCount val="10"/>
                <c:pt idx="0">
                  <c:v>Quality of estimates</c:v>
                </c:pt>
                <c:pt idx="1">
                  <c:v>Macroeconomic conditions</c:v>
                </c:pt>
                <c:pt idx="2">
                  <c:v>Capacity of counterpart</c:v>
                </c:pt>
                <c:pt idx="3">
                  <c:v>Change of project scope</c:v>
                </c:pt>
                <c:pt idx="4">
                  <c:v>Weather shocks</c:v>
                </c:pt>
                <c:pt idx="5">
                  <c:v>Political events</c:v>
                </c:pt>
                <c:pt idx="6">
                  <c:v>Procurement system</c:v>
                </c:pt>
                <c:pt idx="7">
                  <c:v>Competition</c:v>
                </c:pt>
                <c:pt idx="8">
                  <c:v>Capacity of contractors</c:v>
                </c:pt>
                <c:pt idx="9">
                  <c:v>Administrative processes</c:v>
                </c:pt>
              </c:strCache>
            </c:strRef>
          </c:cat>
          <c:val>
            <c:numRef>
              <c:f>Outliers_by_type!$P$32:$P$41</c:f>
              <c:numCache>
                <c:formatCode>General</c:formatCode>
                <c:ptCount val="10"/>
                <c:pt idx="0">
                  <c:v>86</c:v>
                </c:pt>
                <c:pt idx="1">
                  <c:v>75</c:v>
                </c:pt>
                <c:pt idx="2">
                  <c:v>59</c:v>
                </c:pt>
                <c:pt idx="3">
                  <c:v>46</c:v>
                </c:pt>
                <c:pt idx="4">
                  <c:v>41</c:v>
                </c:pt>
                <c:pt idx="5">
                  <c:v>33</c:v>
                </c:pt>
                <c:pt idx="6">
                  <c:v>20</c:v>
                </c:pt>
                <c:pt idx="7">
                  <c:v>11</c:v>
                </c:pt>
                <c:pt idx="8">
                  <c:v>5</c:v>
                </c:pt>
                <c:pt idx="9">
                  <c:v>3</c:v>
                </c:pt>
              </c:numCache>
            </c:numRef>
          </c:val>
          <c:extLst>
            <c:ext xmlns:c16="http://schemas.microsoft.com/office/drawing/2014/chart" uri="{C3380CC4-5D6E-409C-BE32-E72D297353CC}">
              <c16:uniqueId val="{00000000-396D-4182-B17E-8BF5741E0896}"/>
            </c:ext>
          </c:extLst>
        </c:ser>
        <c:dLbls>
          <c:showLegendKey val="0"/>
          <c:showVal val="0"/>
          <c:showCatName val="0"/>
          <c:showSerName val="0"/>
          <c:showPercent val="0"/>
          <c:showBubbleSize val="0"/>
        </c:dLbls>
        <c:gapWidth val="182"/>
        <c:axId val="1637618671"/>
        <c:axId val="1518772687"/>
      </c:barChart>
      <c:catAx>
        <c:axId val="163761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72687"/>
        <c:crosses val="autoZero"/>
        <c:auto val="1"/>
        <c:lblAlgn val="ctr"/>
        <c:lblOffset val="100"/>
        <c:noMultiLvlLbl val="0"/>
      </c:catAx>
      <c:valAx>
        <c:axId val="151877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61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Asphalt</a:t>
            </a:r>
            <a:r>
              <a:rPr lang="en-US" baseline="0"/>
              <a:t> mix resurfacing (actuals)</a:t>
            </a:r>
            <a:endParaRPr lang="en-US"/>
          </a:p>
        </c:rich>
      </c:tx>
      <c:layout>
        <c:manualLayout>
          <c:xMode val="edge"/>
          <c:yMode val="edge"/>
          <c:x val="0.3596926960415934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13033407523858"/>
          <c:y val="9.2769230769230757E-2"/>
          <c:w val="0.78906934578662935"/>
          <c:h val="0.67103371693922886"/>
        </c:manualLayout>
      </c:layout>
      <c:barChart>
        <c:barDir val="col"/>
        <c:grouping val="clustered"/>
        <c:varyColors val="0"/>
        <c:ser>
          <c:idx val="1"/>
          <c:order val="1"/>
          <c:tx>
            <c:strRef>
              <c:f>Unit_costs_per_region!$J$5</c:f>
              <c:strCache>
                <c:ptCount val="1"/>
                <c:pt idx="0">
                  <c:v>Actual avrg unit costs (M/km)</c:v>
                </c:pt>
              </c:strCache>
            </c:strRef>
          </c:tx>
          <c:spPr>
            <a:solidFill>
              <a:schemeClr val="accent2"/>
            </a:solidFill>
            <a:ln>
              <a:noFill/>
            </a:ln>
            <a:effectLst/>
          </c:spPr>
          <c:invertIfNegative val="0"/>
          <c:cat>
            <c:strRef>
              <c:f>Unit_costs_per_region!$H$6:$H$11</c:f>
              <c:strCache>
                <c:ptCount val="6"/>
                <c:pt idx="0">
                  <c:v>Europe and Central Asia</c:v>
                </c:pt>
                <c:pt idx="1">
                  <c:v>Sub-Saharan Africa</c:v>
                </c:pt>
                <c:pt idx="2">
                  <c:v>South Asia</c:v>
                </c:pt>
                <c:pt idx="3">
                  <c:v>East Asia and Pacific</c:v>
                </c:pt>
                <c:pt idx="4">
                  <c:v>Latin America and Caribbean</c:v>
                </c:pt>
                <c:pt idx="5">
                  <c:v>Middle East and North Africa</c:v>
                </c:pt>
              </c:strCache>
            </c:strRef>
          </c:cat>
          <c:val>
            <c:numRef>
              <c:f>Unit_costs_per_region!$J$6:$J$11</c:f>
              <c:numCache>
                <c:formatCode>#,##0.00</c:formatCode>
                <c:ptCount val="6"/>
                <c:pt idx="0">
                  <c:v>0.24712932244978356</c:v>
                </c:pt>
                <c:pt idx="1">
                  <c:v>0.20807236468864745</c:v>
                </c:pt>
                <c:pt idx="2">
                  <c:v>0.1001499615625461</c:v>
                </c:pt>
                <c:pt idx="3">
                  <c:v>7.0584346115626043E-2</c:v>
                </c:pt>
                <c:pt idx="4">
                  <c:v>7.0574463219268024E-2</c:v>
                </c:pt>
                <c:pt idx="5">
                  <c:v>3.3522727272727273E-2</c:v>
                </c:pt>
              </c:numCache>
            </c:numRef>
          </c:val>
          <c:extLst>
            <c:ext xmlns:c16="http://schemas.microsoft.com/office/drawing/2014/chart" uri="{C3380CC4-5D6E-409C-BE32-E72D297353CC}">
              <c16:uniqueId val="{00000000-3B77-4738-88E0-2B4B098C1EAB}"/>
            </c:ext>
          </c:extLst>
        </c:ser>
        <c:dLbls>
          <c:showLegendKey val="0"/>
          <c:showVal val="0"/>
          <c:showCatName val="0"/>
          <c:showSerName val="0"/>
          <c:showPercent val="0"/>
          <c:showBubbleSize val="0"/>
        </c:dLbls>
        <c:gapWidth val="219"/>
        <c:overlap val="-22"/>
        <c:axId val="1589706175"/>
        <c:axId val="1732321919"/>
      </c:barChart>
      <c:lineChart>
        <c:grouping val="standard"/>
        <c:varyColors val="0"/>
        <c:ser>
          <c:idx val="0"/>
          <c:order val="0"/>
          <c:tx>
            <c:strRef>
              <c:f>Unit_costs_per_region!$K$5</c:f>
              <c:strCache>
                <c:ptCount val="1"/>
                <c:pt idx="0">
                  <c:v>Average of Length (km)</c:v>
                </c:pt>
              </c:strCache>
            </c:strRef>
          </c:tx>
          <c:spPr>
            <a:ln w="28575" cap="rnd">
              <a:noFill/>
              <a:round/>
            </a:ln>
            <a:effectLst/>
          </c:spPr>
          <c:marker>
            <c:symbol val="square"/>
            <c:size val="7"/>
            <c:spPr>
              <a:solidFill>
                <a:schemeClr val="tx1"/>
              </a:solidFill>
              <a:ln w="9525">
                <a:solidFill>
                  <a:schemeClr val="accent1"/>
                </a:solidFill>
              </a:ln>
              <a:effectLst/>
            </c:spPr>
          </c:marker>
          <c:cat>
            <c:strRef>
              <c:f>Unit_costs_per_region!$H$6:$H$11</c:f>
              <c:strCache>
                <c:ptCount val="6"/>
                <c:pt idx="0">
                  <c:v>Europe and Central Asia</c:v>
                </c:pt>
                <c:pt idx="1">
                  <c:v>Sub-Saharan Africa</c:v>
                </c:pt>
                <c:pt idx="2">
                  <c:v>South Asia</c:v>
                </c:pt>
                <c:pt idx="3">
                  <c:v>East Asia and Pacific</c:v>
                </c:pt>
                <c:pt idx="4">
                  <c:v>Latin America and Caribbean</c:v>
                </c:pt>
                <c:pt idx="5">
                  <c:v>Middle East and North Africa</c:v>
                </c:pt>
              </c:strCache>
            </c:strRef>
          </c:cat>
          <c:val>
            <c:numRef>
              <c:f>Unit_costs_per_region!$K$6:$K$11</c:f>
              <c:numCache>
                <c:formatCode>#,##0.00</c:formatCode>
                <c:ptCount val="6"/>
                <c:pt idx="0">
                  <c:v>166.39000000000001</c:v>
                </c:pt>
                <c:pt idx="1">
                  <c:v>182.16923076923075</c:v>
                </c:pt>
                <c:pt idx="2">
                  <c:v>1609</c:v>
                </c:pt>
                <c:pt idx="3">
                  <c:v>237.84705882352938</c:v>
                </c:pt>
                <c:pt idx="4">
                  <c:v>212.22903225806454</c:v>
                </c:pt>
                <c:pt idx="5">
                  <c:v>88</c:v>
                </c:pt>
              </c:numCache>
            </c:numRef>
          </c:val>
          <c:smooth val="0"/>
          <c:extLst>
            <c:ext xmlns:c16="http://schemas.microsoft.com/office/drawing/2014/chart" uri="{C3380CC4-5D6E-409C-BE32-E72D297353CC}">
              <c16:uniqueId val="{00000001-3B77-4738-88E0-2B4B098C1EAB}"/>
            </c:ext>
          </c:extLst>
        </c:ser>
        <c:dLbls>
          <c:showLegendKey val="0"/>
          <c:showVal val="0"/>
          <c:showCatName val="0"/>
          <c:showSerName val="0"/>
          <c:showPercent val="0"/>
          <c:showBubbleSize val="0"/>
        </c:dLbls>
        <c:marker val="1"/>
        <c:smooth val="0"/>
        <c:axId val="1642866063"/>
        <c:axId val="1810195615"/>
      </c:lineChart>
      <c:catAx>
        <c:axId val="158970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321919"/>
        <c:crosses val="autoZero"/>
        <c:auto val="1"/>
        <c:lblAlgn val="ctr"/>
        <c:lblOffset val="100"/>
        <c:noMultiLvlLbl val="0"/>
      </c:catAx>
      <c:valAx>
        <c:axId val="1732321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cost  per km (USD)</a:t>
                </a:r>
              </a:p>
            </c:rich>
          </c:tx>
          <c:layout>
            <c:manualLayout>
              <c:xMode val="edge"/>
              <c:yMode val="edge"/>
              <c:x val="1.520690169335506E-3"/>
              <c:y val="0.157003836058954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706175"/>
        <c:crosses val="autoZero"/>
        <c:crossBetween val="between"/>
      </c:valAx>
      <c:valAx>
        <c:axId val="181019561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lenght of project (km)</a:t>
                </a:r>
                <a:endParaRPr lang="en-US"/>
              </a:p>
            </c:rich>
          </c:tx>
          <c:layout>
            <c:manualLayout>
              <c:xMode val="edge"/>
              <c:yMode val="edge"/>
              <c:x val="0.96201909156266874"/>
              <c:y val="5.6150731158605187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866063"/>
        <c:crosses val="max"/>
        <c:crossBetween val="between"/>
      </c:valAx>
      <c:catAx>
        <c:axId val="1642866063"/>
        <c:scaling>
          <c:orientation val="minMax"/>
        </c:scaling>
        <c:delete val="1"/>
        <c:axPos val="b"/>
        <c:numFmt formatCode="General" sourceLinked="1"/>
        <c:majorTickMark val="out"/>
        <c:minorTickMark val="none"/>
        <c:tickLblPos val="nextTo"/>
        <c:crossAx val="1810195615"/>
        <c:crosses val="autoZero"/>
        <c:auto val="1"/>
        <c:lblAlgn val="ctr"/>
        <c:lblOffset val="100"/>
        <c:noMultiLvlLbl val="0"/>
      </c:catAx>
      <c:spPr>
        <a:noFill/>
        <a:ln>
          <a:noFill/>
        </a:ln>
        <a:effectLst/>
      </c:spPr>
    </c:plotArea>
    <c:legend>
      <c:legendPos val="b"/>
      <c:layout>
        <c:manualLayout>
          <c:xMode val="edge"/>
          <c:yMode val="edge"/>
          <c:x val="0.29338387547840711"/>
          <c:y val="0.91346093276801943"/>
          <c:w val="0.48771298053752893"/>
          <c:h val="8.03577052868391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Reconstruction (actuals)</a:t>
            </a:r>
          </a:p>
        </c:rich>
      </c:tx>
      <c:layout>
        <c:manualLayout>
          <c:xMode val="edge"/>
          <c:yMode val="edge"/>
          <c:x val="0.372076608885369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13033407523858"/>
          <c:y val="9.2769230769230757E-2"/>
          <c:w val="0.78906934578662935"/>
          <c:h val="0.67103371693922886"/>
        </c:manualLayout>
      </c:layout>
      <c:barChart>
        <c:barDir val="col"/>
        <c:grouping val="clustered"/>
        <c:varyColors val="0"/>
        <c:ser>
          <c:idx val="1"/>
          <c:order val="1"/>
          <c:tx>
            <c:strRef>
              <c:f>Unit_costs_per_region!$J$18</c:f>
              <c:strCache>
                <c:ptCount val="1"/>
                <c:pt idx="0">
                  <c:v>Actual avrg unit costs</c:v>
                </c:pt>
              </c:strCache>
            </c:strRef>
          </c:tx>
          <c:spPr>
            <a:solidFill>
              <a:schemeClr val="accent2"/>
            </a:solidFill>
            <a:ln>
              <a:noFill/>
            </a:ln>
            <a:effectLst/>
          </c:spPr>
          <c:invertIfNegative val="0"/>
          <c:cat>
            <c:strRef>
              <c:f>Unit_costs_per_region!$H$19:$H$24</c:f>
              <c:strCache>
                <c:ptCount val="6"/>
                <c:pt idx="0">
                  <c:v>Sub-Saharan Africa</c:v>
                </c:pt>
                <c:pt idx="1">
                  <c:v>East Asia and Pacific</c:v>
                </c:pt>
                <c:pt idx="2">
                  <c:v>Europe and Central Asia</c:v>
                </c:pt>
                <c:pt idx="3">
                  <c:v>Latin America and Caribbean</c:v>
                </c:pt>
                <c:pt idx="4">
                  <c:v>South Asia</c:v>
                </c:pt>
                <c:pt idx="5">
                  <c:v>Middle East and North Africa</c:v>
                </c:pt>
              </c:strCache>
            </c:strRef>
          </c:cat>
          <c:val>
            <c:numRef>
              <c:f>Unit_costs_per_region!$J$19:$J$24</c:f>
              <c:numCache>
                <c:formatCode>#,##0.00</c:formatCode>
                <c:ptCount val="6"/>
                <c:pt idx="0">
                  <c:v>0.84594963030930537</c:v>
                </c:pt>
                <c:pt idx="1">
                  <c:v>0.40149607021591371</c:v>
                </c:pt>
                <c:pt idx="2">
                  <c:v>0.25960771892821366</c:v>
                </c:pt>
                <c:pt idx="3">
                  <c:v>0.17214223460802813</c:v>
                </c:pt>
                <c:pt idx="4">
                  <c:v>0.17204325775160567</c:v>
                </c:pt>
                <c:pt idx="5">
                  <c:v>0.14107842475176002</c:v>
                </c:pt>
              </c:numCache>
            </c:numRef>
          </c:val>
          <c:extLst>
            <c:ext xmlns:c16="http://schemas.microsoft.com/office/drawing/2014/chart" uri="{C3380CC4-5D6E-409C-BE32-E72D297353CC}">
              <c16:uniqueId val="{00000000-ABC9-4A09-A74C-A5086355E079}"/>
            </c:ext>
          </c:extLst>
        </c:ser>
        <c:dLbls>
          <c:showLegendKey val="0"/>
          <c:showVal val="0"/>
          <c:showCatName val="0"/>
          <c:showSerName val="0"/>
          <c:showPercent val="0"/>
          <c:showBubbleSize val="0"/>
        </c:dLbls>
        <c:gapWidth val="219"/>
        <c:overlap val="-22"/>
        <c:axId val="1589706175"/>
        <c:axId val="1732321919"/>
      </c:barChart>
      <c:lineChart>
        <c:grouping val="standard"/>
        <c:varyColors val="0"/>
        <c:ser>
          <c:idx val="0"/>
          <c:order val="0"/>
          <c:tx>
            <c:strRef>
              <c:f>Unit_costs_per_region!$K$18</c:f>
              <c:strCache>
                <c:ptCount val="1"/>
                <c:pt idx="0">
                  <c:v>Average of Length (km)</c:v>
                </c:pt>
              </c:strCache>
            </c:strRef>
          </c:tx>
          <c:spPr>
            <a:ln w="25400" cap="rnd">
              <a:noFill/>
              <a:round/>
            </a:ln>
            <a:effectLst/>
          </c:spPr>
          <c:marker>
            <c:symbol val="square"/>
            <c:size val="7"/>
            <c:spPr>
              <a:solidFill>
                <a:schemeClr val="tx1"/>
              </a:solidFill>
              <a:ln w="9525">
                <a:solidFill>
                  <a:schemeClr val="accent1"/>
                </a:solidFill>
              </a:ln>
              <a:effectLst/>
            </c:spPr>
          </c:marker>
          <c:cat>
            <c:strRef>
              <c:f>Unit_costs_per_region!$H$19:$H$24</c:f>
              <c:strCache>
                <c:ptCount val="6"/>
                <c:pt idx="0">
                  <c:v>Sub-Saharan Africa</c:v>
                </c:pt>
                <c:pt idx="1">
                  <c:v>East Asia and Pacific</c:v>
                </c:pt>
                <c:pt idx="2">
                  <c:v>Europe and Central Asia</c:v>
                </c:pt>
                <c:pt idx="3">
                  <c:v>Latin America and Caribbean</c:v>
                </c:pt>
                <c:pt idx="4">
                  <c:v>South Asia</c:v>
                </c:pt>
                <c:pt idx="5">
                  <c:v>Middle East and North Africa</c:v>
                </c:pt>
              </c:strCache>
            </c:strRef>
          </c:cat>
          <c:val>
            <c:numRef>
              <c:f>Unit_costs_per_region!$K$19:$K$24</c:f>
              <c:numCache>
                <c:formatCode>#,##0.00</c:formatCode>
                <c:ptCount val="6"/>
                <c:pt idx="0">
                  <c:v>368.46875</c:v>
                </c:pt>
                <c:pt idx="1">
                  <c:v>334.5617647058823</c:v>
                </c:pt>
                <c:pt idx="2">
                  <c:v>47.834375000000009</c:v>
                </c:pt>
                <c:pt idx="3">
                  <c:v>619.24250000000018</c:v>
                </c:pt>
                <c:pt idx="4">
                  <c:v>516.2833333333333</c:v>
                </c:pt>
                <c:pt idx="5">
                  <c:v>52.723529411764702</c:v>
                </c:pt>
              </c:numCache>
            </c:numRef>
          </c:val>
          <c:smooth val="0"/>
          <c:extLst>
            <c:ext xmlns:c16="http://schemas.microsoft.com/office/drawing/2014/chart" uri="{C3380CC4-5D6E-409C-BE32-E72D297353CC}">
              <c16:uniqueId val="{00000001-ABC9-4A09-A74C-A5086355E079}"/>
            </c:ext>
          </c:extLst>
        </c:ser>
        <c:dLbls>
          <c:showLegendKey val="0"/>
          <c:showVal val="0"/>
          <c:showCatName val="0"/>
          <c:showSerName val="0"/>
          <c:showPercent val="0"/>
          <c:showBubbleSize val="0"/>
        </c:dLbls>
        <c:marker val="1"/>
        <c:smooth val="0"/>
        <c:axId val="1642866063"/>
        <c:axId val="1810195615"/>
      </c:lineChart>
      <c:catAx>
        <c:axId val="158970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321919"/>
        <c:crosses val="autoZero"/>
        <c:auto val="1"/>
        <c:lblAlgn val="ctr"/>
        <c:lblOffset val="100"/>
        <c:noMultiLvlLbl val="0"/>
      </c:catAx>
      <c:valAx>
        <c:axId val="1732321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cost  per km (USD)</a:t>
                </a:r>
              </a:p>
            </c:rich>
          </c:tx>
          <c:layout>
            <c:manualLayout>
              <c:xMode val="edge"/>
              <c:yMode val="edge"/>
              <c:x val="1.520690169335506E-3"/>
              <c:y val="0.157003836058954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706175"/>
        <c:crosses val="autoZero"/>
        <c:crossBetween val="between"/>
      </c:valAx>
      <c:valAx>
        <c:axId val="181019561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lenght of project (km)</a:t>
                </a:r>
                <a:endParaRPr lang="en-US"/>
              </a:p>
            </c:rich>
          </c:tx>
          <c:layout>
            <c:manualLayout>
              <c:xMode val="edge"/>
              <c:yMode val="edge"/>
              <c:x val="0.95758819131734962"/>
              <c:y val="7.5198350206224229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866063"/>
        <c:crosses val="max"/>
        <c:crossBetween val="between"/>
      </c:valAx>
      <c:catAx>
        <c:axId val="1642866063"/>
        <c:scaling>
          <c:orientation val="minMax"/>
        </c:scaling>
        <c:delete val="1"/>
        <c:axPos val="b"/>
        <c:numFmt formatCode="General" sourceLinked="1"/>
        <c:majorTickMark val="out"/>
        <c:minorTickMark val="none"/>
        <c:tickLblPos val="nextTo"/>
        <c:crossAx val="1810195615"/>
        <c:crosses val="autoZero"/>
        <c:auto val="1"/>
        <c:lblAlgn val="ctr"/>
        <c:lblOffset val="100"/>
        <c:noMultiLvlLbl val="0"/>
      </c:catAx>
      <c:spPr>
        <a:noFill/>
        <a:ln>
          <a:noFill/>
        </a:ln>
        <a:effectLst/>
      </c:spPr>
    </c:plotArea>
    <c:legend>
      <c:legendPos val="b"/>
      <c:layout>
        <c:manualLayout>
          <c:xMode val="edge"/>
          <c:yMode val="edge"/>
          <c:x val="0.29338387547840711"/>
          <c:y val="0.91346093276801943"/>
          <c:w val="0.48578655362202156"/>
          <c:h val="8.6539067231980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Upgrading (actuals)</a:t>
            </a:r>
          </a:p>
        </c:rich>
      </c:tx>
      <c:layout>
        <c:manualLayout>
          <c:xMode val="edge"/>
          <c:yMode val="edge"/>
          <c:x val="0.4196574933118352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13033407523858"/>
          <c:y val="9.2769230769230757E-2"/>
          <c:w val="0.78906934578662935"/>
          <c:h val="0.67103371693922886"/>
        </c:manualLayout>
      </c:layout>
      <c:barChart>
        <c:barDir val="col"/>
        <c:grouping val="clustered"/>
        <c:varyColors val="0"/>
        <c:ser>
          <c:idx val="1"/>
          <c:order val="1"/>
          <c:tx>
            <c:strRef>
              <c:f>Unit_costs_per_region!$J$33</c:f>
              <c:strCache>
                <c:ptCount val="1"/>
                <c:pt idx="0">
                  <c:v>Actual avrg unit costs</c:v>
                </c:pt>
              </c:strCache>
            </c:strRef>
          </c:tx>
          <c:spPr>
            <a:solidFill>
              <a:schemeClr val="accent2"/>
            </a:solidFill>
            <a:ln>
              <a:noFill/>
            </a:ln>
            <a:effectLst/>
          </c:spPr>
          <c:invertIfNegative val="0"/>
          <c:cat>
            <c:strRef>
              <c:f>Unit_costs_per_region!$H$34:$H$38</c:f>
              <c:strCache>
                <c:ptCount val="5"/>
                <c:pt idx="0">
                  <c:v>Europe and Central Asia</c:v>
                </c:pt>
                <c:pt idx="1">
                  <c:v>Sub-Saharan Africa</c:v>
                </c:pt>
                <c:pt idx="2">
                  <c:v>Latin America and Caribbean</c:v>
                </c:pt>
                <c:pt idx="3">
                  <c:v>East Asia and Pacific</c:v>
                </c:pt>
                <c:pt idx="4">
                  <c:v>South Asia</c:v>
                </c:pt>
              </c:strCache>
            </c:strRef>
          </c:cat>
          <c:val>
            <c:numRef>
              <c:f>Unit_costs_per_region!$J$34:$J$38</c:f>
              <c:numCache>
                <c:formatCode>#,##0.00</c:formatCode>
                <c:ptCount val="5"/>
                <c:pt idx="0">
                  <c:v>0.77711498618784525</c:v>
                </c:pt>
                <c:pt idx="1">
                  <c:v>0.59775450233921323</c:v>
                </c:pt>
                <c:pt idx="2">
                  <c:v>0.49913982497744869</c:v>
                </c:pt>
                <c:pt idx="3">
                  <c:v>0.18136789745599155</c:v>
                </c:pt>
                <c:pt idx="4">
                  <c:v>0.12836354780463785</c:v>
                </c:pt>
              </c:numCache>
            </c:numRef>
          </c:val>
          <c:extLst>
            <c:ext xmlns:c16="http://schemas.microsoft.com/office/drawing/2014/chart" uri="{C3380CC4-5D6E-409C-BE32-E72D297353CC}">
              <c16:uniqueId val="{00000000-0991-44CB-BBB1-03B2DB306720}"/>
            </c:ext>
          </c:extLst>
        </c:ser>
        <c:dLbls>
          <c:showLegendKey val="0"/>
          <c:showVal val="0"/>
          <c:showCatName val="0"/>
          <c:showSerName val="0"/>
          <c:showPercent val="0"/>
          <c:showBubbleSize val="0"/>
        </c:dLbls>
        <c:gapWidth val="219"/>
        <c:overlap val="-22"/>
        <c:axId val="1589706175"/>
        <c:axId val="1732321919"/>
      </c:barChart>
      <c:lineChart>
        <c:grouping val="standard"/>
        <c:varyColors val="0"/>
        <c:ser>
          <c:idx val="0"/>
          <c:order val="0"/>
          <c:tx>
            <c:strRef>
              <c:f>Unit_costs_per_region!$K$33</c:f>
              <c:strCache>
                <c:ptCount val="1"/>
                <c:pt idx="0">
                  <c:v>Average of Length (km)</c:v>
                </c:pt>
              </c:strCache>
            </c:strRef>
          </c:tx>
          <c:spPr>
            <a:ln w="25400" cap="rnd">
              <a:noFill/>
              <a:round/>
            </a:ln>
            <a:effectLst/>
          </c:spPr>
          <c:marker>
            <c:symbol val="square"/>
            <c:size val="7"/>
            <c:spPr>
              <a:solidFill>
                <a:schemeClr val="tx1"/>
              </a:solidFill>
              <a:ln w="9525">
                <a:solidFill>
                  <a:schemeClr val="accent1"/>
                </a:solidFill>
              </a:ln>
              <a:effectLst/>
            </c:spPr>
          </c:marker>
          <c:cat>
            <c:strRef>
              <c:f>Unit_costs_per_region!$H$34:$H$38</c:f>
              <c:strCache>
                <c:ptCount val="5"/>
                <c:pt idx="0">
                  <c:v>Europe and Central Asia</c:v>
                </c:pt>
                <c:pt idx="1">
                  <c:v>Sub-Saharan Africa</c:v>
                </c:pt>
                <c:pt idx="2">
                  <c:v>Latin America and Caribbean</c:v>
                </c:pt>
                <c:pt idx="3">
                  <c:v>East Asia and Pacific</c:v>
                </c:pt>
                <c:pt idx="4">
                  <c:v>South Asia</c:v>
                </c:pt>
              </c:strCache>
            </c:strRef>
          </c:cat>
          <c:val>
            <c:numRef>
              <c:f>Unit_costs_per_region!$K$34:$K$38</c:f>
              <c:numCache>
                <c:formatCode>#,##0.00</c:formatCode>
                <c:ptCount val="5"/>
                <c:pt idx="0">
                  <c:v>25.05</c:v>
                </c:pt>
                <c:pt idx="1">
                  <c:v>128.72709677419357</c:v>
                </c:pt>
                <c:pt idx="2">
                  <c:v>60.833333333333336</c:v>
                </c:pt>
                <c:pt idx="3">
                  <c:v>162.39847826086955</c:v>
                </c:pt>
                <c:pt idx="4">
                  <c:v>1179.4454545454546</c:v>
                </c:pt>
              </c:numCache>
            </c:numRef>
          </c:val>
          <c:smooth val="0"/>
          <c:extLst>
            <c:ext xmlns:c16="http://schemas.microsoft.com/office/drawing/2014/chart" uri="{C3380CC4-5D6E-409C-BE32-E72D297353CC}">
              <c16:uniqueId val="{00000001-0991-44CB-BBB1-03B2DB306720}"/>
            </c:ext>
          </c:extLst>
        </c:ser>
        <c:dLbls>
          <c:showLegendKey val="0"/>
          <c:showVal val="0"/>
          <c:showCatName val="0"/>
          <c:showSerName val="0"/>
          <c:showPercent val="0"/>
          <c:showBubbleSize val="0"/>
        </c:dLbls>
        <c:marker val="1"/>
        <c:smooth val="0"/>
        <c:axId val="1642866063"/>
        <c:axId val="1810195615"/>
      </c:lineChart>
      <c:catAx>
        <c:axId val="158970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321919"/>
        <c:crosses val="autoZero"/>
        <c:auto val="1"/>
        <c:lblAlgn val="ctr"/>
        <c:lblOffset val="100"/>
        <c:noMultiLvlLbl val="0"/>
      </c:catAx>
      <c:valAx>
        <c:axId val="1732321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cost  per km (USD)</a:t>
                </a:r>
              </a:p>
            </c:rich>
          </c:tx>
          <c:layout>
            <c:manualLayout>
              <c:xMode val="edge"/>
              <c:yMode val="edge"/>
              <c:x val="1.520690169335506E-3"/>
              <c:y val="0.157003836058954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706175"/>
        <c:crosses val="autoZero"/>
        <c:crossBetween val="between"/>
      </c:valAx>
      <c:valAx>
        <c:axId val="181019561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lenght of project (km)</a:t>
                </a:r>
                <a:endParaRPr lang="en-US"/>
              </a:p>
            </c:rich>
          </c:tx>
          <c:layout>
            <c:manualLayout>
              <c:xMode val="edge"/>
              <c:yMode val="edge"/>
              <c:x val="0.95726138083252554"/>
              <c:y val="6.5674540682414712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866063"/>
        <c:crosses val="max"/>
        <c:crossBetween val="between"/>
      </c:valAx>
      <c:catAx>
        <c:axId val="1642866063"/>
        <c:scaling>
          <c:orientation val="minMax"/>
        </c:scaling>
        <c:delete val="1"/>
        <c:axPos val="b"/>
        <c:numFmt formatCode="General" sourceLinked="1"/>
        <c:majorTickMark val="out"/>
        <c:minorTickMark val="none"/>
        <c:tickLblPos val="nextTo"/>
        <c:crossAx val="1810195615"/>
        <c:crosses val="autoZero"/>
        <c:auto val="1"/>
        <c:lblAlgn val="ctr"/>
        <c:lblOffset val="100"/>
        <c:noMultiLvlLbl val="0"/>
      </c:catAx>
      <c:spPr>
        <a:noFill/>
        <a:ln>
          <a:noFill/>
        </a:ln>
        <a:effectLst/>
      </c:spPr>
    </c:plotArea>
    <c:legend>
      <c:legendPos val="b"/>
      <c:layout>
        <c:manualLayout>
          <c:xMode val="edge"/>
          <c:yMode val="edge"/>
          <c:x val="0.29338387547840711"/>
          <c:y val="0.91346093276801943"/>
          <c:w val="0.48578655362202156"/>
          <c:h val="8.6539067231980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cost</a:t>
            </a:r>
            <a:r>
              <a:rPr lang="en-US" baseline="0"/>
              <a:t> overruns by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583784277491803"/>
          <c:y val="7.1932453402935595E-2"/>
          <c:w val="0.78099423798179402"/>
          <c:h val="0.62065398343593692"/>
        </c:manualLayout>
      </c:layout>
      <c:barChart>
        <c:barDir val="col"/>
        <c:grouping val="clustered"/>
        <c:varyColors val="0"/>
        <c:ser>
          <c:idx val="0"/>
          <c:order val="0"/>
          <c:spPr>
            <a:solidFill>
              <a:schemeClr val="accent1"/>
            </a:solidFill>
            <a:ln>
              <a:noFill/>
            </a:ln>
            <a:effectLst/>
          </c:spPr>
          <c:invertIfNegative val="0"/>
          <c:cat>
            <c:strRef>
              <c:f>Project_type_outliers!$A$27:$A$35</c:f>
              <c:strCache>
                <c:ptCount val="9"/>
                <c:pt idx="0">
                  <c:v>Widening and Reconstruction</c:v>
                </c:pt>
                <c:pt idx="1">
                  <c:v>Reconstruction</c:v>
                </c:pt>
                <c:pt idx="2">
                  <c:v>Strengthening</c:v>
                </c:pt>
                <c:pt idx="3">
                  <c:v>Asphalt Mix Resurfacing</c:v>
                </c:pt>
                <c:pt idx="4">
                  <c:v>New 4L Expressway</c:v>
                </c:pt>
                <c:pt idx="5">
                  <c:v>Routine Maintenance</c:v>
                </c:pt>
                <c:pt idx="6">
                  <c:v>Upgrading</c:v>
                </c:pt>
                <c:pt idx="7">
                  <c:v>Surface Treatment Resurfacing</c:v>
                </c:pt>
                <c:pt idx="8">
                  <c:v>Gravel Resurfacing</c:v>
                </c:pt>
              </c:strCache>
            </c:strRef>
          </c:cat>
          <c:val>
            <c:numRef>
              <c:f>Project_type_outliers!$B$27:$B$35</c:f>
              <c:numCache>
                <c:formatCode>0%</c:formatCode>
                <c:ptCount val="9"/>
                <c:pt idx="0">
                  <c:v>0.42857142857142855</c:v>
                </c:pt>
                <c:pt idx="1">
                  <c:v>0.4</c:v>
                </c:pt>
                <c:pt idx="2">
                  <c:v>0.39130434782608697</c:v>
                </c:pt>
                <c:pt idx="3">
                  <c:v>0.38461538461538464</c:v>
                </c:pt>
                <c:pt idx="4">
                  <c:v>0.33333333333333331</c:v>
                </c:pt>
                <c:pt idx="5">
                  <c:v>0.33070866141732286</c:v>
                </c:pt>
                <c:pt idx="6">
                  <c:v>0.23809523809523808</c:v>
                </c:pt>
                <c:pt idx="7">
                  <c:v>0.23809523809523808</c:v>
                </c:pt>
                <c:pt idx="8">
                  <c:v>0.22222222222222221</c:v>
                </c:pt>
              </c:numCache>
            </c:numRef>
          </c:val>
          <c:extLst>
            <c:ext xmlns:c16="http://schemas.microsoft.com/office/drawing/2014/chart" uri="{C3380CC4-5D6E-409C-BE32-E72D297353CC}">
              <c16:uniqueId val="{00000000-4B69-4C97-BFBC-85071DF3992A}"/>
            </c:ext>
          </c:extLst>
        </c:ser>
        <c:dLbls>
          <c:showLegendKey val="0"/>
          <c:showVal val="0"/>
          <c:showCatName val="0"/>
          <c:showSerName val="0"/>
          <c:showPercent val="0"/>
          <c:showBubbleSize val="0"/>
        </c:dLbls>
        <c:gapWidth val="219"/>
        <c:axId val="2116178415"/>
        <c:axId val="1811908911"/>
      </c:barChart>
      <c:lineChart>
        <c:grouping val="stacked"/>
        <c:varyColors val="0"/>
        <c:ser>
          <c:idx val="1"/>
          <c:order val="1"/>
          <c:spPr>
            <a:ln w="28575" cap="rnd">
              <a:noFill/>
              <a:round/>
            </a:ln>
            <a:effectLst/>
          </c:spPr>
          <c:marker>
            <c:symbol val="diamond"/>
            <c:size val="12"/>
            <c:spPr>
              <a:solidFill>
                <a:srgbClr val="FFFFCC"/>
              </a:solidFill>
              <a:ln w="19050">
                <a:solidFill>
                  <a:srgbClr val="FF0000"/>
                </a:solidFill>
              </a:ln>
              <a:effectLst/>
            </c:spPr>
          </c:marker>
          <c:cat>
            <c:strRef>
              <c:f>Project_type_outliers!$A$27:$A$35</c:f>
              <c:strCache>
                <c:ptCount val="9"/>
                <c:pt idx="0">
                  <c:v>Widening and Reconstruction</c:v>
                </c:pt>
                <c:pt idx="1">
                  <c:v>Reconstruction</c:v>
                </c:pt>
                <c:pt idx="2">
                  <c:v>Strengthening</c:v>
                </c:pt>
                <c:pt idx="3">
                  <c:v>Asphalt Mix Resurfacing</c:v>
                </c:pt>
                <c:pt idx="4">
                  <c:v>New 4L Expressway</c:v>
                </c:pt>
                <c:pt idx="5">
                  <c:v>Routine Maintenance</c:v>
                </c:pt>
                <c:pt idx="6">
                  <c:v>Upgrading</c:v>
                </c:pt>
                <c:pt idx="7">
                  <c:v>Surface Treatment Resurfacing</c:v>
                </c:pt>
                <c:pt idx="8">
                  <c:v>Gravel Resurfacing</c:v>
                </c:pt>
              </c:strCache>
            </c:strRef>
          </c:cat>
          <c:val>
            <c:numRef>
              <c:f>Project_type_outliers!$C$27:$C$35</c:f>
              <c:numCache>
                <c:formatCode>#,##0.00</c:formatCode>
                <c:ptCount val="9"/>
                <c:pt idx="0">
                  <c:v>1.0145944648689114</c:v>
                </c:pt>
                <c:pt idx="1">
                  <c:v>0.30456528465572597</c:v>
                </c:pt>
                <c:pt idx="2">
                  <c:v>0.28381776930952868</c:v>
                </c:pt>
                <c:pt idx="3">
                  <c:v>0.11201948969590375</c:v>
                </c:pt>
                <c:pt idx="4">
                  <c:v>5.5929501832596271</c:v>
                </c:pt>
                <c:pt idx="5">
                  <c:v>2.7218913193456533E-2</c:v>
                </c:pt>
                <c:pt idx="6">
                  <c:v>0.34678586139914125</c:v>
                </c:pt>
                <c:pt idx="7">
                  <c:v>5.291698215370165E-2</c:v>
                </c:pt>
                <c:pt idx="8">
                  <c:v>1.0721868476154802E-2</c:v>
                </c:pt>
              </c:numCache>
            </c:numRef>
          </c:val>
          <c:smooth val="0"/>
          <c:extLst>
            <c:ext xmlns:c16="http://schemas.microsoft.com/office/drawing/2014/chart" uri="{C3380CC4-5D6E-409C-BE32-E72D297353CC}">
              <c16:uniqueId val="{00000002-4B69-4C97-BFBC-85071DF3992A}"/>
            </c:ext>
          </c:extLst>
        </c:ser>
        <c:dLbls>
          <c:showLegendKey val="0"/>
          <c:showVal val="0"/>
          <c:showCatName val="0"/>
          <c:showSerName val="0"/>
          <c:showPercent val="0"/>
          <c:showBubbleSize val="0"/>
        </c:dLbls>
        <c:marker val="1"/>
        <c:smooth val="0"/>
        <c:axId val="1584270095"/>
        <c:axId val="873136127"/>
      </c:lineChart>
      <c:catAx>
        <c:axId val="211617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11908911"/>
        <c:crosses val="autoZero"/>
        <c:auto val="1"/>
        <c:lblAlgn val="ctr"/>
        <c:lblOffset val="100"/>
        <c:noMultiLvlLbl val="0"/>
      </c:catAx>
      <c:valAx>
        <c:axId val="1811908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 of project</a:t>
                </a:r>
                <a:r>
                  <a:rPr lang="en-US" sz="1100" b="1" baseline="0"/>
                  <a:t> that are major overruns on unit costs</a:t>
                </a:r>
                <a:endParaRPr lang="en-US" sz="1100" b="1"/>
              </a:p>
            </c:rich>
          </c:tx>
          <c:layout>
            <c:manualLayout>
              <c:xMode val="edge"/>
              <c:yMode val="edge"/>
              <c:x val="9.568818261543861E-3"/>
              <c:y val="0.1239972367441853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16178415"/>
        <c:crosses val="autoZero"/>
        <c:crossBetween val="between"/>
      </c:valAx>
      <c:valAx>
        <c:axId val="873136127"/>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Average unit cost of project type (USD M per km)</a:t>
                </a:r>
              </a:p>
            </c:rich>
          </c:tx>
          <c:layout>
            <c:manualLayout>
              <c:xMode val="edge"/>
              <c:yMode val="edge"/>
              <c:x val="0.94758191254409452"/>
              <c:y val="0.1104014302092245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84270095"/>
        <c:crosses val="max"/>
        <c:crossBetween val="between"/>
      </c:valAx>
      <c:catAx>
        <c:axId val="1584270095"/>
        <c:scaling>
          <c:orientation val="minMax"/>
        </c:scaling>
        <c:delete val="1"/>
        <c:axPos val="b"/>
        <c:numFmt formatCode="General" sourceLinked="1"/>
        <c:majorTickMark val="out"/>
        <c:minorTickMark val="none"/>
        <c:tickLblPos val="nextTo"/>
        <c:crossAx val="873136127"/>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570939</xdr:colOff>
      <xdr:row>3</xdr:row>
      <xdr:rowOff>17928</xdr:rowOff>
    </xdr:from>
    <xdr:to>
      <xdr:col>14</xdr:col>
      <xdr:colOff>275665</xdr:colOff>
      <xdr:row>22</xdr:row>
      <xdr:rowOff>44823</xdr:rowOff>
    </xdr:to>
    <xdr:graphicFrame macro="">
      <xdr:nvGraphicFramePr>
        <xdr:cNvPr id="3" name="Chart 2">
          <a:extLst>
            <a:ext uri="{FF2B5EF4-FFF2-40B4-BE49-F238E27FC236}">
              <a16:creationId xmlns:a16="http://schemas.microsoft.com/office/drawing/2014/main" id="{A4D51D17-E9C5-43F4-A65A-CB88B1139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31376</xdr:colOff>
      <xdr:row>15</xdr:row>
      <xdr:rowOff>100855</xdr:rowOff>
    </xdr:from>
    <xdr:to>
      <xdr:col>10</xdr:col>
      <xdr:colOff>150160</xdr:colOff>
      <xdr:row>24</xdr:row>
      <xdr:rowOff>22412</xdr:rowOff>
    </xdr:to>
    <xdr:graphicFrame macro="">
      <xdr:nvGraphicFramePr>
        <xdr:cNvPr id="2" name="Chart 1">
          <a:extLst>
            <a:ext uri="{FF2B5EF4-FFF2-40B4-BE49-F238E27FC236}">
              <a16:creationId xmlns:a16="http://schemas.microsoft.com/office/drawing/2014/main" id="{57AFA2C1-2A69-4D46-853D-17BE21B65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58829</xdr:colOff>
      <xdr:row>3</xdr:row>
      <xdr:rowOff>11205</xdr:rowOff>
    </xdr:from>
    <xdr:to>
      <xdr:col>10</xdr:col>
      <xdr:colOff>31375</xdr:colOff>
      <xdr:row>11</xdr:row>
      <xdr:rowOff>67234</xdr:rowOff>
    </xdr:to>
    <xdr:graphicFrame macro="">
      <xdr:nvGraphicFramePr>
        <xdr:cNvPr id="3" name="Chart 2">
          <a:extLst>
            <a:ext uri="{FF2B5EF4-FFF2-40B4-BE49-F238E27FC236}">
              <a16:creationId xmlns:a16="http://schemas.microsoft.com/office/drawing/2014/main" id="{5B555B48-843D-46C7-94C2-60BDBCE21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10</xdr:row>
      <xdr:rowOff>4762</xdr:rowOff>
    </xdr:from>
    <xdr:to>
      <xdr:col>9</xdr:col>
      <xdr:colOff>914399</xdr:colOff>
      <xdr:row>20</xdr:row>
      <xdr:rowOff>48846</xdr:rowOff>
    </xdr:to>
    <xdr:graphicFrame macro="">
      <xdr:nvGraphicFramePr>
        <xdr:cNvPr id="2" name="Chart 1">
          <a:extLst>
            <a:ext uri="{FF2B5EF4-FFF2-40B4-BE49-F238E27FC236}">
              <a16:creationId xmlns:a16="http://schemas.microsoft.com/office/drawing/2014/main" id="{4708AF75-01CC-49DB-9DEC-085702D71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59531</xdr:colOff>
      <xdr:row>10</xdr:row>
      <xdr:rowOff>8683</xdr:rowOff>
    </xdr:from>
    <xdr:to>
      <xdr:col>22</xdr:col>
      <xdr:colOff>866774</xdr:colOff>
      <xdr:row>20</xdr:row>
      <xdr:rowOff>48846</xdr:rowOff>
    </xdr:to>
    <xdr:graphicFrame macro="">
      <xdr:nvGraphicFramePr>
        <xdr:cNvPr id="3" name="Chart 2">
          <a:extLst>
            <a:ext uri="{FF2B5EF4-FFF2-40B4-BE49-F238E27FC236}">
              <a16:creationId xmlns:a16="http://schemas.microsoft.com/office/drawing/2014/main" id="{AAE865E0-3D52-433B-A35E-8EC36BE49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119062</xdr:colOff>
      <xdr:row>31</xdr:row>
      <xdr:rowOff>4761</xdr:rowOff>
    </xdr:from>
    <xdr:to>
      <xdr:col>9</xdr:col>
      <xdr:colOff>914398</xdr:colOff>
      <xdr:row>41</xdr:row>
      <xdr:rowOff>66675</xdr:rowOff>
    </xdr:to>
    <xdr:graphicFrame macro="">
      <xdr:nvGraphicFramePr>
        <xdr:cNvPr id="4" name="Chart 3">
          <a:extLst>
            <a:ext uri="{FF2B5EF4-FFF2-40B4-BE49-F238E27FC236}">
              <a16:creationId xmlns:a16="http://schemas.microsoft.com/office/drawing/2014/main" id="{EFC1CAEB-11B4-428A-96D9-CD5EEE87E0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107156</xdr:colOff>
      <xdr:row>30</xdr:row>
      <xdr:rowOff>178593</xdr:rowOff>
    </xdr:from>
    <xdr:to>
      <xdr:col>22</xdr:col>
      <xdr:colOff>902492</xdr:colOff>
      <xdr:row>41</xdr:row>
      <xdr:rowOff>6725</xdr:rowOff>
    </xdr:to>
    <xdr:graphicFrame macro="">
      <xdr:nvGraphicFramePr>
        <xdr:cNvPr id="6" name="Chart 5">
          <a:extLst>
            <a:ext uri="{FF2B5EF4-FFF2-40B4-BE49-F238E27FC236}">
              <a16:creationId xmlns:a16="http://schemas.microsoft.com/office/drawing/2014/main" id="{55DDA3D1-232C-4AA5-A471-9CBB53AAAA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56029</xdr:colOff>
      <xdr:row>3</xdr:row>
      <xdr:rowOff>11207</xdr:rowOff>
    </xdr:from>
    <xdr:to>
      <xdr:col>21</xdr:col>
      <xdr:colOff>313766</xdr:colOff>
      <xdr:row>16</xdr:row>
      <xdr:rowOff>11207</xdr:rowOff>
    </xdr:to>
    <xdr:graphicFrame macro="">
      <xdr:nvGraphicFramePr>
        <xdr:cNvPr id="2" name="Chart 1">
          <a:extLst>
            <a:ext uri="{FF2B5EF4-FFF2-40B4-BE49-F238E27FC236}">
              <a16:creationId xmlns:a16="http://schemas.microsoft.com/office/drawing/2014/main" id="{93AAC5C2-679D-4B2F-8B82-FF42DA62C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33618</xdr:colOff>
      <xdr:row>16</xdr:row>
      <xdr:rowOff>156882</xdr:rowOff>
    </xdr:from>
    <xdr:to>
      <xdr:col>21</xdr:col>
      <xdr:colOff>339259</xdr:colOff>
      <xdr:row>29</xdr:row>
      <xdr:rowOff>156882</xdr:rowOff>
    </xdr:to>
    <xdr:graphicFrame macro="">
      <xdr:nvGraphicFramePr>
        <xdr:cNvPr id="3" name="Chart 2">
          <a:extLst>
            <a:ext uri="{FF2B5EF4-FFF2-40B4-BE49-F238E27FC236}">
              <a16:creationId xmlns:a16="http://schemas.microsoft.com/office/drawing/2014/main" id="{42726070-0872-4C4A-91D3-4AF1521D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78441</xdr:colOff>
      <xdr:row>30</xdr:row>
      <xdr:rowOff>145677</xdr:rowOff>
    </xdr:from>
    <xdr:to>
      <xdr:col>21</xdr:col>
      <xdr:colOff>339258</xdr:colOff>
      <xdr:row>43</xdr:row>
      <xdr:rowOff>145677</xdr:rowOff>
    </xdr:to>
    <xdr:graphicFrame macro="">
      <xdr:nvGraphicFramePr>
        <xdr:cNvPr id="4" name="Chart 3">
          <a:extLst>
            <a:ext uri="{FF2B5EF4-FFF2-40B4-BE49-F238E27FC236}">
              <a16:creationId xmlns:a16="http://schemas.microsoft.com/office/drawing/2014/main" id="{5325B6FC-FE02-4047-8F47-09BB66A51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1678778</xdr:colOff>
      <xdr:row>5</xdr:row>
      <xdr:rowOff>15310</xdr:rowOff>
    </xdr:from>
    <xdr:to>
      <xdr:col>8</xdr:col>
      <xdr:colOff>712673</xdr:colOff>
      <xdr:row>31</xdr:row>
      <xdr:rowOff>0</xdr:rowOff>
    </xdr:to>
    <xdr:graphicFrame macro="">
      <xdr:nvGraphicFramePr>
        <xdr:cNvPr id="2" name="Chart 1">
          <a:extLst>
            <a:ext uri="{FF2B5EF4-FFF2-40B4-BE49-F238E27FC236}">
              <a16:creationId xmlns:a16="http://schemas.microsoft.com/office/drawing/2014/main" id="{D5E1634E-576D-4BB0-83E2-C6570C9D0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b449161\Desktop\ROCKS_update_ra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Agriculture\Operations_Portfolio\EBA\ROCKS%20-%20Database%20-%20EMPTY%20(Version%202.3)_NEW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d"/>
      <sheetName val="Auxiliary Tables"/>
      <sheetName val="Coordinates"/>
      <sheetName val="Outliers"/>
      <sheetName val="Deflation"/>
      <sheetName val="Global_variables"/>
      <sheetName val="ADB &amp; AfDB projects "/>
    </sheetNames>
    <sheetDataSet>
      <sheetData sheetId="0"/>
      <sheetData sheetId="1">
        <row r="7">
          <cell r="C7" t="str">
            <v>Feasibility Study</v>
          </cell>
          <cell r="D7" t="str">
            <v>Estimate</v>
          </cell>
          <cell r="E7" t="str">
            <v>Section</v>
          </cell>
          <cell r="G7" t="str">
            <v>ADB</v>
          </cell>
          <cell r="H7" t="str">
            <v>Unit Prices</v>
          </cell>
          <cell r="N7" t="str">
            <v>Routine Maintenance</v>
          </cell>
          <cell r="O7" t="str">
            <v>Routine Maintenance Earth Road</v>
          </cell>
          <cell r="P7" t="str">
            <v>Flat</v>
          </cell>
        </row>
        <row r="8">
          <cell r="C8" t="str">
            <v>Final Design Report</v>
          </cell>
          <cell r="D8" t="str">
            <v>Contract</v>
          </cell>
          <cell r="E8" t="str">
            <v>Program</v>
          </cell>
          <cell r="G8" t="str">
            <v>AfDB</v>
          </cell>
          <cell r="H8" t="str">
            <v>Lump Sum</v>
          </cell>
          <cell r="N8" t="str">
            <v>Patching</v>
          </cell>
          <cell r="O8" t="str">
            <v>Routine Maintenance Gravel Road</v>
          </cell>
          <cell r="P8" t="str">
            <v>Rolling</v>
          </cell>
        </row>
        <row r="9">
          <cell r="C9" t="str">
            <v>Appraisal Report</v>
          </cell>
          <cell r="D9" t="str">
            <v>Actual</v>
          </cell>
          <cell r="G9" t="str">
            <v>Bilateral</v>
          </cell>
          <cell r="H9" t="str">
            <v>Performance Based</v>
          </cell>
          <cell r="N9" t="str">
            <v>Spot Regravelling</v>
          </cell>
          <cell r="O9" t="str">
            <v>Routine Maintenance Block 2L Highway</v>
          </cell>
          <cell r="P9" t="str">
            <v>Hilly</v>
          </cell>
        </row>
        <row r="10">
          <cell r="C10" t="str">
            <v>HDM Study</v>
          </cell>
          <cell r="G10" t="str">
            <v>CDB</v>
          </cell>
          <cell r="H10" t="str">
            <v>Comprehensive Management</v>
          </cell>
          <cell r="N10" t="str">
            <v>Grading</v>
          </cell>
          <cell r="O10" t="str">
            <v>Routine Maintenance Bituminous 2L Highway</v>
          </cell>
          <cell r="P10" t="str">
            <v>Mountainous</v>
          </cell>
        </row>
        <row r="11">
          <cell r="C11" t="str">
            <v>RED Study</v>
          </cell>
          <cell r="G11" t="str">
            <v>COCOA</v>
          </cell>
          <cell r="H11" t="str">
            <v>Concession</v>
          </cell>
          <cell r="N11" t="str">
            <v>Gravel Resurfacing</v>
          </cell>
          <cell r="O11" t="str">
            <v>Routine Maintenance Concrete 2L Highway</v>
          </cell>
        </row>
        <row r="12">
          <cell r="C12" t="str">
            <v>PMS Report</v>
          </cell>
          <cell r="G12" t="str">
            <v>DANIDA</v>
          </cell>
          <cell r="H12" t="str">
            <v>Turn Key</v>
          </cell>
          <cell r="N12" t="str">
            <v>Concrete Pavement  Preventive Treatment</v>
          </cell>
          <cell r="O12" t="str">
            <v xml:space="preserve">Routine Maintenance Bituminous &gt; 2L Highway </v>
          </cell>
        </row>
        <row r="13">
          <cell r="C13" t="str">
            <v>Biding Documents</v>
          </cell>
          <cell r="G13" t="str">
            <v>EBRD</v>
          </cell>
          <cell r="H13" t="str">
            <v>BOT/BOOT</v>
          </cell>
          <cell r="N13" t="str">
            <v>Bituminous Pavement Preventive Treatment</v>
          </cell>
          <cell r="O13" t="str">
            <v>Routine Maintenance Concrete &gt; 2L Highway</v>
          </cell>
        </row>
        <row r="14">
          <cell r="C14" t="str">
            <v>Works Contract</v>
          </cell>
          <cell r="G14" t="str">
            <v>European Union</v>
          </cell>
          <cell r="H14" t="str">
            <v>Other</v>
          </cell>
          <cell r="N14" t="str">
            <v>Unsealed Preventive Treatment</v>
          </cell>
          <cell r="O14" t="str">
            <v>Routine Maintenance Bituminous Expressway</v>
          </cell>
        </row>
        <row r="15">
          <cell r="C15" t="str">
            <v>Disbursement Report</v>
          </cell>
          <cell r="G15" t="str">
            <v>Government</v>
          </cell>
          <cell r="N15" t="str">
            <v>Surface Treatment Resurfacing</v>
          </cell>
          <cell r="O15" t="str">
            <v>Routine Maintenance Concrete Expressway</v>
          </cell>
        </row>
        <row r="16">
          <cell r="C16" t="str">
            <v>Implementation Completion Report</v>
          </cell>
          <cell r="G16" t="str">
            <v>HSIP</v>
          </cell>
          <cell r="N16" t="str">
            <v>Asphalt Mix Resurfacing</v>
          </cell>
          <cell r="O16" t="str">
            <v>Patching</v>
          </cell>
        </row>
        <row r="17">
          <cell r="C17" t="str">
            <v>Certificate of Payment to Contractors</v>
          </cell>
          <cell r="G17" t="str">
            <v>IDB</v>
          </cell>
          <cell r="N17" t="str">
            <v>Strengthening</v>
          </cell>
          <cell r="O17" t="str">
            <v>Spot Regravelling</v>
          </cell>
        </row>
        <row r="18">
          <cell r="C18" t="str">
            <v>Procurement Plan</v>
          </cell>
          <cell r="G18" t="str">
            <v>IFAD</v>
          </cell>
          <cell r="N18" t="str">
            <v>Concrete Pavement Restoration</v>
          </cell>
          <cell r="O18" t="str">
            <v>Light Grading</v>
          </cell>
        </row>
        <row r="19">
          <cell r="C19" t="str">
            <v>Other</v>
          </cell>
          <cell r="G19" t="str">
            <v>JBIC</v>
          </cell>
          <cell r="N19" t="str">
            <v>Reconstruction</v>
          </cell>
          <cell r="O19" t="str">
            <v>Heavy Grading</v>
          </cell>
        </row>
        <row r="20">
          <cell r="G20" t="str">
            <v>OECF</v>
          </cell>
          <cell r="N20" t="str">
            <v>Partial Widening</v>
          </cell>
          <cell r="O20" t="str">
            <v>Regravelling</v>
          </cell>
        </row>
        <row r="21">
          <cell r="G21" t="str">
            <v>Other</v>
          </cell>
          <cell r="N21" t="str">
            <v>Partial Widening and Reconstruction</v>
          </cell>
          <cell r="O21" t="str">
            <v>Concrete Pavement Preventive Treatment</v>
          </cell>
        </row>
        <row r="22">
          <cell r="G22" t="str">
            <v>Other Lending Agency</v>
          </cell>
          <cell r="N22" t="str">
            <v>Widening</v>
          </cell>
          <cell r="O22" t="str">
            <v>Fog Seal</v>
          </cell>
        </row>
        <row r="23">
          <cell r="G23" t="str">
            <v>Private</v>
          </cell>
          <cell r="N23" t="str">
            <v>Widening and Reconstruction</v>
          </cell>
          <cell r="O23" t="str">
            <v>Rejuvenation</v>
          </cell>
        </row>
        <row r="24">
          <cell r="G24" t="str">
            <v>WB</v>
          </cell>
          <cell r="N24" t="str">
            <v>Upgrading</v>
          </cell>
          <cell r="O24" t="str">
            <v>Unsealed Preventive Treatment</v>
          </cell>
        </row>
        <row r="25">
          <cell r="N25" t="str">
            <v>New 1L Road</v>
          </cell>
          <cell r="O25" t="str">
            <v>Slurry Seal or Cape Seal</v>
          </cell>
        </row>
        <row r="26">
          <cell r="N26" t="str">
            <v>New 2L Highway</v>
          </cell>
          <cell r="O26" t="str">
            <v>Single Surface Treatment</v>
          </cell>
        </row>
        <row r="27">
          <cell r="N27" t="str">
            <v>New 4L Highway</v>
          </cell>
          <cell r="O27" t="str">
            <v>Double Surface Treatment</v>
          </cell>
        </row>
        <row r="28">
          <cell r="N28" t="str">
            <v>New 6L Highway</v>
          </cell>
          <cell r="O28" t="str">
            <v>Triple Surface Treatment</v>
          </cell>
        </row>
        <row r="29">
          <cell r="N29" t="str">
            <v>New 4L Expressway</v>
          </cell>
          <cell r="O29" t="str">
            <v>Asphalt Overlay &lt; 40 mm</v>
          </cell>
        </row>
        <row r="30">
          <cell r="N30" t="str">
            <v>New 6L Expressway</v>
          </cell>
          <cell r="O30" t="str">
            <v>Asphalt Overlay 40 to 59 mm</v>
          </cell>
        </row>
        <row r="31">
          <cell r="O31" t="str">
            <v>Asphalt Overlay 60 to 79 mm</v>
          </cell>
        </row>
        <row r="32">
          <cell r="O32" t="str">
            <v>Asphalt Overlay 80 to 99 mm</v>
          </cell>
        </row>
        <row r="33">
          <cell r="O33" t="str">
            <v>Asphalt Overlay &gt; 99 mm</v>
          </cell>
        </row>
        <row r="34">
          <cell r="O34" t="str">
            <v>Mill and Replace</v>
          </cell>
        </row>
        <row r="35">
          <cell r="O35" t="str">
            <v>Bonded Concrete Overlay</v>
          </cell>
        </row>
        <row r="36">
          <cell r="O36" t="str">
            <v>Unbounded Concrete Overlay</v>
          </cell>
        </row>
        <row r="37">
          <cell r="O37" t="str">
            <v>Concrete Slab Replacement</v>
          </cell>
        </row>
        <row r="38">
          <cell r="O38" t="str">
            <v>Concrete Slab Repair</v>
          </cell>
        </row>
        <row r="39">
          <cell r="O39" t="str">
            <v>Concrete Diamond Grinding</v>
          </cell>
        </row>
        <row r="40">
          <cell r="O40" t="str">
            <v>Reconstruction Earth</v>
          </cell>
        </row>
        <row r="41">
          <cell r="O41" t="str">
            <v>Reconstruction Gravel</v>
          </cell>
        </row>
        <row r="42">
          <cell r="O42" t="str">
            <v>Reconstruction Block</v>
          </cell>
        </row>
        <row r="43">
          <cell r="O43" t="str">
            <v>Reconstruction Bituminous</v>
          </cell>
        </row>
        <row r="44">
          <cell r="O44" t="str">
            <v>Reconstruction Concrete</v>
          </cell>
        </row>
        <row r="45">
          <cell r="O45" t="str">
            <v>Partial Widening to Gravel 2L</v>
          </cell>
        </row>
        <row r="46">
          <cell r="O46" t="str">
            <v>Partial Widening to Block 2L</v>
          </cell>
        </row>
        <row r="47">
          <cell r="O47" t="str">
            <v>Partial Widening to Bituminous 2L</v>
          </cell>
        </row>
        <row r="48">
          <cell r="O48" t="str">
            <v>Partial Widening to Concrete 2L</v>
          </cell>
        </row>
        <row r="49">
          <cell r="O49" t="str">
            <v>Partial Widening and Reconstruction to Gravel 2L</v>
          </cell>
        </row>
        <row r="50">
          <cell r="O50" t="str">
            <v>Partial Widening and Reconstruction to Block 2L</v>
          </cell>
        </row>
        <row r="51">
          <cell r="O51" t="str">
            <v>Partial Widening and Reconstruction to Bituminous 2L</v>
          </cell>
        </row>
        <row r="52">
          <cell r="O52" t="str">
            <v>Partial Widening and Reconstruction to Concrete 2L</v>
          </cell>
        </row>
        <row r="53">
          <cell r="O53" t="str">
            <v>Widening Adding Bituminous 1L</v>
          </cell>
        </row>
        <row r="54">
          <cell r="O54" t="str">
            <v>Widening Adding Bituminous 2L</v>
          </cell>
        </row>
        <row r="55">
          <cell r="O55" t="str">
            <v>Widening Adding Bituminous 4L</v>
          </cell>
        </row>
        <row r="56">
          <cell r="O56" t="str">
            <v>Widening Adding Concrete 1L</v>
          </cell>
        </row>
        <row r="57">
          <cell r="O57" t="str">
            <v>Widening Adding Concrete 2L</v>
          </cell>
        </row>
        <row r="58">
          <cell r="O58" t="str">
            <v>Widening Adding Concrete 4L</v>
          </cell>
        </row>
        <row r="59">
          <cell r="O59" t="str">
            <v>Widening and Reconstruction Adding Bituminous 1L</v>
          </cell>
        </row>
        <row r="60">
          <cell r="O60" t="str">
            <v>Widening and Reconstruction Adding Bituminous 2L</v>
          </cell>
        </row>
        <row r="61">
          <cell r="O61" t="str">
            <v>Widening and Reconstruction Adding Bituminous 4L</v>
          </cell>
        </row>
        <row r="62">
          <cell r="O62" t="str">
            <v>Widening and Reconstruction Adding Concrete 1L</v>
          </cell>
        </row>
        <row r="63">
          <cell r="O63" t="str">
            <v>Widening and Reconstruction Adding Concrete 2L</v>
          </cell>
        </row>
        <row r="64">
          <cell r="O64" t="str">
            <v>Widening and Reconstruction Adding Concrete 4L</v>
          </cell>
        </row>
        <row r="65">
          <cell r="O65" t="str">
            <v>Upgrading to Earth 2L</v>
          </cell>
        </row>
        <row r="66">
          <cell r="O66" t="str">
            <v>Upgrading to Gravel 2L</v>
          </cell>
        </row>
        <row r="67">
          <cell r="O67" t="str">
            <v>Upgrading to Block 2L</v>
          </cell>
        </row>
        <row r="68">
          <cell r="O68" t="str">
            <v>Upgrading to Bituminous 2L</v>
          </cell>
        </row>
        <row r="69">
          <cell r="O69" t="str">
            <v>Upgrading to Concrete 2L</v>
          </cell>
        </row>
        <row r="70">
          <cell r="O70" t="str">
            <v>New Earth 1L Road</v>
          </cell>
        </row>
        <row r="71">
          <cell r="O71" t="str">
            <v>New Gravel 1L Road</v>
          </cell>
        </row>
        <row r="72">
          <cell r="O72" t="str">
            <v>New Block 1L Road</v>
          </cell>
        </row>
        <row r="73">
          <cell r="O73" t="str">
            <v>New Bituminous 1L Road</v>
          </cell>
        </row>
        <row r="74">
          <cell r="O74" t="str">
            <v>New Concrete 1L Road</v>
          </cell>
        </row>
        <row r="75">
          <cell r="O75" t="str">
            <v>New Earth 2L Highway</v>
          </cell>
        </row>
        <row r="76">
          <cell r="O76" t="str">
            <v>New Gravel 2L Highway</v>
          </cell>
        </row>
        <row r="77">
          <cell r="O77" t="str">
            <v>New Block 2L Highway</v>
          </cell>
        </row>
        <row r="78">
          <cell r="O78" t="str">
            <v>New Bituminous 2L Highway</v>
          </cell>
        </row>
        <row r="79">
          <cell r="O79" t="str">
            <v>New Concrete 2L Highway</v>
          </cell>
        </row>
        <row r="80">
          <cell r="O80" t="str">
            <v>New Bituminous 4L Highway</v>
          </cell>
        </row>
        <row r="81">
          <cell r="O81" t="str">
            <v>New Concrete 4L Highway</v>
          </cell>
        </row>
        <row r="82">
          <cell r="O82" t="str">
            <v>New Bituminous 6L Highway</v>
          </cell>
        </row>
        <row r="83">
          <cell r="O83" t="str">
            <v>New Concrete 6L Highway</v>
          </cell>
        </row>
        <row r="84">
          <cell r="O84" t="str">
            <v>New Bituminous 4L Expressway</v>
          </cell>
        </row>
        <row r="85">
          <cell r="O85" t="str">
            <v>New Concrete 4L Expressway</v>
          </cell>
        </row>
        <row r="86">
          <cell r="O86" t="str">
            <v>New Bituminous 6L Expressway</v>
          </cell>
        </row>
        <row r="87">
          <cell r="O87" t="str">
            <v>New Concrete 6L Expressway</v>
          </cell>
        </row>
      </sheetData>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Unit Costs Database"/>
      <sheetName val="     "/>
      <sheetName val="Auxiliary Tables"/>
    </sheetNames>
    <sheetDataSet>
      <sheetData sheetId="0"/>
      <sheetData sheetId="1"/>
      <sheetData sheetId="2"/>
      <sheetData sheetId="3">
        <row r="7">
          <cell r="B7" t="str">
            <v>Afghanistan</v>
          </cell>
          <cell r="F7" t="str">
            <v>AFG</v>
          </cell>
        </row>
        <row r="8">
          <cell r="F8" t="str">
            <v>ALB</v>
          </cell>
        </row>
        <row r="9">
          <cell r="F9" t="str">
            <v>DZA</v>
          </cell>
        </row>
        <row r="10">
          <cell r="F10" t="str">
            <v>ASM</v>
          </cell>
        </row>
        <row r="11">
          <cell r="F11" t="str">
            <v>ADO</v>
          </cell>
        </row>
        <row r="12">
          <cell r="F12" t="str">
            <v>AGO</v>
          </cell>
        </row>
        <row r="13">
          <cell r="F13" t="str">
            <v>ATG</v>
          </cell>
        </row>
        <row r="14">
          <cell r="F14" t="str">
            <v>ARG</v>
          </cell>
        </row>
        <row r="15">
          <cell r="F15" t="str">
            <v>ARM</v>
          </cell>
        </row>
        <row r="16">
          <cell r="F16" t="str">
            <v>ABW</v>
          </cell>
        </row>
        <row r="17">
          <cell r="F17" t="str">
            <v>AUS</v>
          </cell>
        </row>
        <row r="18">
          <cell r="F18" t="str">
            <v>AUT</v>
          </cell>
        </row>
        <row r="19">
          <cell r="F19" t="str">
            <v>AZE</v>
          </cell>
        </row>
        <row r="20">
          <cell r="F20" t="str">
            <v>BHS</v>
          </cell>
        </row>
        <row r="21">
          <cell r="F21" t="str">
            <v>BHR</v>
          </cell>
        </row>
        <row r="22">
          <cell r="F22" t="str">
            <v>BGD</v>
          </cell>
        </row>
        <row r="23">
          <cell r="F23" t="str">
            <v>BRB</v>
          </cell>
        </row>
        <row r="24">
          <cell r="F24" t="str">
            <v>BLR</v>
          </cell>
        </row>
        <row r="25">
          <cell r="F25" t="str">
            <v>BEL</v>
          </cell>
        </row>
        <row r="26">
          <cell r="F26" t="str">
            <v>BLZ</v>
          </cell>
        </row>
        <row r="27">
          <cell r="F27" t="str">
            <v>BEN</v>
          </cell>
        </row>
        <row r="28">
          <cell r="F28" t="str">
            <v>BMU</v>
          </cell>
        </row>
        <row r="29">
          <cell r="F29" t="str">
            <v>BTN</v>
          </cell>
        </row>
        <row r="30">
          <cell r="F30" t="str">
            <v>BOL</v>
          </cell>
        </row>
        <row r="31">
          <cell r="F31" t="str">
            <v>BIH</v>
          </cell>
        </row>
        <row r="32">
          <cell r="F32" t="str">
            <v>BWA</v>
          </cell>
        </row>
        <row r="33">
          <cell r="F33" t="str">
            <v>BRA</v>
          </cell>
        </row>
        <row r="34">
          <cell r="F34" t="str">
            <v>BRN</v>
          </cell>
        </row>
        <row r="35">
          <cell r="F35" t="str">
            <v>BGR</v>
          </cell>
        </row>
        <row r="36">
          <cell r="F36" t="str">
            <v>BFA</v>
          </cell>
        </row>
        <row r="37">
          <cell r="F37" t="str">
            <v>BDI</v>
          </cell>
        </row>
        <row r="38">
          <cell r="F38" t="str">
            <v>KHM</v>
          </cell>
        </row>
        <row r="39">
          <cell r="F39" t="str">
            <v>CMR</v>
          </cell>
        </row>
        <row r="40">
          <cell r="F40" t="str">
            <v>CAN</v>
          </cell>
        </row>
        <row r="41">
          <cell r="F41" t="str">
            <v>CPV</v>
          </cell>
        </row>
        <row r="42">
          <cell r="F42" t="str">
            <v>CYM</v>
          </cell>
        </row>
        <row r="43">
          <cell r="F43" t="str">
            <v>CAF</v>
          </cell>
        </row>
        <row r="44">
          <cell r="F44" t="str">
            <v>TCD</v>
          </cell>
        </row>
        <row r="45">
          <cell r="F45" t="str">
            <v>CHI</v>
          </cell>
        </row>
        <row r="46">
          <cell r="F46" t="str">
            <v>CHL</v>
          </cell>
        </row>
        <row r="47">
          <cell r="F47" t="str">
            <v>CHN</v>
          </cell>
        </row>
        <row r="48">
          <cell r="F48" t="str">
            <v>COL</v>
          </cell>
        </row>
        <row r="49">
          <cell r="F49" t="str">
            <v>COM</v>
          </cell>
        </row>
        <row r="50">
          <cell r="F50" t="str">
            <v>ZAR</v>
          </cell>
        </row>
        <row r="51">
          <cell r="F51" t="str">
            <v>COG</v>
          </cell>
        </row>
        <row r="52">
          <cell r="F52" t="str">
            <v>CRI</v>
          </cell>
        </row>
        <row r="53">
          <cell r="F53" t="str">
            <v>CIV</v>
          </cell>
        </row>
        <row r="54">
          <cell r="F54" t="str">
            <v>HRV</v>
          </cell>
        </row>
        <row r="55">
          <cell r="F55" t="str">
            <v>CUB</v>
          </cell>
        </row>
        <row r="56">
          <cell r="F56" t="str">
            <v>CYP</v>
          </cell>
        </row>
        <row r="57">
          <cell r="F57" t="str">
            <v>CZE</v>
          </cell>
        </row>
        <row r="58">
          <cell r="F58" t="str">
            <v>DNK</v>
          </cell>
        </row>
        <row r="59">
          <cell r="F59" t="str">
            <v>DJI</v>
          </cell>
        </row>
        <row r="60">
          <cell r="F60" t="str">
            <v>DMA</v>
          </cell>
        </row>
        <row r="61">
          <cell r="F61" t="str">
            <v>DOM</v>
          </cell>
        </row>
        <row r="62">
          <cell r="F62" t="str">
            <v>ECU</v>
          </cell>
        </row>
        <row r="63">
          <cell r="F63" t="str">
            <v>EGY</v>
          </cell>
        </row>
        <row r="64">
          <cell r="F64" t="str">
            <v>SLV</v>
          </cell>
        </row>
        <row r="65">
          <cell r="F65" t="str">
            <v>GNQ</v>
          </cell>
        </row>
        <row r="66">
          <cell r="F66" t="str">
            <v>ERI</v>
          </cell>
        </row>
        <row r="67">
          <cell r="F67" t="str">
            <v>EST</v>
          </cell>
        </row>
        <row r="68">
          <cell r="F68" t="str">
            <v>ETH</v>
          </cell>
        </row>
        <row r="69">
          <cell r="F69" t="str">
            <v>FRO</v>
          </cell>
        </row>
        <row r="70">
          <cell r="F70" t="str">
            <v>FJI</v>
          </cell>
        </row>
        <row r="71">
          <cell r="F71" t="str">
            <v>FIN</v>
          </cell>
        </row>
        <row r="72">
          <cell r="F72" t="str">
            <v>FRA</v>
          </cell>
        </row>
        <row r="73">
          <cell r="F73" t="str">
            <v>PYF</v>
          </cell>
        </row>
        <row r="74">
          <cell r="F74" t="str">
            <v>GAB</v>
          </cell>
        </row>
        <row r="75">
          <cell r="F75" t="str">
            <v>GMB</v>
          </cell>
        </row>
        <row r="76">
          <cell r="F76" t="str">
            <v>GEO</v>
          </cell>
        </row>
        <row r="77">
          <cell r="F77" t="str">
            <v>DEU</v>
          </cell>
        </row>
        <row r="78">
          <cell r="F78" t="str">
            <v>GHA</v>
          </cell>
        </row>
        <row r="79">
          <cell r="F79" t="str">
            <v>GRC</v>
          </cell>
        </row>
        <row r="80">
          <cell r="F80" t="str">
            <v>GRL</v>
          </cell>
        </row>
        <row r="81">
          <cell r="F81" t="str">
            <v>GRD</v>
          </cell>
        </row>
        <row r="82">
          <cell r="F82" t="str">
            <v>GUM</v>
          </cell>
        </row>
        <row r="83">
          <cell r="F83" t="str">
            <v>GTM</v>
          </cell>
        </row>
        <row r="84">
          <cell r="F84" t="str">
            <v>GIN</v>
          </cell>
        </row>
        <row r="85">
          <cell r="F85" t="str">
            <v>GNB</v>
          </cell>
        </row>
        <row r="86">
          <cell r="F86" t="str">
            <v>GUY</v>
          </cell>
        </row>
        <row r="87">
          <cell r="F87" t="str">
            <v>HTI</v>
          </cell>
        </row>
        <row r="88">
          <cell r="F88" t="str">
            <v>HND</v>
          </cell>
        </row>
        <row r="89">
          <cell r="F89" t="str">
            <v>HKG</v>
          </cell>
        </row>
        <row r="90">
          <cell r="F90" t="str">
            <v>HUN</v>
          </cell>
        </row>
        <row r="91">
          <cell r="F91" t="str">
            <v>ISL</v>
          </cell>
        </row>
        <row r="92">
          <cell r="F92" t="str">
            <v>IND</v>
          </cell>
        </row>
        <row r="93">
          <cell r="F93" t="str">
            <v>IDN</v>
          </cell>
        </row>
        <row r="94">
          <cell r="F94" t="str">
            <v>IRN</v>
          </cell>
        </row>
        <row r="95">
          <cell r="F95" t="str">
            <v>IRQ</v>
          </cell>
        </row>
        <row r="96">
          <cell r="F96" t="str">
            <v>IRL</v>
          </cell>
        </row>
        <row r="97">
          <cell r="F97" t="str">
            <v>IMY</v>
          </cell>
        </row>
        <row r="98">
          <cell r="F98" t="str">
            <v>ISR</v>
          </cell>
        </row>
        <row r="99">
          <cell r="F99" t="str">
            <v>ITA</v>
          </cell>
        </row>
        <row r="100">
          <cell r="F100" t="str">
            <v>JAM</v>
          </cell>
        </row>
        <row r="101">
          <cell r="F101" t="str">
            <v>JPN</v>
          </cell>
        </row>
        <row r="102">
          <cell r="F102" t="str">
            <v>JOR</v>
          </cell>
        </row>
        <row r="103">
          <cell r="F103" t="str">
            <v>KAZ</v>
          </cell>
        </row>
        <row r="104">
          <cell r="F104" t="str">
            <v>KEN</v>
          </cell>
        </row>
        <row r="105">
          <cell r="F105" t="str">
            <v>KIR</v>
          </cell>
        </row>
        <row r="106">
          <cell r="F106" t="str">
            <v>PRK</v>
          </cell>
        </row>
        <row r="107">
          <cell r="F107" t="str">
            <v>KOR</v>
          </cell>
        </row>
        <row r="108">
          <cell r="F108" t="str">
            <v>KWT</v>
          </cell>
        </row>
        <row r="109">
          <cell r="F109" t="str">
            <v>KGZ</v>
          </cell>
        </row>
        <row r="110">
          <cell r="F110" t="str">
            <v>LAO</v>
          </cell>
        </row>
        <row r="111">
          <cell r="F111" t="str">
            <v>LVA</v>
          </cell>
        </row>
        <row r="112">
          <cell r="F112" t="str">
            <v>LBN</v>
          </cell>
        </row>
        <row r="113">
          <cell r="F113" t="str">
            <v>LSO</v>
          </cell>
        </row>
        <row r="114">
          <cell r="F114" t="str">
            <v>LBR</v>
          </cell>
        </row>
        <row r="115">
          <cell r="F115" t="str">
            <v>LBY</v>
          </cell>
        </row>
        <row r="116">
          <cell r="F116" t="str">
            <v>LIE</v>
          </cell>
        </row>
        <row r="117">
          <cell r="F117" t="str">
            <v>LTU</v>
          </cell>
        </row>
        <row r="118">
          <cell r="F118" t="str">
            <v>LUX</v>
          </cell>
        </row>
        <row r="119">
          <cell r="F119" t="str">
            <v>MAC</v>
          </cell>
        </row>
        <row r="120">
          <cell r="F120" t="str">
            <v>MKD</v>
          </cell>
        </row>
        <row r="121">
          <cell r="F121" t="str">
            <v>MDG</v>
          </cell>
        </row>
        <row r="122">
          <cell r="F122" t="str">
            <v>MWI</v>
          </cell>
        </row>
        <row r="123">
          <cell r="F123" t="str">
            <v>MYS</v>
          </cell>
        </row>
        <row r="124">
          <cell r="F124" t="str">
            <v>MDV</v>
          </cell>
        </row>
        <row r="125">
          <cell r="F125" t="str">
            <v>MLI</v>
          </cell>
        </row>
        <row r="126">
          <cell r="F126" t="str">
            <v>MLT</v>
          </cell>
        </row>
        <row r="127">
          <cell r="F127" t="str">
            <v>MHL</v>
          </cell>
        </row>
        <row r="128">
          <cell r="F128" t="str">
            <v>MRT</v>
          </cell>
        </row>
        <row r="129">
          <cell r="F129" t="str">
            <v>MUS</v>
          </cell>
        </row>
        <row r="130">
          <cell r="F130" t="str">
            <v>MYT</v>
          </cell>
        </row>
        <row r="131">
          <cell r="F131" t="str">
            <v>MEX</v>
          </cell>
        </row>
        <row r="132">
          <cell r="F132" t="str">
            <v>FSM</v>
          </cell>
        </row>
        <row r="133">
          <cell r="F133" t="str">
            <v>MDA</v>
          </cell>
        </row>
        <row r="134">
          <cell r="F134" t="str">
            <v>MCO</v>
          </cell>
        </row>
        <row r="135">
          <cell r="F135" t="str">
            <v>MNG</v>
          </cell>
        </row>
        <row r="136">
          <cell r="F136" t="str">
            <v>MAR</v>
          </cell>
        </row>
        <row r="137">
          <cell r="F137" t="str">
            <v>MOZ</v>
          </cell>
        </row>
        <row r="138">
          <cell r="F138" t="str">
            <v>MMR</v>
          </cell>
        </row>
        <row r="139">
          <cell r="F139" t="str">
            <v>MNP</v>
          </cell>
        </row>
        <row r="140">
          <cell r="F140" t="str">
            <v>NAM</v>
          </cell>
        </row>
        <row r="141">
          <cell r="F141" t="str">
            <v>NPL</v>
          </cell>
        </row>
        <row r="142">
          <cell r="F142" t="str">
            <v>NLD</v>
          </cell>
        </row>
        <row r="143">
          <cell r="F143" t="str">
            <v>ANT</v>
          </cell>
        </row>
        <row r="144">
          <cell r="F144" t="str">
            <v>NCL</v>
          </cell>
        </row>
        <row r="145">
          <cell r="F145" t="str">
            <v>NZL</v>
          </cell>
        </row>
        <row r="146">
          <cell r="F146" t="str">
            <v>NIC</v>
          </cell>
        </row>
        <row r="147">
          <cell r="F147" t="str">
            <v>NER</v>
          </cell>
        </row>
        <row r="148">
          <cell r="F148" t="str">
            <v>NGA</v>
          </cell>
        </row>
        <row r="149">
          <cell r="F149" t="str">
            <v>NOR</v>
          </cell>
        </row>
        <row r="150">
          <cell r="F150" t="str">
            <v>OMN</v>
          </cell>
        </row>
        <row r="151">
          <cell r="F151" t="str">
            <v>PAK</v>
          </cell>
        </row>
        <row r="152">
          <cell r="F152" t="str">
            <v>PLW</v>
          </cell>
        </row>
        <row r="153">
          <cell r="F153" t="str">
            <v>PAN</v>
          </cell>
        </row>
        <row r="154">
          <cell r="F154" t="str">
            <v>PNG</v>
          </cell>
        </row>
        <row r="155">
          <cell r="F155" t="str">
            <v>PRY</v>
          </cell>
        </row>
        <row r="156">
          <cell r="F156" t="str">
            <v>PER</v>
          </cell>
        </row>
        <row r="157">
          <cell r="F157" t="str">
            <v>PHL</v>
          </cell>
        </row>
        <row r="158">
          <cell r="F158" t="str">
            <v>POL</v>
          </cell>
        </row>
        <row r="159">
          <cell r="F159" t="str">
            <v>PRT</v>
          </cell>
        </row>
        <row r="160">
          <cell r="F160" t="str">
            <v>PRI</v>
          </cell>
        </row>
        <row r="161">
          <cell r="F161" t="str">
            <v>QAT</v>
          </cell>
        </row>
        <row r="162">
          <cell r="F162" t="str">
            <v>ROM</v>
          </cell>
        </row>
        <row r="163">
          <cell r="F163" t="str">
            <v>RUS</v>
          </cell>
        </row>
        <row r="164">
          <cell r="F164" t="str">
            <v>RWA</v>
          </cell>
        </row>
        <row r="165">
          <cell r="F165" t="str">
            <v>WSM</v>
          </cell>
        </row>
        <row r="166">
          <cell r="F166" t="str">
            <v>STP</v>
          </cell>
        </row>
        <row r="167">
          <cell r="F167" t="str">
            <v>SAU</v>
          </cell>
        </row>
        <row r="168">
          <cell r="F168" t="str">
            <v>SEN</v>
          </cell>
        </row>
        <row r="169">
          <cell r="F169" t="str">
            <v>SYC</v>
          </cell>
        </row>
        <row r="170">
          <cell r="F170" t="str">
            <v>SLE</v>
          </cell>
        </row>
        <row r="171">
          <cell r="F171" t="str">
            <v>SGP</v>
          </cell>
        </row>
        <row r="172">
          <cell r="F172" t="str">
            <v>SVK</v>
          </cell>
        </row>
        <row r="173">
          <cell r="F173" t="str">
            <v>SVN</v>
          </cell>
        </row>
        <row r="174">
          <cell r="F174" t="str">
            <v>SLB</v>
          </cell>
        </row>
        <row r="175">
          <cell r="F175" t="str">
            <v>SOM</v>
          </cell>
        </row>
        <row r="176">
          <cell r="F176" t="str">
            <v>ZAF</v>
          </cell>
        </row>
        <row r="177">
          <cell r="F177" t="str">
            <v>ESP</v>
          </cell>
        </row>
        <row r="178">
          <cell r="F178" t="str">
            <v>LKA</v>
          </cell>
        </row>
        <row r="179">
          <cell r="F179" t="str">
            <v>KNA</v>
          </cell>
        </row>
        <row r="180">
          <cell r="F180" t="str">
            <v>LCA</v>
          </cell>
        </row>
        <row r="181">
          <cell r="F181" t="str">
            <v>VCT</v>
          </cell>
        </row>
        <row r="182">
          <cell r="F182" t="str">
            <v>SDN</v>
          </cell>
        </row>
        <row r="183">
          <cell r="F183" t="str">
            <v>SUR</v>
          </cell>
        </row>
        <row r="184">
          <cell r="F184" t="str">
            <v>SWZ</v>
          </cell>
        </row>
        <row r="185">
          <cell r="F185" t="str">
            <v>SWE</v>
          </cell>
        </row>
        <row r="186">
          <cell r="F186" t="str">
            <v>CHE</v>
          </cell>
        </row>
        <row r="187">
          <cell r="F187" t="str">
            <v>SYR</v>
          </cell>
        </row>
        <row r="188">
          <cell r="F188" t="str">
            <v>TJK</v>
          </cell>
        </row>
        <row r="189">
          <cell r="F189" t="str">
            <v>TZA</v>
          </cell>
        </row>
        <row r="190">
          <cell r="F190" t="str">
            <v>THA</v>
          </cell>
        </row>
        <row r="191">
          <cell r="F191" t="str">
            <v>TGO</v>
          </cell>
        </row>
        <row r="192">
          <cell r="F192" t="str">
            <v>TON</v>
          </cell>
        </row>
        <row r="193">
          <cell r="F193" t="str">
            <v>TTO</v>
          </cell>
        </row>
        <row r="194">
          <cell r="F194" t="str">
            <v>TUN</v>
          </cell>
        </row>
        <row r="195">
          <cell r="F195" t="str">
            <v>TUR</v>
          </cell>
        </row>
        <row r="196">
          <cell r="F196" t="str">
            <v>TKM</v>
          </cell>
        </row>
        <row r="197">
          <cell r="F197" t="str">
            <v>UGA</v>
          </cell>
        </row>
        <row r="198">
          <cell r="F198" t="str">
            <v>UKR</v>
          </cell>
        </row>
        <row r="199">
          <cell r="F199" t="str">
            <v>ARE</v>
          </cell>
        </row>
        <row r="200">
          <cell r="F200" t="str">
            <v>GBR</v>
          </cell>
        </row>
        <row r="201">
          <cell r="F201" t="str">
            <v>USA</v>
          </cell>
        </row>
        <row r="202">
          <cell r="F202" t="str">
            <v>URY</v>
          </cell>
        </row>
        <row r="203">
          <cell r="F203" t="str">
            <v>UZB</v>
          </cell>
        </row>
        <row r="204">
          <cell r="F204" t="str">
            <v>VUT</v>
          </cell>
        </row>
        <row r="205">
          <cell r="F205" t="str">
            <v>VEN</v>
          </cell>
        </row>
        <row r="206">
          <cell r="F206" t="str">
            <v>VNM</v>
          </cell>
        </row>
        <row r="207">
          <cell r="F207" t="str">
            <v>VIR</v>
          </cell>
        </row>
        <row r="208">
          <cell r="F208" t="str">
            <v>WBG</v>
          </cell>
        </row>
        <row r="209">
          <cell r="F209" t="str">
            <v>YEM</v>
          </cell>
        </row>
        <row r="210">
          <cell r="F210" t="str">
            <v>YUG</v>
          </cell>
        </row>
        <row r="211">
          <cell r="F211" t="str">
            <v>ZMB</v>
          </cell>
        </row>
        <row r="212">
          <cell r="F212" t="str">
            <v>ZWE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692768171299" createdVersion="6" refreshedVersion="6" minRefreshableVersion="3" recordCount="561" xr:uid="{00000000-000A-0000-FFFF-FFFFBE000000}">
  <cacheSource type="worksheet">
    <worksheetSource ref="A3:AD564" sheet="All Ratios"/>
  </cacheSource>
  <cacheFields count="30">
    <cacheField name="Country" numFmtId="0">
      <sharedItems/>
    </cacheField>
    <cacheField name="Region" numFmtId="0">
      <sharedItems/>
    </cacheField>
    <cacheField name="Project ID" numFmtId="0">
      <sharedItems containsMixedTypes="1" containsNumber="1" containsInteger="1" minValue="0" maxValue="0"/>
    </cacheField>
    <cacheField name="Component" numFmtId="0">
      <sharedItems/>
    </cacheField>
    <cacheField name="Section" numFmtId="0">
      <sharedItems/>
    </cacheField>
    <cacheField name="Code" numFmtId="0">
      <sharedItems/>
    </cacheField>
    <cacheField name="Cost Type" numFmtId="0">
      <sharedItems/>
    </cacheField>
    <cacheField name="Year" numFmtId="0">
      <sharedItems/>
    </cacheField>
    <cacheField name="Work Type" numFmtId="0">
      <sharedItems/>
    </cacheField>
    <cacheField name="Duration" numFmtId="9">
      <sharedItems containsBlank="1" containsMixedTypes="1" containsNumber="1" minValue="0.26666666666666666" maxValue="8.25"/>
    </cacheField>
    <cacheField name="Length (km)" numFmtId="9">
      <sharedItems containsSemiMixedTypes="0" containsString="0" containsNumber="1" minValue="6.25E-2" maxValue="4.8700071528065347"/>
    </cacheField>
    <cacheField name="Cost _x000a_(M)" numFmtId="9">
      <sharedItems containsString="0" containsBlank="1" containsNumber="1" minValue="9.8801425665107037E-2" maxValue="6.9"/>
    </cacheField>
    <cacheField name="CCY" numFmtId="0">
      <sharedItems containsNonDate="0" containsString="0" containsBlank="1"/>
    </cacheField>
    <cacheField name="Cost _x000a_(M; USD)" numFmtId="9">
      <sharedItems containsSemiMixedTypes="0" containsString="0" containsNumber="1" minValue="9.313116322315898E-2" maxValue="9.8834498834498827"/>
    </cacheField>
    <cacheField name="Unit Cost" numFmtId="9">
      <sharedItems containsSemiMixedTypes="0" containsString="0" containsNumber="1" minValue="8.8832801843628573E-2" maxValue="9.8834498834498827"/>
    </cacheField>
    <cacheField name="Agg check" numFmtId="2">
      <sharedItems/>
    </cacheField>
    <cacheField name="Length_outlier_over" numFmtId="2">
      <sharedItems containsSemiMixedTypes="0" containsString="0" containsNumber="1" containsInteger="1" minValue="0" maxValue="1" count="2">
        <n v="0"/>
        <n v="1"/>
      </sharedItems>
    </cacheField>
    <cacheField name="Length_outlier_under" numFmtId="2">
      <sharedItems containsSemiMixedTypes="0" containsString="0" containsNumber="1" containsInteger="1" minValue="0" maxValue="1" count="2">
        <n v="0"/>
        <n v="1"/>
      </sharedItems>
    </cacheField>
    <cacheField name="cost_outlier_over" numFmtId="2">
      <sharedItems containsSemiMixedTypes="0" containsString="0" containsNumber="1" containsInteger="1" minValue="0" maxValue="1"/>
    </cacheField>
    <cacheField name="cost_outlier_under" numFmtId="2">
      <sharedItems containsSemiMixedTypes="0" containsString="0" containsNumber="1" containsInteger="1" minValue="0" maxValue="1"/>
    </cacheField>
    <cacheField name="Macroeconomic conditions" numFmtId="1">
      <sharedItems containsMixedTypes="1" containsNumber="1" containsInteger="1" minValue="1" maxValue="1"/>
    </cacheField>
    <cacheField name="Political events" numFmtId="1">
      <sharedItems containsMixedTypes="1" containsNumber="1" containsInteger="1" minValue="1" maxValue="1"/>
    </cacheField>
    <cacheField name="Weather shocks" numFmtId="1">
      <sharedItems containsMixedTypes="1" containsNumber="1" containsInteger="1" minValue="1" maxValue="1"/>
    </cacheField>
    <cacheField name="Procurement system" numFmtId="1">
      <sharedItems containsMixedTypes="1" containsNumber="1" containsInteger="1" minValue="1" maxValue="1"/>
    </cacheField>
    <cacheField name="Administrative processes" numFmtId="1">
      <sharedItems containsMixedTypes="1" containsNumber="1" containsInteger="1" minValue="1" maxValue="1"/>
    </cacheField>
    <cacheField name="Capacity of counterpart" numFmtId="1">
      <sharedItems containsMixedTypes="1" containsNumber="1" containsInteger="1" minValue="1" maxValue="1"/>
    </cacheField>
    <cacheField name="Capacity of contractors" numFmtId="1">
      <sharedItems containsMixedTypes="1" containsNumber="1" containsInteger="1" minValue="1" maxValue="1"/>
    </cacheField>
    <cacheField name="Competition" numFmtId="1">
      <sharedItems containsMixedTypes="1" containsNumber="1" containsInteger="1" minValue="1" maxValue="1"/>
    </cacheField>
    <cacheField name="Quality of estimates" numFmtId="1">
      <sharedItems containsMixedTypes="1" containsNumber="1" containsInteger="1" minValue="1" maxValue="1"/>
    </cacheField>
    <cacheField name="Change of project scope" numFmtId="1">
      <sharedItems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692813888891" createdVersion="6" refreshedVersion="6" minRefreshableVersion="3" recordCount="562" xr:uid="{00000000-000A-0000-FFFF-FFFFBF000000}">
  <cacheSource type="worksheet">
    <worksheetSource ref="A3:AD565" sheet="All Ratios"/>
  </cacheSource>
  <cacheFields count="30">
    <cacheField name="Country" numFmtId="0">
      <sharedItems containsBlank="1"/>
    </cacheField>
    <cacheField name="Region" numFmtId="0">
      <sharedItems containsBlank="1"/>
    </cacheField>
    <cacheField name="Project ID" numFmtId="0">
      <sharedItems containsBlank="1" containsMixedTypes="1" containsNumber="1" containsInteger="1" minValue="0" maxValue="0"/>
    </cacheField>
    <cacheField name="Component" numFmtId="0">
      <sharedItems containsBlank="1"/>
    </cacheField>
    <cacheField name="Section" numFmtId="0">
      <sharedItems containsBlank="1"/>
    </cacheField>
    <cacheField name="Code" numFmtId="0">
      <sharedItems containsBlank="1"/>
    </cacheField>
    <cacheField name="Cost Type" numFmtId="0">
      <sharedItems containsBlank="1"/>
    </cacheField>
    <cacheField name="Year" numFmtId="0">
      <sharedItems containsBlank="1"/>
    </cacheField>
    <cacheField name="Work Type" numFmtId="0">
      <sharedItems containsBlank="1"/>
    </cacheField>
    <cacheField name="Duration" numFmtId="0">
      <sharedItems containsBlank="1" containsMixedTypes="1" containsNumber="1" minValue="0.26666666666666666" maxValue="8.25"/>
    </cacheField>
    <cacheField name="Length (km)" numFmtId="0">
      <sharedItems containsString="0" containsBlank="1" containsNumber="1" minValue="6.25E-2" maxValue="4.8700071528065347"/>
    </cacheField>
    <cacheField name="Cost _x000a_(M)" numFmtId="0">
      <sharedItems containsString="0" containsBlank="1" containsNumber="1" minValue="9.8801425665107037E-2" maxValue="6.9"/>
    </cacheField>
    <cacheField name="CCY" numFmtId="0">
      <sharedItems containsNonDate="0" containsString="0" containsBlank="1"/>
    </cacheField>
    <cacheField name="Cost _x000a_(M; USD)" numFmtId="0">
      <sharedItems containsString="0" containsBlank="1" containsNumber="1" minValue="9.313116322315898E-2" maxValue="9.8834498834498827"/>
    </cacheField>
    <cacheField name="Unit Cost" numFmtId="0">
      <sharedItems containsString="0" containsBlank="1" containsNumber="1" minValue="8.8832801843628573E-2" maxValue="9.8834498834498827"/>
    </cacheField>
    <cacheField name="Agg check" numFmtId="0">
      <sharedItems containsBlank="1"/>
    </cacheField>
    <cacheField name="Length_outlier_over" numFmtId="0">
      <sharedItems containsString="0" containsBlank="1" containsNumber="1" containsInteger="1" minValue="0" maxValue="1"/>
    </cacheField>
    <cacheField name="Length_outlier_under" numFmtId="0">
      <sharedItems containsString="0" containsBlank="1" containsNumber="1" containsInteger="1" minValue="0" maxValue="1"/>
    </cacheField>
    <cacheField name="cost_outlier_over" numFmtId="0">
      <sharedItems containsString="0" containsBlank="1" containsNumber="1" containsInteger="1" minValue="0" maxValue="1" count="3">
        <n v="1"/>
        <n v="0"/>
        <m/>
      </sharedItems>
    </cacheField>
    <cacheField name="cost_outlier_under" numFmtId="0">
      <sharedItems containsString="0" containsBlank="1" containsNumber="1" containsInteger="1" minValue="0" maxValue="1" count="3">
        <n v="0"/>
        <n v="1"/>
        <m/>
      </sharedItems>
    </cacheField>
    <cacheField name="Macroeconomic conditions" numFmtId="0">
      <sharedItems containsBlank="1" containsMixedTypes="1" containsNumber="1" containsInteger="1" minValue="1" maxValue="1"/>
    </cacheField>
    <cacheField name="Political events" numFmtId="0">
      <sharedItems containsBlank="1" containsMixedTypes="1" containsNumber="1" containsInteger="1" minValue="1" maxValue="1"/>
    </cacheField>
    <cacheField name="Weather shocks" numFmtId="0">
      <sharedItems containsBlank="1" containsMixedTypes="1" containsNumber="1" containsInteger="1" minValue="1" maxValue="1"/>
    </cacheField>
    <cacheField name="Procurement system" numFmtId="0">
      <sharedItems containsBlank="1" containsMixedTypes="1" containsNumber="1" containsInteger="1" minValue="1" maxValue="1"/>
    </cacheField>
    <cacheField name="Administrative processes" numFmtId="0">
      <sharedItems containsBlank="1" containsMixedTypes="1" containsNumber="1" containsInteger="1" minValue="1" maxValue="1"/>
    </cacheField>
    <cacheField name="Capacity of counterpart" numFmtId="0">
      <sharedItems containsBlank="1" containsMixedTypes="1" containsNumber="1" containsInteger="1" minValue="1" maxValue="1"/>
    </cacheField>
    <cacheField name="Capacity of contractors" numFmtId="0">
      <sharedItems containsBlank="1" containsMixedTypes="1" containsNumber="1" containsInteger="1" minValue="1" maxValue="1"/>
    </cacheField>
    <cacheField name="Competition" numFmtId="0">
      <sharedItems containsBlank="1" containsMixedTypes="1" containsNumber="1" containsInteger="1" minValue="1" maxValue="1"/>
    </cacheField>
    <cacheField name="Quality of estimates" numFmtId="0">
      <sharedItems containsBlank="1" containsMixedTypes="1" containsNumber="1" containsInteger="1" minValue="1" maxValue="1"/>
    </cacheField>
    <cacheField name="Change of project scope" numFmtId="0">
      <sharedItems containsBlank="1"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731372106478" createdVersion="6" refreshedVersion="6" minRefreshableVersion="3" recordCount="1685" xr:uid="{00000000-000A-0000-FFFF-FFFFC0000000}">
  <cacheSource type="worksheet">
    <worksheetSource ref="A3:U1706" sheet="All"/>
  </cacheSource>
  <cacheFields count="21">
    <cacheField name="Country" numFmtId="0">
      <sharedItems containsBlank="1"/>
    </cacheField>
    <cacheField name="Region" numFmtId="0">
      <sharedItems containsBlank="1"/>
    </cacheField>
    <cacheField name="Project ID" numFmtId="0">
      <sharedItems containsBlank="1" containsMixedTypes="1" containsNumber="1" containsInteger="1" minValue="0" maxValue="0"/>
    </cacheField>
    <cacheField name="Component" numFmtId="0">
      <sharedItems containsBlank="1"/>
    </cacheField>
    <cacheField name="Section" numFmtId="0">
      <sharedItems containsBlank="1"/>
    </cacheField>
    <cacheField name="Code" numFmtId="0">
      <sharedItems containsBlank="1"/>
    </cacheField>
    <cacheField name="Cost Type" numFmtId="0">
      <sharedItems containsBlank="1" count="4">
        <s v="Estimate"/>
        <s v="Actual"/>
        <s v="Ratio"/>
        <m/>
      </sharedItems>
    </cacheField>
    <cacheField name="Year" numFmtId="0">
      <sharedItems containsBlank="1" containsMixedTypes="1" containsNumber="1" containsInteger="1" minValue="1985" maxValue="2017"/>
    </cacheField>
    <cacheField name="Work Type" numFmtId="0">
      <sharedItems containsBlank="1" count="18">
        <s v="Strengthening"/>
        <s v="Upgrading"/>
        <s v="Reconstruction"/>
        <s v="Bituminous Pavement Preventive Treatment"/>
        <s v="Routine Maintenance"/>
        <s v="Asphalt Mix Resurfacing"/>
        <s v="Surface Treatment Resurfacing"/>
        <s v="New 2L Highway"/>
        <s v="New 4L Expressway"/>
        <s v="Widening"/>
        <s v="Partial Widening"/>
        <s v="Widening and Reconstruction"/>
        <s v="New 1L Road"/>
        <s v="Gravel Resurfacing"/>
        <s v="New 6L Expressway"/>
        <s v="Partial Widening and Reconstruction"/>
        <s v="Concrete Pavement Restoration"/>
        <m/>
      </sharedItems>
    </cacheField>
    <cacheField name="Duration" numFmtId="0">
      <sharedItems containsBlank="1" containsMixedTypes="1" containsNumber="1" minValue="9.4240000000000004E-2" maxValue="93"/>
    </cacheField>
    <cacheField name="Length (km)" numFmtId="0">
      <sharedItems containsString="0" containsBlank="1" containsNumber="1" minValue="6.25E-2" maxValue="25028"/>
    </cacheField>
    <cacheField name="Cost _x000a_(M)" numFmtId="0">
      <sharedItems containsString="0" containsBlank="1" containsNumber="1" minValue="1.85846E-2" maxValue="19978.47"/>
    </cacheField>
    <cacheField name="CCY" numFmtId="0">
      <sharedItems containsBlank="1"/>
    </cacheField>
    <cacheField name="Cost _x000a_(M; USD)" numFmtId="0">
      <sharedItems containsString="0" containsBlank="1" containsNumber="1" minValue="5.6646696601912842E-3" maxValue="2000.66"/>
    </cacheField>
    <cacheField name="Unit costs" numFmtId="0">
      <sharedItems containsString="0" containsBlank="1" containsNumber="1" minValue="5.0129820001692782E-5" maxValue="28.125"/>
    </cacheField>
    <cacheField name="Check_lenght_under" numFmtId="0">
      <sharedItems containsBlank="1"/>
    </cacheField>
    <cacheField name="Check_cost_under" numFmtId="0">
      <sharedItems containsBlank="1"/>
    </cacheField>
    <cacheField name="Check_cost_over" numFmtId="0">
      <sharedItems containsBlank="1"/>
    </cacheField>
    <cacheField name="Check_cost_over2" numFmtId="0">
      <sharedItems containsBlank="1"/>
    </cacheField>
    <cacheField name="Agg check" numFmtId="0">
      <sharedItems containsBlank="1" longText="1"/>
    </cacheField>
    <cacheField name="Outlier Categori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732175462967" createdVersion="6" refreshedVersion="6" minRefreshableVersion="3" recordCount="563" xr:uid="{00000000-000A-0000-FFFF-FFFFC1000000}">
  <cacheSource type="worksheet">
    <worksheetSource ref="A3:AE569" sheet="All Ratios"/>
  </cacheSource>
  <cacheFields count="31">
    <cacheField name="Country" numFmtId="0">
      <sharedItems containsBlank="1"/>
    </cacheField>
    <cacheField name="Region" numFmtId="0">
      <sharedItems containsBlank="1"/>
    </cacheField>
    <cacheField name="Project ID" numFmtId="0">
      <sharedItems containsBlank="1" containsMixedTypes="1" containsNumber="1" containsInteger="1" minValue="0" maxValue="0"/>
    </cacheField>
    <cacheField name="Component" numFmtId="0">
      <sharedItems containsBlank="1"/>
    </cacheField>
    <cacheField name="Section" numFmtId="0">
      <sharedItems containsBlank="1"/>
    </cacheField>
    <cacheField name="Code" numFmtId="0">
      <sharedItems containsBlank="1"/>
    </cacheField>
    <cacheField name="Cost Type" numFmtId="0">
      <sharedItems containsBlank="1"/>
    </cacheField>
    <cacheField name="Year" numFmtId="0">
      <sharedItems containsBlank="1"/>
    </cacheField>
    <cacheField name="Work Type" numFmtId="0">
      <sharedItems containsBlank="1" count="20">
        <s v="Reconstruction"/>
        <s v="Strengthening"/>
        <s v="Upgrading"/>
        <s v="Routine Maintenance"/>
        <s v="Widening"/>
        <s v="New 4L Expressway"/>
        <s v="Asphalt Mix Resurfacing"/>
        <s v="New 1L Road"/>
        <s v="Surface Treatment Resurfacing"/>
        <s v="New 6L Expressway"/>
        <s v="Gravel Resurfacing"/>
        <s v="Partial Widening and Reconstruction"/>
        <s v="Widening and Reconstruction"/>
        <s v="Partial Widening"/>
        <s v="New 2L Highway"/>
        <s v="Bituminous Pavement Preventive Treatment"/>
        <s v="Concrete Pavement Restoration"/>
        <m/>
        <s v="New 4L Highway" u="1"/>
        <s v="Reconstruction " u="1"/>
      </sharedItems>
    </cacheField>
    <cacheField name="Duration" numFmtId="0">
      <sharedItems containsBlank="1" containsMixedTypes="1" containsNumber="1" minValue="0.26666666666666666" maxValue="8.25"/>
    </cacheField>
    <cacheField name="Length (km)" numFmtId="0">
      <sharedItems containsString="0" containsBlank="1" containsNumber="1" minValue="6.25E-2" maxValue="4.8700071528065347"/>
    </cacheField>
    <cacheField name="Cost _x000a_(M)" numFmtId="0">
      <sharedItems containsString="0" containsBlank="1" containsNumber="1" minValue="9.8801425665107037E-2" maxValue="6.9"/>
    </cacheField>
    <cacheField name="CCY" numFmtId="0">
      <sharedItems containsNonDate="0" containsString="0" containsBlank="1"/>
    </cacheField>
    <cacheField name="Cost _x000a_(M; USD)" numFmtId="0">
      <sharedItems containsString="0" containsBlank="1" containsNumber="1" minValue="9.313116322315898E-2" maxValue="9.8834498834498827"/>
    </cacheField>
    <cacheField name="Unit Cost" numFmtId="0">
      <sharedItems containsString="0" containsBlank="1" containsNumber="1" minValue="8.8832801843628573E-2" maxValue="9.8834498834498827"/>
    </cacheField>
    <cacheField name="Agg check" numFmtId="0">
      <sharedItems containsBlank="1"/>
    </cacheField>
    <cacheField name="Length_outlier_over" numFmtId="0">
      <sharedItems containsString="0" containsBlank="1" containsNumber="1" containsInteger="1" minValue="0" maxValue="1"/>
    </cacheField>
    <cacheField name="Length_outlier_under" numFmtId="0">
      <sharedItems containsString="0" containsBlank="1" containsNumber="1" containsInteger="1" minValue="0" maxValue="1"/>
    </cacheField>
    <cacheField name="cost_outlier_over" numFmtId="0">
      <sharedItems containsString="0" containsBlank="1" containsNumber="1" containsInteger="1" minValue="0" maxValue="1" count="3">
        <n v="1"/>
        <n v="0"/>
        <m/>
      </sharedItems>
    </cacheField>
    <cacheField name="cost_outlier_under" numFmtId="0">
      <sharedItems containsString="0" containsBlank="1" containsNumber="1" containsInteger="1" minValue="0" maxValue="1"/>
    </cacheField>
    <cacheField name="Macroeconomic conditions" numFmtId="0">
      <sharedItems containsBlank="1" containsMixedTypes="1" containsNumber="1" containsInteger="1" minValue="1" maxValue="1"/>
    </cacheField>
    <cacheField name="Political events" numFmtId="0">
      <sharedItems containsBlank="1" containsMixedTypes="1" containsNumber="1" containsInteger="1" minValue="1" maxValue="1"/>
    </cacheField>
    <cacheField name="Weather shocks" numFmtId="0">
      <sharedItems containsBlank="1" containsMixedTypes="1" containsNumber="1" containsInteger="1" minValue="1" maxValue="1"/>
    </cacheField>
    <cacheField name="Procurement system" numFmtId="0">
      <sharedItems containsBlank="1" containsMixedTypes="1" containsNumber="1" containsInteger="1" minValue="1" maxValue="1"/>
    </cacheField>
    <cacheField name="Administrative processes" numFmtId="0">
      <sharedItems containsBlank="1" containsMixedTypes="1" containsNumber="1" containsInteger="1" minValue="1" maxValue="1"/>
    </cacheField>
    <cacheField name="Capacity of counterpart" numFmtId="0">
      <sharedItems containsBlank="1" containsMixedTypes="1" containsNumber="1" containsInteger="1" minValue="1" maxValue="1"/>
    </cacheField>
    <cacheField name="Capacity of contractors" numFmtId="0">
      <sharedItems containsBlank="1" containsMixedTypes="1" containsNumber="1" containsInteger="1" minValue="1" maxValue="1"/>
    </cacheField>
    <cacheField name="Competition" numFmtId="0">
      <sharedItems containsBlank="1" containsMixedTypes="1" containsNumber="1" containsInteger="1" minValue="1" maxValue="1"/>
    </cacheField>
    <cacheField name="Quality of estimates" numFmtId="0">
      <sharedItems containsBlank="1" containsMixedTypes="1" containsNumber="1" containsInteger="1" minValue="1" maxValue="1"/>
    </cacheField>
    <cacheField name="Change of project scope" numFmtId="0">
      <sharedItems containsBlank="1" containsMixedTypes="1" containsNumber="1" containsInteger="1" minValue="1" maxValue="1"/>
    </cacheField>
    <cacheField name="Outlier Categorie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757879050929" createdVersion="6" refreshedVersion="6" minRefreshableVersion="3" recordCount="561" xr:uid="{00000000-000A-0000-FFFF-FFFFC2000000}">
  <cacheSource type="worksheet">
    <worksheetSource ref="A3:T564" sheet="All Ratios"/>
  </cacheSource>
  <cacheFields count="20">
    <cacheField name="Country" numFmtId="0">
      <sharedItems/>
    </cacheField>
    <cacheField name="Region" numFmtId="0">
      <sharedItems count="7">
        <s v="Sub-Saharan Africa"/>
        <s v="Europe and Central Asia"/>
        <s v="East Asia and Pacific"/>
        <s v="South Asia"/>
        <s v="Latin America and Caribbean"/>
        <s v="Middle East and North Africa"/>
        <s v="Central Asia" u="1"/>
      </sharedItems>
    </cacheField>
    <cacheField name="Project ID" numFmtId="0">
      <sharedItems containsMixedTypes="1" containsNumber="1" containsInteger="1" minValue="0" maxValue="0"/>
    </cacheField>
    <cacheField name="Component" numFmtId="0">
      <sharedItems/>
    </cacheField>
    <cacheField name="Section" numFmtId="0">
      <sharedItems/>
    </cacheField>
    <cacheField name="Code" numFmtId="0">
      <sharedItems/>
    </cacheField>
    <cacheField name="Cost Type" numFmtId="0">
      <sharedItems/>
    </cacheField>
    <cacheField name="Year" numFmtId="0">
      <sharedItems/>
    </cacheField>
    <cacheField name="Work Type" numFmtId="0">
      <sharedItems/>
    </cacheField>
    <cacheField name="Duration" numFmtId="9">
      <sharedItems containsBlank="1" containsMixedTypes="1" containsNumber="1" minValue="0.26666666666666666" maxValue="8.25"/>
    </cacheField>
    <cacheField name="Length (km)" numFmtId="9">
      <sharedItems containsSemiMixedTypes="0" containsString="0" containsNumber="1" minValue="6.25E-2" maxValue="4.8700071528065347"/>
    </cacheField>
    <cacheField name="Cost _x000a_(M)" numFmtId="9">
      <sharedItems containsString="0" containsBlank="1" containsNumber="1" minValue="9.8801425665107037E-2" maxValue="6.9"/>
    </cacheField>
    <cacheField name="CCY" numFmtId="0">
      <sharedItems containsNonDate="0" containsString="0" containsBlank="1"/>
    </cacheField>
    <cacheField name="Cost _x000a_(M; USD)" numFmtId="9">
      <sharedItems containsSemiMixedTypes="0" containsString="0" containsNumber="1" minValue="9.313116322315898E-2" maxValue="9.8834498834498827"/>
    </cacheField>
    <cacheField name="Unit Cost" numFmtId="9">
      <sharedItems containsSemiMixedTypes="0" containsString="0" containsNumber="1" minValue="8.8832801843628573E-2" maxValue="9.8834498834498827"/>
    </cacheField>
    <cacheField name="Agg check" numFmtId="2">
      <sharedItems/>
    </cacheField>
    <cacheField name="Length_outlier_over" numFmtId="2">
      <sharedItems containsSemiMixedTypes="0" containsString="0" containsNumber="1" containsInteger="1" minValue="0" maxValue="1"/>
    </cacheField>
    <cacheField name="Length_outlier_under" numFmtId="2">
      <sharedItems containsSemiMixedTypes="0" containsString="0" containsNumber="1" containsInteger="1" minValue="0" maxValue="1"/>
    </cacheField>
    <cacheField name="cost_outlier_over" numFmtId="2">
      <sharedItems containsSemiMixedTypes="0" containsString="0" containsNumber="1" containsInteger="1" minValue="0" maxValue="1"/>
    </cacheField>
    <cacheField name="cost_outlier_under" numFmtId="2">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 Nicolas Arlet" refreshedDate="43271.758121180559" createdVersion="6" refreshedVersion="6" minRefreshableVersion="3" recordCount="1685" xr:uid="{00000000-000A-0000-FFFF-FFFFC3000000}">
  <cacheSource type="worksheet">
    <worksheetSource ref="A3:U1700" sheet="All"/>
  </cacheSource>
  <cacheFields count="21">
    <cacheField name="Country" numFmtId="0">
      <sharedItems containsBlank="1"/>
    </cacheField>
    <cacheField name="Region" numFmtId="0">
      <sharedItems containsBlank="1" count="8">
        <s v="South Asia"/>
        <s v="Europe and Central Asia"/>
        <s v="Sub-Saharan Africa"/>
        <s v="Latin America and Caribbean"/>
        <s v="East Asia and Pacific"/>
        <s v="Middle East and North Africa"/>
        <m/>
        <s v="Central Asia" u="1"/>
      </sharedItems>
    </cacheField>
    <cacheField name="Project ID" numFmtId="0">
      <sharedItems containsBlank="1" containsMixedTypes="1" containsNumber="1" containsInteger="1" minValue="0" maxValue="0"/>
    </cacheField>
    <cacheField name="Component" numFmtId="0">
      <sharedItems containsBlank="1"/>
    </cacheField>
    <cacheField name="Section" numFmtId="0">
      <sharedItems containsBlank="1"/>
    </cacheField>
    <cacheField name="Code" numFmtId="0">
      <sharedItems containsBlank="1"/>
    </cacheField>
    <cacheField name="Cost Type" numFmtId="0">
      <sharedItems containsBlank="1" count="4">
        <s v="Estimate"/>
        <s v="Actual"/>
        <s v="Ratio"/>
        <m/>
      </sharedItems>
    </cacheField>
    <cacheField name="Year" numFmtId="0">
      <sharedItems containsBlank="1" containsMixedTypes="1" containsNumber="1" containsInteger="1" minValue="1985" maxValue="2017"/>
    </cacheField>
    <cacheField name="Work Type" numFmtId="0">
      <sharedItems containsBlank="1" count="20">
        <s v="Strengthening"/>
        <s v="Upgrading"/>
        <s v="Reconstruction"/>
        <s v="Bituminous Pavement Preventive Treatment"/>
        <s v="Routine Maintenance"/>
        <s v="Asphalt Mix Resurfacing"/>
        <s v="Surface Treatment Resurfacing"/>
        <s v="New 2L Highway"/>
        <s v="New 4L Expressway"/>
        <s v="Widening"/>
        <s v="Partial Widening"/>
        <s v="Widening and Reconstruction"/>
        <s v="Partial Widening and Reconstruction"/>
        <s v="New 1L Road"/>
        <s v="Gravel Resurfacing"/>
        <s v="New 6L Expressway"/>
        <s v="Concrete Pavement Restoration"/>
        <m/>
        <s v="New 4L Highway" u="1"/>
        <s v="Reconstruction " u="1"/>
      </sharedItems>
    </cacheField>
    <cacheField name="Duration" numFmtId="0">
      <sharedItems containsBlank="1" containsMixedTypes="1" containsNumber="1" minValue="9.4240000000000004E-2" maxValue="93"/>
    </cacheField>
    <cacheField name="Length (km)" numFmtId="0">
      <sharedItems containsString="0" containsBlank="1" containsNumber="1" minValue="6.25E-2" maxValue="25028"/>
    </cacheField>
    <cacheField name="Cost _x000a_(M)" numFmtId="0">
      <sharedItems containsString="0" containsBlank="1" containsNumber="1" minValue="1.85846E-2" maxValue="19978.47"/>
    </cacheField>
    <cacheField name="CCY" numFmtId="0">
      <sharedItems containsBlank="1"/>
    </cacheField>
    <cacheField name="Cost _x000a_(M; USD)" numFmtId="0">
      <sharedItems containsString="0" containsBlank="1" containsNumber="1" minValue="5.6646696601912842E-3" maxValue="2000.66"/>
    </cacheField>
    <cacheField name="Unit costs" numFmtId="0">
      <sharedItems containsString="0" containsBlank="1" containsNumber="1" minValue="5.0129820001692782E-5" maxValue="28.125"/>
    </cacheField>
    <cacheField name="Check_lenght_under" numFmtId="0">
      <sharedItems containsBlank="1"/>
    </cacheField>
    <cacheField name="Check_cost_under" numFmtId="0">
      <sharedItems containsBlank="1"/>
    </cacheField>
    <cacheField name="Check_cost_over" numFmtId="0">
      <sharedItems containsBlank="1" count="3">
        <s v=""/>
        <s v="x"/>
        <m/>
      </sharedItems>
    </cacheField>
    <cacheField name="Check_cost_over2" numFmtId="0">
      <sharedItems containsBlank="1"/>
    </cacheField>
    <cacheField name="Agg check" numFmtId="0">
      <sharedItems containsBlank="1" longText="1"/>
    </cacheField>
    <cacheField name="Outlier Categori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61">
  <r>
    <s v="Mozambique"/>
    <s v="Sub-Saharan Africa"/>
    <s v="P001785"/>
    <s v="C1"/>
    <s v=""/>
    <s v="P001785C1"/>
    <s v="Ratio"/>
    <s v="2001 / 2007"/>
    <s v="Reconstruction"/>
    <s v=""/>
    <n v="0.66159999999999997"/>
    <n v="1.3667232597623091"/>
    <m/>
    <n v="1.3667232597623091"/>
    <n v="2.0657848545379518"/>
    <s v="x"/>
    <x v="0"/>
    <x v="0"/>
    <n v="1"/>
    <n v="0"/>
    <n v="1"/>
    <s v=""/>
    <s v=""/>
    <s v=""/>
    <s v=""/>
    <n v="1"/>
    <n v="1"/>
    <s v=""/>
    <s v=""/>
    <s v=""/>
  </r>
  <r>
    <s v="Chad"/>
    <s v="Sub-Saharan Africa"/>
    <s v="P035672"/>
    <s v="C1"/>
    <s v="S1"/>
    <s v="P035672C1S1"/>
    <s v="Ratio"/>
    <s v="2000 / 2009"/>
    <s v="Strengthening"/>
    <s v=""/>
    <n v="1"/>
    <n v="1.0973550928531233"/>
    <m/>
    <n v="1.0973550928531233"/>
    <n v="1.0973550928531233"/>
    <s v=""/>
    <x v="0"/>
    <x v="0"/>
    <n v="0"/>
    <n v="0"/>
    <s v=""/>
    <s v=""/>
    <s v=""/>
    <s v=""/>
    <s v=""/>
    <s v=""/>
    <s v=""/>
    <s v=""/>
    <s v=""/>
    <s v=""/>
  </r>
  <r>
    <s v="Chad"/>
    <s v="Sub-Saharan Africa"/>
    <s v="P035672"/>
    <s v="C1"/>
    <s v="S2"/>
    <s v="P035672C1S2"/>
    <s v="Ratio"/>
    <s v="2000 / 2009"/>
    <s v="Upgrading"/>
    <s v=""/>
    <n v="1"/>
    <n v="1.7350157728706626"/>
    <m/>
    <n v="1.7350157728706626"/>
    <n v="1.7350157728706626"/>
    <s v="x"/>
    <x v="0"/>
    <x v="0"/>
    <n v="1"/>
    <n v="0"/>
    <n v="1"/>
    <s v=""/>
    <s v=""/>
    <s v=""/>
    <s v=""/>
    <s v=""/>
    <n v="1"/>
    <s v=""/>
    <s v=""/>
    <n v="1"/>
  </r>
  <r>
    <s v="Chad"/>
    <s v="Sub-Saharan Africa"/>
    <s v="P035672"/>
    <s v="C2"/>
    <s v=""/>
    <s v="P035672C2"/>
    <s v="Ratio"/>
    <s v="2000 / 2009"/>
    <s v="Routine Maintenance"/>
    <n v="1.1875"/>
    <n v="1"/>
    <n v="1.430761369443025"/>
    <m/>
    <n v="1.430761369443025"/>
    <n v="1.430761369443025"/>
    <s v=""/>
    <x v="0"/>
    <x v="0"/>
    <n v="0"/>
    <n v="0"/>
    <s v=""/>
    <s v=""/>
    <s v=""/>
    <s v=""/>
    <s v=""/>
    <s v=""/>
    <s v=""/>
    <s v=""/>
    <s v=""/>
    <s v=""/>
  </r>
  <r>
    <s v="Estonia"/>
    <s v="Europe and Central Asia"/>
    <s v="P035775"/>
    <s v="C1"/>
    <s v=""/>
    <s v="P035775C1"/>
    <s v="Ratio"/>
    <s v="2000 / 2005"/>
    <s v="Reconstruction"/>
    <s v=""/>
    <n v="1.3636363636363635"/>
    <n v="1.1383371824480371"/>
    <m/>
    <n v="1.1383371824480371"/>
    <n v="0.83478060046189384"/>
    <s v=""/>
    <x v="0"/>
    <x v="0"/>
    <n v="0"/>
    <n v="0"/>
    <s v=""/>
    <s v=""/>
    <s v=""/>
    <s v=""/>
    <s v=""/>
    <s v=""/>
    <s v=""/>
    <s v=""/>
    <s v=""/>
    <s v=""/>
  </r>
  <r>
    <s v="Georgia"/>
    <s v="Europe and Central Asia"/>
    <s v="P040556"/>
    <s v="C1"/>
    <s v=""/>
    <s v="P040556C1"/>
    <s v="Ratio"/>
    <s v="2000 / 2006"/>
    <s v="Strengthening"/>
    <s v=""/>
    <n v="1.0308641975308641"/>
    <n v="1.0113636363636365"/>
    <m/>
    <n v="1.0113636363636365"/>
    <n v="0.98108328796951561"/>
    <s v=""/>
    <x v="0"/>
    <x v="0"/>
    <n v="0"/>
    <n v="0"/>
    <s v=""/>
    <s v=""/>
    <s v=""/>
    <s v=""/>
    <s v=""/>
    <s v=""/>
    <s v=""/>
    <s v=""/>
    <s v=""/>
    <s v=""/>
  </r>
  <r>
    <s v="Vietnam"/>
    <s v="East Asia and Pacific"/>
    <s v="P042927"/>
    <s v="C1"/>
    <s v=""/>
    <s v="P042927C1"/>
    <s v="Ratio"/>
    <s v="2000 / 2011"/>
    <s v="Widening"/>
    <n v="1.1538461538461537"/>
    <n v="1"/>
    <n v="1.7180160083978482"/>
    <m/>
    <n v="1.7180160083978482"/>
    <n v="1.7180160083978484"/>
    <s v="x"/>
    <x v="0"/>
    <x v="0"/>
    <n v="1"/>
    <n v="0"/>
    <n v="1"/>
    <s v=""/>
    <s v=""/>
    <s v=""/>
    <s v=""/>
    <n v="1"/>
    <s v=""/>
    <s v=""/>
    <s v=""/>
    <s v=""/>
  </r>
  <r>
    <s v="Croatia"/>
    <s v="Europe and Central Asia"/>
    <s v="P043195"/>
    <s v="C3"/>
    <s v=""/>
    <s v="P043195C3"/>
    <s v="Ratio"/>
    <s v="2003 / 2013"/>
    <s v="New 4L Highway"/>
    <n v="1.3"/>
    <n v="0.97846153846153849"/>
    <n v="1.3371298405466971"/>
    <m/>
    <n v="1.3371298405466971"/>
    <n v="1.3665635162820018"/>
    <s v=""/>
    <x v="0"/>
    <x v="0"/>
    <n v="0"/>
    <n v="0"/>
    <s v=""/>
    <s v=""/>
    <s v=""/>
    <s v=""/>
    <s v=""/>
    <s v=""/>
    <s v=""/>
    <s v=""/>
    <s v=""/>
    <s v=""/>
  </r>
  <r>
    <s v="Ethiopia"/>
    <s v="Sub-Saharan Africa"/>
    <s v="P044613"/>
    <s v="C1"/>
    <s v="S1"/>
    <s v="P044613C1S1"/>
    <s v="Ratio"/>
    <s v="2003 / 2010"/>
    <s v="Upgrading"/>
    <n v="1.4166666666666667"/>
    <n v="1"/>
    <n v="1.4197601370645343"/>
    <m/>
    <n v="1.4197601370645343"/>
    <n v="1.4197601370645343"/>
    <s v=""/>
    <x v="0"/>
    <x v="0"/>
    <n v="0"/>
    <n v="0"/>
    <s v=""/>
    <s v=""/>
    <s v=""/>
    <s v=""/>
    <s v=""/>
    <s v=""/>
    <s v=""/>
    <s v=""/>
    <s v=""/>
    <s v=""/>
  </r>
  <r>
    <s v="Ethiopia"/>
    <s v="Sub-Saharan Africa"/>
    <s v="P044613"/>
    <s v="C1"/>
    <s v="S2"/>
    <s v="P044613C1S2"/>
    <s v="Ratio"/>
    <s v="2003 / 2010"/>
    <s v="Asphalt Mix Resurfacing"/>
    <n v="1.1388888888888888"/>
    <n v="1"/>
    <n v="1.505426356589147"/>
    <m/>
    <n v="1.505426356589147"/>
    <n v="1.505426356589147"/>
    <s v="x"/>
    <x v="0"/>
    <x v="0"/>
    <n v="1"/>
    <n v="0"/>
    <n v="1"/>
    <s v=""/>
    <s v=""/>
    <s v=""/>
    <s v=""/>
    <s v=""/>
    <s v=""/>
    <s v=""/>
    <s v=""/>
    <s v=""/>
  </r>
  <r>
    <s v="Ethiopia"/>
    <s v="Sub-Saharan Africa"/>
    <s v="P044613"/>
    <s v="C1"/>
    <s v="S3"/>
    <s v="P044613C1S3"/>
    <s v="Ratio"/>
    <s v="2003 / 2010"/>
    <s v="Upgrading"/>
    <n v="1.1666666666666667"/>
    <n v="1"/>
    <n v="1.3824139361260888"/>
    <m/>
    <n v="1.3824139361260888"/>
    <n v="1.3824139361260885"/>
    <s v=""/>
    <x v="0"/>
    <x v="0"/>
    <n v="0"/>
    <n v="0"/>
    <s v=""/>
    <s v=""/>
    <s v=""/>
    <s v=""/>
    <s v=""/>
    <s v=""/>
    <s v=""/>
    <s v=""/>
    <s v=""/>
    <s v=""/>
  </r>
  <r>
    <s v="Ethiopia"/>
    <s v="Sub-Saharan Africa"/>
    <s v="P044613"/>
    <s v="C1"/>
    <s v="S4"/>
    <s v="P044613C1S4"/>
    <s v="Ratio"/>
    <s v="2003 / 2010"/>
    <s v="Upgrading"/>
    <n v="1.5555555555555556"/>
    <n v="1"/>
    <n v="1.7683912691996768"/>
    <m/>
    <n v="1.7683912691996768"/>
    <n v="1.7683912691996768"/>
    <s v="x"/>
    <x v="0"/>
    <x v="0"/>
    <n v="1"/>
    <n v="0"/>
    <n v="1"/>
    <s v=""/>
    <s v=""/>
    <s v=""/>
    <s v=""/>
    <s v=""/>
    <s v=""/>
    <s v=""/>
    <s v=""/>
    <s v=""/>
  </r>
  <r>
    <s v="Ethiopia"/>
    <s v="Sub-Saharan Africa"/>
    <s v="P044613"/>
    <s v="C2"/>
    <s v=""/>
    <s v="P044613C2"/>
    <s v="Ratio"/>
    <s v="2003 / 2010"/>
    <s v="New 1L Road"/>
    <n v="1.1666666666666667"/>
    <n v="0.82914572864321601"/>
    <n v="0.67794836008374038"/>
    <m/>
    <n v="0.67794836008374038"/>
    <n v="0.81764681004038997"/>
    <s v=""/>
    <x v="0"/>
    <x v="0"/>
    <n v="0"/>
    <n v="0"/>
    <s v=""/>
    <s v=""/>
    <s v=""/>
    <s v=""/>
    <s v=""/>
    <s v=""/>
    <s v=""/>
    <s v=""/>
    <s v=""/>
    <s v=""/>
  </r>
  <r>
    <s v="Nepal"/>
    <s v="South Asia"/>
    <s v="P045052"/>
    <s v="C1"/>
    <s v=""/>
    <s v="P045052C1"/>
    <s v="Ratio"/>
    <s v="1999 / 2007"/>
    <s v="Surface Treatment Resurfacing"/>
    <s v=""/>
    <n v="1.55"/>
    <n v="4.2650406504065037"/>
    <m/>
    <n v="4.2650406504065037"/>
    <n v="2.751639129294519"/>
    <s v="x"/>
    <x v="1"/>
    <x v="0"/>
    <n v="1"/>
    <n v="0"/>
    <s v=""/>
    <n v="1"/>
    <s v=""/>
    <s v=""/>
    <s v=""/>
    <s v=""/>
    <s v=""/>
    <s v=""/>
    <n v="1"/>
    <n v="1"/>
  </r>
  <r>
    <s v="Nepal"/>
    <s v="South Asia"/>
    <s v="P045052"/>
    <s v="C2"/>
    <s v=""/>
    <s v="P045052C2"/>
    <s v="Ratio"/>
    <s v="1999 / 2007"/>
    <s v="Surface Treatment Resurfacing"/>
    <s v=""/>
    <n v="1.4063829787234043"/>
    <n v="1.9644760213143873"/>
    <m/>
    <n v="1.9644760213143873"/>
    <n v="1.396828638453498"/>
    <s v=""/>
    <x v="0"/>
    <x v="0"/>
    <n v="0"/>
    <n v="0"/>
    <s v=""/>
    <s v=""/>
    <s v=""/>
    <s v=""/>
    <s v=""/>
    <s v=""/>
    <s v=""/>
    <s v=""/>
    <s v=""/>
    <s v=""/>
  </r>
  <r>
    <s v="China"/>
    <s v="East Asia and Pacific"/>
    <s v="P045915"/>
    <s v="C1"/>
    <s v=""/>
    <s v="P045915C1"/>
    <s v="Ratio"/>
    <s v="2000 / 2008"/>
    <s v="New 6L Expressway"/>
    <n v="1"/>
    <n v="1"/>
    <n v="1.1108829568788501"/>
    <m/>
    <n v="1.1108829568788501"/>
    <n v="1.1108829568788501"/>
    <s v=""/>
    <x v="0"/>
    <x v="0"/>
    <n v="0"/>
    <n v="0"/>
    <s v=""/>
    <s v=""/>
    <s v=""/>
    <s v=""/>
    <s v=""/>
    <s v=""/>
    <s v=""/>
    <s v=""/>
    <s v=""/>
    <s v=""/>
  </r>
  <r>
    <s v="Papua New Guinea"/>
    <s v="East Asia and Pacific"/>
    <s v="P054238"/>
    <s v="C1"/>
    <s v=""/>
    <s v="P054238C1"/>
    <s v="Ratio"/>
    <s v="1999 / 2008"/>
    <s v="Reconstruction"/>
    <n v="1.9027777777777777"/>
    <n v="1"/>
    <n v="2.8192918192918195"/>
    <m/>
    <n v="2.8192918192918195"/>
    <n v="2.8192918192918199"/>
    <s v="x"/>
    <x v="0"/>
    <x v="0"/>
    <n v="1"/>
    <n v="0"/>
    <n v="1"/>
    <s v=""/>
    <n v="1"/>
    <s v=""/>
    <s v=""/>
    <n v="1"/>
    <s v=""/>
    <s v=""/>
    <s v=""/>
    <s v=""/>
  </r>
  <r>
    <s v="Brazil"/>
    <s v="Latin America and Caribbean"/>
    <s v="P055954"/>
    <s v="C1"/>
    <s v=""/>
    <s v="P055954C1"/>
    <s v="Ratio"/>
    <s v="2001 / 2006"/>
    <s v="Surface Treatment Resurfacing"/>
    <s v=""/>
    <n v="0.83333333333333337"/>
    <n v="1.2411575562700965"/>
    <m/>
    <n v="1.2411575562700965"/>
    <n v="1.4893890675241159"/>
    <s v=""/>
    <x v="0"/>
    <x v="0"/>
    <n v="0"/>
    <n v="0"/>
    <s v=""/>
    <s v=""/>
    <s v=""/>
    <s v=""/>
    <s v=""/>
    <s v=""/>
    <s v=""/>
    <s v=""/>
    <s v=""/>
    <s v=""/>
  </r>
  <r>
    <s v="Brazil"/>
    <s v="Latin America and Caribbean"/>
    <s v="P055954"/>
    <s v="C2"/>
    <s v=""/>
    <s v="P055954C2"/>
    <s v="Ratio"/>
    <s v="2001 / 2006"/>
    <s v="Asphalt Mix Resurfacing"/>
    <s v=""/>
    <n v="0.9"/>
    <n v="0.93765586034912718"/>
    <m/>
    <n v="0.93765586034912718"/>
    <n v="1.0418398448323636"/>
    <s v=""/>
    <x v="0"/>
    <x v="0"/>
    <n v="0"/>
    <n v="0"/>
    <s v=""/>
    <s v=""/>
    <s v=""/>
    <s v=""/>
    <s v=""/>
    <s v=""/>
    <s v=""/>
    <s v=""/>
    <s v=""/>
    <s v=""/>
  </r>
  <r>
    <s v="Mongolia"/>
    <s v="East Asia and Pacific"/>
    <s v="P056200"/>
    <s v="C1"/>
    <s v=""/>
    <s v="P056200C1"/>
    <s v="Ratio"/>
    <s v="2001 / 2008"/>
    <s v="Upgrading"/>
    <s v=""/>
    <n v="1.2162921348314606"/>
    <n v="1.0688481675392669"/>
    <m/>
    <n v="1.0688481675392669"/>
    <n v="0.87877586060965129"/>
    <s v=""/>
    <x v="0"/>
    <x v="0"/>
    <n v="0"/>
    <n v="0"/>
    <s v=""/>
    <s v=""/>
    <s v=""/>
    <s v=""/>
    <s v=""/>
    <s v=""/>
    <s v=""/>
    <s v=""/>
    <s v=""/>
    <s v=""/>
  </r>
  <r>
    <s v="China"/>
    <s v="East Asia and Pacific"/>
    <s v="P056596 "/>
    <s v="C1"/>
    <s v=""/>
    <s v="P056596 C1"/>
    <s v="Ratio"/>
    <s v="2001 / 2009"/>
    <s v="Widening"/>
    <s v=""/>
    <n v="1.3191489361702127"/>
    <n v="1.2008220786846739"/>
    <m/>
    <n v="1.2008220786846739"/>
    <n v="0.91030060803515611"/>
    <s v=""/>
    <x v="0"/>
    <x v="0"/>
    <n v="0"/>
    <n v="0"/>
    <s v=""/>
    <s v=""/>
    <s v=""/>
    <s v=""/>
    <s v=""/>
    <s v=""/>
    <s v=""/>
    <s v=""/>
    <s v=""/>
    <s v=""/>
  </r>
  <r>
    <s v="Congo, Dem. Rep."/>
    <s v="Sub-Saharan Africa"/>
    <s v="P057296"/>
    <s v="C1"/>
    <s v=""/>
    <s v="P057296C1"/>
    <s v="Ratio"/>
    <s v="2007 / 2010"/>
    <s v="Strengthening"/>
    <n v="3.4285714285714284"/>
    <n v="0.83359872611464969"/>
    <n v="1.4375"/>
    <m/>
    <n v="1.4375"/>
    <n v="1.7244508118433619"/>
    <s v="x"/>
    <x v="0"/>
    <x v="0"/>
    <n v="1"/>
    <n v="0"/>
    <s v=""/>
    <n v="1"/>
    <s v=""/>
    <s v=""/>
    <s v=""/>
    <n v="1"/>
    <s v=""/>
    <s v=""/>
    <n v="1"/>
    <s v=""/>
  </r>
  <r>
    <s v="China"/>
    <s v="East Asia and Pacific"/>
    <s v="P058843"/>
    <s v="C1"/>
    <s v=""/>
    <s v="P058843C1"/>
    <s v="Ratio"/>
    <s v="2000 / 2007"/>
    <s v="Asphalt Mix Resurfacing"/>
    <n v="1.25"/>
    <n v="0.97923728813559319"/>
    <n v="0.85701692524682649"/>
    <m/>
    <n v="0.85701692524682649"/>
    <n v="0.87518820579078782"/>
    <s v=""/>
    <x v="0"/>
    <x v="0"/>
    <n v="0"/>
    <n v="0"/>
    <s v=""/>
    <s v=""/>
    <s v=""/>
    <s v=""/>
    <s v=""/>
    <s v=""/>
    <s v=""/>
    <s v=""/>
    <s v=""/>
    <s v=""/>
  </r>
  <r>
    <s v="China"/>
    <s v="East Asia and Pacific"/>
    <s v="P058845"/>
    <s v="C1"/>
    <s v="S1"/>
    <s v="P058845C1S1"/>
    <s v="Ratio"/>
    <s v="2001 / 2007"/>
    <s v="New 4L Highway"/>
    <s v=""/>
    <n v="0.98461538461538467"/>
    <n v="0.68261964735516378"/>
    <m/>
    <n v="0.68261964735516378"/>
    <n v="0.69328557934508817"/>
    <s v=""/>
    <x v="0"/>
    <x v="0"/>
    <n v="0"/>
    <n v="0"/>
    <s v=""/>
    <s v=""/>
    <s v=""/>
    <s v=""/>
    <s v=""/>
    <s v=""/>
    <s v=""/>
    <s v=""/>
    <s v=""/>
    <s v=""/>
  </r>
  <r>
    <s v="China"/>
    <s v="East Asia and Pacific"/>
    <s v="P058845"/>
    <s v="C2"/>
    <s v=""/>
    <s v="P058845C2"/>
    <s v="Ratio"/>
    <s v="2001 / 2007"/>
    <s v="Upgrading"/>
    <s v=""/>
    <n v="1.0111111111111111"/>
    <n v="0.7917282127031019"/>
    <m/>
    <n v="0.7917282127031019"/>
    <n v="0.7830279026733975"/>
    <s v=""/>
    <x v="0"/>
    <x v="0"/>
    <n v="0"/>
    <n v="0"/>
    <s v=""/>
    <s v=""/>
    <s v=""/>
    <s v=""/>
    <s v=""/>
    <s v=""/>
    <s v=""/>
    <s v=""/>
    <s v=""/>
    <s v=""/>
  </r>
  <r>
    <s v="Bhutan"/>
    <s v="South Asia"/>
    <s v="P059481"/>
    <s v="C1"/>
    <s v=""/>
    <s v="P059481C1"/>
    <s v="Ratio"/>
    <s v="1999 / 2006"/>
    <s v="New 1L Road"/>
    <n v="1.2333333333333334"/>
    <n v="1.0554098360655737"/>
    <n v="1.008"/>
    <m/>
    <n v="1.008"/>
    <n v="0.95507921714818267"/>
    <s v=""/>
    <x v="0"/>
    <x v="0"/>
    <n v="0"/>
    <n v="0"/>
    <s v=""/>
    <s v=""/>
    <s v=""/>
    <s v=""/>
    <s v=""/>
    <s v=""/>
    <s v=""/>
    <s v=""/>
    <s v=""/>
    <s v=""/>
  </r>
  <r>
    <s v="Burundi"/>
    <s v="Sub-Saharan Africa"/>
    <s v="P064876"/>
    <s v="C1"/>
    <s v=""/>
    <s v="P064876C1"/>
    <s v="Ratio"/>
    <s v="2004 / 2016"/>
    <s v="Reconstruction"/>
    <s v=""/>
    <n v="1"/>
    <n v="1.4532862481571638"/>
    <m/>
    <n v="1.4532862481571638"/>
    <n v="1.453286248157164"/>
    <s v=""/>
    <x v="0"/>
    <x v="0"/>
    <n v="0"/>
    <n v="0"/>
    <s v=""/>
    <s v=""/>
    <s v=""/>
    <s v=""/>
    <s v=""/>
    <s v=""/>
    <s v=""/>
    <s v=""/>
    <s v=""/>
    <s v=""/>
  </r>
  <r>
    <s v="Burundi"/>
    <s v="Sub-Saharan Africa"/>
    <s v="P064876"/>
    <s v="C2"/>
    <s v=""/>
    <s v="P064876C2"/>
    <s v="Ratio"/>
    <s v="2004 / 2016"/>
    <s v="Gravel Resurfacing"/>
    <s v=""/>
    <n v="1.0142857142857142"/>
    <n v="0.85256746823480001"/>
    <m/>
    <n v="0.85256746823480001"/>
    <n v="0.84055947572445056"/>
    <s v=""/>
    <x v="0"/>
    <x v="0"/>
    <n v="0"/>
    <n v="0"/>
    <s v=""/>
    <s v=""/>
    <s v=""/>
    <s v=""/>
    <s v=""/>
    <s v=""/>
    <s v=""/>
    <s v=""/>
    <s v=""/>
    <s v=""/>
  </r>
  <r>
    <s v="India"/>
    <s v="South Asia"/>
    <s v="P067606"/>
    <s v="C1"/>
    <s v=""/>
    <s v="P067606C1"/>
    <s v="Ratio"/>
    <s v="2002 / 2011"/>
    <s v="Upgrading"/>
    <n v="1.25"/>
    <n v="0.70545829042224506"/>
    <n v="0.75874125874125875"/>
    <m/>
    <n v="0.75874125874125875"/>
    <n v="1.075529579909142"/>
    <s v=""/>
    <x v="0"/>
    <x v="0"/>
    <n v="0"/>
    <n v="0"/>
    <s v=""/>
    <s v=""/>
    <s v=""/>
    <s v=""/>
    <s v=""/>
    <s v=""/>
    <s v=""/>
    <s v=""/>
    <s v=""/>
    <s v=""/>
  </r>
  <r>
    <s v="India"/>
    <s v="South Asia"/>
    <s v="P067606"/>
    <s v="C2"/>
    <s v=""/>
    <s v="P067606C2"/>
    <s v="Ratio"/>
    <s v="2002 / 2011"/>
    <s v="Asphalt Mix Resurfacing"/>
    <n v="1.25"/>
    <n v="0.76004775169120575"/>
    <n v="1.2033747779751334"/>
    <m/>
    <n v="1.2033747779751334"/>
    <n v="1.5832883858908426"/>
    <s v="x"/>
    <x v="0"/>
    <x v="0"/>
    <n v="1"/>
    <n v="0"/>
    <n v="1"/>
    <s v=""/>
    <s v=""/>
    <s v=""/>
    <s v=""/>
    <n v="1"/>
    <s v=""/>
    <s v=""/>
    <s v=""/>
    <s v=""/>
  </r>
  <r>
    <s v="Nicaragua"/>
    <s v="Latin America and Caribbean"/>
    <s v="P068673"/>
    <s v="C1"/>
    <s v=""/>
    <s v="P068673C1"/>
    <s v="Ratio"/>
    <s v="2000 / 2007"/>
    <s v="Partial Widening and Reconstruction"/>
    <s v=""/>
    <n v="0.98645161290322581"/>
    <n v="1.0906593406593408"/>
    <m/>
    <n v="1.0906593406593408"/>
    <n v="1.1056389653511955"/>
    <s v=""/>
    <x v="0"/>
    <x v="0"/>
    <n v="0"/>
    <n v="0"/>
    <s v=""/>
    <s v=""/>
    <s v=""/>
    <s v=""/>
    <s v=""/>
    <s v=""/>
    <s v=""/>
    <s v=""/>
    <s v=""/>
    <s v=""/>
  </r>
  <r>
    <s v="Nicaragua"/>
    <s v="Latin America and Caribbean"/>
    <s v="P068673"/>
    <s v="C2"/>
    <s v=""/>
    <s v="P068673C2"/>
    <s v="Ratio"/>
    <s v="2000 / 2007"/>
    <s v="Upgrading"/>
    <s v=""/>
    <n v="0.95666666666666667"/>
    <n v="1.136546184738956"/>
    <m/>
    <n v="1.136546184738956"/>
    <n v="1.1880273708072711"/>
    <s v=""/>
    <x v="0"/>
    <x v="0"/>
    <n v="0"/>
    <n v="0"/>
    <s v=""/>
    <s v=""/>
    <s v=""/>
    <s v=""/>
    <s v=""/>
    <s v=""/>
    <s v=""/>
    <s v=""/>
    <s v=""/>
    <s v=""/>
  </r>
  <r>
    <s v="Albania"/>
    <s v="Europe and Central Asia"/>
    <s v="P068853"/>
    <s v="C1"/>
    <s v="S1"/>
    <s v="P068853C1S1"/>
    <s v="Ratio"/>
    <s v="1999 / 2004"/>
    <s v="Routine Maintenance"/>
    <s v=""/>
    <n v="0.55909090909090908"/>
    <n v="1.3697260273972602"/>
    <m/>
    <n v="1.3697260273972602"/>
    <n v="2.4499164717674575"/>
    <s v="x"/>
    <x v="0"/>
    <x v="0"/>
    <n v="1"/>
    <n v="0"/>
    <n v="1"/>
    <s v=""/>
    <n v="1"/>
    <s v=""/>
    <s v=""/>
    <n v="1"/>
    <s v=""/>
    <s v=""/>
    <s v=""/>
    <s v=""/>
  </r>
  <r>
    <s v="Albania"/>
    <s v="Europe and Central Asia"/>
    <s v="P068853"/>
    <s v="C1"/>
    <s v="S2"/>
    <s v="P068853C1S2"/>
    <s v="Ratio"/>
    <s v="1999 / 2004"/>
    <s v="Routine Maintenance"/>
    <s v=""/>
    <n v="0.57307692307692304"/>
    <n v="1.2620689655172415"/>
    <m/>
    <n v="1.2620689655172415"/>
    <n v="2.2022679935200191"/>
    <s v="x"/>
    <x v="0"/>
    <x v="0"/>
    <n v="1"/>
    <n v="0"/>
    <n v="1"/>
    <s v=""/>
    <n v="1"/>
    <s v=""/>
    <s v=""/>
    <n v="1"/>
    <s v=""/>
    <s v=""/>
    <s v=""/>
    <s v=""/>
  </r>
  <r>
    <s v="Albania"/>
    <s v="Europe and Central Asia"/>
    <s v="P068853"/>
    <s v="C1"/>
    <s v="S3"/>
    <s v="P068853C1S3"/>
    <s v="Ratio"/>
    <s v="1999 / 2004"/>
    <s v="Asphalt Mix Resurfacing"/>
    <n v="0.26666666666666666"/>
    <n v="0.96666666666666667"/>
    <n v="9.8947368421052631E-2"/>
    <m/>
    <n v="9.8947368421052631E-2"/>
    <n v="0.10235934664246825"/>
    <s v="x"/>
    <x v="0"/>
    <x v="0"/>
    <n v="0"/>
    <n v="1"/>
    <n v="1"/>
    <s v=""/>
    <n v="1"/>
    <s v=""/>
    <s v=""/>
    <n v="1"/>
    <s v=""/>
    <s v=""/>
    <s v=""/>
    <s v=""/>
  </r>
  <r>
    <s v="Albania"/>
    <s v="Europe and Central Asia"/>
    <s v="P068853"/>
    <s v="C1"/>
    <s v="S4"/>
    <s v="P068853C1S4"/>
    <s v="Ratio"/>
    <s v="1999 / 2004"/>
    <s v="Routine Maintenance"/>
    <n v="0.53333333333333333"/>
    <n v="0.87142857142857144"/>
    <n v="1.1125874125874127"/>
    <m/>
    <n v="1.1125874125874127"/>
    <n v="1.276739653788834"/>
    <s v=""/>
    <x v="0"/>
    <x v="0"/>
    <n v="0"/>
    <n v="0"/>
    <s v=""/>
    <s v=""/>
    <s v=""/>
    <s v=""/>
    <s v=""/>
    <s v=""/>
    <s v=""/>
    <s v=""/>
    <s v=""/>
    <s v=""/>
  </r>
  <r>
    <s v="Albania"/>
    <s v="Europe and Central Asia"/>
    <s v="P068853"/>
    <s v="C1"/>
    <s v="S5"/>
    <s v="P068853C1S5"/>
    <s v="Ratio"/>
    <s v="1999 / 2004"/>
    <s v="Asphalt Mix Resurfacing"/>
    <n v="2.9333333333333331"/>
    <n v="0.78999999999999992"/>
    <n v="1.1796296296296294"/>
    <m/>
    <n v="1.1796296296296294"/>
    <n v="1.4932020628223157"/>
    <s v=""/>
    <x v="0"/>
    <x v="0"/>
    <n v="0"/>
    <n v="0"/>
    <s v=""/>
    <s v=""/>
    <s v=""/>
    <s v=""/>
    <s v=""/>
    <s v=""/>
    <s v=""/>
    <s v=""/>
    <s v=""/>
    <s v=""/>
  </r>
  <r>
    <s v="Albania"/>
    <s v="Europe and Central Asia"/>
    <s v="P068853"/>
    <s v="C1"/>
    <s v="S6"/>
    <s v="P068853C1S6"/>
    <s v="Ratio"/>
    <s v="1999 / 2004"/>
    <s v="Routine Maintenance"/>
    <n v="0.26666666666666666"/>
    <n v="6.25E-2"/>
    <n v="0.12166666666666666"/>
    <m/>
    <n v="0.12166666666666666"/>
    <n v="1.9466666666666668"/>
    <s v="x"/>
    <x v="0"/>
    <x v="1"/>
    <n v="1"/>
    <n v="0"/>
    <n v="1"/>
    <s v=""/>
    <s v=""/>
    <s v=""/>
    <s v=""/>
    <n v="1"/>
    <s v=""/>
    <s v=""/>
    <s v=""/>
    <s v=""/>
  </r>
  <r>
    <s v="India"/>
    <s v="South Asia"/>
    <s v="P069889"/>
    <s v="C1"/>
    <s v=""/>
    <s v="P069889C1"/>
    <s v="Ratio"/>
    <s v="2007 / 2011"/>
    <s v="Widening and Reconstruction"/>
    <s v=""/>
    <n v="0.94565217391304346"/>
    <n v="2.3830250272034821"/>
    <m/>
    <n v="2.3830250272034821"/>
    <n v="2.5199804885370156"/>
    <s v="x"/>
    <x v="0"/>
    <x v="0"/>
    <n v="1"/>
    <n v="0"/>
    <n v="1"/>
    <s v=""/>
    <n v="1"/>
    <s v=""/>
    <s v=""/>
    <s v=""/>
    <n v="1"/>
    <s v=""/>
    <s v=""/>
    <s v=""/>
  </r>
  <r>
    <s v="India"/>
    <s v="South Asia"/>
    <s v="P069889"/>
    <s v="C2"/>
    <s v=""/>
    <s v="P069889C2"/>
    <s v="Ratio"/>
    <s v="2007 / 2011"/>
    <s v="Surface Treatment Resurfacing"/>
    <s v=""/>
    <n v="0.57692307692307687"/>
    <n v="0.64552661381653453"/>
    <m/>
    <n v="0.64552661381653453"/>
    <n v="1.1189127972819932"/>
    <s v=""/>
    <x v="0"/>
    <x v="0"/>
    <n v="0"/>
    <n v="0"/>
    <s v=""/>
    <s v=""/>
    <s v=""/>
    <s v=""/>
    <s v=""/>
    <s v=""/>
    <s v=""/>
    <s v=""/>
    <s v=""/>
    <s v=""/>
  </r>
  <r>
    <s v="Yemen, Rep."/>
    <s v="East Asia and Pacific"/>
    <s v="P070391"/>
    <s v="C1"/>
    <s v=""/>
    <s v="P070391C1"/>
    <s v="Ratio"/>
    <s v="2001 / 2007"/>
    <s v="Reconstruction"/>
    <s v=""/>
    <n v="2.0087719298245612"/>
    <n v="0.86192810457516345"/>
    <m/>
    <n v="0.86192810457516345"/>
    <n v="0.42908211319462286"/>
    <s v="x"/>
    <x v="1"/>
    <x v="0"/>
    <n v="0"/>
    <n v="1"/>
    <n v="1"/>
    <s v=""/>
    <s v=""/>
    <s v=""/>
    <s v=""/>
    <s v=""/>
    <s v=""/>
    <s v=""/>
    <n v="1"/>
    <n v="1"/>
  </r>
  <r>
    <s v="Yemen, Rep."/>
    <s v="East Asia and Pacific"/>
    <s v="P070391"/>
    <s v="C2"/>
    <s v=""/>
    <s v="P070391C2"/>
    <s v="Ratio"/>
    <s v="2001 / 2007"/>
    <s v="Upgrading"/>
    <s v=""/>
    <n v="1.6270491803278688"/>
    <n v="1.3822784810126583"/>
    <m/>
    <n v="1.3822784810126583"/>
    <n v="0.8495615853075279"/>
    <s v="x"/>
    <x v="1"/>
    <x v="0"/>
    <n v="0"/>
    <n v="0"/>
    <n v="1"/>
    <s v=""/>
    <s v=""/>
    <s v=""/>
    <s v=""/>
    <s v=""/>
    <s v=""/>
    <s v=""/>
    <n v="1"/>
    <s v=""/>
  </r>
  <r>
    <s v="China"/>
    <s v="East Asia and Pacific"/>
    <s v="P070519"/>
    <s v="C1"/>
    <s v="S1"/>
    <s v="P070519C1S1"/>
    <s v="Ratio"/>
    <s v="2005 / 2013"/>
    <s v="New 6L Expressway"/>
    <s v=""/>
    <n v="1"/>
    <n v="2.057450968026739"/>
    <m/>
    <n v="2.057450968026739"/>
    <n v="2.057450968026739"/>
    <s v="x"/>
    <x v="0"/>
    <x v="0"/>
    <n v="1"/>
    <n v="0"/>
    <n v="1"/>
    <s v=""/>
    <s v=""/>
    <s v=""/>
    <s v=""/>
    <s v=""/>
    <s v=""/>
    <s v=""/>
    <n v="1"/>
    <s v=""/>
  </r>
  <r>
    <s v="China"/>
    <s v="East Asia and Pacific"/>
    <s v="P070519"/>
    <s v="C1"/>
    <s v="S2"/>
    <s v="P070519C1S2"/>
    <s v="Ratio"/>
    <s v="2005 / 2013"/>
    <s v="New 4L Highway"/>
    <s v=""/>
    <n v="1"/>
    <n v="1.0497911982010921"/>
    <m/>
    <n v="1.0497911982010921"/>
    <n v="1.0497911982010923"/>
    <s v=""/>
    <x v="0"/>
    <x v="0"/>
    <n v="0"/>
    <n v="0"/>
    <s v=""/>
    <s v=""/>
    <s v=""/>
    <s v=""/>
    <s v=""/>
    <s v=""/>
    <s v=""/>
    <s v=""/>
    <s v=""/>
    <s v=""/>
  </r>
  <r>
    <s v="India"/>
    <s v="South Asia"/>
    <s v="P071244"/>
    <s v="C1"/>
    <s v=""/>
    <s v="P071244C1"/>
    <s v="Ratio"/>
    <s v="2001 / 2009"/>
    <s v="Widening"/>
    <s v=""/>
    <n v="0.99228571428571422"/>
    <n v="1.1235438778151696"/>
    <m/>
    <n v="1.1235438778151696"/>
    <n v="1.1322785984316421"/>
    <s v=""/>
    <x v="0"/>
    <x v="0"/>
    <n v="0"/>
    <n v="0"/>
    <s v=""/>
    <s v=""/>
    <s v=""/>
    <s v=""/>
    <s v=""/>
    <s v=""/>
    <s v=""/>
    <s v=""/>
    <s v=""/>
    <s v=""/>
  </r>
  <r>
    <s v="Bangladesh"/>
    <s v="South Asia"/>
    <s v="P071435"/>
    <s v="C1"/>
    <s v=""/>
    <s v="P071435C1"/>
    <s v="Ratio"/>
    <s v="2003 / 2013"/>
    <s v="Partial Widening"/>
    <s v=""/>
    <n v="1.0136363636363637"/>
    <n v="1.3595262640173127"/>
    <m/>
    <n v="0.95600782904482673"/>
    <n v="0.94314673717426856"/>
    <s v=""/>
    <x v="0"/>
    <x v="0"/>
    <n v="0"/>
    <n v="0"/>
    <s v=""/>
    <s v=""/>
    <s v=""/>
    <s v=""/>
    <s v=""/>
    <s v=""/>
    <s v=""/>
    <s v=""/>
    <s v=""/>
    <s v=""/>
  </r>
  <r>
    <s v="Bangladesh"/>
    <s v="South Asia"/>
    <s v="P071435"/>
    <s v="C2"/>
    <s v=""/>
    <s v="P071435C2"/>
    <s v="Ratio"/>
    <s v="2003 / 2013"/>
    <s v="Upgrading"/>
    <s v=""/>
    <n v="1.03"/>
    <n v="1.5435929694727106"/>
    <m/>
    <n v="1.0854420416372859"/>
    <n v="1.0538272248905687"/>
    <s v=""/>
    <x v="0"/>
    <x v="0"/>
    <n v="0"/>
    <n v="0"/>
    <s v=""/>
    <s v=""/>
    <s v=""/>
    <s v=""/>
    <s v=""/>
    <s v=""/>
    <s v=""/>
    <s v=""/>
    <s v=""/>
    <s v=""/>
  </r>
  <r>
    <s v="Bangladesh"/>
    <s v="South Asia"/>
    <s v="P071435"/>
    <s v="C3"/>
    <s v=""/>
    <s v="P071435C3"/>
    <s v="Ratio"/>
    <s v="2003 / 2013"/>
    <s v="Asphalt Mix Resurfacing"/>
    <s v=""/>
    <n v="1.4133333333333333"/>
    <n v="1.5274113712374582"/>
    <m/>
    <n v="1.0740632731582958"/>
    <n v="0.75995042912143573"/>
    <s v=""/>
    <x v="0"/>
    <x v="0"/>
    <n v="0"/>
    <n v="0"/>
    <s v=""/>
    <s v=""/>
    <s v=""/>
    <s v=""/>
    <s v=""/>
    <s v=""/>
    <s v=""/>
    <s v=""/>
    <s v=""/>
    <s v=""/>
  </r>
  <r>
    <s v="Madagascar"/>
    <s v="Sub-Saharan Africa"/>
    <s v="P073689"/>
    <s v="C1"/>
    <s v=""/>
    <s v="P073689C1"/>
    <s v="Ratio"/>
    <s v="2002 / 2013"/>
    <s v="Reconstruction"/>
    <s v=""/>
    <n v="0.46666666666666667"/>
    <n v="0.93333333333333335"/>
    <m/>
    <n v="0.93333333333333335"/>
    <n v="2"/>
    <s v="x"/>
    <x v="0"/>
    <x v="1"/>
    <n v="1"/>
    <n v="0"/>
    <s v=""/>
    <s v=""/>
    <s v=""/>
    <s v=""/>
    <s v=""/>
    <s v=""/>
    <s v=""/>
    <s v=""/>
    <s v=""/>
    <n v="1"/>
  </r>
  <r>
    <s v="India"/>
    <s v="South Asia"/>
    <s v="P073776"/>
    <s v="C1"/>
    <s v=""/>
    <s v="P073776C1"/>
    <s v="Ratio"/>
    <s v="2003 / 2010"/>
    <s v="New 4L Highway"/>
    <n v="2.625"/>
    <n v="1.0010860839590121"/>
    <n v="1.2535252277359512"/>
    <m/>
    <n v="1.2535252277359512"/>
    <n v="1.2521652711209548"/>
    <s v=""/>
    <x v="0"/>
    <x v="0"/>
    <n v="0"/>
    <n v="0"/>
    <s v=""/>
    <s v=""/>
    <s v=""/>
    <s v=""/>
    <s v=""/>
    <s v=""/>
    <s v=""/>
    <s v=""/>
    <s v=""/>
    <s v=""/>
  </r>
  <r>
    <s v="Uganda"/>
    <s v="Sub-Saharan Africa"/>
    <s v="P074079"/>
    <s v="C1"/>
    <s v="S1"/>
    <s v="P074079C1S1"/>
    <s v="Ratio"/>
    <s v="2004 / 2012"/>
    <s v="Upgrading"/>
    <s v=""/>
    <n v="0.98399999999999999"/>
    <n v="2.202340425531915"/>
    <m/>
    <n v="2.202340425531915"/>
    <n v="2.2381508389551983"/>
    <s v="x"/>
    <x v="0"/>
    <x v="0"/>
    <n v="1"/>
    <n v="0"/>
    <n v="1"/>
    <n v="1"/>
    <s v=""/>
    <s v=""/>
    <s v=""/>
    <s v=""/>
    <s v=""/>
    <s v=""/>
    <n v="1"/>
    <s v=""/>
  </r>
  <r>
    <s v="Uganda"/>
    <s v="Sub-Saharan Africa"/>
    <s v="P074079"/>
    <s v="C1"/>
    <s v="S2"/>
    <s v="P074079C1S2"/>
    <s v="Ratio"/>
    <s v="2004 / 2012"/>
    <s v="Upgrading"/>
    <s v=""/>
    <n v="0.22058823529411764"/>
    <n v="1.8511866581141758"/>
    <m/>
    <n v="1.8511866581141758"/>
    <n v="8.3920461834509297"/>
    <s v="x"/>
    <x v="0"/>
    <x v="1"/>
    <n v="1"/>
    <n v="0"/>
    <n v="1"/>
    <n v="1"/>
    <s v=""/>
    <s v=""/>
    <s v=""/>
    <s v=""/>
    <s v=""/>
    <s v=""/>
    <n v="1"/>
    <s v=""/>
  </r>
  <r>
    <s v="Cameroon"/>
    <s v="Sub-Saharan Africa"/>
    <s v="P074490"/>
    <s v="C1"/>
    <s v=""/>
    <s v="P074490C1"/>
    <s v="Ratio"/>
    <s v="2002 / 2010"/>
    <s v="Widening and Reconstruction"/>
    <s v=""/>
    <n v="1.173913043478261"/>
    <n v="1.167727507311199"/>
    <m/>
    <n v="1.167727507311199"/>
    <n v="0.99473083956139163"/>
    <s v=""/>
    <x v="0"/>
    <x v="0"/>
    <n v="0"/>
    <n v="0"/>
    <s v=""/>
    <s v=""/>
    <s v=""/>
    <s v=""/>
    <s v=""/>
    <s v=""/>
    <s v=""/>
    <s v=""/>
    <s v=""/>
    <s v=""/>
  </r>
  <r>
    <s v="Thailand"/>
    <s v="East Asia and Pacific"/>
    <s v="P075173"/>
    <s v="C2"/>
    <s v=""/>
    <s v="P075173C2"/>
    <s v="Ratio"/>
    <s v="2003 / 2013"/>
    <s v="Widening"/>
    <n v="1"/>
    <n v="1.1817808219178081"/>
    <n v="0.80564387917329094"/>
    <m/>
    <n v="0.80564387917329094"/>
    <n v="0.68172021768459756"/>
    <s v=""/>
    <x v="0"/>
    <x v="0"/>
    <n v="0"/>
    <n v="0"/>
    <s v=""/>
    <s v=""/>
    <s v=""/>
    <s v=""/>
    <s v=""/>
    <s v=""/>
    <s v=""/>
    <s v=""/>
    <s v=""/>
    <s v=""/>
  </r>
  <r>
    <s v="Vietnam"/>
    <s v="East Asia and Pacific"/>
    <s v="P075407"/>
    <s v="C1"/>
    <s v=""/>
    <s v="P075407C1"/>
    <s v="Ratio"/>
    <s v="2006 / 2014"/>
    <s v="Surface Treatment Resurfacing"/>
    <s v=""/>
    <n v="1.0422222222222222"/>
    <n v="1.9147250333411783"/>
    <m/>
    <n v="1.9147250333411783"/>
    <n v="1.8371562153593395"/>
    <s v="x"/>
    <x v="0"/>
    <x v="0"/>
    <n v="1"/>
    <n v="0"/>
    <n v="1"/>
    <s v=""/>
    <s v=""/>
    <s v=""/>
    <s v=""/>
    <s v=""/>
    <s v=""/>
    <s v=""/>
    <n v="1"/>
    <n v="1"/>
  </r>
  <r>
    <s v="Vietnam"/>
    <s v="East Asia and Pacific"/>
    <s v="P075407"/>
    <s v="C2"/>
    <s v=""/>
    <s v="P075407C2"/>
    <s v="Ratio"/>
    <s v="2006 / 2014"/>
    <s v="Routine Maintenance"/>
    <n v="1"/>
    <n v="1.6585000000000001"/>
    <n v="3.1817447495961226"/>
    <m/>
    <n v="3.1817447495961226"/>
    <n v="1.9184472412397484"/>
    <s v="x"/>
    <x v="1"/>
    <x v="0"/>
    <n v="1"/>
    <n v="0"/>
    <n v="1"/>
    <s v=""/>
    <s v=""/>
    <s v=""/>
    <s v=""/>
    <s v=""/>
    <s v=""/>
    <s v=""/>
    <n v="1"/>
    <n v="1"/>
  </r>
  <r>
    <s v="Lesotho"/>
    <s v="Sub-Saharan Africa"/>
    <s v="P075566"/>
    <s v="C1"/>
    <s v=""/>
    <s v="P075566C1"/>
    <s v="Ratio"/>
    <s v="2006 / 2015"/>
    <s v="Strengthening"/>
    <s v=""/>
    <n v="2.0754716981132075"/>
    <n v="3.0051764705882351"/>
    <m/>
    <n v="3.0051764705882351"/>
    <n v="1.4479486631016043"/>
    <s v="x"/>
    <x v="1"/>
    <x v="0"/>
    <n v="0"/>
    <n v="0"/>
    <s v=""/>
    <s v=""/>
    <s v=""/>
    <s v=""/>
    <s v=""/>
    <s v=""/>
    <s v=""/>
    <s v=""/>
    <s v=""/>
    <n v="1"/>
  </r>
  <r>
    <s v="China"/>
    <s v="East Asia and Pacific"/>
    <s v="P076714"/>
    <s v="C1"/>
    <s v=""/>
    <s v="P076714C1"/>
    <s v="Ratio"/>
    <s v="2003 / 2009"/>
    <s v="New 4L Highway"/>
    <n v="0.9285714285714286"/>
    <n v="0.99974171330176498"/>
    <n v="0.84813823314675107"/>
    <m/>
    <n v="1.0257132951379448"/>
    <n v="1.0259782916833646"/>
    <s v=""/>
    <x v="0"/>
    <x v="0"/>
    <n v="0"/>
    <n v="0"/>
    <s v=""/>
    <s v=""/>
    <s v=""/>
    <s v=""/>
    <s v=""/>
    <s v=""/>
    <s v=""/>
    <s v=""/>
    <s v=""/>
    <s v=""/>
  </r>
  <r>
    <s v="China"/>
    <s v="East Asia and Pacific"/>
    <s v="P076714"/>
    <s v="C1"/>
    <s v="S1"/>
    <s v="P076714C1S1"/>
    <s v="Ratio"/>
    <s v="2003 / 2009"/>
    <s v="New 4L Highway"/>
    <s v=""/>
    <n v="1.1415292879691337"/>
    <n v="1.1346423562412342"/>
    <m/>
    <n v="1.3722029081336156"/>
    <n v="1.2020742022089224"/>
    <s v=""/>
    <x v="0"/>
    <x v="0"/>
    <n v="0"/>
    <n v="0"/>
    <s v=""/>
    <s v=""/>
    <s v=""/>
    <s v=""/>
    <s v=""/>
    <s v=""/>
    <s v=""/>
    <s v=""/>
    <s v=""/>
    <s v=""/>
  </r>
  <r>
    <s v="China"/>
    <s v="East Asia and Pacific"/>
    <s v="P076714"/>
    <s v="C1"/>
    <s v="S2"/>
    <s v="P076714C1S2"/>
    <s v="Ratio"/>
    <s v="2003 / 2009"/>
    <s v="New 4L Highway"/>
    <s v=""/>
    <n v="0.84371807967313572"/>
    <n v="1.0787746170678336"/>
    <m/>
    <n v="1.3046381166881855"/>
    <n v="1.5462962666316391"/>
    <s v="x"/>
    <x v="0"/>
    <x v="0"/>
    <n v="1"/>
    <n v="0"/>
    <n v="1"/>
    <s v=""/>
    <s v=""/>
    <s v=""/>
    <s v=""/>
    <s v=""/>
    <s v=""/>
    <n v="1"/>
    <s v=""/>
    <s v=""/>
  </r>
  <r>
    <s v="China"/>
    <s v="East Asia and Pacific"/>
    <s v="P076714"/>
    <s v="C1"/>
    <s v="S3"/>
    <s v="P076714C1S3"/>
    <s v="Ratio"/>
    <s v="2003 / 2009"/>
    <s v="New 4L Highway"/>
    <s v=""/>
    <n v="0.95579567779960717"/>
    <n v="0.29474485910129472"/>
    <m/>
    <n v="0.35645571539922322"/>
    <n v="0.37294133430257881"/>
    <s v="x"/>
    <x v="0"/>
    <x v="0"/>
    <n v="0"/>
    <n v="1"/>
    <s v=""/>
    <s v=""/>
    <s v=""/>
    <s v=""/>
    <s v=""/>
    <s v=""/>
    <s v=""/>
    <s v=""/>
    <n v="1"/>
    <s v=""/>
  </r>
  <r>
    <s v="China"/>
    <s v="East Asia and Pacific"/>
    <s v="P076714"/>
    <s v="C2"/>
    <s v=""/>
    <s v="P076714C2"/>
    <s v="Ratio"/>
    <s v="2003 / 2009"/>
    <s v="Upgrading"/>
    <s v=""/>
    <n v="0.96090534979423869"/>
    <n v="0.72099999999999997"/>
    <m/>
    <n v="0.87195607613469983"/>
    <n v="0.90743180514232136"/>
    <s v=""/>
    <x v="0"/>
    <x v="0"/>
    <n v="0"/>
    <n v="0"/>
    <s v=""/>
    <s v=""/>
    <s v=""/>
    <s v=""/>
    <s v=""/>
    <s v=""/>
    <s v=""/>
    <s v=""/>
    <s v=""/>
    <s v=""/>
  </r>
  <r>
    <s v="China"/>
    <s v="East Asia and Pacific"/>
    <s v="P076714"/>
    <s v="C2"/>
    <s v="S1"/>
    <s v="P076714C2S1"/>
    <s v="Ratio"/>
    <s v="2003 / 2009"/>
    <s v="Upgrading"/>
    <s v=""/>
    <n v="1.0013513513513512"/>
    <n v="0.66418918918918912"/>
    <m/>
    <n v="0.80325076174270893"/>
    <n v="0.80216675261755022"/>
    <s v=""/>
    <x v="0"/>
    <x v="0"/>
    <n v="0"/>
    <n v="0"/>
    <s v=""/>
    <s v=""/>
    <s v=""/>
    <s v=""/>
    <s v=""/>
    <s v=""/>
    <s v=""/>
    <s v=""/>
    <s v=""/>
    <s v=""/>
  </r>
  <r>
    <s v="China"/>
    <s v="East Asia and Pacific"/>
    <s v="P076714"/>
    <s v="C2"/>
    <s v="S2"/>
    <s v="P076714C2S2"/>
    <s v="Ratio"/>
    <s v="2003 / 2009"/>
    <s v="Upgrading"/>
    <s v=""/>
    <n v="1.1142857142857143"/>
    <n v="0.94857142857142862"/>
    <m/>
    <n v="1.1471742313323574"/>
    <n v="1.02951533581109"/>
    <s v=""/>
    <x v="0"/>
    <x v="0"/>
    <n v="0"/>
    <n v="0"/>
    <s v=""/>
    <s v=""/>
    <s v=""/>
    <s v=""/>
    <s v=""/>
    <s v=""/>
    <s v=""/>
    <s v=""/>
    <s v=""/>
    <s v=""/>
  </r>
  <r>
    <s v="China"/>
    <s v="East Asia and Pacific"/>
    <s v="P076714"/>
    <s v="C2"/>
    <s v="S3"/>
    <s v="P076714C2S3"/>
    <s v="Ratio"/>
    <s v="2003 / 2009"/>
    <s v="Upgrading"/>
    <s v=""/>
    <n v="0.82727272727272727"/>
    <n v="0.84545454545454557"/>
    <m/>
    <n v="1.0224677226141354"/>
    <n v="1.2359499943687351"/>
    <s v=""/>
    <x v="0"/>
    <x v="0"/>
    <n v="0"/>
    <n v="0"/>
    <s v=""/>
    <s v=""/>
    <s v=""/>
    <s v=""/>
    <s v=""/>
    <s v=""/>
    <s v=""/>
    <s v=""/>
    <s v=""/>
    <s v=""/>
  </r>
  <r>
    <s v="China"/>
    <s v="East Asia and Pacific"/>
    <s v="P076714"/>
    <s v="C2"/>
    <s v="S4"/>
    <s v="P076714C2S4"/>
    <s v="Ratio"/>
    <s v="2003 / 2009"/>
    <s v="Upgrading"/>
    <s v=""/>
    <n v="0.86052631578947381"/>
    <n v="0.72666666666666668"/>
    <m/>
    <n v="0.8788091752074183"/>
    <n v="1.0212461363266634"/>
    <s v=""/>
    <x v="0"/>
    <x v="0"/>
    <n v="0"/>
    <n v="0"/>
    <s v=""/>
    <s v=""/>
    <s v=""/>
    <s v=""/>
    <s v=""/>
    <s v=""/>
    <s v=""/>
    <s v=""/>
    <s v=""/>
    <s v=""/>
  </r>
  <r>
    <s v="China"/>
    <s v="East Asia and Pacific"/>
    <s v="P076714"/>
    <s v="C2"/>
    <s v="S5"/>
    <s v="P076714C2S5"/>
    <s v="Ratio"/>
    <s v="2003 / 2009"/>
    <s v="Upgrading"/>
    <s v=""/>
    <n v="0.98653846153846148"/>
    <n v="0.53846153846153844"/>
    <m/>
    <n v="0.65119945939858093"/>
    <n v="0.66008522200246011"/>
    <s v=""/>
    <x v="0"/>
    <x v="0"/>
    <n v="0"/>
    <n v="0"/>
    <s v=""/>
    <s v=""/>
    <s v=""/>
    <s v=""/>
    <s v=""/>
    <s v=""/>
    <s v=""/>
    <s v=""/>
    <s v=""/>
    <s v=""/>
  </r>
  <r>
    <s v="India"/>
    <s v="South Asia"/>
    <s v="P077856"/>
    <s v="C1"/>
    <s v=""/>
    <s v="P077856C1"/>
    <s v="Ratio"/>
    <s v="2004 / 2012"/>
    <s v="Widening"/>
    <n v="1.75"/>
    <n v="0.67701863354037262"/>
    <n v="0.99657478794823573"/>
    <m/>
    <n v="0.99657478794823573"/>
    <n v="1.4720049620152837"/>
    <s v=""/>
    <x v="0"/>
    <x v="0"/>
    <n v="0"/>
    <n v="0"/>
    <s v=""/>
    <s v=""/>
    <s v=""/>
    <s v=""/>
    <s v=""/>
    <s v=""/>
    <s v=""/>
    <s v=""/>
    <s v=""/>
    <s v=""/>
  </r>
  <r>
    <s v="Sierra Leone"/>
    <s v="Sub-Saharan Africa"/>
    <s v="P078389"/>
    <s v="C1"/>
    <s v=""/>
    <s v="P078389C1"/>
    <s v="Ratio"/>
    <s v="2005 / 2014"/>
    <s v="Gravel Resurfacing"/>
    <s v=""/>
    <n v="0.74308300395256921"/>
    <n v="1.2484560570071259"/>
    <m/>
    <n v="1.2484560570071259"/>
    <n v="1.680103097993632"/>
    <s v="x"/>
    <x v="0"/>
    <x v="0"/>
    <n v="1"/>
    <n v="0"/>
    <s v=""/>
    <n v="1"/>
    <s v=""/>
    <s v=""/>
    <s v=""/>
    <s v=""/>
    <s v=""/>
    <n v="1"/>
    <s v=""/>
    <s v=""/>
  </r>
  <r>
    <s v="Albania"/>
    <s v="Europe and Central Asia"/>
    <s v="P078949"/>
    <s v="C1"/>
    <s v="S1"/>
    <s v="P078949C1S1"/>
    <s v="Ratio"/>
    <s v="2007 / 2011"/>
    <s v="New 4L Highway"/>
    <n v="2.2272727272727271"/>
    <n v="1"/>
    <n v="1.1753246753246753"/>
    <m/>
    <n v="1.1753246753246753"/>
    <n v="1.1753246753246755"/>
    <s v=""/>
    <x v="0"/>
    <x v="0"/>
    <n v="0"/>
    <n v="0"/>
    <s v=""/>
    <s v=""/>
    <s v=""/>
    <s v=""/>
    <s v=""/>
    <s v=""/>
    <s v=""/>
    <s v=""/>
    <s v=""/>
    <s v=""/>
  </r>
  <r>
    <s v="Albania"/>
    <s v="Europe and Central Asia"/>
    <s v="P078949"/>
    <s v="C1"/>
    <s v="S2"/>
    <s v="P078949C1S2"/>
    <s v="Ratio"/>
    <s v="2007 / 2011"/>
    <s v="New 4L Highway"/>
    <n v="3.7272727272727271"/>
    <n v="1"/>
    <n v="0.9662921348314607"/>
    <m/>
    <n v="0.9662921348314607"/>
    <n v="0.96629213483146081"/>
    <s v=""/>
    <x v="0"/>
    <x v="0"/>
    <n v="0"/>
    <n v="0"/>
    <s v=""/>
    <s v=""/>
    <s v=""/>
    <s v=""/>
    <s v=""/>
    <s v=""/>
    <s v=""/>
    <s v=""/>
    <s v=""/>
    <s v=""/>
  </r>
  <r>
    <s v="Albania"/>
    <s v="Europe and Central Asia"/>
    <s v="P078949"/>
    <s v="C1"/>
    <s v="S3"/>
    <s v="P078949C1S3"/>
    <s v="Ratio"/>
    <s v="2007 / 2011"/>
    <s v="New 4L Highway"/>
    <n v="2.1875"/>
    <n v="1"/>
    <n v="1.0333333333333334"/>
    <m/>
    <n v="1.0333333333333334"/>
    <n v="1.0333333333333334"/>
    <s v=""/>
    <x v="0"/>
    <x v="0"/>
    <n v="0"/>
    <n v="0"/>
    <s v=""/>
    <s v=""/>
    <s v=""/>
    <s v=""/>
    <s v=""/>
    <s v=""/>
    <s v=""/>
    <s v=""/>
    <s v=""/>
    <s v=""/>
  </r>
  <r>
    <s v="Rwanda"/>
    <s v="Sub-Saharan Africa"/>
    <s v="P079414"/>
    <s v="C1"/>
    <s v="S1"/>
    <s v="P079414C1S1"/>
    <s v="Ratio"/>
    <s v="2007 / 2015"/>
    <s v="Partial Widening and Reconstruction"/>
    <n v="1.2222222222222223"/>
    <n v="1"/>
    <n v="1.2655263157894738"/>
    <m/>
    <n v="1.2655263157894738"/>
    <n v="1.2655263157894738"/>
    <s v=""/>
    <x v="0"/>
    <x v="0"/>
    <n v="0"/>
    <n v="0"/>
    <s v=""/>
    <s v=""/>
    <s v=""/>
    <s v=""/>
    <s v=""/>
    <s v=""/>
    <s v=""/>
    <s v=""/>
    <s v=""/>
    <s v=""/>
  </r>
  <r>
    <s v="Mali"/>
    <s v="Sub-Saharan Africa"/>
    <s v="P079749_2"/>
    <s v="C1"/>
    <s v="S2"/>
    <s v="P079749_2C1S2"/>
    <s v="Ratio"/>
    <s v="2008 / 2015"/>
    <s v="Asphalt Mix Resurfacing"/>
    <s v=""/>
    <n v="1.2922077922077921"/>
    <n v="6.9"/>
    <m/>
    <n v="6.9"/>
    <n v="5.3396984924623112"/>
    <s v="x"/>
    <x v="0"/>
    <x v="0"/>
    <n v="1"/>
    <n v="0"/>
    <s v=""/>
    <s v=""/>
    <s v=""/>
    <s v=""/>
    <s v=""/>
    <s v=""/>
    <s v=""/>
    <s v=""/>
    <n v="1"/>
    <s v=""/>
  </r>
  <r>
    <s v="China"/>
    <s v="East Asia and Pacific"/>
    <s v="P081749"/>
    <s v="C1"/>
    <s v=""/>
    <s v="P081749C1"/>
    <s v="Ratio"/>
    <s v="2004 / 2010"/>
    <s v="New 4L Highway"/>
    <n v="1"/>
    <n v="1.0123691722169363"/>
    <n v="1.6778436635075067"/>
    <m/>
    <n v="1.6778436635075067"/>
    <n v="1.6573436939345765"/>
    <s v="x"/>
    <x v="0"/>
    <x v="0"/>
    <n v="1"/>
    <n v="0"/>
    <s v=""/>
    <s v=""/>
    <n v="1"/>
    <s v=""/>
    <s v=""/>
    <s v=""/>
    <s v=""/>
    <s v=""/>
    <n v="1"/>
    <s v=""/>
  </r>
  <r>
    <s v="China"/>
    <s v="East Asia and Pacific"/>
    <s v="P081749"/>
    <s v="C2"/>
    <s v="S1"/>
    <s v="P081749C2S1"/>
    <s v="Ratio"/>
    <s v="2004 / 2010"/>
    <s v="Upgrading"/>
    <n v="1"/>
    <n v="0.99277389277389294"/>
    <n v="0.84554678692220964"/>
    <m/>
    <n v="1.0250552555952994"/>
    <n v="1.0325163293035533"/>
    <s v=""/>
    <x v="0"/>
    <x v="0"/>
    <n v="0"/>
    <n v="0"/>
    <s v=""/>
    <s v=""/>
    <s v=""/>
    <s v=""/>
    <s v=""/>
    <s v=""/>
    <s v=""/>
    <s v=""/>
    <s v=""/>
    <s v=""/>
  </r>
  <r>
    <s v="Morocco"/>
    <s v="Middle East and North Africa"/>
    <s v="P082754"/>
    <s v="C1"/>
    <s v=""/>
    <s v="P082754C1"/>
    <s v="Ratio"/>
    <s v="2004 / 2011"/>
    <s v="Reconstruction"/>
    <n v="1.2777777777777777"/>
    <n v="0.83199999999999996"/>
    <n v="1.1914052201423675"/>
    <m/>
    <n v="1.3228312156496789"/>
    <n v="1.5899413649635565"/>
    <s v="x"/>
    <x v="0"/>
    <x v="0"/>
    <n v="1"/>
    <n v="0"/>
    <n v="1"/>
    <s v=""/>
    <s v=""/>
    <s v=""/>
    <s v=""/>
    <s v=""/>
    <s v=""/>
    <s v=""/>
    <n v="1"/>
    <s v=""/>
  </r>
  <r>
    <s v="Morocco"/>
    <s v="Middle East and North Africa"/>
    <s v="P082754"/>
    <s v="C1"/>
    <s v="S1"/>
    <s v="P082754C1S1"/>
    <s v="Ratio"/>
    <s v="2004 / 2011"/>
    <s v="Reconstruction"/>
    <n v="1.2777777777777777"/>
    <n v="0.77916666666666667"/>
    <n v="0.91597222222222219"/>
    <m/>
    <n v="1.0170147215560883"/>
    <n v="1.3052595356869583"/>
    <s v=""/>
    <x v="0"/>
    <x v="0"/>
    <n v="0"/>
    <n v="0"/>
    <s v=""/>
    <s v=""/>
    <s v=""/>
    <s v=""/>
    <s v=""/>
    <s v=""/>
    <s v=""/>
    <s v=""/>
    <s v=""/>
    <s v=""/>
  </r>
  <r>
    <s v="Morocco"/>
    <s v="Middle East and North Africa"/>
    <s v="P082754"/>
    <s v="C1"/>
    <s v="S10"/>
    <s v="P082754C1S10"/>
    <s v="Ratio"/>
    <s v="2004 / 2011"/>
    <s v="Reconstruction"/>
    <n v="1.2777777777777777"/>
    <n v="0.97777777777777786"/>
    <n v="1.6722222222222221"/>
    <m/>
    <n v="1.8566879829469756"/>
    <n v="1.8988854371048609"/>
    <s v="x"/>
    <x v="0"/>
    <x v="0"/>
    <n v="1"/>
    <n v="0"/>
    <n v="1"/>
    <s v=""/>
    <s v=""/>
    <s v=""/>
    <s v=""/>
    <s v=""/>
    <s v=""/>
    <s v=""/>
    <n v="1"/>
    <s v=""/>
  </r>
  <r>
    <s v="Morocco"/>
    <s v="Middle East and North Africa"/>
    <s v="P082754"/>
    <s v="C1"/>
    <s v="S11"/>
    <s v="P082754C1S11"/>
    <s v="Ratio"/>
    <s v="2004 / 2011"/>
    <s v="Reconstruction"/>
    <n v="1.2777777777777777"/>
    <n v="0.95"/>
    <n v="2.3470588235294119"/>
    <m/>
    <n v="2.6059669911129921"/>
    <n v="2.7431231485399916"/>
    <s v="x"/>
    <x v="0"/>
    <x v="0"/>
    <n v="1"/>
    <n v="0"/>
    <n v="1"/>
    <s v=""/>
    <s v=""/>
    <s v=""/>
    <s v=""/>
    <s v=""/>
    <s v=""/>
    <s v=""/>
    <n v="1"/>
    <s v=""/>
  </r>
  <r>
    <s v="Morocco"/>
    <s v="Middle East and North Africa"/>
    <s v="P082754"/>
    <s v="C1"/>
    <s v="S12"/>
    <s v="P082754C1S12"/>
    <s v="Ratio"/>
    <s v="2004 / 2011"/>
    <s v="Reconstruction"/>
    <n v="1.2777777777777777"/>
    <n v="1.032142857142857"/>
    <n v="1.0179924242424241"/>
    <m/>
    <n v="1.1302889506576557"/>
    <n v="1.0950896407755835"/>
    <s v=""/>
    <x v="0"/>
    <x v="0"/>
    <n v="0"/>
    <n v="0"/>
    <s v=""/>
    <s v=""/>
    <s v=""/>
    <s v=""/>
    <s v=""/>
    <s v=""/>
    <s v=""/>
    <s v=""/>
    <s v=""/>
    <s v=""/>
  </r>
  <r>
    <s v="Morocco"/>
    <s v="Middle East and North Africa"/>
    <s v="P082754"/>
    <s v="C1"/>
    <s v="S2"/>
    <s v="P082754C1S2"/>
    <s v="Ratio"/>
    <s v="2004 / 2011"/>
    <s v="Reconstruction"/>
    <n v="1.2777777777777777"/>
    <n v="1.0036363636363637"/>
    <n v="1.0925"/>
    <m/>
    <n v="1.213015587529976"/>
    <n v="1.2086206035171863"/>
    <s v=""/>
    <x v="0"/>
    <x v="0"/>
    <n v="0"/>
    <n v="0"/>
    <s v=""/>
    <s v=""/>
    <s v=""/>
    <s v=""/>
    <s v=""/>
    <s v=""/>
    <s v=""/>
    <s v=""/>
    <s v=""/>
    <s v=""/>
  </r>
  <r>
    <s v="Morocco"/>
    <s v="Middle East and North Africa"/>
    <s v="P082754"/>
    <s v="C1"/>
    <s v="S3"/>
    <s v="P082754C1S3"/>
    <s v="Ratio"/>
    <s v="2004 / 2011"/>
    <s v="Reconstruction"/>
    <n v="1.2777777777777777"/>
    <n v="1.1000000000000001"/>
    <n v="1.3590909090909091"/>
    <m/>
    <n v="1.5090146064966208"/>
    <n v="1.3718314604514736"/>
    <s v=""/>
    <x v="0"/>
    <x v="0"/>
    <n v="0"/>
    <n v="0"/>
    <s v=""/>
    <s v=""/>
    <s v=""/>
    <s v=""/>
    <s v=""/>
    <s v=""/>
    <s v=""/>
    <s v=""/>
    <s v=""/>
    <s v=""/>
  </r>
  <r>
    <s v="Morocco"/>
    <s v="Middle East and North Africa"/>
    <s v="P082754"/>
    <s v="C1"/>
    <s v="S4"/>
    <s v="P082754C1S4"/>
    <s v="Ratio"/>
    <s v="2004 / 2011"/>
    <s v="Reconstruction"/>
    <n v="1.2777777777777777"/>
    <n v="0.97857142857142854"/>
    <n v="1.0852272727272727"/>
    <m/>
    <n v="1.2049405929801613"/>
    <n v="1.2313261534103841"/>
    <s v=""/>
    <x v="0"/>
    <x v="0"/>
    <n v="0"/>
    <n v="0"/>
    <s v=""/>
    <s v=""/>
    <s v=""/>
    <s v=""/>
    <s v=""/>
    <s v=""/>
    <s v=""/>
    <s v=""/>
    <s v=""/>
    <s v=""/>
  </r>
  <r>
    <s v="Morocco"/>
    <s v="Middle East and North Africa"/>
    <s v="P082754"/>
    <s v="C1"/>
    <s v="S5"/>
    <s v="P082754C1S5"/>
    <s v="Ratio"/>
    <s v="2004 / 2011"/>
    <s v="Reconstruction"/>
    <n v="1.2777777777777777"/>
    <n v="1.01"/>
    <n v="0.88581730769230771"/>
    <m/>
    <n v="0.98353336561520011"/>
    <n v="0.97379541150019822"/>
    <s v=""/>
    <x v="0"/>
    <x v="0"/>
    <n v="0"/>
    <n v="0"/>
    <s v=""/>
    <s v=""/>
    <s v=""/>
    <s v=""/>
    <s v=""/>
    <s v=""/>
    <s v=""/>
    <s v=""/>
    <s v=""/>
    <s v=""/>
  </r>
  <r>
    <s v="Morocco"/>
    <s v="Middle East and North Africa"/>
    <s v="P082754"/>
    <s v="C1"/>
    <s v="S6"/>
    <s v="P082754C1S6"/>
    <s v="Ratio"/>
    <s v="2004 / 2011"/>
    <s v="Reconstruction"/>
    <n v="1.2777777777777777"/>
    <n v="0.92500000000000004"/>
    <n v="1.2353896103896105"/>
    <m/>
    <n v="1.3716676009841478"/>
    <n v="1.4828838929558354"/>
    <s v=""/>
    <x v="0"/>
    <x v="0"/>
    <n v="0"/>
    <n v="0"/>
    <s v=""/>
    <s v=""/>
    <s v=""/>
    <s v=""/>
    <s v=""/>
    <s v=""/>
    <s v=""/>
    <s v=""/>
    <s v=""/>
    <s v=""/>
  </r>
  <r>
    <s v="Morocco"/>
    <s v="Middle East and North Africa"/>
    <s v="P082754"/>
    <s v="C1"/>
    <s v="S7"/>
    <s v="P082754C1S7"/>
    <s v="Ratio"/>
    <s v="2004 / 2011"/>
    <s v="Reconstruction"/>
    <n v="1.2777777777777777"/>
    <n v="0.88461538461538458"/>
    <n v="0.93990384615384615"/>
    <m/>
    <n v="1.0435862848182993"/>
    <n v="1.1797062350119905"/>
    <s v=""/>
    <x v="0"/>
    <x v="0"/>
    <n v="0"/>
    <n v="0"/>
    <s v=""/>
    <s v=""/>
    <s v=""/>
    <s v=""/>
    <s v=""/>
    <s v=""/>
    <s v=""/>
    <s v=""/>
    <s v=""/>
    <s v=""/>
  </r>
  <r>
    <s v="Morocco"/>
    <s v="Middle East and North Africa"/>
    <s v="P082754"/>
    <s v="C1"/>
    <s v="S8"/>
    <s v="P082754C1S8"/>
    <s v="Ratio"/>
    <s v="2004 / 2011"/>
    <s v="Reconstruction"/>
    <n v="1.2777777777777777"/>
    <n v="0.86153846153846148"/>
    <n v="0.93990384615384615"/>
    <m/>
    <n v="1.0435862848182993"/>
    <n v="1.2113055091640974"/>
    <s v=""/>
    <x v="0"/>
    <x v="0"/>
    <n v="0"/>
    <n v="0"/>
    <s v=""/>
    <s v=""/>
    <s v=""/>
    <s v=""/>
    <s v=""/>
    <s v=""/>
    <s v=""/>
    <s v=""/>
    <s v=""/>
    <s v=""/>
  </r>
  <r>
    <s v="Morocco"/>
    <s v="Middle East and North Africa"/>
    <s v="P082754"/>
    <s v="C1"/>
    <s v="S9"/>
    <s v="P082754C1S9"/>
    <s v="Ratio"/>
    <s v="2004 / 2011"/>
    <s v="Reconstruction"/>
    <n v="1.2777777777777777"/>
    <n v="1.4444444444444444"/>
    <n v="2.046875"/>
    <m/>
    <n v="2.2726693645083933"/>
    <n v="1.5733864831211952"/>
    <s v="x"/>
    <x v="0"/>
    <x v="0"/>
    <n v="1"/>
    <n v="0"/>
    <n v="1"/>
    <s v=""/>
    <s v=""/>
    <s v=""/>
    <s v=""/>
    <s v=""/>
    <s v=""/>
    <s v=""/>
    <n v="1"/>
    <s v=""/>
  </r>
  <r>
    <s v="Madagascar"/>
    <s v="Sub-Saharan Africa"/>
    <s v="P082806"/>
    <s v="C1"/>
    <s v="S1"/>
    <s v="P082806C1S1"/>
    <s v="Ratio"/>
    <s v="2003 / 2013"/>
    <s v="Asphalt Mix Resurfacing"/>
    <n v="1.625"/>
    <n v="1.2630522088353413"/>
    <n v="6.3794760701283622"/>
    <m/>
    <n v="6.3794760701283622"/>
    <n v="5.0508411493226149"/>
    <s v="x"/>
    <x v="0"/>
    <x v="0"/>
    <n v="1"/>
    <n v="0"/>
    <n v="1"/>
    <s v=""/>
    <n v="1"/>
    <s v=""/>
    <s v=""/>
    <s v=""/>
    <s v=""/>
    <s v=""/>
    <s v=""/>
    <s v=""/>
  </r>
  <r>
    <s v="Madagascar"/>
    <s v="Sub-Saharan Africa"/>
    <s v="P082806"/>
    <s v="C1"/>
    <s v="S2"/>
    <s v="P082806C1S2"/>
    <s v="Ratio"/>
    <s v="2003 / 2013"/>
    <s v="Asphalt Mix Resurfacing"/>
    <n v="1"/>
    <n v="0.48779661016949155"/>
    <n v="1.9009688798722191"/>
    <m/>
    <n v="1.9009688798722191"/>
    <n v="3.897052255471193"/>
    <s v="x"/>
    <x v="0"/>
    <x v="1"/>
    <n v="1"/>
    <n v="0"/>
    <n v="1"/>
    <s v=""/>
    <n v="1"/>
    <s v=""/>
    <s v=""/>
    <s v=""/>
    <s v=""/>
    <s v=""/>
    <s v=""/>
    <n v="1"/>
  </r>
  <r>
    <s v="Madagascar"/>
    <s v="Sub-Saharan Africa"/>
    <s v="P082806"/>
    <s v="C1"/>
    <s v="S3"/>
    <s v="P082806C1S3"/>
    <s v="Ratio"/>
    <s v="2003 / 2013"/>
    <s v="Gravel Resurfacing"/>
    <n v="0.27777777777777779"/>
    <n v="1.011049723756906"/>
    <n v="9.8801425665107037E-2"/>
    <m/>
    <n v="9.8801425665107037E-2"/>
    <n v="9.7721628663302584E-2"/>
    <s v="x"/>
    <x v="0"/>
    <x v="0"/>
    <n v="0"/>
    <n v="1"/>
    <s v=""/>
    <s v=""/>
    <s v=""/>
    <s v=""/>
    <s v=""/>
    <s v=""/>
    <s v=""/>
    <s v=""/>
    <s v=""/>
    <n v="1"/>
  </r>
  <r>
    <s v="Ethiopia"/>
    <s v="Sub-Saharan Africa"/>
    <s v="P082998"/>
    <s v="C1"/>
    <s v="S1"/>
    <s v="P082998C1S1"/>
    <s v="Ratio"/>
    <s v="2004 / 2012"/>
    <s v="Upgrading"/>
    <s v=""/>
    <n v="0.77848101265822789"/>
    <n v="3.1677949709864603"/>
    <m/>
    <n v="3.1677949709864603"/>
    <n v="4.0692000440313878"/>
    <s v="x"/>
    <x v="0"/>
    <x v="0"/>
    <n v="1"/>
    <n v="0"/>
    <s v=""/>
    <s v=""/>
    <s v=""/>
    <s v=""/>
    <s v=""/>
    <s v=""/>
    <s v=""/>
    <s v=""/>
    <n v="1"/>
    <n v="1"/>
  </r>
  <r>
    <s v="Ethiopia"/>
    <s v="Sub-Saharan Africa"/>
    <s v="P082998"/>
    <s v="C1"/>
    <s v="S2"/>
    <s v="P082998C1S2"/>
    <s v="Ratio"/>
    <s v="2004 / 2012"/>
    <s v="Upgrading"/>
    <s v=""/>
    <n v="1"/>
    <n v="2.4344999999999999"/>
    <m/>
    <n v="2.4344999999999999"/>
    <n v="2.4344999999999999"/>
    <s v="x"/>
    <x v="0"/>
    <x v="0"/>
    <n v="1"/>
    <n v="0"/>
    <s v=""/>
    <s v=""/>
    <s v=""/>
    <s v=""/>
    <s v=""/>
    <s v=""/>
    <s v=""/>
    <s v=""/>
    <n v="1"/>
    <n v="1"/>
  </r>
  <r>
    <s v="Ethiopia"/>
    <s v="Sub-Saharan Africa"/>
    <s v="P082998"/>
    <s v="C1"/>
    <s v="S3"/>
    <s v="P082998C1S3"/>
    <s v="Ratio"/>
    <s v="2004 / 2012"/>
    <s v="Upgrading"/>
    <s v=""/>
    <n v="1"/>
    <n v="3.1646682653876903"/>
    <m/>
    <n v="3.1646682653876903"/>
    <n v="3.1646682653876903"/>
    <s v="x"/>
    <x v="0"/>
    <x v="0"/>
    <n v="1"/>
    <n v="0"/>
    <s v=""/>
    <s v=""/>
    <s v=""/>
    <s v=""/>
    <s v=""/>
    <s v=""/>
    <s v=""/>
    <s v=""/>
    <n v="1"/>
    <n v="1"/>
  </r>
  <r>
    <s v="Ethiopia"/>
    <s v="Sub-Saharan Africa"/>
    <s v="P082998"/>
    <s v="C1"/>
    <s v="S4"/>
    <s v="P082998C1S4"/>
    <s v="Ratio"/>
    <s v="2004 / 2007"/>
    <s v="Upgrading"/>
    <n v="1.75"/>
    <n v="1"/>
    <n v="4.2753338570306356"/>
    <m/>
    <n v="4.2753338570306356"/>
    <n v="4.2753338570306365"/>
    <s v="x"/>
    <x v="0"/>
    <x v="0"/>
    <n v="1"/>
    <n v="0"/>
    <s v=""/>
    <s v=""/>
    <s v=""/>
    <s v=""/>
    <s v=""/>
    <s v=""/>
    <s v=""/>
    <s v=""/>
    <n v="1"/>
    <n v="1"/>
  </r>
  <r>
    <s v="Ethiopia"/>
    <s v="Sub-Saharan Africa"/>
    <s v="P082998"/>
    <s v="C2"/>
    <s v="S1"/>
    <s v="P082998C2S1"/>
    <s v="Ratio"/>
    <s v="2004 / 2012"/>
    <s v="New 2L Highway"/>
    <s v=""/>
    <n v="1"/>
    <n v="2.6570644718792868"/>
    <m/>
    <n v="2.6570644718792868"/>
    <n v="2.6570644718792868"/>
    <s v="x"/>
    <x v="0"/>
    <x v="0"/>
    <n v="1"/>
    <n v="0"/>
    <s v=""/>
    <s v=""/>
    <s v=""/>
    <s v=""/>
    <s v=""/>
    <s v=""/>
    <s v=""/>
    <s v=""/>
    <n v="1"/>
    <n v="1"/>
  </r>
  <r>
    <s v="Ethiopia"/>
    <s v="Sub-Saharan Africa"/>
    <s v="P082998"/>
    <s v="C2"/>
    <s v="S2"/>
    <s v="P082998C2S2"/>
    <s v="Ratio"/>
    <s v="2004 / 2012"/>
    <s v="New 2L Highway"/>
    <s v=""/>
    <n v="1"/>
    <n v="3.950755456071628"/>
    <m/>
    <n v="3.950755456071628"/>
    <n v="3.950755456071628"/>
    <s v="x"/>
    <x v="0"/>
    <x v="0"/>
    <n v="1"/>
    <n v="0"/>
    <s v=""/>
    <s v=""/>
    <s v=""/>
    <s v=""/>
    <s v=""/>
    <s v=""/>
    <s v=""/>
    <s v=""/>
    <n v="1"/>
    <n v="1"/>
  </r>
  <r>
    <s v="Vietnam"/>
    <s v="East Asia and Pacific"/>
    <s v="P083588 "/>
    <s v="C1"/>
    <s v=""/>
    <s v="P083588 C1"/>
    <s v="Ratio"/>
    <s v="2007 / 2017"/>
    <s v="Widening and Reconstruction"/>
    <n v="2.1944444444444446"/>
    <n v="0.62244897959183676"/>
    <n v="1.0123357468490213"/>
    <m/>
    <n v="1.0123357468490213"/>
    <n v="1.6263754621508864"/>
    <s v="x"/>
    <x v="0"/>
    <x v="0"/>
    <n v="1"/>
    <n v="0"/>
    <n v="1"/>
    <s v=""/>
    <s v=""/>
    <s v=""/>
    <s v=""/>
    <n v="1"/>
    <s v=""/>
    <s v=""/>
    <s v=""/>
    <s v=""/>
  </r>
  <r>
    <s v="Nepal"/>
    <s v="South Asia"/>
    <s v="P083923"/>
    <s v="C1"/>
    <s v="S1"/>
    <s v="P083923C1S1"/>
    <s v="Ratio"/>
    <s v="2005 / 2014"/>
    <s v="Upgrading"/>
    <s v=""/>
    <n v="2.17625"/>
    <n v="2.7154761904761902"/>
    <m/>
    <n v="2.7154761904761902"/>
    <n v="1.2477776866059462"/>
    <s v="x"/>
    <x v="1"/>
    <x v="0"/>
    <n v="0"/>
    <n v="0"/>
    <n v="1"/>
    <s v=""/>
    <s v=""/>
    <n v="1"/>
    <s v=""/>
    <s v=""/>
    <s v=""/>
    <s v=""/>
    <s v=""/>
    <n v="1"/>
  </r>
  <r>
    <s v="Nepal"/>
    <s v="South Asia"/>
    <s v="P083923"/>
    <s v="C1"/>
    <s v="S2"/>
    <s v="P083923C1S2"/>
    <s v="Ratio"/>
    <s v="2005 / 2014"/>
    <s v="Upgrading"/>
    <s v=""/>
    <n v="0.7"/>
    <n v="0.76"/>
    <m/>
    <n v="0.76"/>
    <n v="1.0857142857142856"/>
    <s v=""/>
    <x v="0"/>
    <x v="0"/>
    <n v="0"/>
    <n v="0"/>
    <s v=""/>
    <s v=""/>
    <s v=""/>
    <s v=""/>
    <s v=""/>
    <s v=""/>
    <s v=""/>
    <s v=""/>
    <s v=""/>
    <s v=""/>
  </r>
  <r>
    <s v="Nepal"/>
    <s v="South Asia"/>
    <s v="P083923"/>
    <s v="C1"/>
    <s v="S3"/>
    <s v="P083923C1S3"/>
    <s v="Ratio"/>
    <s v="2005 / 2014"/>
    <s v="Routine Maintenance"/>
    <s v=""/>
    <n v="1.3142857142857143"/>
    <n v="2.0152091254752853"/>
    <m/>
    <n v="2.0152091254752853"/>
    <n v="1.5333112911224998"/>
    <s v="x"/>
    <x v="0"/>
    <x v="0"/>
    <n v="1"/>
    <n v="0"/>
    <s v=""/>
    <n v="1"/>
    <s v=""/>
    <s v=""/>
    <s v=""/>
    <s v=""/>
    <s v=""/>
    <s v=""/>
    <n v="1"/>
    <s v=""/>
  </r>
  <r>
    <s v="Nicaragua"/>
    <s v="Latin America and Caribbean"/>
    <s v="P083952"/>
    <s v="C1"/>
    <s v=""/>
    <s v="P083952C1"/>
    <s v="Ratio"/>
    <s v="2006 / 2015"/>
    <s v="Strengthening"/>
    <s v=""/>
    <n v="1.0111764705882353"/>
    <n v="1.3514313919052319"/>
    <m/>
    <n v="1.3514313919052319"/>
    <n v="1.3364941048510146"/>
    <s v=""/>
    <x v="0"/>
    <x v="0"/>
    <n v="0"/>
    <n v="0"/>
    <s v=""/>
    <s v=""/>
    <s v=""/>
    <s v=""/>
    <s v=""/>
    <s v=""/>
    <s v=""/>
    <s v=""/>
    <s v=""/>
    <s v=""/>
  </r>
  <r>
    <s v="Nicaragua"/>
    <s v="Latin America and Caribbean"/>
    <s v="P083952"/>
    <s v="C2"/>
    <s v=""/>
    <s v="P083952C2"/>
    <s v="Ratio"/>
    <s v="2006 / 2015"/>
    <s v="Reconstruction"/>
    <s v=""/>
    <n v="1.128125"/>
    <n v="2.0714115118223075"/>
    <m/>
    <n v="2.0714115118223075"/>
    <n v="1.8361542487067546"/>
    <s v="x"/>
    <x v="0"/>
    <x v="0"/>
    <n v="1"/>
    <n v="0"/>
    <n v="1"/>
    <s v=""/>
    <s v=""/>
    <s v=""/>
    <s v=""/>
    <s v=""/>
    <s v=""/>
    <s v=""/>
    <s v=""/>
    <n v="1"/>
  </r>
  <r>
    <s v="Nicaragua"/>
    <s v="Latin America and Caribbean"/>
    <s v="P083952"/>
    <s v="C3"/>
    <s v=""/>
    <s v="P083952C3"/>
    <s v="Ratio"/>
    <s v="2006 / 2015"/>
    <s v="Routine Maintenance"/>
    <s v=""/>
    <n v="1.2903225806451613"/>
    <n v="1.6047120418848169"/>
    <m/>
    <n v="1.6047120418848169"/>
    <n v="1.2436518324607331"/>
    <s v=""/>
    <x v="0"/>
    <x v="0"/>
    <n v="0"/>
    <n v="0"/>
    <s v=""/>
    <s v=""/>
    <s v=""/>
    <s v=""/>
    <s v=""/>
    <s v=""/>
    <s v=""/>
    <s v=""/>
    <s v=""/>
    <s v=""/>
  </r>
  <r>
    <s v="Sri Lanka"/>
    <s v="South Asia"/>
    <s v="P086411"/>
    <s v="C1"/>
    <s v=""/>
    <s v="P086411C1"/>
    <s v="Ratio"/>
    <s v="2005 / 2016"/>
    <s v="Upgrading"/>
    <s v=""/>
    <n v="0.24724409448818899"/>
    <n v="1.3017928286852591"/>
    <m/>
    <n v="1.3017928286852591"/>
    <n v="5.2652130332174494"/>
    <s v="x"/>
    <x v="0"/>
    <x v="1"/>
    <n v="1"/>
    <n v="0"/>
    <n v="1"/>
    <s v=""/>
    <s v=""/>
    <s v=""/>
    <s v=""/>
    <s v=""/>
    <s v=""/>
    <s v=""/>
    <n v="1"/>
    <s v=""/>
  </r>
  <r>
    <s v="Sri Lanka"/>
    <s v="South Asia"/>
    <s v="P086411"/>
    <s v="C2"/>
    <s v=""/>
    <s v="P086411C2"/>
    <s v="Ratio"/>
    <s v="2005 / 2016"/>
    <s v="Widening"/>
    <s v=""/>
    <n v="0.99516129032258061"/>
    <n v="2.1242556217225133"/>
    <m/>
    <n v="2.1242556217225133"/>
    <n v="2.1345842552154917"/>
    <s v="x"/>
    <x v="0"/>
    <x v="0"/>
    <n v="1"/>
    <n v="0"/>
    <n v="1"/>
    <s v=""/>
    <s v=""/>
    <s v=""/>
    <s v=""/>
    <s v=""/>
    <s v=""/>
    <s v=""/>
    <n v="1"/>
    <n v="1"/>
  </r>
  <r>
    <s v="Mali"/>
    <s v="Sub-Saharan Africa"/>
    <s v="P090075"/>
    <s v="C1"/>
    <s v=""/>
    <s v="P090075C1"/>
    <s v="Ratio"/>
    <s v="2007 / 2016"/>
    <s v="Gravel Resurfacing"/>
    <s v=""/>
    <n v="1.155813953488372"/>
    <n v="0.94777777777777772"/>
    <m/>
    <n v="0.94777777777777772"/>
    <n v="0.8200089425441538"/>
    <s v=""/>
    <x v="0"/>
    <x v="0"/>
    <n v="0"/>
    <n v="0"/>
    <s v=""/>
    <s v=""/>
    <s v=""/>
    <s v=""/>
    <s v=""/>
    <s v=""/>
    <s v=""/>
    <s v=""/>
    <s v=""/>
    <s v=""/>
  </r>
  <r>
    <s v="China"/>
    <s v="East Asia and Pacific"/>
    <s v="P091020"/>
    <s v="C1"/>
    <s v=""/>
    <s v="P091020C1"/>
    <s v="Ratio"/>
    <s v="2006 / 2015"/>
    <s v="New 4L Highway"/>
    <s v=""/>
    <n v="1"/>
    <n v="1.5870193224865778"/>
    <m/>
    <n v="1.5870193224865778"/>
    <n v="1.5870193224865778"/>
    <s v="x"/>
    <x v="0"/>
    <x v="0"/>
    <n v="1"/>
    <n v="0"/>
    <s v=""/>
    <n v="1"/>
    <n v="1"/>
    <s v=""/>
    <s v=""/>
    <s v=""/>
    <s v=""/>
    <s v=""/>
    <s v=""/>
    <s v=""/>
  </r>
  <r>
    <s v="China"/>
    <s v="East Asia and Pacific"/>
    <s v="P091020"/>
    <s v="C2"/>
    <s v=""/>
    <s v="P091020C2"/>
    <s v="Ratio"/>
    <s v="2006 / 2015"/>
    <s v="Strengthening"/>
    <s v=""/>
    <n v="2.4368557036728293"/>
    <n v="2.6955416794291316"/>
    <m/>
    <n v="3.5514092503117034"/>
    <n v="1.4573736331449656"/>
    <s v="x"/>
    <x v="1"/>
    <x v="0"/>
    <n v="0"/>
    <n v="0"/>
    <s v=""/>
    <s v=""/>
    <s v=""/>
    <s v=""/>
    <s v=""/>
    <s v=""/>
    <s v=""/>
    <s v=""/>
    <s v=""/>
    <s v=""/>
  </r>
  <r>
    <s v="China"/>
    <s v="East Asia and Pacific"/>
    <s v="P091020"/>
    <s v="C2"/>
    <s v="S1"/>
    <s v="P091020C2S1"/>
    <s v="Ratio"/>
    <s v="2006 / 2015"/>
    <s v="Strengthening"/>
    <s v=""/>
    <n v="3.5906546256946719"/>
    <n v="5.2831890097011529"/>
    <m/>
    <n v="6.9606663712101939"/>
    <n v="1.938550792771816"/>
    <s v="x"/>
    <x v="1"/>
    <x v="0"/>
    <n v="1"/>
    <n v="0"/>
    <s v=""/>
    <s v=""/>
    <s v=""/>
    <s v=""/>
    <s v=""/>
    <s v=""/>
    <s v=""/>
    <s v=""/>
    <s v=""/>
    <n v="1"/>
  </r>
  <r>
    <s v="China"/>
    <s v="East Asia and Pacific"/>
    <s v="P091020"/>
    <s v="C2"/>
    <s v="S2"/>
    <s v="P091020C2S2"/>
    <s v="Ratio"/>
    <s v="2006 / 2015"/>
    <s v="Strengthening"/>
    <s v=""/>
    <n v="2.1986594937825203"/>
    <n v="2.0245805458618427"/>
    <m/>
    <n v="2.6674097208163392"/>
    <n v="1.2131981911520973"/>
    <s v="x"/>
    <x v="1"/>
    <x v="0"/>
    <n v="0"/>
    <n v="0"/>
    <s v=""/>
    <s v=""/>
    <s v=""/>
    <s v=""/>
    <s v=""/>
    <s v=""/>
    <s v=""/>
    <s v=""/>
    <s v=""/>
    <s v=""/>
  </r>
  <r>
    <s v="China"/>
    <s v="East Asia and Pacific"/>
    <s v="P091020"/>
    <s v="C2"/>
    <s v="S3"/>
    <s v="P091020C2S3"/>
    <s v="Ratio"/>
    <s v="2006 / 2015"/>
    <s v="Strengthening"/>
    <s v=""/>
    <n v="1.6798525210734438"/>
    <n v="1.7897825567502987"/>
    <m/>
    <n v="2.3580604880261715"/>
    <n v="1.4037306599506398"/>
    <s v="x"/>
    <x v="1"/>
    <x v="0"/>
    <n v="0"/>
    <n v="0"/>
    <s v=""/>
    <s v=""/>
    <s v=""/>
    <s v=""/>
    <s v=""/>
    <s v=""/>
    <s v=""/>
    <s v=""/>
    <s v=""/>
    <s v=""/>
  </r>
  <r>
    <s v="China"/>
    <s v="East Asia and Pacific"/>
    <s v="P091020"/>
    <s v="C2"/>
    <s v="S4"/>
    <s v="P091020C2S4"/>
    <s v="Ratio"/>
    <s v="2006 / 2015"/>
    <s v="Strengthening"/>
    <s v=""/>
    <n v="2.8277243589743586"/>
    <n v="3.0553857301360865"/>
    <m/>
    <n v="4.0255082041891157"/>
    <n v="1.4235857860096393"/>
    <s v="x"/>
    <x v="1"/>
    <x v="0"/>
    <n v="0"/>
    <n v="0"/>
    <s v=""/>
    <s v=""/>
    <s v=""/>
    <s v=""/>
    <s v=""/>
    <s v=""/>
    <s v=""/>
    <s v=""/>
    <s v=""/>
    <s v=""/>
  </r>
  <r>
    <s v="China"/>
    <s v="East Asia and Pacific"/>
    <s v="P091020"/>
    <s v="C2"/>
    <s v="S5"/>
    <s v="P091020C2S5"/>
    <s v="Ratio"/>
    <s v="2006 / 2015"/>
    <s v="Strengthening"/>
    <s v=""/>
    <n v="2.1733047248670152"/>
    <n v="2.3721244925575098"/>
    <m/>
    <n v="3.1253031366756061"/>
    <n v="1.4380418451751371"/>
    <s v="x"/>
    <x v="1"/>
    <x v="0"/>
    <n v="0"/>
    <n v="0"/>
    <s v=""/>
    <s v=""/>
    <s v=""/>
    <s v=""/>
    <s v=""/>
    <s v=""/>
    <s v=""/>
    <s v=""/>
    <s v=""/>
    <s v=""/>
  </r>
  <r>
    <s v="China"/>
    <s v="East Asia and Pacific"/>
    <s v="P091020"/>
    <s v="C2"/>
    <s v="S6"/>
    <s v="P091020C2S6"/>
    <s v="Ratio"/>
    <s v="2006 / 2015"/>
    <s v="Strengthening"/>
    <s v=""/>
    <n v="4.8700071528065347"/>
    <n v="5.8877673761832536"/>
    <m/>
    <n v="7.7572057902250728"/>
    <n v="1.5928530589025265"/>
    <s v="x"/>
    <x v="1"/>
    <x v="0"/>
    <n v="1"/>
    <n v="0"/>
    <s v=""/>
    <s v=""/>
    <s v=""/>
    <s v=""/>
    <s v=""/>
    <s v=""/>
    <s v=""/>
    <s v=""/>
    <s v=""/>
    <n v="1"/>
  </r>
  <r>
    <s v="China"/>
    <s v="East Asia and Pacific"/>
    <s v="P091020"/>
    <s v="C2"/>
    <s v="S7"/>
    <s v="P091020C2S7"/>
    <s v="Ratio"/>
    <s v="2006 / 2015"/>
    <s v="Strengthening"/>
    <s v=""/>
    <n v="1.3628405500042702"/>
    <n v="1.3804635088432609"/>
    <m/>
    <n v="1.8187776180340836"/>
    <n v="1.3345490916221894"/>
    <s v=""/>
    <x v="0"/>
    <x v="0"/>
    <n v="0"/>
    <n v="0"/>
    <s v=""/>
    <s v=""/>
    <s v=""/>
    <s v=""/>
    <s v=""/>
    <s v=""/>
    <s v=""/>
    <s v=""/>
    <s v=""/>
    <s v=""/>
  </r>
  <r>
    <s v="Macedonia, FYR"/>
    <s v="Europe and Central Asia"/>
    <s v="P091723"/>
    <s v="C1"/>
    <s v=""/>
    <s v="P091723C1"/>
    <s v="Ratio"/>
    <s v="2007 / 2012"/>
    <s v="Widening"/>
    <n v="1.2692307692307692"/>
    <n v="1"/>
    <n v="1.3844393592677344"/>
    <m/>
    <n v="1.3844393592677344"/>
    <n v="1.3844393592677346"/>
    <s v=""/>
    <x v="0"/>
    <x v="0"/>
    <n v="0"/>
    <n v="0"/>
    <s v=""/>
    <s v=""/>
    <s v=""/>
    <s v=""/>
    <s v=""/>
    <s v=""/>
    <s v=""/>
    <s v=""/>
    <s v=""/>
    <s v=""/>
  </r>
  <r>
    <s v="Bulgaria"/>
    <s v="Europe and Central Asia"/>
    <s v="P094018"/>
    <s v="C1"/>
    <s v=""/>
    <s v="P094018C1"/>
    <s v="Ratio"/>
    <s v="2007 / 2014"/>
    <s v="New 4L Highway"/>
    <n v="1.368421052631579"/>
    <n v="1"/>
    <n v="1.14031007751938"/>
    <m/>
    <n v="1.14031007751938"/>
    <n v="1.14031007751938"/>
    <s v=""/>
    <x v="0"/>
    <x v="0"/>
    <n v="0"/>
    <n v="0"/>
    <s v=""/>
    <s v=""/>
    <s v=""/>
    <s v=""/>
    <s v=""/>
    <s v=""/>
    <s v=""/>
    <s v=""/>
    <s v=""/>
    <s v=""/>
  </r>
  <r>
    <s v="Sudan"/>
    <s v="Sub-Saharan Africa"/>
    <s v="P095081"/>
    <s v="C1"/>
    <s v="S1"/>
    <s v="P095081C1S1"/>
    <s v="Ratio"/>
    <s v="2006 / 2013"/>
    <s v="Upgrading"/>
    <s v=""/>
    <n v="0.68"/>
    <n v="1.4598214285714286"/>
    <m/>
    <n v="1.4598214285714286"/>
    <n v="2.1467962184873945"/>
    <s v="x"/>
    <x v="0"/>
    <x v="0"/>
    <n v="1"/>
    <n v="0"/>
    <s v=""/>
    <n v="1"/>
    <s v=""/>
    <s v=""/>
    <s v=""/>
    <s v=""/>
    <s v=""/>
    <s v=""/>
    <s v=""/>
    <n v="1"/>
  </r>
  <r>
    <s v="Sudan"/>
    <s v="Sub-Saharan Africa"/>
    <s v="P095081"/>
    <s v="C1"/>
    <s v="S2"/>
    <s v="P095081C1S2"/>
    <s v="Ratio"/>
    <s v="2006 / 2013"/>
    <s v="Asphalt Mix Resurfacing"/>
    <s v=""/>
    <n v="2.85"/>
    <n v="1.5063291139240509"/>
    <m/>
    <n v="1.5063291139240509"/>
    <n v="0.5285365312014213"/>
    <s v="x"/>
    <x v="1"/>
    <x v="0"/>
    <n v="0"/>
    <n v="0"/>
    <s v=""/>
    <s v=""/>
    <s v=""/>
    <s v=""/>
    <s v=""/>
    <s v=""/>
    <s v=""/>
    <s v=""/>
    <s v=""/>
    <n v="1"/>
  </r>
  <r>
    <s v="Sudan"/>
    <s v="Sub-Saharan Africa"/>
    <s v="P095081"/>
    <s v="C1"/>
    <s v="S3"/>
    <s v="P095081C1S3"/>
    <s v="Ratio"/>
    <s v="2006 / 2013"/>
    <s v="Gravel Resurfacing"/>
    <s v=""/>
    <n v="0.70609756097560972"/>
    <n v="1.7175141242937852"/>
    <m/>
    <n v="1.7175141242937852"/>
    <n v="2.4324034230067424"/>
    <s v="x"/>
    <x v="0"/>
    <x v="0"/>
    <n v="1"/>
    <n v="0"/>
    <s v=""/>
    <n v="1"/>
    <s v=""/>
    <s v=""/>
    <s v=""/>
    <s v=""/>
    <s v=""/>
    <s v=""/>
    <s v=""/>
    <n v="1"/>
  </r>
  <r>
    <s v="Brazil"/>
    <s v="Latin America and Caribbean"/>
    <s v="P095460"/>
    <s v="C1"/>
    <s v=""/>
    <s v="P095460C1"/>
    <s v="Ratio"/>
    <s v="2006 / 2014"/>
    <s v="Asphalt Mix Resurfacing"/>
    <s v=""/>
    <n v="0.59799999999999998"/>
    <n v="1.3802987197724039"/>
    <m/>
    <n v="1.3802987197724039"/>
    <n v="2.3081918390842877"/>
    <s v="x"/>
    <x v="0"/>
    <x v="0"/>
    <n v="1"/>
    <n v="0"/>
    <n v="1"/>
    <s v=""/>
    <s v=""/>
    <s v=""/>
    <s v=""/>
    <n v="1"/>
    <s v=""/>
    <s v=""/>
    <n v="1"/>
    <s v=""/>
  </r>
  <r>
    <s v="Poland"/>
    <s v="Europe and Central Asia"/>
    <s v="P096214"/>
    <s v="C1"/>
    <s v=""/>
    <s v="P096214C1"/>
    <s v="Ratio"/>
    <s v="2006 / 2012"/>
    <s v="Asphalt Mix Resurfacing"/>
    <s v=""/>
    <n v="1.2255555555555555"/>
    <n v="1.0893413173652693"/>
    <m/>
    <n v="1.0893413173652693"/>
    <n v="0.88885510936422707"/>
    <s v=""/>
    <x v="0"/>
    <x v="0"/>
    <n v="0"/>
    <n v="0"/>
    <s v=""/>
    <s v=""/>
    <s v=""/>
    <s v=""/>
    <s v=""/>
    <s v=""/>
    <s v=""/>
    <s v=""/>
    <s v=""/>
    <s v=""/>
  </r>
  <r>
    <s v="China"/>
    <s v="East Asia and Pacific"/>
    <s v="P099112"/>
    <s v="C1"/>
    <s v=""/>
    <s v="P099112C1"/>
    <s v="Ratio"/>
    <s v="2008 / 2012"/>
    <s v="Strengthening"/>
    <n v="0.91666666666666663"/>
    <n v="0.94946364046973808"/>
    <n v="1.174296996382886"/>
    <m/>
    <n v="1.174296996382886"/>
    <n v="1.2368003853227214"/>
    <s v=""/>
    <x v="0"/>
    <x v="0"/>
    <n v="0"/>
    <n v="0"/>
    <s v=""/>
    <s v=""/>
    <s v=""/>
    <s v=""/>
    <s v=""/>
    <s v=""/>
    <s v=""/>
    <s v=""/>
    <s v=""/>
    <s v=""/>
  </r>
  <r>
    <s v="China"/>
    <s v="East Asia and Pacific"/>
    <s v="P099112"/>
    <s v="C2"/>
    <s v=""/>
    <s v="P099112C2"/>
    <s v="Ratio"/>
    <s v="2008 / 2012"/>
    <s v="Upgrading"/>
    <s v=""/>
    <n v="1.0018750000000001"/>
    <n v="1.291366279244557"/>
    <m/>
    <n v="1.291366279244557"/>
    <n v="1.2889494989340555"/>
    <s v=""/>
    <x v="0"/>
    <x v="0"/>
    <n v="0"/>
    <n v="0"/>
    <s v=""/>
    <s v=""/>
    <s v=""/>
    <s v=""/>
    <s v=""/>
    <s v=""/>
    <s v=""/>
    <s v=""/>
    <s v=""/>
    <s v=""/>
  </r>
  <r>
    <s v="Argentina"/>
    <s v="Latin America and Caribbean"/>
    <s v="P099585"/>
    <s v="C1"/>
    <s v=""/>
    <s v="P099585C1"/>
    <s v="Ratio"/>
    <s v="2006 / 2014"/>
    <s v="Strengthening"/>
    <s v=""/>
    <n v="0.7173189486973488"/>
    <n v="1.197109689647003"/>
    <m/>
    <n v="1.197109689647003"/>
    <n v="1.6688666761430939"/>
    <s v="x"/>
    <x v="0"/>
    <x v="0"/>
    <n v="1"/>
    <n v="0"/>
    <n v="1"/>
    <s v=""/>
    <s v=""/>
    <s v=""/>
    <s v=""/>
    <s v=""/>
    <s v=""/>
    <s v=""/>
    <n v="1"/>
    <s v=""/>
  </r>
  <r>
    <s v="Argentina"/>
    <s v="Latin America and Caribbean"/>
    <s v="P099585"/>
    <s v="C2"/>
    <s v=""/>
    <s v="P099585C2"/>
    <s v="Ratio"/>
    <s v="2006 / 2014"/>
    <s v="Strengthening"/>
    <s v=""/>
    <n v="0.32294811320754718"/>
    <n v="1.2289855072463767"/>
    <m/>
    <n v="1.2289855072463767"/>
    <n v="3.8055200107534053"/>
    <s v="x"/>
    <x v="0"/>
    <x v="1"/>
    <n v="1"/>
    <n v="0"/>
    <n v="1"/>
    <n v="1"/>
    <s v=""/>
    <s v=""/>
    <s v=""/>
    <s v=""/>
    <s v=""/>
    <s v=""/>
    <n v="1"/>
    <s v=""/>
  </r>
  <r>
    <s v="China"/>
    <s v="East Asia and Pacific"/>
    <s v="P099992"/>
    <s v="C1"/>
    <s v=""/>
    <s v="P099992C1"/>
    <s v="Ratio"/>
    <s v="2006 / 2014"/>
    <s v="Widening and Reconstruction"/>
    <s v=""/>
    <n v="0.5977653631284916"/>
    <n v="0.488502100142024"/>
    <m/>
    <n v="0.488502100142024"/>
    <n v="0.81721379369553548"/>
    <s v=""/>
    <x v="0"/>
    <x v="0"/>
    <n v="0"/>
    <n v="0"/>
    <s v=""/>
    <s v=""/>
    <s v=""/>
    <s v=""/>
    <s v=""/>
    <s v=""/>
    <s v=""/>
    <s v=""/>
    <s v=""/>
    <s v=""/>
  </r>
  <r>
    <s v="Ukraine "/>
    <s v="Europe and Central Asia"/>
    <s v="P100580"/>
    <s v="C1"/>
    <s v=""/>
    <s v="P100580C1"/>
    <s v="Ratio"/>
    <s v="2009 / 2015"/>
    <s v="Reconstruction"/>
    <n v="1.24"/>
    <n v="1.2549999999999999"/>
    <n v="1.4922005184225144"/>
    <m/>
    <n v="0.76294448817087379"/>
    <n v="0.6079238949568716"/>
    <s v=""/>
    <x v="0"/>
    <x v="0"/>
    <n v="0"/>
    <n v="0"/>
    <s v=""/>
    <s v=""/>
    <s v=""/>
    <s v=""/>
    <s v=""/>
    <s v=""/>
    <s v=""/>
    <s v=""/>
    <s v=""/>
    <s v=""/>
  </r>
  <r>
    <s v="Moldova"/>
    <s v="Europe and Central Asia"/>
    <s v="P100929"/>
    <s v="C1"/>
    <s v=""/>
    <s v="P100929C1"/>
    <s v="Ratio"/>
    <s v="2005 / 2013"/>
    <s v="Widening and Reconstruction"/>
    <s v=""/>
    <n v="0.48388888888888887"/>
    <n v="1.5272727272727273"/>
    <m/>
    <n v="1.5272727272727273"/>
    <n v="3.1562467383362911"/>
    <s v="x"/>
    <x v="0"/>
    <x v="1"/>
    <n v="1"/>
    <n v="0"/>
    <s v=""/>
    <s v=""/>
    <s v=""/>
    <n v="1"/>
    <s v=""/>
    <s v=""/>
    <s v=""/>
    <s v=""/>
    <n v="1"/>
    <n v="1"/>
  </r>
  <r>
    <s v="Brazil"/>
    <s v="Latin America and Caribbean"/>
    <s v="P106663"/>
    <s v="C1"/>
    <s v=""/>
    <s v="P106663C1"/>
    <s v="Ratio"/>
    <s v="2009 / 2015"/>
    <s v="Reconstruction"/>
    <s v=""/>
    <n v="2.0674193548387096"/>
    <n v="2.1177469394600035"/>
    <m/>
    <n v="2.1177469394600035"/>
    <n v="1.0243431911883305"/>
    <s v="x"/>
    <x v="1"/>
    <x v="0"/>
    <n v="0"/>
    <n v="0"/>
    <s v=""/>
    <s v=""/>
    <s v=""/>
    <s v=""/>
    <s v=""/>
    <s v=""/>
    <s v=""/>
    <s v=""/>
    <s v=""/>
    <n v="1"/>
  </r>
  <r>
    <s v="Kyrgyz Republic"/>
    <s v="Europe and Central Asia"/>
    <s v="P107608"/>
    <s v="C1"/>
    <s v="S1"/>
    <s v="P107608C1S1"/>
    <s v="Ratio"/>
    <s v="2009 / 2015"/>
    <s v="Upgrading"/>
    <n v="1.0833333333333333"/>
    <n v="1.0666666666666667"/>
    <n v="0.93447072508724316"/>
    <m/>
    <n v="0.93447072508724316"/>
    <n v="0.87606630476929048"/>
    <s v=""/>
    <x v="0"/>
    <x v="0"/>
    <n v="0"/>
    <n v="0"/>
    <s v=""/>
    <s v=""/>
    <s v=""/>
    <s v=""/>
    <s v=""/>
    <s v=""/>
    <s v=""/>
    <s v=""/>
    <s v=""/>
    <s v=""/>
  </r>
  <r>
    <s v="Kyrgyz Republic"/>
    <s v="Europe and Central Asia"/>
    <s v="P107608"/>
    <s v="C1"/>
    <s v="S2"/>
    <s v="P107608C1S2"/>
    <s v="Ratio"/>
    <s v="2015 / 2011"/>
    <s v="Upgrading"/>
    <s v=""/>
    <n v="1.0055555555555555"/>
    <n v="1.0984848484848486"/>
    <m/>
    <n v="1.0984848484848486"/>
    <n v="1.0924158714213963"/>
    <s v=""/>
    <x v="0"/>
    <x v="0"/>
    <n v="0"/>
    <n v="0"/>
    <s v=""/>
    <s v=""/>
    <s v=""/>
    <s v=""/>
    <s v=""/>
    <s v=""/>
    <s v=""/>
    <s v=""/>
    <s v=""/>
    <s v=""/>
  </r>
  <r>
    <s v="Albania"/>
    <s v="Europe and Central Asia"/>
    <s v="P107833"/>
    <s v="C1"/>
    <s v="S1"/>
    <s v="P107833C1S1"/>
    <s v="Ratio"/>
    <s v="2008 / 2013"/>
    <s v="Reconstruction"/>
    <n v="2.4"/>
    <n v="1"/>
    <n v="0.7396694214876034"/>
    <m/>
    <n v="0.7396694214876034"/>
    <n v="0.7396694214876034"/>
    <s v=""/>
    <x v="0"/>
    <x v="0"/>
    <n v="0"/>
    <n v="0"/>
    <s v=""/>
    <s v=""/>
    <s v=""/>
    <s v=""/>
    <s v=""/>
    <s v=""/>
    <s v=""/>
    <s v=""/>
    <s v=""/>
    <s v=""/>
  </r>
  <r>
    <s v="Albania"/>
    <s v="Europe and Central Asia"/>
    <s v="P107833"/>
    <s v="C1"/>
    <s v="S2"/>
    <s v="P107833C1S2"/>
    <s v="Ratio"/>
    <s v="2008 / 2013"/>
    <s v="Reconstruction"/>
    <n v="1.5"/>
    <n v="1"/>
    <n v="0.97572815533980572"/>
    <m/>
    <n v="0.97572815533980572"/>
    <n v="0.97572815533980572"/>
    <s v=""/>
    <x v="0"/>
    <x v="0"/>
    <n v="0"/>
    <n v="0"/>
    <s v=""/>
    <s v=""/>
    <s v=""/>
    <s v=""/>
    <s v=""/>
    <s v=""/>
    <s v=""/>
    <s v=""/>
    <s v=""/>
    <s v=""/>
  </r>
  <r>
    <s v="Albania"/>
    <s v="Europe and Central Asia"/>
    <s v="P107833"/>
    <s v="C1"/>
    <s v="S3"/>
    <s v="P107833C1S3"/>
    <s v="Ratio"/>
    <s v="2008 / 2013"/>
    <s v="Reconstruction"/>
    <n v="1.2"/>
    <n v="1"/>
    <n v="0.83268482490272389"/>
    <m/>
    <n v="0.83268482490272389"/>
    <n v="0.83268482490272389"/>
    <s v=""/>
    <x v="0"/>
    <x v="0"/>
    <n v="0"/>
    <n v="0"/>
    <s v=""/>
    <s v=""/>
    <s v=""/>
    <s v=""/>
    <s v=""/>
    <s v=""/>
    <s v=""/>
    <s v=""/>
    <s v=""/>
    <s v=""/>
  </r>
  <r>
    <s v="Albania"/>
    <s v="Europe and Central Asia"/>
    <s v="P107833"/>
    <s v="C2"/>
    <s v="S1"/>
    <s v="P107833C2S1"/>
    <s v="Ratio"/>
    <s v="2008 / 2013"/>
    <s v="Reconstruction"/>
    <n v="1.0909090909090908"/>
    <n v="1"/>
    <n v="0.58704453441295545"/>
    <m/>
    <n v="0.58704453441295545"/>
    <n v="0.58704453441295534"/>
    <s v=""/>
    <x v="0"/>
    <x v="0"/>
    <n v="0"/>
    <n v="0"/>
    <s v=""/>
    <s v=""/>
    <s v=""/>
    <s v=""/>
    <s v=""/>
    <s v=""/>
    <s v=""/>
    <s v=""/>
    <s v=""/>
    <s v=""/>
  </r>
  <r>
    <s v="Albania"/>
    <s v="Europe and Central Asia"/>
    <s v="P107833"/>
    <s v="C2"/>
    <s v="S2"/>
    <s v="P107833C2S2"/>
    <s v="Ratio"/>
    <s v="2008 / 2013"/>
    <s v="Reconstruction"/>
    <n v="2"/>
    <n v="1"/>
    <n v="0.88127853881278539"/>
    <m/>
    <n v="0.88127853881278539"/>
    <n v="0.88127853881278528"/>
    <s v=""/>
    <x v="0"/>
    <x v="0"/>
    <n v="0"/>
    <n v="0"/>
    <s v=""/>
    <s v=""/>
    <s v=""/>
    <s v=""/>
    <s v=""/>
    <s v=""/>
    <s v=""/>
    <s v=""/>
    <s v=""/>
    <s v=""/>
  </r>
  <r>
    <s v="Albania"/>
    <s v="Europe and Central Asia"/>
    <s v="P107833"/>
    <s v="C2"/>
    <s v="S3"/>
    <s v="P107833C2S3"/>
    <s v="Ratio"/>
    <s v="2008 / 2013"/>
    <s v="Reconstruction"/>
    <n v="0.92307692307692313"/>
    <n v="1"/>
    <n v="0.89206349206349211"/>
    <m/>
    <n v="0.89206349206349211"/>
    <n v="0.89206349206349211"/>
    <s v=""/>
    <x v="0"/>
    <x v="0"/>
    <n v="0"/>
    <n v="0"/>
    <s v=""/>
    <s v=""/>
    <s v=""/>
    <s v=""/>
    <s v=""/>
    <s v=""/>
    <s v=""/>
    <s v=""/>
    <s v=""/>
    <s v=""/>
  </r>
  <r>
    <s v="Albania"/>
    <s v="Europe and Central Asia"/>
    <s v="P107833"/>
    <s v="C2"/>
    <s v="S4"/>
    <s v="P107833C2S4"/>
    <s v="Ratio"/>
    <s v="2008 / 2013"/>
    <s v="Reconstruction"/>
    <n v="1.7142857142857142"/>
    <n v="1"/>
    <n v="1.3971291866028708"/>
    <m/>
    <n v="1.3971291866028708"/>
    <n v="1.397129186602871"/>
    <s v=""/>
    <x v="0"/>
    <x v="0"/>
    <n v="0"/>
    <n v="0"/>
    <s v=""/>
    <s v=""/>
    <s v=""/>
    <s v=""/>
    <s v=""/>
    <s v=""/>
    <s v=""/>
    <s v=""/>
    <s v=""/>
    <s v=""/>
  </r>
  <r>
    <s v="Albania"/>
    <s v="Europe and Central Asia"/>
    <s v="P107833"/>
    <s v="C2"/>
    <s v="S5"/>
    <s v="P107833C2S5"/>
    <s v="Ratio"/>
    <s v="2008 / 2013"/>
    <s v="Reconstruction"/>
    <n v="1"/>
    <n v="1"/>
    <n v="1.0895522388059702"/>
    <m/>
    <n v="1.0895522388059702"/>
    <n v="1.0895522388059702"/>
    <s v=""/>
    <x v="0"/>
    <x v="0"/>
    <n v="0"/>
    <n v="0"/>
    <s v=""/>
    <s v=""/>
    <s v=""/>
    <s v=""/>
    <s v=""/>
    <s v=""/>
    <s v=""/>
    <s v=""/>
    <s v=""/>
    <s v=""/>
  </r>
  <r>
    <s v="Albania"/>
    <s v="Europe and Central Asia"/>
    <s v="P107833"/>
    <s v="C2"/>
    <s v="S6"/>
    <s v="P107833C2S6"/>
    <s v="Ratio"/>
    <s v="2008 / 2013"/>
    <s v="Reconstruction"/>
    <n v="1.2"/>
    <n v="1"/>
    <n v="0.64313725490196083"/>
    <m/>
    <n v="0.64313725490196083"/>
    <n v="0.64313725490196072"/>
    <s v=""/>
    <x v="0"/>
    <x v="0"/>
    <n v="0"/>
    <n v="0"/>
    <s v=""/>
    <s v=""/>
    <s v=""/>
    <s v=""/>
    <s v=""/>
    <s v=""/>
    <s v=""/>
    <s v=""/>
    <s v=""/>
    <s v=""/>
  </r>
  <r>
    <s v="Albania"/>
    <s v="Europe and Central Asia"/>
    <s v="P107833"/>
    <s v="C2"/>
    <s v="S7"/>
    <s v="P107833C2S7"/>
    <s v="Ratio"/>
    <s v="2008 / 2013"/>
    <s v="Reconstruction"/>
    <n v="1.5"/>
    <n v="1"/>
    <n v="0.95631067961165039"/>
    <m/>
    <n v="0.95631067961165039"/>
    <n v="0.95631067961165039"/>
    <s v=""/>
    <x v="0"/>
    <x v="0"/>
    <n v="0"/>
    <n v="0"/>
    <s v=""/>
    <s v=""/>
    <s v=""/>
    <s v=""/>
    <s v=""/>
    <s v=""/>
    <s v=""/>
    <s v=""/>
    <s v=""/>
    <s v=""/>
  </r>
  <r>
    <s v="Albania"/>
    <s v="Europe and Central Asia"/>
    <s v="P107833"/>
    <s v="C2"/>
    <s v="S8"/>
    <s v="P107833C2S8"/>
    <s v="Ratio"/>
    <s v="2008 / 2013"/>
    <s v="Reconstruction"/>
    <n v="2"/>
    <n v="1"/>
    <n v="0.69354838709677413"/>
    <m/>
    <n v="0.69354838709677413"/>
    <n v="0.69354838709677424"/>
    <s v=""/>
    <x v="0"/>
    <x v="0"/>
    <n v="0"/>
    <n v="0"/>
    <s v=""/>
    <s v=""/>
    <s v=""/>
    <s v=""/>
    <s v=""/>
    <s v=""/>
    <s v=""/>
    <s v=""/>
    <s v=""/>
    <s v=""/>
  </r>
  <r>
    <s v="Armenia"/>
    <s v="Europe and Central Asia"/>
    <s v="P115486"/>
    <s v="C1"/>
    <s v=""/>
    <s v="P115486C1"/>
    <s v="Ratio"/>
    <s v="2009 / 2014"/>
    <s v="Reconstruction"/>
    <n v="6.1428571428571432"/>
    <n v="4.4689378757515028"/>
    <n v="4.3025175645756457"/>
    <m/>
    <n v="4.3025175645756457"/>
    <n v="0.96276065682656797"/>
    <s v="x"/>
    <x v="1"/>
    <x v="0"/>
    <n v="0"/>
    <n v="0"/>
    <s v=""/>
    <s v=""/>
    <s v=""/>
    <s v=""/>
    <s v=""/>
    <s v=""/>
    <n v="1"/>
    <s v=""/>
    <s v=""/>
    <n v="1"/>
  </r>
  <r>
    <s v="Papua New Guinea"/>
    <s v="East Asia and Pacific"/>
    <s v="P004397"/>
    <s v="C1"/>
    <s v="S1"/>
    <s v="P004397C1S1"/>
    <s v="Ratio"/>
    <s v="2002 / 2012"/>
    <s v="Routine Maintenance"/>
    <n v="4"/>
    <n v="0.81272727272727274"/>
    <m/>
    <m/>
    <n v="1.9632857284866962"/>
    <n v="2.4156759522766955"/>
    <s v="x"/>
    <x v="0"/>
    <x v="0"/>
    <n v="1"/>
    <n v="0"/>
    <n v="1"/>
    <s v=""/>
    <n v="1"/>
    <s v=""/>
    <s v=""/>
    <s v=""/>
    <s v=""/>
    <s v=""/>
    <s v=""/>
    <s v=""/>
  </r>
  <r>
    <s v="Papua New Guinea"/>
    <s v="East Asia and Pacific"/>
    <s v="P004397"/>
    <s v="C1"/>
    <s v="S2"/>
    <s v="P004397C1S2"/>
    <s v="Ratio"/>
    <s v="2002 / 2012"/>
    <s v="Reconstruction"/>
    <s v=""/>
    <n v="1.4145454545454546"/>
    <m/>
    <m/>
    <n v="5.4592710870756074"/>
    <n v="3.8593818738966381"/>
    <s v="x"/>
    <x v="0"/>
    <x v="0"/>
    <n v="1"/>
    <n v="0"/>
    <n v="1"/>
    <s v=""/>
    <n v="1"/>
    <s v=""/>
    <s v=""/>
    <s v=""/>
    <s v=""/>
    <s v=""/>
    <s v=""/>
    <s v=""/>
  </r>
  <r>
    <s v="Papua New Guinea"/>
    <s v="East Asia and Pacific"/>
    <s v="P004397"/>
    <s v="C2"/>
    <s v="S1"/>
    <s v="P004397C2S1"/>
    <s v="Ratio"/>
    <s v="2002 / 2012"/>
    <s v="Routine Maintenance"/>
    <n v="4"/>
    <n v="0.73777777777777775"/>
    <m/>
    <m/>
    <n v="0.62109770847634915"/>
    <n v="0.84184930365770205"/>
    <s v=""/>
    <x v="0"/>
    <x v="0"/>
    <n v="0"/>
    <n v="0"/>
    <s v=""/>
    <s v=""/>
    <s v=""/>
    <s v=""/>
    <s v=""/>
    <s v=""/>
    <s v=""/>
    <s v=""/>
    <s v=""/>
    <s v=""/>
  </r>
  <r>
    <s v="Papua New Guinea"/>
    <s v="East Asia and Pacific"/>
    <s v="P004397"/>
    <s v="C2"/>
    <s v="S2"/>
    <s v="P004397C2S2"/>
    <s v="Ratio"/>
    <s v="2002 / 2012"/>
    <s v="Reconstruction"/>
    <s v=""/>
    <n v="0.78"/>
    <m/>
    <m/>
    <n v="4.5973729297544264"/>
    <n v="5.894067858659521"/>
    <s v="x"/>
    <x v="0"/>
    <x v="0"/>
    <n v="1"/>
    <n v="0"/>
    <n v="1"/>
    <s v=""/>
    <n v="1"/>
    <s v=""/>
    <s v=""/>
    <s v=""/>
    <s v=""/>
    <s v=""/>
    <s v=""/>
    <s v=""/>
  </r>
  <r>
    <s v="India"/>
    <s v="South Asia"/>
    <s v="P009972"/>
    <s v="C1"/>
    <s v="S1"/>
    <s v="P009972C1S1"/>
    <s v="Ratio"/>
    <s v="2000 / 2008"/>
    <s v="Widening and Reconstruction"/>
    <n v="1.8333333333333333"/>
    <n v="1"/>
    <m/>
    <m/>
    <n v="0.7224986014544873"/>
    <n v="0.7224986014544873"/>
    <s v=""/>
    <x v="0"/>
    <x v="0"/>
    <n v="0"/>
    <n v="0"/>
    <s v=""/>
    <s v=""/>
    <s v=""/>
    <s v=""/>
    <s v=""/>
    <s v=""/>
    <s v=""/>
    <s v=""/>
    <s v=""/>
    <s v=""/>
  </r>
  <r>
    <s v="India"/>
    <s v="South Asia"/>
    <s v="P009972"/>
    <s v="C1"/>
    <s v="S2"/>
    <s v="P009972C1S2"/>
    <s v="Ratio"/>
    <s v="2000 / 2008"/>
    <s v="Widening and Reconstruction"/>
    <n v="2.3250000000000002"/>
    <n v="1"/>
    <m/>
    <m/>
    <n v="0.62411935245162131"/>
    <n v="0.62411935245162142"/>
    <s v=""/>
    <x v="0"/>
    <x v="0"/>
    <n v="0"/>
    <n v="0"/>
    <s v=""/>
    <s v=""/>
    <s v=""/>
    <s v=""/>
    <s v=""/>
    <s v=""/>
    <s v=""/>
    <s v=""/>
    <s v=""/>
    <s v=""/>
  </r>
  <r>
    <s v="India"/>
    <s v="South Asia"/>
    <s v="P009972"/>
    <s v="C1"/>
    <s v="S3"/>
    <s v="P009972C1S3"/>
    <s v="Ratio"/>
    <s v="2000 / 2008"/>
    <s v="Widening and Reconstruction"/>
    <n v="1.2777777777777777"/>
    <n v="1"/>
    <m/>
    <m/>
    <n v="0.76798658222486382"/>
    <n v="0.76798658222486382"/>
    <s v=""/>
    <x v="0"/>
    <x v="0"/>
    <n v="0"/>
    <n v="0"/>
    <s v=""/>
    <s v=""/>
    <s v=""/>
    <s v=""/>
    <s v=""/>
    <s v=""/>
    <s v=""/>
    <s v=""/>
    <s v=""/>
    <s v=""/>
  </r>
  <r>
    <s v="India"/>
    <s v="South Asia"/>
    <s v="P009972"/>
    <s v="C1"/>
    <s v="S4"/>
    <s v="P009972C1S4"/>
    <s v="Ratio"/>
    <s v="2000 / 2008"/>
    <s v="Widening and Reconstruction"/>
    <n v="2.1282051282051282"/>
    <n v="1"/>
    <m/>
    <m/>
    <n v="0.73477964360364201"/>
    <n v="0.7347796436036419"/>
    <s v=""/>
    <x v="0"/>
    <x v="0"/>
    <n v="0"/>
    <n v="0"/>
    <s v=""/>
    <s v=""/>
    <s v=""/>
    <s v=""/>
    <s v=""/>
    <s v=""/>
    <s v=""/>
    <s v=""/>
    <s v=""/>
    <s v=""/>
  </r>
  <r>
    <s v="India"/>
    <s v="South Asia"/>
    <s v="P009972"/>
    <s v="C1"/>
    <s v="S5"/>
    <s v="P009972C1S5"/>
    <s v="Ratio"/>
    <s v="2000 / 2008"/>
    <s v="Widening and Reconstruction"/>
    <n v="1.75"/>
    <n v="1.125"/>
    <m/>
    <m/>
    <n v="0.72632403476854646"/>
    <n v="0.64562136423870797"/>
    <s v=""/>
    <x v="0"/>
    <x v="0"/>
    <n v="0"/>
    <n v="0"/>
    <s v=""/>
    <s v=""/>
    <s v=""/>
    <s v=""/>
    <s v=""/>
    <s v=""/>
    <s v=""/>
    <s v=""/>
    <s v=""/>
    <s v=""/>
  </r>
  <r>
    <s v="India"/>
    <s v="South Asia"/>
    <s v="P009972"/>
    <s v="C1"/>
    <s v="S6"/>
    <s v="P009972C1S6"/>
    <s v="Ratio"/>
    <s v="2000 / 2008"/>
    <s v="Widening and Reconstruction"/>
    <n v="1.5833333333333333"/>
    <n v="0.88888888888888884"/>
    <m/>
    <m/>
    <n v="0.71588926721103008"/>
    <n v="0.80537542561240882"/>
    <s v=""/>
    <x v="0"/>
    <x v="0"/>
    <n v="0"/>
    <n v="0"/>
    <s v=""/>
    <s v=""/>
    <s v=""/>
    <s v=""/>
    <s v=""/>
    <s v=""/>
    <s v=""/>
    <s v=""/>
    <s v=""/>
    <s v=""/>
  </r>
  <r>
    <s v="India"/>
    <s v="South Asia"/>
    <s v="P009972"/>
    <s v="C1"/>
    <s v="S7"/>
    <s v="P009972C1S7"/>
    <s v="Ratio"/>
    <s v="2000 / 2008"/>
    <s v="Widening and Reconstruction"/>
    <n v="2"/>
    <n v="1"/>
    <m/>
    <m/>
    <n v="0.77599673348370335"/>
    <n v="0.77599673348370335"/>
    <s v=""/>
    <x v="0"/>
    <x v="0"/>
    <n v="0"/>
    <n v="0"/>
    <s v=""/>
    <s v=""/>
    <s v=""/>
    <s v=""/>
    <s v=""/>
    <s v=""/>
    <s v=""/>
    <s v=""/>
    <s v=""/>
    <s v=""/>
  </r>
  <r>
    <s v="Pakistan"/>
    <s v="South Asia"/>
    <s v="P010556"/>
    <s v="C1"/>
    <s v="S10"/>
    <s v="P010556C1S10"/>
    <s v="Ratio"/>
    <s v="2003 / 2013"/>
    <s v="Bituminous Pavement Preventive Treatment"/>
    <s v=""/>
    <n v="1.7083333333333333"/>
    <m/>
    <m/>
    <n v="1.8866165937144437"/>
    <n v="1.1043609329060156"/>
    <s v="x"/>
    <x v="1"/>
    <x v="0"/>
    <n v="0"/>
    <n v="0"/>
    <s v=""/>
    <s v=""/>
    <n v="1"/>
    <s v=""/>
    <s v=""/>
    <s v=""/>
    <s v=""/>
    <s v=""/>
    <s v=""/>
    <n v="1"/>
  </r>
  <r>
    <s v="Pakistan"/>
    <s v="South Asia"/>
    <s v="P010556"/>
    <s v="C1"/>
    <s v="S14"/>
    <s v="P010556C1S14"/>
    <s v="Ratio"/>
    <s v="2003 / 2013"/>
    <s v="Bituminous Pavement Preventive Treatment"/>
    <s v=""/>
    <n v="1.7903225806451613"/>
    <m/>
    <m/>
    <n v="2.1674404031229737"/>
    <n v="1.2106423873299492"/>
    <s v="x"/>
    <x v="1"/>
    <x v="0"/>
    <n v="0"/>
    <n v="0"/>
    <s v=""/>
    <s v=""/>
    <n v="1"/>
    <s v=""/>
    <s v=""/>
    <s v=""/>
    <s v=""/>
    <s v=""/>
    <s v=""/>
    <n v="1"/>
  </r>
  <r>
    <s v="Pakistan"/>
    <s v="South Asia"/>
    <s v="P010556"/>
    <s v="C1"/>
    <s v="S15"/>
    <s v="P010556C1S15"/>
    <s v="Ratio"/>
    <s v="2003 / 2013"/>
    <s v="Reconstruction"/>
    <s v=""/>
    <n v="1"/>
    <m/>
    <m/>
    <n v="1.3617113733342634"/>
    <n v="1.3617113733342632"/>
    <s v=""/>
    <x v="0"/>
    <x v="0"/>
    <n v="0"/>
    <n v="0"/>
    <s v=""/>
    <s v=""/>
    <s v=""/>
    <s v=""/>
    <s v=""/>
    <s v=""/>
    <s v=""/>
    <s v=""/>
    <s v=""/>
    <s v=""/>
  </r>
  <r>
    <s v="Pakistan"/>
    <s v="South Asia"/>
    <s v="P010556"/>
    <s v="C1"/>
    <s v="S4"/>
    <s v="P010556C1S4"/>
    <s v="Ratio"/>
    <s v="2003 / 2013"/>
    <s v="Reconstruction"/>
    <s v=""/>
    <n v="0.9662921348314607"/>
    <m/>
    <m/>
    <n v="0.72005173963126268"/>
    <n v="0.74516982357188799"/>
    <s v=""/>
    <x v="0"/>
    <x v="0"/>
    <n v="0"/>
    <n v="0"/>
    <s v=""/>
    <s v=""/>
    <s v=""/>
    <s v=""/>
    <s v=""/>
    <s v=""/>
    <s v=""/>
    <s v=""/>
    <s v=""/>
    <s v=""/>
  </r>
  <r>
    <s v="Pakistan"/>
    <s v="South Asia"/>
    <s v="P010556"/>
    <s v="C1"/>
    <s v="S5"/>
    <s v="P010556C1S5"/>
    <s v="Ratio"/>
    <s v="2003 / 2013"/>
    <s v="Reconstruction"/>
    <s v=""/>
    <n v="0.93109869646182486"/>
    <m/>
    <m/>
    <n v="0.87896449758945128"/>
    <n v="0.94400787041107082"/>
    <s v=""/>
    <x v="0"/>
    <x v="0"/>
    <n v="0"/>
    <n v="0"/>
    <s v=""/>
    <s v=""/>
    <s v=""/>
    <s v=""/>
    <s v=""/>
    <s v=""/>
    <s v=""/>
    <s v=""/>
    <s v=""/>
    <s v=""/>
  </r>
  <r>
    <s v="Pakistan"/>
    <s v="South Asia"/>
    <s v="P010556"/>
    <s v="C1"/>
    <s v="S6"/>
    <s v="P010556C1S6"/>
    <s v="Ratio"/>
    <s v="2003 / 2013"/>
    <s v="Reconstruction"/>
    <s v=""/>
    <n v="1.0217391304347827"/>
    <m/>
    <m/>
    <n v="0.8554012489514401"/>
    <n v="0.83720122237800532"/>
    <s v=""/>
    <x v="0"/>
    <x v="0"/>
    <n v="0"/>
    <n v="0"/>
    <s v=""/>
    <s v=""/>
    <s v=""/>
    <s v=""/>
    <s v=""/>
    <s v=""/>
    <s v=""/>
    <s v=""/>
    <s v=""/>
    <s v=""/>
  </r>
  <r>
    <s v="Pakistan"/>
    <s v="South Asia"/>
    <s v="P010556"/>
    <s v="C1"/>
    <s v="S7"/>
    <s v="P010556C1S7"/>
    <s v="Ratio"/>
    <s v="2003 / 2013"/>
    <s v="Widening and Reconstruction"/>
    <s v=""/>
    <n v="1"/>
    <m/>
    <m/>
    <n v="0.91167836756350273"/>
    <n v="0.91167836756350273"/>
    <s v=""/>
    <x v="0"/>
    <x v="0"/>
    <n v="0"/>
    <n v="0"/>
    <s v=""/>
    <s v=""/>
    <s v=""/>
    <s v=""/>
    <s v=""/>
    <s v=""/>
    <s v=""/>
    <s v=""/>
    <s v=""/>
    <s v=""/>
  </r>
  <r>
    <s v="Philippines"/>
    <s v="East Asia and Pacific"/>
    <s v="P039019"/>
    <s v="C1"/>
    <s v="S1"/>
    <s v="P039019C1S1"/>
    <s v="Ratio"/>
    <s v="2000 / 2008"/>
    <s v="Upgrading"/>
    <s v=""/>
    <n v="0.99764705882352933"/>
    <m/>
    <m/>
    <n v="0.83511337991624734"/>
    <n v="0.83708298694435179"/>
    <s v=""/>
    <x v="0"/>
    <x v="0"/>
    <n v="0"/>
    <n v="0"/>
    <s v=""/>
    <s v=""/>
    <s v=""/>
    <s v=""/>
    <s v=""/>
    <s v=""/>
    <s v=""/>
    <s v=""/>
    <s v=""/>
    <s v=""/>
  </r>
  <r>
    <s v="Philippines"/>
    <s v="East Asia and Pacific"/>
    <s v="P039019"/>
    <s v="C1"/>
    <s v="S2"/>
    <s v="P039019C1S2"/>
    <s v="Ratio"/>
    <s v="2000 / 2008"/>
    <s v="Upgrading"/>
    <s v=""/>
    <n v="1.1232558139534883"/>
    <m/>
    <m/>
    <n v="1.5166681833348501"/>
    <n v="1.350242896136616"/>
    <s v=""/>
    <x v="0"/>
    <x v="0"/>
    <n v="0"/>
    <n v="0"/>
    <s v=""/>
    <s v=""/>
    <s v=""/>
    <s v=""/>
    <s v=""/>
    <s v=""/>
    <s v=""/>
    <s v=""/>
    <s v=""/>
    <s v=""/>
  </r>
  <r>
    <s v="Philippines"/>
    <s v="East Asia and Pacific"/>
    <s v="P039019"/>
    <s v="C1"/>
    <s v="S3"/>
    <s v="P039019C1S3"/>
    <s v="Ratio"/>
    <s v="2000 / 2008"/>
    <s v="Upgrading"/>
    <s v=""/>
    <n v="1.0043478260869565"/>
    <m/>
    <m/>
    <n v="0.82698328312363389"/>
    <n v="0.82340326891097748"/>
    <s v=""/>
    <x v="0"/>
    <x v="0"/>
    <n v="0"/>
    <n v="0"/>
    <s v=""/>
    <s v=""/>
    <s v=""/>
    <s v=""/>
    <s v=""/>
    <s v=""/>
    <s v=""/>
    <s v=""/>
    <s v=""/>
    <s v=""/>
  </r>
  <r>
    <s v="Philippines"/>
    <s v="East Asia and Pacific"/>
    <s v="P039019"/>
    <s v="C1"/>
    <s v="S4"/>
    <s v="P039019C1S4"/>
    <s v="Ratio"/>
    <s v="2000 / 2008"/>
    <s v="Upgrading"/>
    <s v=""/>
    <n v="0.3183098591549296"/>
    <m/>
    <m/>
    <n v="1.0317239675037839"/>
    <n v="3.2412567120694091"/>
    <s v="x"/>
    <x v="0"/>
    <x v="1"/>
    <n v="1"/>
    <n v="0"/>
    <s v=""/>
    <s v=""/>
    <n v="1"/>
    <n v="1"/>
    <s v=""/>
    <n v="1"/>
    <s v=""/>
    <s v=""/>
    <n v="1"/>
    <s v=""/>
  </r>
  <r>
    <s v="Philippines"/>
    <s v="East Asia and Pacific"/>
    <s v="P039019"/>
    <s v="C1"/>
    <s v="S5"/>
    <s v="P039019C1S5"/>
    <s v="Ratio"/>
    <s v="2000 / 2008"/>
    <s v="Upgrading"/>
    <s v=""/>
    <n v="1.1434782608695653"/>
    <m/>
    <m/>
    <n v="4.2809042809042817"/>
    <n v="3.7437565954676226"/>
    <s v="x"/>
    <x v="0"/>
    <x v="0"/>
    <n v="1"/>
    <n v="0"/>
    <s v=""/>
    <s v=""/>
    <n v="1"/>
    <n v="1"/>
    <s v=""/>
    <n v="1"/>
    <s v=""/>
    <s v=""/>
    <n v="1"/>
    <s v=""/>
  </r>
  <r>
    <s v="Philippines"/>
    <s v="East Asia and Pacific"/>
    <s v="P039019"/>
    <s v="C1"/>
    <s v="S8"/>
    <s v="P039019C1S8"/>
    <s v="Ratio"/>
    <s v="2000 / 2008"/>
    <s v="Upgrading"/>
    <s v=""/>
    <n v="1.0021739130434784"/>
    <m/>
    <m/>
    <n v="1.8496071829405163"/>
    <n v="1.8455950198538775"/>
    <s v="x"/>
    <x v="0"/>
    <x v="0"/>
    <n v="1"/>
    <n v="0"/>
    <s v=""/>
    <s v=""/>
    <n v="1"/>
    <n v="1"/>
    <s v=""/>
    <n v="1"/>
    <s v=""/>
    <s v=""/>
    <n v="1"/>
    <s v=""/>
  </r>
  <r>
    <s v="Philippines"/>
    <s v="East Asia and Pacific"/>
    <s v="P039019"/>
    <s v="C1"/>
    <s v="S9"/>
    <s v="P039019C1S9"/>
    <s v="Ratio"/>
    <s v="2000 / 2008"/>
    <s v="Upgrading"/>
    <s v=""/>
    <n v="1.0016949152542374"/>
    <m/>
    <m/>
    <n v="1.3613748108337709"/>
    <n v="1.3590713001555412"/>
    <s v=""/>
    <x v="0"/>
    <x v="0"/>
    <n v="0"/>
    <n v="0"/>
    <s v=""/>
    <s v=""/>
    <s v=""/>
    <s v=""/>
    <s v=""/>
    <s v=""/>
    <s v=""/>
    <s v=""/>
    <s v=""/>
    <s v=""/>
  </r>
  <r>
    <s v="Philippines"/>
    <s v="East Asia and Pacific"/>
    <s v="P039019"/>
    <s v="C2"/>
    <s v=""/>
    <s v="P039019C2"/>
    <s v="Ratio"/>
    <s v="2000 / 2008"/>
    <s v="Asphalt Mix Resurfacing"/>
    <s v=""/>
    <n v="0.8014444444444444"/>
    <m/>
    <m/>
    <n v="0.88636566034375275"/>
    <n v="1.1059602028412276"/>
    <s v=""/>
    <x v="0"/>
    <x v="0"/>
    <n v="0"/>
    <n v="0"/>
    <s v=""/>
    <s v=""/>
    <s v=""/>
    <s v=""/>
    <s v=""/>
    <s v=""/>
    <s v=""/>
    <s v=""/>
    <s v=""/>
    <s v=""/>
  </r>
  <r>
    <s v="Philippines"/>
    <s v="East Asia and Pacific"/>
    <s v="P039019"/>
    <s v="C3"/>
    <s v=""/>
    <s v="P039019C3"/>
    <s v="Ratio"/>
    <s v="2000 / 2008"/>
    <s v="Asphalt Mix Resurfacing"/>
    <s v=""/>
    <n v="1.0995670995670996"/>
    <m/>
    <m/>
    <n v="2.0732931726907626"/>
    <n v="1.8855540271321503"/>
    <s v="x"/>
    <x v="0"/>
    <x v="0"/>
    <n v="1"/>
    <n v="0"/>
    <s v=""/>
    <s v=""/>
    <n v="1"/>
    <n v="1"/>
    <s v=""/>
    <n v="1"/>
    <s v=""/>
    <s v=""/>
    <n v="1"/>
    <s v=""/>
  </r>
  <r>
    <s v="Belize"/>
    <s v="Latin America and Caribbean"/>
    <s v="P040150"/>
    <s v="C1"/>
    <s v="S1"/>
    <s v="P040150C1S1"/>
    <s v="Ratio"/>
    <s v="2000 / 2006"/>
    <s v="Upgrading"/>
    <s v=""/>
    <n v="1"/>
    <m/>
    <m/>
    <n v="1.276470588235294"/>
    <n v="1.2764705882352942"/>
    <s v=""/>
    <x v="0"/>
    <x v="0"/>
    <n v="0"/>
    <n v="0"/>
    <s v=""/>
    <s v=""/>
    <s v=""/>
    <s v=""/>
    <s v=""/>
    <s v=""/>
    <s v=""/>
    <s v=""/>
    <s v=""/>
    <s v=""/>
  </r>
  <r>
    <s v="Indonesia"/>
    <s v="East Asia and Pacific"/>
    <s v="P040578"/>
    <s v="C1"/>
    <s v="S1"/>
    <s v="P040578C1S1"/>
    <s v="Ratio"/>
    <s v="2001 / 2006"/>
    <s v="Asphalt Mix Resurfacing"/>
    <s v=""/>
    <n v="1.111"/>
    <m/>
    <m/>
    <n v="1.1239392585975883"/>
    <n v="1.0116464973875681"/>
    <s v=""/>
    <x v="0"/>
    <x v="0"/>
    <n v="0"/>
    <n v="0"/>
    <s v=""/>
    <s v=""/>
    <s v=""/>
    <s v=""/>
    <s v=""/>
    <s v=""/>
    <s v=""/>
    <s v=""/>
    <s v=""/>
    <s v=""/>
  </r>
  <r>
    <s v="Indonesia"/>
    <s v="East Asia and Pacific"/>
    <s v="P040578"/>
    <s v="C1"/>
    <s v="S2"/>
    <s v="P040578C1S2"/>
    <s v="Ratio"/>
    <s v="2001 / 2006"/>
    <s v="Reconstruction"/>
    <s v=""/>
    <n v="1.3640000000000001"/>
    <m/>
    <m/>
    <n v="1.4030568105354226"/>
    <n v="1.0286340253192245"/>
    <s v=""/>
    <x v="0"/>
    <x v="0"/>
    <n v="0"/>
    <n v="0"/>
    <s v=""/>
    <s v=""/>
    <s v=""/>
    <s v=""/>
    <s v=""/>
    <s v=""/>
    <s v=""/>
    <s v=""/>
    <s v=""/>
    <s v=""/>
  </r>
  <r>
    <s v="Azerbaijan"/>
    <s v="Europe and Central Asia"/>
    <s v="P040716"/>
    <s v="C1"/>
    <s v="S1"/>
    <s v="P040716C1S1"/>
    <s v="Ratio"/>
    <s v="2001 / 2009"/>
    <s v="Reconstruction"/>
    <s v=""/>
    <n v="1"/>
    <m/>
    <m/>
    <n v="0.83240843507214213"/>
    <n v="0.83240843507214213"/>
    <s v=""/>
    <x v="0"/>
    <x v="0"/>
    <n v="0"/>
    <n v="0"/>
    <s v=""/>
    <s v=""/>
    <s v=""/>
    <s v=""/>
    <s v=""/>
    <s v=""/>
    <s v=""/>
    <s v=""/>
    <s v=""/>
    <s v=""/>
  </r>
  <r>
    <s v="Azerbaijan"/>
    <s v="Europe and Central Asia"/>
    <s v="P040716"/>
    <s v="C1"/>
    <s v="S2"/>
    <s v="P040716C1S2"/>
    <s v="Ratio"/>
    <s v="2001 / 2009"/>
    <s v="Reconstruction"/>
    <s v=""/>
    <n v="1"/>
    <m/>
    <m/>
    <n v="0.89456869009584672"/>
    <n v="0.89456869009584672"/>
    <s v=""/>
    <x v="0"/>
    <x v="0"/>
    <n v="0"/>
    <n v="0"/>
    <s v=""/>
    <s v=""/>
    <s v=""/>
    <s v=""/>
    <s v=""/>
    <s v=""/>
    <s v=""/>
    <s v=""/>
    <s v=""/>
    <s v=""/>
  </r>
  <r>
    <s v="Peru"/>
    <s v="Latin America and Caribbean"/>
    <s v="P044601"/>
    <s v="C1"/>
    <s v=""/>
    <s v="P044601C1"/>
    <s v="Ratio"/>
    <s v="2001 / 2007"/>
    <s v="Reconstruction"/>
    <s v=""/>
    <n v="1.3124475524475525"/>
    <m/>
    <m/>
    <n v="1.0588330632090761"/>
    <n v="0.80676219117059833"/>
    <s v=""/>
    <x v="0"/>
    <x v="0"/>
    <n v="0"/>
    <n v="0"/>
    <s v=""/>
    <s v=""/>
    <s v=""/>
    <s v=""/>
    <s v=""/>
    <s v=""/>
    <s v=""/>
    <s v=""/>
    <s v=""/>
    <s v=""/>
  </r>
  <r>
    <s v="Peru"/>
    <s v="Latin America and Caribbean"/>
    <s v="P044601"/>
    <s v="C2"/>
    <s v=""/>
    <s v="P044601C2"/>
    <s v="Ratio"/>
    <s v="2001 / 2007"/>
    <s v="Routine Maintenance"/>
    <s v=""/>
    <n v="1.0929974064468322"/>
    <m/>
    <m/>
    <n v="0.74498069498069508"/>
    <n v="0.6815942019501342"/>
    <s v=""/>
    <x v="0"/>
    <x v="0"/>
    <n v="0"/>
    <n v="0"/>
    <s v=""/>
    <s v=""/>
    <s v=""/>
    <s v=""/>
    <s v=""/>
    <s v=""/>
    <s v=""/>
    <s v=""/>
    <s v=""/>
    <s v=""/>
  </r>
  <r>
    <s v="Armenia"/>
    <s v="Europe and Central Asia"/>
    <s v="P044829"/>
    <s v="C1"/>
    <s v=""/>
    <s v="P044829C1"/>
    <s v="Ratio"/>
    <s v="2000 / 2005"/>
    <s v="Asphalt Mix Resurfacing"/>
    <s v=""/>
    <n v="0.64727687482178498"/>
    <m/>
    <m/>
    <n v="1.2425373134328357"/>
    <n v="1.9196380432638569"/>
    <s v="x"/>
    <x v="0"/>
    <x v="0"/>
    <n v="1"/>
    <n v="0"/>
    <s v=""/>
    <n v="1"/>
    <s v=""/>
    <s v=""/>
    <s v=""/>
    <s v=""/>
    <s v=""/>
    <s v=""/>
    <s v=""/>
    <s v=""/>
  </r>
  <r>
    <s v="Armenia"/>
    <s v="Europe and Central Asia"/>
    <s v="P044829"/>
    <s v="C1"/>
    <s v="S1"/>
    <s v="P044829C1S1"/>
    <s v="Ratio"/>
    <s v="2000 / 2005"/>
    <s v="Surface Treatment Resurfacing"/>
    <s v=""/>
    <n v="1"/>
    <m/>
    <m/>
    <n v="1.008403361344538"/>
    <n v="1.008403361344538"/>
    <s v=""/>
    <x v="0"/>
    <x v="0"/>
    <n v="0"/>
    <n v="0"/>
    <s v=""/>
    <s v=""/>
    <s v=""/>
    <s v=""/>
    <s v=""/>
    <s v=""/>
    <s v=""/>
    <s v=""/>
    <s v=""/>
    <s v=""/>
  </r>
  <r>
    <s v="Armenia"/>
    <s v="Europe and Central Asia"/>
    <s v="P044829"/>
    <s v="C1"/>
    <s v="S2"/>
    <s v="P044829C1S2"/>
    <s v="Ratio"/>
    <s v="2000 / 2005"/>
    <s v="Asphalt Mix Resurfacing"/>
    <s v=""/>
    <n v="1"/>
    <m/>
    <m/>
    <n v="1.1767605633802818"/>
    <n v="1.1767605633802818"/>
    <s v=""/>
    <x v="0"/>
    <x v="0"/>
    <n v="0"/>
    <n v="0"/>
    <s v=""/>
    <s v=""/>
    <s v=""/>
    <s v=""/>
    <s v=""/>
    <s v=""/>
    <s v=""/>
    <s v=""/>
    <s v=""/>
    <s v=""/>
  </r>
  <r>
    <s v="Armenia"/>
    <s v="Europe and Central Asia"/>
    <s v="P044829"/>
    <s v="C1"/>
    <s v="S3"/>
    <s v="P044829C1S3"/>
    <s v="Ratio"/>
    <s v="2000 / 2005"/>
    <s v="Asphalt Mix Resurfacing"/>
    <s v=""/>
    <n v="1"/>
    <m/>
    <m/>
    <n v="1.1359223300970873"/>
    <n v="1.1359223300970871"/>
    <s v=""/>
    <x v="0"/>
    <x v="0"/>
    <n v="0"/>
    <n v="0"/>
    <s v=""/>
    <s v=""/>
    <s v=""/>
    <s v=""/>
    <s v=""/>
    <s v=""/>
    <s v=""/>
    <s v=""/>
    <s v=""/>
    <s v=""/>
  </r>
  <r>
    <s v="Armenia"/>
    <s v="Europe and Central Asia"/>
    <s v="P044829"/>
    <s v="C1"/>
    <s v="S4"/>
    <s v="P044829C1S4"/>
    <s v="Ratio"/>
    <s v="2000 / 2005"/>
    <s v="Asphalt Mix Resurfacing"/>
    <s v=""/>
    <n v="1"/>
    <m/>
    <m/>
    <n v="0.92666666666666675"/>
    <n v="0.92666666666666675"/>
    <s v=""/>
    <x v="0"/>
    <x v="0"/>
    <n v="0"/>
    <n v="0"/>
    <s v=""/>
    <s v=""/>
    <s v=""/>
    <s v=""/>
    <s v=""/>
    <s v=""/>
    <s v=""/>
    <s v=""/>
    <s v=""/>
    <s v=""/>
  </r>
  <r>
    <s v="Armenia"/>
    <s v="Europe and Central Asia"/>
    <s v="P044829"/>
    <s v="C1"/>
    <s v="S5"/>
    <s v="P044829C1S5"/>
    <s v="Ratio"/>
    <s v="2000 / 2005"/>
    <s v="Asphalt Mix Resurfacing"/>
    <s v=""/>
    <n v="1"/>
    <m/>
    <m/>
    <n v="1.086857142857143"/>
    <n v="1.086857142857143"/>
    <s v=""/>
    <x v="0"/>
    <x v="0"/>
    <n v="0"/>
    <n v="0"/>
    <s v=""/>
    <s v=""/>
    <s v=""/>
    <s v=""/>
    <s v=""/>
    <s v=""/>
    <s v=""/>
    <s v=""/>
    <s v=""/>
    <s v=""/>
  </r>
  <r>
    <s v="Armenia"/>
    <s v="Europe and Central Asia"/>
    <s v="P044829"/>
    <s v="C1"/>
    <s v="S6"/>
    <s v="P044829C1S6"/>
    <s v="Ratio"/>
    <s v="2000 / 2005"/>
    <s v="Asphalt Mix Resurfacing"/>
    <s v=""/>
    <n v="1"/>
    <m/>
    <m/>
    <n v="0.90322580645161299"/>
    <n v="0.90322580645161299"/>
    <s v=""/>
    <x v="0"/>
    <x v="0"/>
    <n v="0"/>
    <n v="0"/>
    <s v=""/>
    <s v=""/>
    <s v=""/>
    <s v=""/>
    <s v=""/>
    <s v=""/>
    <s v=""/>
    <s v=""/>
    <s v=""/>
    <s v=""/>
  </r>
  <r>
    <s v="India"/>
    <s v="South Asia"/>
    <s v="P050649"/>
    <s v="C1"/>
    <s v=""/>
    <s v="P050649C1"/>
    <s v="Ratio"/>
    <s v="2003 / 2012"/>
    <s v="Widening and Reconstruction"/>
    <s v=""/>
    <n v="0.96533333333333338"/>
    <m/>
    <m/>
    <n v="1.2020749602766612"/>
    <n v="1.2452433980766517"/>
    <s v=""/>
    <x v="0"/>
    <x v="0"/>
    <n v="0"/>
    <n v="0"/>
    <s v=""/>
    <s v=""/>
    <s v=""/>
    <s v=""/>
    <s v=""/>
    <s v=""/>
    <s v=""/>
    <s v=""/>
    <s v=""/>
    <s v=""/>
  </r>
  <r>
    <s v="India"/>
    <s v="South Asia"/>
    <s v="P050649"/>
    <s v="C1"/>
    <s v="S1"/>
    <s v="P050649C1S1"/>
    <s v="Ratio"/>
    <s v="2003 / 2012"/>
    <s v="Widening and Reconstruction"/>
    <s v=""/>
    <n v="0.94413965087281804"/>
    <m/>
    <m/>
    <n v="0.96374115353406276"/>
    <n v="1.0207612323485449"/>
    <s v=""/>
    <x v="0"/>
    <x v="0"/>
    <n v="0"/>
    <n v="0"/>
    <s v=""/>
    <s v=""/>
    <s v=""/>
    <s v=""/>
    <s v=""/>
    <s v=""/>
    <s v=""/>
    <s v=""/>
    <s v=""/>
    <s v=""/>
  </r>
  <r>
    <s v="India"/>
    <s v="South Asia"/>
    <s v="P050649"/>
    <s v="C1"/>
    <s v="S2"/>
    <s v="P050649C1S2"/>
    <s v="Ratio"/>
    <s v="2003 / 2012"/>
    <s v="Widening and Reconstruction"/>
    <s v=""/>
    <n v="1.0224137931034483"/>
    <m/>
    <m/>
    <n v="1.6075888053896636"/>
    <n v="1.572346555018558"/>
    <s v="x"/>
    <x v="0"/>
    <x v="0"/>
    <n v="1"/>
    <n v="0"/>
    <n v="1"/>
    <s v=""/>
    <n v="1"/>
    <s v=""/>
    <s v=""/>
    <s v=""/>
    <s v=""/>
    <s v=""/>
    <n v="1"/>
    <s v=""/>
  </r>
  <r>
    <s v="India"/>
    <s v="South Asia"/>
    <s v="P050649"/>
    <s v="C1"/>
    <s v="S3"/>
    <s v="P050649C1S3"/>
    <s v="Ratio"/>
    <s v="2003 / 2012"/>
    <s v="Widening and Reconstruction"/>
    <s v=""/>
    <n v="1"/>
    <m/>
    <m/>
    <n v="2.0096642167656591"/>
    <n v="2.0096642167656595"/>
    <s v="x"/>
    <x v="0"/>
    <x v="0"/>
    <n v="1"/>
    <n v="0"/>
    <n v="1"/>
    <s v=""/>
    <n v="1"/>
    <s v=""/>
    <s v=""/>
    <s v=""/>
    <s v=""/>
    <s v=""/>
    <n v="1"/>
    <s v=""/>
  </r>
  <r>
    <s v="India"/>
    <s v="South Asia"/>
    <s v="P050649"/>
    <s v="C1"/>
    <s v="S4"/>
    <s v="P050649C1S4"/>
    <s v="Ratio"/>
    <s v="2003 / 2012"/>
    <s v="Widening and Reconstruction"/>
    <s v=""/>
    <n v="0.971186440677966"/>
    <m/>
    <m/>
    <n v="1.773256672056571"/>
    <n v="1.8258663813496978"/>
    <s v="x"/>
    <x v="0"/>
    <x v="0"/>
    <n v="1"/>
    <n v="0"/>
    <n v="1"/>
    <s v=""/>
    <n v="1"/>
    <s v=""/>
    <s v=""/>
    <s v=""/>
    <s v=""/>
    <s v=""/>
    <n v="1"/>
    <s v=""/>
  </r>
  <r>
    <s v="India"/>
    <s v="South Asia"/>
    <s v="P050649"/>
    <s v="C2"/>
    <s v=""/>
    <s v="P050649C2"/>
    <s v="Ratio"/>
    <s v="2003 / 2012"/>
    <s v="Reconstruction"/>
    <s v=""/>
    <n v="0.66500000000000004"/>
    <m/>
    <m/>
    <n v="0.95899566473988451"/>
    <n v="1.4420987439697512"/>
    <s v=""/>
    <x v="0"/>
    <x v="0"/>
    <n v="0"/>
    <n v="0"/>
    <s v=""/>
    <s v=""/>
    <s v=""/>
    <s v=""/>
    <s v=""/>
    <s v=""/>
    <s v=""/>
    <s v=""/>
    <s v=""/>
    <s v=""/>
  </r>
  <r>
    <s v="Kyrgyz Republic"/>
    <s v="Europe and Central Asia"/>
    <s v="P050719"/>
    <s v="C1"/>
    <s v=""/>
    <s v="P050719C1"/>
    <s v="Ratio"/>
    <s v="2000 / 2006"/>
    <s v="Strengthening"/>
    <s v=""/>
    <n v="1.0714285714285714"/>
    <m/>
    <m/>
    <n v="0.94896551724137934"/>
    <n v="0.88570114942528733"/>
    <s v=""/>
    <x v="0"/>
    <x v="0"/>
    <n v="0"/>
    <n v="0"/>
    <s v=""/>
    <s v=""/>
    <s v=""/>
    <s v=""/>
    <s v=""/>
    <s v=""/>
    <s v=""/>
    <s v=""/>
    <s v=""/>
    <s v=""/>
  </r>
  <r>
    <s v="Kyrgyz Republic"/>
    <s v="Europe and Central Asia"/>
    <s v="P050719"/>
    <s v="C1"/>
    <s v="S1"/>
    <s v="P050719C1S1"/>
    <s v="Ratio"/>
    <s v="2000 / 2006"/>
    <s v="Strengthening"/>
    <s v=""/>
    <n v="1.1111111111111112"/>
    <m/>
    <m/>
    <n v="0.92727272727272736"/>
    <n v="0.83454545454545459"/>
    <s v=""/>
    <x v="0"/>
    <x v="0"/>
    <n v="0"/>
    <n v="0"/>
    <s v=""/>
    <s v=""/>
    <s v=""/>
    <s v=""/>
    <s v=""/>
    <s v=""/>
    <s v=""/>
    <s v=""/>
    <s v=""/>
    <s v=""/>
  </r>
  <r>
    <s v="Kyrgyz Republic"/>
    <s v="Europe and Central Asia"/>
    <s v="P050719"/>
    <s v="C1"/>
    <s v="S2"/>
    <s v="P050719C1S2"/>
    <s v="Ratio"/>
    <s v="2000 / 2006"/>
    <s v="Strengthening"/>
    <s v=""/>
    <n v="1"/>
    <m/>
    <m/>
    <n v="1.0147058823529413"/>
    <n v="1.0147058823529413"/>
    <s v=""/>
    <x v="0"/>
    <x v="0"/>
    <n v="0"/>
    <n v="0"/>
    <s v=""/>
    <s v=""/>
    <s v=""/>
    <s v=""/>
    <s v=""/>
    <s v=""/>
    <s v=""/>
    <s v=""/>
    <s v=""/>
    <s v=""/>
  </r>
  <r>
    <s v="Kyrgyz Republic"/>
    <s v="Europe and Central Asia"/>
    <s v="P050719"/>
    <s v="C1"/>
    <s v="S3"/>
    <s v="P050719C1S3"/>
    <s v="Ratio"/>
    <s v="2000 / 2006"/>
    <s v="Strengthening"/>
    <s v=""/>
    <n v="0.91666666666666663"/>
    <m/>
    <m/>
    <n v="0.99473684210526314"/>
    <n v="1.0851674641148326"/>
    <s v=""/>
    <x v="0"/>
    <x v="0"/>
    <n v="0"/>
    <n v="0"/>
    <s v=""/>
    <s v=""/>
    <s v=""/>
    <s v=""/>
    <s v=""/>
    <s v=""/>
    <s v=""/>
    <s v=""/>
    <s v=""/>
    <s v=""/>
  </r>
  <r>
    <s v="Madagascar"/>
    <s v="Sub-Saharan Africa"/>
    <s v="P052208"/>
    <s v="C1"/>
    <s v="S1"/>
    <s v="P052208C1S1"/>
    <s v="Ratio"/>
    <s v="2000 / 2006"/>
    <s v="Surface Treatment Resurfacing"/>
    <s v=""/>
    <n v="1"/>
    <m/>
    <m/>
    <n v="2.2234042553191489"/>
    <n v="2.2234042553191489"/>
    <s v="x"/>
    <x v="0"/>
    <x v="0"/>
    <n v="1"/>
    <n v="0"/>
    <n v="1"/>
    <n v="1"/>
    <n v="1"/>
    <s v=""/>
    <s v=""/>
    <s v=""/>
    <s v=""/>
    <s v=""/>
    <s v=""/>
    <s v=""/>
  </r>
  <r>
    <s v="Senegal"/>
    <s v="Sub-Saharan Africa"/>
    <s v="P055472"/>
    <s v="C1"/>
    <s v=""/>
    <s v="P055472C1"/>
    <s v="Ratio"/>
    <s v="2000 / 2009"/>
    <s v="Reconstruction"/>
    <s v=""/>
    <n v="0.69230769230769229"/>
    <m/>
    <m/>
    <n v="2.3372402770378264"/>
    <n v="3.3760137334990823"/>
    <s v="x"/>
    <x v="0"/>
    <x v="0"/>
    <n v="1"/>
    <n v="0"/>
    <s v=""/>
    <s v=""/>
    <s v=""/>
    <s v=""/>
    <s v=""/>
    <n v="1"/>
    <s v=""/>
    <s v=""/>
    <n v="1"/>
    <s v=""/>
  </r>
  <r>
    <s v="Uruguay"/>
    <s v="Latin America and Caribbean"/>
    <s v="P057481"/>
    <s v=""/>
    <s v=""/>
    <s v="P057481"/>
    <s v="Ratio"/>
    <s v="2005 / 2012"/>
    <s v="Routine Maintenance"/>
    <n v="1"/>
    <n v="1"/>
    <m/>
    <m/>
    <n v="1.3457142857142856"/>
    <n v="1.3457142857142856"/>
    <s v=""/>
    <x v="0"/>
    <x v="0"/>
    <n v="0"/>
    <n v="0"/>
    <s v=""/>
    <s v=""/>
    <s v=""/>
    <s v=""/>
    <s v=""/>
    <s v=""/>
    <s v=""/>
    <s v=""/>
    <s v=""/>
    <s v=""/>
  </r>
  <r>
    <s v="Uruguay"/>
    <s v="Latin America and Caribbean"/>
    <s v="P057481"/>
    <s v="C1"/>
    <s v="S1"/>
    <s v="P057481C1S1"/>
    <s v="Ratio"/>
    <s v="2007 / 2012"/>
    <s v="Reconstruction"/>
    <s v=""/>
    <n v="1"/>
    <m/>
    <m/>
    <n v="1.584075723830735"/>
    <n v="1.584075723830735"/>
    <s v="x"/>
    <x v="0"/>
    <x v="0"/>
    <n v="1"/>
    <n v="0"/>
    <s v=""/>
    <s v=""/>
    <s v=""/>
    <s v=""/>
    <s v=""/>
    <s v=""/>
    <s v=""/>
    <s v=""/>
    <n v="1"/>
    <s v=""/>
  </r>
  <r>
    <s v="Uruguay"/>
    <s v="Latin America and Caribbean"/>
    <s v="P057481"/>
    <s v="C1"/>
    <s v="S2"/>
    <s v="P057481C1S2"/>
    <s v="Ratio"/>
    <s v="2007 / 2012"/>
    <s v="Reconstruction"/>
    <s v=""/>
    <n v="1"/>
    <m/>
    <m/>
    <n v="1.4583333333333335"/>
    <n v="1.4583333333333335"/>
    <s v=""/>
    <x v="0"/>
    <x v="0"/>
    <n v="0"/>
    <n v="0"/>
    <s v=""/>
    <s v=""/>
    <s v=""/>
    <s v=""/>
    <s v=""/>
    <s v=""/>
    <s v=""/>
    <s v=""/>
    <s v=""/>
    <s v=""/>
  </r>
  <r>
    <s v="Uruguay"/>
    <s v="Latin America and Caribbean"/>
    <s v="P057481"/>
    <s v="C1"/>
    <s v="S3"/>
    <s v="P057481C1S3"/>
    <s v="Ratio"/>
    <s v="2007 / 2012"/>
    <s v="Reconstruction"/>
    <s v=""/>
    <n v="1"/>
    <m/>
    <m/>
    <n v="3.5446524064171121"/>
    <n v="3.5446524064171121"/>
    <s v="x"/>
    <x v="0"/>
    <x v="0"/>
    <n v="1"/>
    <n v="0"/>
    <s v=""/>
    <s v=""/>
    <s v=""/>
    <s v=""/>
    <s v=""/>
    <s v=""/>
    <s v=""/>
    <s v=""/>
    <n v="1"/>
    <n v="1"/>
  </r>
  <r>
    <s v="Honduras"/>
    <s v="Latin America and Caribbean"/>
    <s v="P057538"/>
    <s v="C1"/>
    <s v="S1"/>
    <s v="P057538C1S1"/>
    <s v="Ratio"/>
    <s v="2000 / 2007"/>
    <s v="Strengthening"/>
    <s v=""/>
    <n v="0.59523809523809523"/>
    <m/>
    <m/>
    <n v="1.0625"/>
    <n v="1.7849999999999999"/>
    <s v="x"/>
    <x v="0"/>
    <x v="0"/>
    <n v="1"/>
    <n v="0"/>
    <n v="1"/>
    <s v=""/>
    <s v=""/>
    <s v=""/>
    <s v=""/>
    <s v=""/>
    <s v=""/>
    <s v=""/>
    <n v="1"/>
    <s v=""/>
  </r>
  <r>
    <s v="Honduras"/>
    <s v="Latin America and Caribbean"/>
    <s v="P057538"/>
    <s v="C1"/>
    <s v="S2"/>
    <s v="P057538C1S2"/>
    <s v="Ratio"/>
    <s v="2000 / 2007"/>
    <s v="Strengthening"/>
    <s v=""/>
    <n v="1"/>
    <m/>
    <m/>
    <n v="1.6031746031746033"/>
    <n v="1.6031746031746033"/>
    <s v="x"/>
    <x v="0"/>
    <x v="0"/>
    <n v="1"/>
    <n v="0"/>
    <n v="1"/>
    <s v=""/>
    <s v=""/>
    <s v=""/>
    <s v=""/>
    <s v=""/>
    <s v=""/>
    <s v=""/>
    <n v="1"/>
    <s v=""/>
  </r>
  <r>
    <s v="Honduras"/>
    <s v="Latin America and Caribbean"/>
    <s v="P057538"/>
    <s v="C1"/>
    <s v="S3"/>
    <s v="P057538C1S3"/>
    <s v="Ratio"/>
    <s v="2000 / 2007"/>
    <s v="Upgrading"/>
    <s v=""/>
    <n v="1.0021505376344086"/>
    <m/>
    <m/>
    <n v="1.0277777777777777"/>
    <n v="1.0255722460658083"/>
    <s v=""/>
    <x v="0"/>
    <x v="0"/>
    <n v="0"/>
    <n v="0"/>
    <s v=""/>
    <s v=""/>
    <s v=""/>
    <s v=""/>
    <s v=""/>
    <s v=""/>
    <s v=""/>
    <s v=""/>
    <s v=""/>
    <s v=""/>
  </r>
  <r>
    <s v="Honduras"/>
    <s v="Latin America and Caribbean"/>
    <s v="P057538"/>
    <s v="C1"/>
    <s v="S4"/>
    <s v="P057538C1S4"/>
    <s v="Ratio"/>
    <s v="2000 / 2007"/>
    <s v="Upgrading"/>
    <s v=""/>
    <n v="1"/>
    <m/>
    <m/>
    <n v="1.0740740740740742"/>
    <n v="1.074074074074074"/>
    <s v=""/>
    <x v="0"/>
    <x v="0"/>
    <n v="0"/>
    <n v="0"/>
    <s v=""/>
    <s v=""/>
    <s v=""/>
    <s v=""/>
    <s v=""/>
    <s v=""/>
    <s v=""/>
    <s v=""/>
    <s v=""/>
    <s v=""/>
  </r>
  <r>
    <s v="Honduras"/>
    <s v="Latin America and Caribbean"/>
    <s v="P057538"/>
    <s v="C2"/>
    <s v=""/>
    <s v="P057538C2"/>
    <s v="Ratio"/>
    <s v="2000 / 2007"/>
    <s v="Reconstruction"/>
    <s v=""/>
    <n v="1.02"/>
    <m/>
    <m/>
    <n v="0.57647058823529418"/>
    <n v="0.56516724336793545"/>
    <s v=""/>
    <x v="0"/>
    <x v="0"/>
    <n v="0"/>
    <n v="0"/>
    <s v=""/>
    <s v=""/>
    <s v=""/>
    <s v=""/>
    <s v=""/>
    <s v=""/>
    <s v=""/>
    <s v=""/>
    <s v=""/>
    <s v=""/>
  </r>
  <r>
    <s v="Honduras"/>
    <s v="Latin America and Caribbean"/>
    <s v="P057538"/>
    <s v="C3"/>
    <s v=""/>
    <s v="P057538C3"/>
    <s v="Ratio"/>
    <s v="2000 / 2007"/>
    <s v="Routine Maintenance"/>
    <s v=""/>
    <n v="1.8555555555555556"/>
    <m/>
    <m/>
    <n v="1.95"/>
    <n v="1.0508982035928143"/>
    <s v="x"/>
    <x v="1"/>
    <x v="0"/>
    <n v="0"/>
    <n v="0"/>
    <s v=""/>
    <s v=""/>
    <s v=""/>
    <s v=""/>
    <s v=""/>
    <s v=""/>
    <s v=""/>
    <s v=""/>
    <s v=""/>
    <n v="1"/>
  </r>
  <r>
    <s v="Philippines"/>
    <s v="East Asia and Pacific"/>
    <s v="P057731"/>
    <s v="C1"/>
    <s v="S1"/>
    <s v="P057731C1S1"/>
    <s v="Ratio"/>
    <s v="2001 / 2011"/>
    <s v="Reconstruction"/>
    <s v=""/>
    <n v="1"/>
    <m/>
    <m/>
    <n v="0.95726495726495742"/>
    <n v="0.95726495726495742"/>
    <s v=""/>
    <x v="0"/>
    <x v="0"/>
    <n v="0"/>
    <n v="0"/>
    <s v=""/>
    <s v=""/>
    <s v=""/>
    <s v=""/>
    <s v=""/>
    <s v=""/>
    <s v=""/>
    <s v=""/>
    <s v=""/>
    <s v=""/>
  </r>
  <r>
    <s v="Philippines"/>
    <s v="East Asia and Pacific"/>
    <s v="P057731"/>
    <s v="C1"/>
    <s v="S2"/>
    <s v="P057731C1S2"/>
    <s v="Ratio"/>
    <s v="2001 / 2011"/>
    <s v="Reconstruction"/>
    <s v=""/>
    <n v="1"/>
    <m/>
    <m/>
    <n v="0.75172413793103454"/>
    <n v="0.75172413793103454"/>
    <s v=""/>
    <x v="0"/>
    <x v="0"/>
    <n v="0"/>
    <n v="0"/>
    <s v=""/>
    <s v=""/>
    <s v=""/>
    <s v=""/>
    <s v=""/>
    <s v=""/>
    <s v=""/>
    <s v=""/>
    <s v=""/>
    <s v=""/>
  </r>
  <r>
    <s v="Philippines"/>
    <s v="East Asia and Pacific"/>
    <s v="P057731"/>
    <s v="C1"/>
    <s v="S3"/>
    <s v="P057731C1S3"/>
    <s v="Ratio"/>
    <s v="2001 / 2011"/>
    <s v="Reconstruction"/>
    <s v=""/>
    <n v="1"/>
    <m/>
    <m/>
    <n v="2.8929336188436832"/>
    <n v="2.8929336188436832"/>
    <s v="x"/>
    <x v="0"/>
    <x v="0"/>
    <n v="1"/>
    <n v="0"/>
    <s v=""/>
    <s v=""/>
    <s v=""/>
    <n v="1"/>
    <s v=""/>
    <s v=""/>
    <s v=""/>
    <s v=""/>
    <n v="1"/>
    <s v=""/>
  </r>
  <r>
    <s v="Philippines"/>
    <s v="East Asia and Pacific"/>
    <s v="P057731"/>
    <s v="C1"/>
    <s v="S4"/>
    <s v="P057731C1S4"/>
    <s v="Ratio"/>
    <s v="2001 / 2011"/>
    <s v="Reconstruction"/>
    <s v=""/>
    <n v="1"/>
    <m/>
    <m/>
    <n v="3.7122093023255816"/>
    <n v="3.7122093023255816"/>
    <s v="x"/>
    <x v="0"/>
    <x v="0"/>
    <n v="1"/>
    <n v="0"/>
    <s v=""/>
    <s v=""/>
    <s v=""/>
    <n v="1"/>
    <s v=""/>
    <s v=""/>
    <s v=""/>
    <s v=""/>
    <n v="1"/>
    <s v=""/>
  </r>
  <r>
    <s v="China"/>
    <s v="East Asia and Pacific"/>
    <s v="P058844"/>
    <s v="C1"/>
    <s v=""/>
    <s v="P058844C1"/>
    <s v="Ratio"/>
    <s v="2000 / 2007"/>
    <s v="New 4L Highway"/>
    <n v="1.48"/>
    <n v="1"/>
    <m/>
    <m/>
    <n v="0.90739484396200809"/>
    <n v="0.90739484396200809"/>
    <s v=""/>
    <x v="0"/>
    <x v="0"/>
    <n v="0"/>
    <n v="0"/>
    <s v=""/>
    <s v=""/>
    <s v=""/>
    <s v=""/>
    <s v=""/>
    <s v=""/>
    <s v=""/>
    <s v=""/>
    <s v=""/>
    <s v=""/>
  </r>
  <r>
    <s v="China"/>
    <s v="East Asia and Pacific"/>
    <s v="P058844"/>
    <s v="C2"/>
    <s v=""/>
    <s v="P058844C2"/>
    <s v="Ratio"/>
    <s v="2000 / 2007"/>
    <s v="Upgrading"/>
    <s v=""/>
    <n v="0.9325"/>
    <m/>
    <m/>
    <n v="0.88610478359908884"/>
    <n v="0.95024641672824539"/>
    <s v=""/>
    <x v="0"/>
    <x v="0"/>
    <n v="0"/>
    <n v="0"/>
    <s v=""/>
    <s v=""/>
    <s v=""/>
    <s v=""/>
    <s v=""/>
    <s v=""/>
    <s v=""/>
    <s v=""/>
    <s v=""/>
    <s v=""/>
  </r>
  <r>
    <s v="China"/>
    <s v="East Asia and Pacific"/>
    <s v="P058847"/>
    <s v="C1"/>
    <s v=""/>
    <s v="P058847C1"/>
    <s v="Ratio"/>
    <s v="2002 / 2010"/>
    <s v="Widening and Reconstruction"/>
    <s v=""/>
    <n v="1"/>
    <m/>
    <m/>
    <n v="1.3175646908557643"/>
    <n v="1.3175646908557643"/>
    <s v=""/>
    <x v="0"/>
    <x v="0"/>
    <n v="0"/>
    <n v="0"/>
    <s v=""/>
    <s v=""/>
    <s v=""/>
    <s v=""/>
    <s v=""/>
    <s v=""/>
    <s v=""/>
    <s v=""/>
    <s v=""/>
    <s v=""/>
  </r>
  <r>
    <s v="China"/>
    <s v="East Asia and Pacific"/>
    <s v="P058847"/>
    <s v="C2"/>
    <s v=""/>
    <s v="P058847C2"/>
    <s v="Ratio"/>
    <s v="2002 / 2010"/>
    <s v="Upgrading"/>
    <s v=""/>
    <n v="1.0333333333333334"/>
    <m/>
    <m/>
    <n v="1.2401913875598087"/>
    <n v="1.2001852137675568"/>
    <s v=""/>
    <x v="0"/>
    <x v="0"/>
    <n v="0"/>
    <n v="0"/>
    <s v=""/>
    <s v=""/>
    <s v=""/>
    <s v=""/>
    <s v=""/>
    <s v=""/>
    <s v=""/>
    <s v=""/>
    <s v=""/>
    <s v=""/>
  </r>
  <r>
    <s v="Vietnam"/>
    <s v="East Asia and Pacific"/>
    <s v="P059663"/>
    <s v="C1"/>
    <s v="S1"/>
    <s v="P059663C1S1"/>
    <s v="Ratio"/>
    <s v="2003 / 2012"/>
    <s v="Asphalt Mix Resurfacing"/>
    <n v="1.3"/>
    <n v="0.7654545454545455"/>
    <m/>
    <m/>
    <n v="0.93086419753086425"/>
    <n v="1.2160933696959033"/>
    <s v=""/>
    <x v="0"/>
    <x v="0"/>
    <n v="0"/>
    <n v="0"/>
    <s v=""/>
    <s v=""/>
    <s v=""/>
    <s v=""/>
    <s v=""/>
    <s v=""/>
    <s v=""/>
    <s v=""/>
    <s v=""/>
    <s v=""/>
  </r>
  <r>
    <s v="Vietnam"/>
    <s v="East Asia and Pacific"/>
    <s v="P059663"/>
    <s v="C1"/>
    <s v="S2"/>
    <s v="P059663C1S2"/>
    <s v="Ratio"/>
    <s v="2003 / 2012"/>
    <s v="Asphalt Mix Resurfacing"/>
    <n v="2.25"/>
    <n v="0.70232558139534884"/>
    <m/>
    <m/>
    <n v="3.3642857142857143"/>
    <n v="4.790208136234626"/>
    <s v="x"/>
    <x v="0"/>
    <x v="0"/>
    <n v="1"/>
    <n v="0"/>
    <n v="1"/>
    <s v=""/>
    <s v=""/>
    <n v="1"/>
    <s v=""/>
    <s v=""/>
    <s v=""/>
    <s v=""/>
    <s v=""/>
    <s v=""/>
  </r>
  <r>
    <s v="Vietnam"/>
    <s v="East Asia and Pacific"/>
    <s v="P059663"/>
    <s v="C2"/>
    <s v=""/>
    <s v="P059663C2"/>
    <s v="Ratio"/>
    <s v="2003 / 2012"/>
    <s v="Widening and Reconstruction"/>
    <n v="1.6"/>
    <n v="0.44166666666666665"/>
    <m/>
    <m/>
    <n v="1.4678810460222176"/>
    <n v="3.3235042551446439"/>
    <s v="x"/>
    <x v="0"/>
    <x v="1"/>
    <n v="1"/>
    <n v="0"/>
    <n v="1"/>
    <s v=""/>
    <s v=""/>
    <n v="1"/>
    <s v=""/>
    <s v=""/>
    <s v=""/>
    <s v=""/>
    <n v="1"/>
    <s v=""/>
  </r>
  <r>
    <s v="Vietnam"/>
    <s v="East Asia and Pacific"/>
    <s v="P059864"/>
    <s v="C1"/>
    <s v=""/>
    <s v="P059864C1"/>
    <s v="Ratio"/>
    <s v="1999 / 2007"/>
    <s v="Gravel Resurfacing"/>
    <n v="1"/>
    <n v="0.75990000000000002"/>
    <m/>
    <m/>
    <n v="1.0787925696594427"/>
    <n v="1.4196507035918446"/>
    <s v=""/>
    <x v="0"/>
    <x v="0"/>
    <n v="0"/>
    <n v="0"/>
    <s v=""/>
    <s v=""/>
    <s v=""/>
    <s v=""/>
    <s v=""/>
    <s v=""/>
    <s v=""/>
    <s v=""/>
    <s v=""/>
    <s v=""/>
  </r>
  <r>
    <s v="Lao PDR"/>
    <s v="East Asia and Pacific"/>
    <s v="P064821"/>
    <s v="C1"/>
    <s v="S1"/>
    <s v="P064821C1S1"/>
    <s v="Ratio"/>
    <s v="2001 / 2005"/>
    <s v="Bituminous Pavement Preventive Treatment"/>
    <s v=""/>
    <n v="1.9728571428571429"/>
    <m/>
    <m/>
    <n v="1.0945069941999317"/>
    <n v="0.55478269076028408"/>
    <s v="x"/>
    <x v="1"/>
    <x v="0"/>
    <n v="0"/>
    <n v="0"/>
    <s v=""/>
    <s v=""/>
    <s v=""/>
    <s v=""/>
    <s v=""/>
    <s v=""/>
    <s v=""/>
    <s v=""/>
    <s v=""/>
    <n v="1"/>
  </r>
  <r>
    <s v="Lao PDR"/>
    <s v="East Asia and Pacific"/>
    <s v="P064821"/>
    <s v="C1"/>
    <s v="S10"/>
    <s v="P064821C1S10"/>
    <s v="Ratio"/>
    <s v="2001 / 2005"/>
    <s v="Bituminous Pavement Preventive Treatment"/>
    <s v=""/>
    <n v="1"/>
    <m/>
    <m/>
    <n v="0.82051282051282048"/>
    <n v="0.82051282051282048"/>
    <s v=""/>
    <x v="0"/>
    <x v="0"/>
    <n v="0"/>
    <n v="0"/>
    <s v=""/>
    <s v=""/>
    <s v=""/>
    <s v=""/>
    <s v=""/>
    <s v=""/>
    <s v=""/>
    <s v=""/>
    <s v=""/>
    <s v=""/>
  </r>
  <r>
    <s v="Lao PDR"/>
    <s v="East Asia and Pacific"/>
    <s v="P064821"/>
    <s v="C1"/>
    <s v="S11"/>
    <s v="P064821C1S11"/>
    <s v="Ratio"/>
    <s v="2001 / 2005"/>
    <s v="Gravel Resurfacing"/>
    <s v=""/>
    <n v="1"/>
    <m/>
    <m/>
    <n v="0.83636363636363631"/>
    <n v="0.83636363636363631"/>
    <s v=""/>
    <x v="0"/>
    <x v="0"/>
    <n v="0"/>
    <n v="0"/>
    <s v=""/>
    <s v=""/>
    <s v=""/>
    <s v=""/>
    <s v=""/>
    <s v=""/>
    <s v=""/>
    <s v=""/>
    <s v=""/>
    <s v=""/>
  </r>
  <r>
    <s v="Lao PDR"/>
    <s v="East Asia and Pacific"/>
    <s v="P064821"/>
    <s v="C1"/>
    <s v="S2"/>
    <s v="P064821C1S2"/>
    <s v="Ratio"/>
    <s v="2001 / 2005"/>
    <s v="Routine Maintenance"/>
    <s v=""/>
    <n v="1.6411803278688524"/>
    <m/>
    <m/>
    <n v="0.42654735272184935"/>
    <n v="0.25990279403101335"/>
    <s v="x"/>
    <x v="1"/>
    <x v="0"/>
    <n v="0"/>
    <n v="1"/>
    <s v=""/>
    <s v=""/>
    <s v=""/>
    <n v="1"/>
    <s v=""/>
    <n v="1"/>
    <s v=""/>
    <s v=""/>
    <n v="1"/>
    <n v="1"/>
  </r>
  <r>
    <s v="Lao PDR"/>
    <s v="East Asia and Pacific"/>
    <s v="P064821"/>
    <s v="C1"/>
    <s v="S3"/>
    <s v="P064821C1S3"/>
    <s v="Ratio"/>
    <s v="2001 / 2005"/>
    <s v="Gravel Resurfacing"/>
    <s v=""/>
    <n v="1"/>
    <m/>
    <m/>
    <n v="0.8292682926829269"/>
    <n v="0.82926829268292701"/>
    <s v=""/>
    <x v="0"/>
    <x v="0"/>
    <n v="0"/>
    <n v="0"/>
    <s v=""/>
    <s v=""/>
    <s v=""/>
    <s v=""/>
    <s v=""/>
    <s v=""/>
    <s v=""/>
    <s v=""/>
    <s v=""/>
    <s v=""/>
  </r>
  <r>
    <s v="Lao PDR"/>
    <s v="East Asia and Pacific"/>
    <s v="P064821"/>
    <s v="C1"/>
    <s v="S4"/>
    <s v="P064821C1S4"/>
    <s v="Ratio"/>
    <s v="2001 / 2005"/>
    <s v="Bituminous Pavement Preventive Treatment"/>
    <s v=""/>
    <n v="1"/>
    <m/>
    <m/>
    <n v="0.92857142857142871"/>
    <n v="0.92857142857142871"/>
    <s v=""/>
    <x v="0"/>
    <x v="0"/>
    <n v="0"/>
    <n v="0"/>
    <s v=""/>
    <s v=""/>
    <s v=""/>
    <s v=""/>
    <s v=""/>
    <s v=""/>
    <s v=""/>
    <s v=""/>
    <s v=""/>
    <s v=""/>
  </r>
  <r>
    <s v="Lao PDR"/>
    <s v="East Asia and Pacific"/>
    <s v="P064821"/>
    <s v="C1"/>
    <s v="S5"/>
    <s v="P064821C1S5"/>
    <s v="Ratio"/>
    <s v="2001 / 2005"/>
    <s v="Bituminous Pavement Preventive Treatment"/>
    <s v=""/>
    <n v="1"/>
    <m/>
    <m/>
    <n v="0.82558139534883723"/>
    <n v="0.82558139534883712"/>
    <s v=""/>
    <x v="0"/>
    <x v="0"/>
    <n v="0"/>
    <n v="0"/>
    <s v=""/>
    <s v=""/>
    <s v=""/>
    <s v=""/>
    <s v=""/>
    <s v=""/>
    <s v=""/>
    <s v=""/>
    <s v=""/>
    <s v=""/>
  </r>
  <r>
    <s v="Lao PDR"/>
    <s v="East Asia and Pacific"/>
    <s v="P064821"/>
    <s v="C1"/>
    <s v="S6"/>
    <s v="P064821C1S6"/>
    <s v="Ratio"/>
    <s v="2001 / 2005"/>
    <s v="Bituminous Pavement Preventive Treatment"/>
    <s v=""/>
    <n v="1"/>
    <m/>
    <m/>
    <n v="0.82653061224489799"/>
    <n v="0.8265306122448981"/>
    <s v=""/>
    <x v="0"/>
    <x v="0"/>
    <n v="0"/>
    <n v="0"/>
    <s v=""/>
    <s v=""/>
    <s v=""/>
    <s v=""/>
    <s v=""/>
    <s v=""/>
    <s v=""/>
    <s v=""/>
    <s v=""/>
    <s v=""/>
  </r>
  <r>
    <s v="Lao PDR"/>
    <s v="East Asia and Pacific"/>
    <s v="P064821"/>
    <s v="C1"/>
    <s v="S7"/>
    <s v="P064821C1S7"/>
    <s v="Ratio"/>
    <s v="2001 / 2005"/>
    <s v="Gravel Resurfacing"/>
    <s v=""/>
    <n v="1"/>
    <m/>
    <m/>
    <n v="0.84090909090909094"/>
    <n v="0.84090909090909094"/>
    <s v=""/>
    <x v="0"/>
    <x v="0"/>
    <n v="0"/>
    <n v="0"/>
    <s v=""/>
    <s v=""/>
    <s v=""/>
    <s v=""/>
    <s v=""/>
    <s v=""/>
    <s v=""/>
    <s v=""/>
    <s v=""/>
    <s v=""/>
  </r>
  <r>
    <s v="Lao PDR"/>
    <s v="East Asia and Pacific"/>
    <s v="P064821"/>
    <s v="C1"/>
    <s v="S8"/>
    <s v="P064821C1S8"/>
    <s v="Ratio"/>
    <s v="2001 / 2005"/>
    <s v="Bituminous Pavement Preventive Treatment"/>
    <s v=""/>
    <n v="1"/>
    <m/>
    <m/>
    <n v="0.82758620689655171"/>
    <n v="0.82758620689655182"/>
    <s v=""/>
    <x v="0"/>
    <x v="0"/>
    <n v="0"/>
    <n v="0"/>
    <s v=""/>
    <s v=""/>
    <s v=""/>
    <s v=""/>
    <s v=""/>
    <s v=""/>
    <s v=""/>
    <s v=""/>
    <s v=""/>
    <s v=""/>
  </r>
  <r>
    <s v="Lao PDR"/>
    <s v="East Asia and Pacific"/>
    <s v="P064821"/>
    <s v="C1"/>
    <s v="S9"/>
    <s v="P064821C1S9"/>
    <s v="Ratio"/>
    <s v="2001 / 2005"/>
    <s v="Bituminous Pavement Preventive Treatment"/>
    <s v=""/>
    <n v="1"/>
    <m/>
    <m/>
    <n v="0.79487179487179482"/>
    <n v="0.79487179487179482"/>
    <s v=""/>
    <x v="0"/>
    <x v="0"/>
    <n v="0"/>
    <n v="0"/>
    <s v=""/>
    <s v=""/>
    <s v=""/>
    <s v=""/>
    <s v=""/>
    <s v=""/>
    <s v=""/>
    <s v=""/>
    <s v=""/>
    <s v=""/>
  </r>
  <r>
    <s v="Guinea"/>
    <s v="Sub-Saharan Africa"/>
    <s v="P065127"/>
    <s v="C1"/>
    <s v=""/>
    <s v="P065127C1"/>
    <s v="Ratio"/>
    <s v="2004 / 2013"/>
    <s v="Upgrading"/>
    <s v=""/>
    <n v="0.62992125984251968"/>
    <m/>
    <m/>
    <n v="0.79497907949790803"/>
    <n v="1.262029288702929"/>
    <s v=""/>
    <x v="0"/>
    <x v="0"/>
    <n v="0"/>
    <n v="0"/>
    <s v=""/>
    <s v=""/>
    <s v=""/>
    <s v=""/>
    <s v=""/>
    <s v=""/>
    <s v=""/>
    <s v=""/>
    <s v=""/>
    <s v=""/>
  </r>
  <r>
    <s v="Uganda"/>
    <s v="Sub-Saharan Africa"/>
    <s v="P065436"/>
    <s v="C1"/>
    <s v=""/>
    <s v="P065436C1"/>
    <s v="Ratio"/>
    <s v="2001 / 2009"/>
    <s v="Strengthening"/>
    <s v=""/>
    <n v="1"/>
    <m/>
    <m/>
    <n v="1.1677935697530013"/>
    <n v="1.1677935697530011"/>
    <s v=""/>
    <x v="0"/>
    <x v="0"/>
    <n v="0"/>
    <n v="0"/>
    <s v=""/>
    <s v=""/>
    <s v=""/>
    <s v=""/>
    <s v=""/>
    <s v=""/>
    <s v=""/>
    <s v=""/>
    <s v=""/>
    <s v=""/>
  </r>
  <r>
    <s v="Uganda"/>
    <s v="Sub-Saharan Africa"/>
    <s v="P065436"/>
    <s v="C1"/>
    <s v="S1"/>
    <s v="P065436C1S1"/>
    <s v="Ratio"/>
    <s v="2001 / 2009"/>
    <s v="Upgrading"/>
    <n v="1.1111111111111112"/>
    <n v="1"/>
    <m/>
    <m/>
    <n v="1.2345070422535214"/>
    <n v="1.2345070422535211"/>
    <s v=""/>
    <x v="0"/>
    <x v="0"/>
    <n v="0"/>
    <n v="0"/>
    <s v=""/>
    <s v=""/>
    <s v=""/>
    <s v=""/>
    <s v=""/>
    <s v=""/>
    <s v=""/>
    <s v=""/>
    <s v=""/>
    <s v=""/>
  </r>
  <r>
    <s v="Uganda"/>
    <s v="Sub-Saharan Africa"/>
    <s v="P065436"/>
    <s v="C1"/>
    <s v="S2"/>
    <s v="P065436C1S2"/>
    <s v="Ratio"/>
    <s v="2001 / 2009"/>
    <s v="Upgrading"/>
    <n v="0.88888888888888884"/>
    <n v="1"/>
    <m/>
    <m/>
    <n v="1.104602510460251"/>
    <n v="1.104602510460251"/>
    <s v=""/>
    <x v="0"/>
    <x v="0"/>
    <n v="0"/>
    <n v="0"/>
    <s v=""/>
    <s v=""/>
    <s v=""/>
    <s v=""/>
    <s v=""/>
    <s v=""/>
    <s v=""/>
    <s v=""/>
    <s v=""/>
    <s v=""/>
  </r>
  <r>
    <s v="Uganda"/>
    <s v="Sub-Saharan Africa"/>
    <s v="P065436"/>
    <s v="C1"/>
    <s v="S3"/>
    <s v="P065436C1S3"/>
    <s v="Ratio"/>
    <s v="2001 / 2009"/>
    <s v="Strengthening"/>
    <n v="2"/>
    <n v="1"/>
    <m/>
    <m/>
    <n v="1.2054794520547945"/>
    <n v="1.2054794520547947"/>
    <s v=""/>
    <x v="0"/>
    <x v="0"/>
    <n v="0"/>
    <n v="0"/>
    <s v=""/>
    <s v=""/>
    <s v=""/>
    <s v=""/>
    <s v=""/>
    <s v=""/>
    <s v=""/>
    <s v=""/>
    <s v=""/>
    <s v=""/>
  </r>
  <r>
    <s v="Uganda"/>
    <s v="Sub-Saharan Africa"/>
    <s v="P065436"/>
    <s v="C1"/>
    <s v="S4"/>
    <s v="P065436C1S4"/>
    <s v="Ratio"/>
    <s v="2001 / 2009"/>
    <s v="Strengthening"/>
    <n v="1.375"/>
    <n v="1"/>
    <m/>
    <m/>
    <n v="1.2821292775665398"/>
    <n v="1.28212927756654"/>
    <s v=""/>
    <x v="0"/>
    <x v="0"/>
    <n v="0"/>
    <n v="0"/>
    <s v=""/>
    <s v=""/>
    <s v=""/>
    <s v=""/>
    <s v=""/>
    <s v=""/>
    <s v=""/>
    <s v=""/>
    <s v=""/>
    <s v=""/>
  </r>
  <r>
    <s v="Mexico"/>
    <s v="Latin America and Caribbean"/>
    <s v="P065779"/>
    <s v="C1"/>
    <s v="S1"/>
    <s v="P065779C1S1"/>
    <s v="Ratio"/>
    <s v="2000 / 2007"/>
    <s v="Reconstruction"/>
    <s v=""/>
    <n v="1"/>
    <m/>
    <m/>
    <n v="0.95061728395061729"/>
    <n v="0.95061728395061718"/>
    <s v=""/>
    <x v="0"/>
    <x v="0"/>
    <n v="0"/>
    <n v="0"/>
    <s v=""/>
    <s v=""/>
    <s v=""/>
    <s v=""/>
    <s v=""/>
    <s v=""/>
    <s v=""/>
    <s v=""/>
    <s v=""/>
    <s v=""/>
  </r>
  <r>
    <s v="Mexico"/>
    <s v="Latin America and Caribbean"/>
    <s v="P065779"/>
    <s v="C1"/>
    <s v="S10"/>
    <s v="P065779C1S10"/>
    <s v="Ratio"/>
    <s v="2000 / 2007"/>
    <s v="Reconstruction"/>
    <s v=""/>
    <n v="1"/>
    <m/>
    <m/>
    <n v="1.4259259259259258"/>
    <n v="1.425925925925926"/>
    <s v=""/>
    <x v="0"/>
    <x v="0"/>
    <n v="0"/>
    <n v="0"/>
    <s v=""/>
    <s v=""/>
    <s v=""/>
    <s v=""/>
    <s v=""/>
    <s v=""/>
    <s v=""/>
    <s v=""/>
    <s v=""/>
    <s v=""/>
  </r>
  <r>
    <s v="Mexico"/>
    <s v="Latin America and Caribbean"/>
    <s v="P065779"/>
    <s v="C1"/>
    <s v="S11"/>
    <s v="P065779C1S11"/>
    <s v="Ratio"/>
    <s v="2000 / 2007"/>
    <s v="Reconstruction"/>
    <s v=""/>
    <n v="1"/>
    <m/>
    <m/>
    <n v="1.3703703703703702"/>
    <n v="1.3703703703703702"/>
    <s v=""/>
    <x v="0"/>
    <x v="0"/>
    <n v="0"/>
    <n v="0"/>
    <s v=""/>
    <s v=""/>
    <s v=""/>
    <s v=""/>
    <s v=""/>
    <s v=""/>
    <s v=""/>
    <s v=""/>
    <s v=""/>
    <s v=""/>
  </r>
  <r>
    <s v="Mexico"/>
    <s v="Latin America and Caribbean"/>
    <s v="P065779"/>
    <s v="C1"/>
    <s v="S12"/>
    <s v="P065779C1S12"/>
    <s v="Ratio"/>
    <s v="2000 / 2007"/>
    <s v="Reconstruction"/>
    <s v=""/>
    <n v="1"/>
    <m/>
    <m/>
    <n v="0.85106382978723405"/>
    <n v="0.85106382978723405"/>
    <s v=""/>
    <x v="0"/>
    <x v="0"/>
    <n v="0"/>
    <n v="0"/>
    <s v=""/>
    <s v=""/>
    <s v=""/>
    <s v=""/>
    <s v=""/>
    <s v=""/>
    <s v=""/>
    <s v=""/>
    <s v=""/>
    <s v=""/>
  </r>
  <r>
    <s v="Mexico"/>
    <s v="Latin America and Caribbean"/>
    <s v="P065779"/>
    <s v="C1"/>
    <s v="S13"/>
    <s v="P065779C1S13"/>
    <s v="Ratio"/>
    <s v="2000 / 2007"/>
    <s v="Reconstruction"/>
    <s v=""/>
    <n v="1"/>
    <m/>
    <m/>
    <n v="1.8"/>
    <n v="1.8"/>
    <s v="x"/>
    <x v="0"/>
    <x v="0"/>
    <n v="1"/>
    <n v="0"/>
    <s v=""/>
    <s v=""/>
    <s v=""/>
    <s v=""/>
    <s v=""/>
    <n v="1"/>
    <s v=""/>
    <s v=""/>
    <n v="1"/>
    <s v=""/>
  </r>
  <r>
    <s v="Mexico"/>
    <s v="Latin America and Caribbean"/>
    <s v="P065779"/>
    <s v="C1"/>
    <s v="S14"/>
    <s v="P065779C1S14"/>
    <s v="Ratio"/>
    <s v="2000 / 2007"/>
    <s v="Reconstruction"/>
    <s v=""/>
    <n v="0.85"/>
    <m/>
    <m/>
    <n v="2.5500000000000003"/>
    <n v="3"/>
    <s v="x"/>
    <x v="0"/>
    <x v="0"/>
    <n v="1"/>
    <n v="0"/>
    <s v=""/>
    <s v=""/>
    <s v=""/>
    <s v=""/>
    <s v=""/>
    <n v="1"/>
    <s v=""/>
    <s v=""/>
    <n v="1"/>
    <s v=""/>
  </r>
  <r>
    <s v="Mexico"/>
    <s v="Latin America and Caribbean"/>
    <s v="P065779"/>
    <s v="C1"/>
    <s v="S15"/>
    <s v="P065779C1S15"/>
    <s v="Ratio"/>
    <s v="2000 / 2007"/>
    <s v="Reconstruction"/>
    <s v=""/>
    <n v="1"/>
    <m/>
    <m/>
    <n v="0.77016129032258063"/>
    <n v="0.77016129032258052"/>
    <s v=""/>
    <x v="0"/>
    <x v="0"/>
    <n v="0"/>
    <n v="0"/>
    <s v=""/>
    <s v=""/>
    <s v=""/>
    <s v=""/>
    <s v=""/>
    <s v=""/>
    <s v=""/>
    <s v=""/>
    <s v=""/>
    <s v=""/>
  </r>
  <r>
    <s v="Mexico"/>
    <s v="Latin America and Caribbean"/>
    <s v="P065779"/>
    <s v="C1"/>
    <s v="S16"/>
    <s v="P065779C1S16"/>
    <s v="Ratio"/>
    <s v="2000 / 2007"/>
    <s v="Reconstruction"/>
    <s v=""/>
    <n v="1"/>
    <m/>
    <m/>
    <n v="0.91304347826086962"/>
    <n v="0.91304347826086973"/>
    <s v=""/>
    <x v="0"/>
    <x v="0"/>
    <n v="0"/>
    <n v="0"/>
    <s v=""/>
    <s v=""/>
    <s v=""/>
    <s v=""/>
    <s v=""/>
    <s v=""/>
    <s v=""/>
    <s v=""/>
    <s v=""/>
    <s v=""/>
  </r>
  <r>
    <s v="Mexico"/>
    <s v="Latin America and Caribbean"/>
    <s v="P065779"/>
    <s v="C1"/>
    <s v="S17"/>
    <s v="P065779C1S17"/>
    <s v="Ratio"/>
    <s v="2000 / 2007"/>
    <s v="Asphalt Mix Resurfacing"/>
    <s v=""/>
    <n v="1"/>
    <m/>
    <m/>
    <n v="0.18861209964412812"/>
    <n v="0.18861209964412812"/>
    <s v="x"/>
    <x v="0"/>
    <x v="0"/>
    <n v="0"/>
    <n v="1"/>
    <s v=""/>
    <s v=""/>
    <s v=""/>
    <s v=""/>
    <s v=""/>
    <s v=""/>
    <s v=""/>
    <s v=""/>
    <s v=""/>
    <n v="1"/>
  </r>
  <r>
    <s v="Mexico"/>
    <s v="Latin America and Caribbean"/>
    <s v="P065779"/>
    <s v="C1"/>
    <s v="S18"/>
    <s v="P065779C1S18"/>
    <s v="Ratio"/>
    <s v="2000 / 2007"/>
    <s v="Reconstruction"/>
    <s v=""/>
    <n v="1"/>
    <m/>
    <m/>
    <n v="1.25"/>
    <n v="1.2499999999999998"/>
    <s v=""/>
    <x v="0"/>
    <x v="0"/>
    <n v="0"/>
    <n v="0"/>
    <s v=""/>
    <s v=""/>
    <s v=""/>
    <s v=""/>
    <s v=""/>
    <s v=""/>
    <s v=""/>
    <s v=""/>
    <s v=""/>
    <s v=""/>
  </r>
  <r>
    <s v="Mexico"/>
    <s v="Latin America and Caribbean"/>
    <s v="P065779"/>
    <s v="C1"/>
    <s v="S19"/>
    <s v="P065779C1S19"/>
    <s v="Ratio"/>
    <s v="2000 / 2007"/>
    <s v="Reconstruction"/>
    <s v=""/>
    <n v="1"/>
    <m/>
    <m/>
    <n v="1.5298507462686566"/>
    <n v="1.5298507462686564"/>
    <s v="x"/>
    <x v="0"/>
    <x v="0"/>
    <n v="1"/>
    <n v="0"/>
    <s v=""/>
    <s v=""/>
    <s v=""/>
    <s v=""/>
    <s v=""/>
    <n v="1"/>
    <s v=""/>
    <s v=""/>
    <n v="1"/>
    <s v=""/>
  </r>
  <r>
    <s v="Mexico"/>
    <s v="Latin America and Caribbean"/>
    <s v="P065779"/>
    <s v="C1"/>
    <s v="S2"/>
    <s v="P065779C1S2"/>
    <s v="Ratio"/>
    <s v="2000 / 2007"/>
    <s v="Reconstruction"/>
    <s v=""/>
    <n v="1"/>
    <m/>
    <m/>
    <n v="0.64516129032258074"/>
    <n v="0.64516129032258074"/>
    <s v=""/>
    <x v="0"/>
    <x v="0"/>
    <n v="0"/>
    <n v="0"/>
    <s v=""/>
    <s v=""/>
    <s v=""/>
    <s v=""/>
    <s v=""/>
    <s v=""/>
    <s v=""/>
    <s v=""/>
    <s v=""/>
    <s v=""/>
  </r>
  <r>
    <s v="Mexico"/>
    <s v="Latin America and Caribbean"/>
    <s v="P065779"/>
    <s v="C1"/>
    <s v="S20"/>
    <s v="P065779C1S20"/>
    <s v="Ratio"/>
    <s v="2000 / 2007"/>
    <s v="Reconstruction"/>
    <s v=""/>
    <n v="1"/>
    <m/>
    <m/>
    <n v="1.306878306878307"/>
    <n v="1.306878306878307"/>
    <s v=""/>
    <x v="0"/>
    <x v="0"/>
    <n v="0"/>
    <n v="0"/>
    <s v=""/>
    <s v=""/>
    <s v=""/>
    <s v=""/>
    <s v=""/>
    <s v=""/>
    <s v=""/>
    <s v=""/>
    <s v=""/>
    <s v=""/>
  </r>
  <r>
    <s v="Mexico"/>
    <s v="Latin America and Caribbean"/>
    <s v="P065779"/>
    <s v="C1"/>
    <s v="S21"/>
    <s v="P065779C1S21"/>
    <s v="Ratio"/>
    <s v="2000 / 2007"/>
    <s v="Asphalt Mix Resurfacing"/>
    <s v=""/>
    <n v="0.46728971962616828"/>
    <m/>
    <m/>
    <n v="0.19480519480519481"/>
    <n v="0.4168831168831168"/>
    <s v="x"/>
    <x v="0"/>
    <x v="1"/>
    <n v="0"/>
    <n v="1"/>
    <s v=""/>
    <s v=""/>
    <s v=""/>
    <s v=""/>
    <s v=""/>
    <s v=""/>
    <s v=""/>
    <s v=""/>
    <s v=""/>
    <n v="1"/>
  </r>
  <r>
    <s v="Mexico"/>
    <s v="Latin America and Caribbean"/>
    <s v="P065779"/>
    <s v="C1"/>
    <s v="S22"/>
    <s v="P065779C1S22"/>
    <s v="Ratio"/>
    <s v="2000 / 2007"/>
    <s v="Asphalt Mix Resurfacing"/>
    <s v=""/>
    <n v="1.0083333333333333"/>
    <m/>
    <m/>
    <n v="0.64814814814814803"/>
    <n v="0.64279155188246084"/>
    <s v=""/>
    <x v="0"/>
    <x v="0"/>
    <n v="0"/>
    <n v="0"/>
    <s v=""/>
    <s v=""/>
    <s v=""/>
    <s v=""/>
    <s v=""/>
    <s v=""/>
    <s v=""/>
    <s v=""/>
    <s v=""/>
    <s v=""/>
  </r>
  <r>
    <s v="Mexico"/>
    <s v="Latin America and Caribbean"/>
    <s v="P065779"/>
    <s v="C1"/>
    <s v="S23"/>
    <s v="P065779C1S23"/>
    <s v="Ratio"/>
    <s v="2000 / 2007"/>
    <s v="Reconstruction"/>
    <s v=""/>
    <n v="1"/>
    <m/>
    <m/>
    <n v="0.91666666666666674"/>
    <n v="0.91666666666666674"/>
    <s v=""/>
    <x v="0"/>
    <x v="0"/>
    <n v="0"/>
    <n v="0"/>
    <s v=""/>
    <s v=""/>
    <s v=""/>
    <s v=""/>
    <s v=""/>
    <s v=""/>
    <s v=""/>
    <s v=""/>
    <s v=""/>
    <s v=""/>
  </r>
  <r>
    <s v="Mexico"/>
    <s v="Latin America and Caribbean"/>
    <s v="P065779"/>
    <s v="C1"/>
    <s v="S24"/>
    <s v="P065779C1S24"/>
    <s v="Ratio"/>
    <s v="2000 / 2007"/>
    <s v="Reconstruction"/>
    <s v=""/>
    <n v="1"/>
    <m/>
    <m/>
    <n v="0.7142857142857143"/>
    <n v="0.7142857142857143"/>
    <s v=""/>
    <x v="0"/>
    <x v="0"/>
    <n v="0"/>
    <n v="0"/>
    <s v=""/>
    <s v=""/>
    <s v=""/>
    <s v=""/>
    <s v=""/>
    <s v=""/>
    <s v=""/>
    <s v=""/>
    <s v=""/>
    <s v=""/>
  </r>
  <r>
    <s v="Mexico"/>
    <s v="Latin America and Caribbean"/>
    <s v="P065779"/>
    <s v="C1"/>
    <s v="S25"/>
    <s v="P065779C1S25"/>
    <s v="Ratio"/>
    <s v="2000 / 2007"/>
    <s v="Asphalt Mix Resurfacing"/>
    <s v=""/>
    <n v="0.96202531645569611"/>
    <m/>
    <m/>
    <n v="1.7142857142857142"/>
    <n v="1.7819548872180451"/>
    <s v="x"/>
    <x v="0"/>
    <x v="0"/>
    <n v="1"/>
    <n v="0"/>
    <s v=""/>
    <s v=""/>
    <s v=""/>
    <s v=""/>
    <s v=""/>
    <n v="1"/>
    <s v=""/>
    <s v=""/>
    <n v="1"/>
    <s v=""/>
  </r>
  <r>
    <s v="Mexico"/>
    <s v="Latin America and Caribbean"/>
    <s v="P065779"/>
    <s v="C1"/>
    <s v="S26"/>
    <s v="P065779C1S26"/>
    <s v="Ratio"/>
    <s v="2000 / 2007"/>
    <s v="Asphalt Mix Resurfacing"/>
    <s v=""/>
    <n v="1"/>
    <m/>
    <m/>
    <n v="1.26984126984127"/>
    <n v="1.2698412698412698"/>
    <s v=""/>
    <x v="0"/>
    <x v="0"/>
    <n v="0"/>
    <n v="0"/>
    <s v=""/>
    <s v=""/>
    <s v=""/>
    <s v=""/>
    <s v=""/>
    <s v=""/>
    <s v=""/>
    <s v=""/>
    <s v=""/>
    <s v=""/>
  </r>
  <r>
    <s v="Mexico"/>
    <s v="Latin America and Caribbean"/>
    <s v="P065779"/>
    <s v="C1"/>
    <s v="S27"/>
    <s v="P065779C1S27"/>
    <s v="Ratio"/>
    <s v="2000 / 2007"/>
    <s v="Asphalt Mix Resurfacing"/>
    <s v=""/>
    <n v="1"/>
    <m/>
    <m/>
    <n v="1.2545454545454544"/>
    <n v="1.2545454545454544"/>
    <s v=""/>
    <x v="0"/>
    <x v="0"/>
    <n v="0"/>
    <n v="0"/>
    <s v=""/>
    <s v=""/>
    <s v=""/>
    <s v=""/>
    <s v=""/>
    <s v=""/>
    <s v=""/>
    <s v=""/>
    <s v=""/>
    <s v=""/>
  </r>
  <r>
    <s v="Mexico"/>
    <s v="Latin America and Caribbean"/>
    <s v="P065779"/>
    <s v="C1"/>
    <s v="S28"/>
    <s v="P065779C1S28"/>
    <s v="Ratio"/>
    <s v="2000 / 2007"/>
    <s v="Asphalt Mix Resurfacing"/>
    <s v=""/>
    <n v="1"/>
    <m/>
    <m/>
    <n v="2.3877551020408161"/>
    <n v="2.3877551020408161"/>
    <s v="x"/>
    <x v="0"/>
    <x v="0"/>
    <n v="1"/>
    <n v="0"/>
    <s v=""/>
    <s v=""/>
    <s v=""/>
    <s v=""/>
    <s v=""/>
    <n v="1"/>
    <s v=""/>
    <s v=""/>
    <n v="1"/>
    <s v=""/>
  </r>
  <r>
    <s v="Mexico"/>
    <s v="Latin America and Caribbean"/>
    <s v="P065779"/>
    <s v="C1"/>
    <s v="S29"/>
    <s v="P065779C1S29"/>
    <s v="Ratio"/>
    <s v="2000 / 2007"/>
    <s v="Asphalt Mix Resurfacing"/>
    <s v=""/>
    <n v="1"/>
    <m/>
    <m/>
    <n v="2"/>
    <n v="2"/>
    <s v="x"/>
    <x v="0"/>
    <x v="0"/>
    <n v="1"/>
    <n v="0"/>
    <s v=""/>
    <s v=""/>
    <s v=""/>
    <s v=""/>
    <s v=""/>
    <n v="1"/>
    <s v=""/>
    <s v=""/>
    <n v="1"/>
    <s v=""/>
  </r>
  <r>
    <s v="Mexico"/>
    <s v="Latin America and Caribbean"/>
    <s v="P065779"/>
    <s v="C1"/>
    <s v="S3"/>
    <s v="P065779C1S3"/>
    <s v="Ratio"/>
    <s v="2000 / 2007"/>
    <s v="Reconstruction"/>
    <s v=""/>
    <n v="1"/>
    <m/>
    <m/>
    <n v="0.5"/>
    <n v="0.5"/>
    <s v=""/>
    <x v="0"/>
    <x v="0"/>
    <n v="0"/>
    <n v="0"/>
    <s v=""/>
    <s v=""/>
    <s v=""/>
    <s v=""/>
    <s v=""/>
    <s v=""/>
    <s v=""/>
    <s v=""/>
    <s v=""/>
    <s v=""/>
  </r>
  <r>
    <s v="Mexico"/>
    <s v="Latin America and Caribbean"/>
    <s v="P065779"/>
    <s v="C1"/>
    <s v="S30"/>
    <s v="P065779C1S30"/>
    <s v="Ratio"/>
    <s v="2000 / 2007"/>
    <s v="Asphalt Mix Resurfacing"/>
    <s v=""/>
    <n v="1"/>
    <m/>
    <m/>
    <n v="1.9411764705882353"/>
    <n v="1.9411764705882353"/>
    <s v="x"/>
    <x v="0"/>
    <x v="0"/>
    <n v="1"/>
    <n v="0"/>
    <s v=""/>
    <s v=""/>
    <s v=""/>
    <s v=""/>
    <s v=""/>
    <n v="1"/>
    <s v=""/>
    <s v=""/>
    <n v="1"/>
    <s v=""/>
  </r>
  <r>
    <s v="Mexico"/>
    <s v="Latin America and Caribbean"/>
    <s v="P065779"/>
    <s v="C1"/>
    <s v="S31"/>
    <s v="P065779C1S31"/>
    <s v="Ratio"/>
    <s v="2000 / 2007"/>
    <s v="Asphalt Mix Resurfacing"/>
    <s v=""/>
    <n v="1"/>
    <m/>
    <m/>
    <n v="1.1666666666666667"/>
    <n v="1.1666666666666667"/>
    <s v=""/>
    <x v="0"/>
    <x v="0"/>
    <n v="0"/>
    <n v="0"/>
    <s v=""/>
    <s v=""/>
    <s v=""/>
    <s v=""/>
    <s v=""/>
    <s v=""/>
    <s v=""/>
    <s v=""/>
    <s v=""/>
    <s v=""/>
  </r>
  <r>
    <s v="Mexico"/>
    <s v="Latin America and Caribbean"/>
    <s v="P065779"/>
    <s v="C1"/>
    <s v="S32"/>
    <s v="P065779C1S32"/>
    <s v="Ratio"/>
    <s v="2000 / 2007"/>
    <s v="Asphalt Mix Resurfacing"/>
    <s v=""/>
    <n v="1"/>
    <m/>
    <m/>
    <n v="0.44444444444444442"/>
    <n v="0.44444444444444442"/>
    <s v="x"/>
    <x v="0"/>
    <x v="0"/>
    <n v="0"/>
    <n v="1"/>
    <s v=""/>
    <s v=""/>
    <s v=""/>
    <s v=""/>
    <s v=""/>
    <s v=""/>
    <s v=""/>
    <s v=""/>
    <s v=""/>
    <n v="1"/>
  </r>
  <r>
    <s v="Mexico"/>
    <s v="Latin America and Caribbean"/>
    <s v="P065779"/>
    <s v="C1"/>
    <s v="S33"/>
    <s v="P065779C1S33"/>
    <s v="Ratio"/>
    <s v="2000 / 2007"/>
    <s v="Asphalt Mix Resurfacing"/>
    <s v=""/>
    <n v="1"/>
    <m/>
    <m/>
    <n v="1.9295774647887327"/>
    <n v="1.9295774647887325"/>
    <s v="x"/>
    <x v="0"/>
    <x v="0"/>
    <n v="1"/>
    <n v="0"/>
    <s v=""/>
    <s v=""/>
    <s v=""/>
    <n v="1"/>
    <s v=""/>
    <n v="1"/>
    <s v=""/>
    <s v=""/>
    <s v=""/>
    <n v="1"/>
  </r>
  <r>
    <s v="Mexico"/>
    <s v="Latin America and Caribbean"/>
    <s v="P065779"/>
    <s v="C1"/>
    <s v="S34"/>
    <s v="P065779C1S34"/>
    <s v="Ratio"/>
    <s v="2000 / 2007"/>
    <s v="Asphalt Mix Resurfacing"/>
    <s v=""/>
    <n v="1.6"/>
    <m/>
    <m/>
    <n v="3.2307692307692304"/>
    <n v="2.0192307692307692"/>
    <s v="x"/>
    <x v="1"/>
    <x v="0"/>
    <n v="1"/>
    <n v="0"/>
    <s v=""/>
    <s v=""/>
    <s v=""/>
    <s v=""/>
    <s v=""/>
    <n v="1"/>
    <s v=""/>
    <s v=""/>
    <n v="1"/>
    <n v="1"/>
  </r>
  <r>
    <s v="Mexico"/>
    <s v="Latin America and Caribbean"/>
    <s v="P065779"/>
    <s v="C1"/>
    <s v="S35"/>
    <s v="P065779C1S35"/>
    <s v="Ratio"/>
    <s v="2000 / 2007"/>
    <s v="Asphalt Mix Resurfacing"/>
    <s v=""/>
    <n v="1"/>
    <m/>
    <m/>
    <n v="3"/>
    <n v="3"/>
    <s v="x"/>
    <x v="0"/>
    <x v="0"/>
    <n v="1"/>
    <n v="0"/>
    <s v=""/>
    <s v=""/>
    <s v=""/>
    <s v=""/>
    <s v=""/>
    <n v="1"/>
    <s v=""/>
    <s v=""/>
    <n v="1"/>
    <s v=""/>
  </r>
  <r>
    <s v="Mexico"/>
    <s v="Latin America and Caribbean"/>
    <s v="P065779"/>
    <s v="C1"/>
    <s v="S36"/>
    <s v="P065779C1S36"/>
    <s v="Ratio"/>
    <s v="2000 / 2007"/>
    <s v="Asphalt Mix Resurfacing"/>
    <s v=""/>
    <n v="1.09375"/>
    <m/>
    <m/>
    <n v="3.5"/>
    <n v="3.2"/>
    <s v="x"/>
    <x v="0"/>
    <x v="0"/>
    <n v="1"/>
    <n v="0"/>
    <s v=""/>
    <s v=""/>
    <s v=""/>
    <s v=""/>
    <s v=""/>
    <n v="1"/>
    <s v=""/>
    <s v=""/>
    <n v="1"/>
    <s v=""/>
  </r>
  <r>
    <s v="Mexico"/>
    <s v="Latin America and Caribbean"/>
    <s v="P065779"/>
    <s v="C1"/>
    <s v="S37"/>
    <s v="P065779C1S37"/>
    <s v="Ratio"/>
    <s v="2000 / 2007"/>
    <s v="Asphalt Mix Resurfacing"/>
    <s v=""/>
    <n v="1"/>
    <m/>
    <m/>
    <n v="1.5037593984962405"/>
    <n v="1.5037593984962405"/>
    <s v="x"/>
    <x v="0"/>
    <x v="0"/>
    <n v="1"/>
    <n v="0"/>
    <s v=""/>
    <s v=""/>
    <s v=""/>
    <s v=""/>
    <s v=""/>
    <n v="1"/>
    <s v=""/>
    <s v=""/>
    <n v="1"/>
    <s v=""/>
  </r>
  <r>
    <s v="Mexico"/>
    <s v="Latin America and Caribbean"/>
    <s v="P065779"/>
    <s v="C1"/>
    <s v="S38"/>
    <s v="P065779C1S38"/>
    <s v="Ratio"/>
    <s v="2000 / 2007"/>
    <s v="Asphalt Mix Resurfacing"/>
    <s v=""/>
    <n v="0.99032258064516132"/>
    <m/>
    <m/>
    <n v="0.88124999999999987"/>
    <n v="0.88986156351791534"/>
    <s v=""/>
    <x v="0"/>
    <x v="0"/>
    <n v="0"/>
    <n v="0"/>
    <s v=""/>
    <s v=""/>
    <s v=""/>
    <s v=""/>
    <s v=""/>
    <s v=""/>
    <s v=""/>
    <s v=""/>
    <s v=""/>
    <s v=""/>
  </r>
  <r>
    <s v="Mexico"/>
    <s v="Latin America and Caribbean"/>
    <s v="P065779"/>
    <s v="C1"/>
    <s v="S39"/>
    <s v="P065779C1S39"/>
    <s v="Ratio"/>
    <s v="2000 / 2007"/>
    <s v="Reconstruction"/>
    <s v=""/>
    <n v="1"/>
    <m/>
    <m/>
    <n v="7.5"/>
    <n v="7.5000000000000009"/>
    <s v="x"/>
    <x v="0"/>
    <x v="0"/>
    <n v="1"/>
    <n v="0"/>
    <s v=""/>
    <s v=""/>
    <s v=""/>
    <s v=""/>
    <s v=""/>
    <n v="1"/>
    <s v=""/>
    <s v=""/>
    <n v="1"/>
    <s v=""/>
  </r>
  <r>
    <s v="Mexico"/>
    <s v="Latin America and Caribbean"/>
    <s v="P065779"/>
    <s v="C1"/>
    <s v="S4"/>
    <s v="P065779C1S4"/>
    <s v="Ratio"/>
    <s v="2000 / 2007"/>
    <s v="Reconstruction"/>
    <s v=""/>
    <n v="1"/>
    <m/>
    <m/>
    <n v="0.84158415841584155"/>
    <n v="0.84158415841584155"/>
    <s v=""/>
    <x v="0"/>
    <x v="0"/>
    <n v="0"/>
    <n v="0"/>
    <s v=""/>
    <s v=""/>
    <s v=""/>
    <s v=""/>
    <s v=""/>
    <s v=""/>
    <s v=""/>
    <s v=""/>
    <s v=""/>
    <s v=""/>
  </r>
  <r>
    <s v="Mexico"/>
    <s v="Latin America and Caribbean"/>
    <s v="P065779"/>
    <s v="C1"/>
    <s v="S40"/>
    <s v="P065779C1S40"/>
    <s v="Ratio"/>
    <s v="2000 / 2007"/>
    <s v="Asphalt Mix Resurfacing"/>
    <s v=""/>
    <n v="4"/>
    <m/>
    <m/>
    <n v="6.6"/>
    <n v="1.65"/>
    <s v="x"/>
    <x v="1"/>
    <x v="0"/>
    <n v="1"/>
    <n v="0"/>
    <s v=""/>
    <s v=""/>
    <s v=""/>
    <s v=""/>
    <s v=""/>
    <n v="1"/>
    <s v=""/>
    <s v=""/>
    <n v="1"/>
    <n v="1"/>
  </r>
  <r>
    <s v="Mexico"/>
    <s v="Latin America and Caribbean"/>
    <s v="P065779"/>
    <s v="C1"/>
    <s v="S41"/>
    <s v="P065779C1S41"/>
    <s v="Ratio"/>
    <s v="2000 / 2007"/>
    <s v="Reconstruction"/>
    <s v=""/>
    <n v="1"/>
    <m/>
    <m/>
    <n v="2.248062015503876"/>
    <n v="2.2480620155038755"/>
    <s v="x"/>
    <x v="0"/>
    <x v="0"/>
    <n v="1"/>
    <n v="0"/>
    <s v=""/>
    <s v=""/>
    <s v=""/>
    <s v=""/>
    <s v=""/>
    <n v="1"/>
    <s v=""/>
    <s v=""/>
    <n v="1"/>
    <s v=""/>
  </r>
  <r>
    <s v="Mexico"/>
    <s v="Latin America and Caribbean"/>
    <s v="P065779"/>
    <s v="C1"/>
    <s v="S42"/>
    <s v="P065779C1S42"/>
    <s v="Ratio"/>
    <s v="2000 / 2007"/>
    <s v="Asphalt Mix Resurfacing"/>
    <s v=""/>
    <n v="1"/>
    <m/>
    <m/>
    <n v="2.043478260869565"/>
    <n v="2.0434782608695654"/>
    <s v="x"/>
    <x v="0"/>
    <x v="0"/>
    <n v="1"/>
    <n v="0"/>
    <s v=""/>
    <s v=""/>
    <s v=""/>
    <s v=""/>
    <s v=""/>
    <n v="1"/>
    <s v=""/>
    <s v=""/>
    <n v="1"/>
    <s v=""/>
  </r>
  <r>
    <s v="Mexico"/>
    <s v="Latin America and Caribbean"/>
    <s v="P065779"/>
    <s v="C1"/>
    <s v="S43"/>
    <s v="P065779C1S43"/>
    <s v="Ratio"/>
    <s v="2000 / 2007"/>
    <s v="Asphalt Mix Resurfacing"/>
    <s v=""/>
    <n v="1"/>
    <m/>
    <m/>
    <n v="1.1111111111111112"/>
    <n v="1.1111111111111112"/>
    <s v=""/>
    <x v="0"/>
    <x v="0"/>
    <n v="0"/>
    <n v="0"/>
    <s v=""/>
    <s v=""/>
    <s v=""/>
    <s v=""/>
    <s v=""/>
    <s v=""/>
    <s v=""/>
    <s v=""/>
    <s v=""/>
    <s v=""/>
  </r>
  <r>
    <s v="Mexico"/>
    <s v="Latin America and Caribbean"/>
    <s v="P065779"/>
    <s v="C1"/>
    <s v="S44"/>
    <s v="P065779C1S44"/>
    <s v="Ratio"/>
    <s v="2000 / 2007"/>
    <s v="Reconstruction"/>
    <s v=""/>
    <n v="0.95833333333333337"/>
    <m/>
    <m/>
    <n v="6.9230769230769234"/>
    <n v="7.2240802675585289"/>
    <s v="x"/>
    <x v="0"/>
    <x v="0"/>
    <n v="1"/>
    <n v="0"/>
    <s v=""/>
    <s v=""/>
    <s v=""/>
    <s v=""/>
    <s v=""/>
    <n v="1"/>
    <s v=""/>
    <s v=""/>
    <n v="1"/>
    <s v=""/>
  </r>
  <r>
    <s v="Mexico"/>
    <s v="Latin America and Caribbean"/>
    <s v="P065779"/>
    <s v="C1"/>
    <s v="S45"/>
    <s v="P065779C1S45"/>
    <s v="Ratio"/>
    <s v="2000 / 2007"/>
    <s v="Asphalt Mix Resurfacing"/>
    <s v=""/>
    <n v="1"/>
    <m/>
    <m/>
    <n v="0.89743589743589736"/>
    <n v="0.89743589743589747"/>
    <s v=""/>
    <x v="0"/>
    <x v="0"/>
    <n v="0"/>
    <n v="0"/>
    <s v=""/>
    <s v=""/>
    <s v=""/>
    <s v=""/>
    <s v=""/>
    <s v=""/>
    <s v=""/>
    <s v=""/>
    <s v=""/>
    <s v=""/>
  </r>
  <r>
    <s v="Mexico"/>
    <s v="Latin America and Caribbean"/>
    <s v="P065779"/>
    <s v="C1"/>
    <s v="S46"/>
    <s v="P065779C1S46"/>
    <s v="Ratio"/>
    <s v="2000 / 2007"/>
    <s v="Asphalt Mix Resurfacing"/>
    <s v=""/>
    <n v="1"/>
    <m/>
    <m/>
    <n v="1.607142857142857"/>
    <n v="1.6071428571428572"/>
    <s v="x"/>
    <x v="0"/>
    <x v="0"/>
    <n v="1"/>
    <n v="0"/>
    <s v=""/>
    <s v=""/>
    <s v=""/>
    <s v=""/>
    <s v=""/>
    <n v="1"/>
    <s v=""/>
    <s v=""/>
    <n v="1"/>
    <s v=""/>
  </r>
  <r>
    <s v="Mexico"/>
    <s v="Latin America and Caribbean"/>
    <s v="P065779"/>
    <s v="C1"/>
    <s v="S47"/>
    <s v="P065779C1S47"/>
    <s v="Ratio"/>
    <s v="2000 / 2007"/>
    <s v="Asphalt Mix Resurfacing"/>
    <s v=""/>
    <n v="0.76666666666666672"/>
    <m/>
    <m/>
    <n v="1.1649484536082473"/>
    <n v="1.5194979829672792"/>
    <s v="x"/>
    <x v="0"/>
    <x v="0"/>
    <n v="1"/>
    <n v="0"/>
    <s v=""/>
    <s v=""/>
    <s v=""/>
    <s v=""/>
    <s v=""/>
    <n v="1"/>
    <s v=""/>
    <s v=""/>
    <n v="1"/>
    <s v=""/>
  </r>
  <r>
    <s v="Mexico"/>
    <s v="Latin America and Caribbean"/>
    <s v="P065779"/>
    <s v="C1"/>
    <s v="S48"/>
    <s v="P065779C1S48"/>
    <s v="Ratio"/>
    <s v="2000 / 2007"/>
    <s v="Asphalt Mix Resurfacing"/>
    <s v=""/>
    <n v="1"/>
    <m/>
    <m/>
    <n v="2.9999999999999996"/>
    <n v="2.9999999999999996"/>
    <s v="x"/>
    <x v="0"/>
    <x v="0"/>
    <n v="1"/>
    <n v="0"/>
    <s v=""/>
    <s v=""/>
    <s v=""/>
    <s v=""/>
    <s v=""/>
    <n v="1"/>
    <s v=""/>
    <s v=""/>
    <n v="1"/>
    <s v=""/>
  </r>
  <r>
    <s v="Mexico"/>
    <s v="Latin America and Caribbean"/>
    <s v="P065779"/>
    <s v="C1"/>
    <s v="S49"/>
    <s v="P065779C1S49"/>
    <s v="Ratio"/>
    <s v="2000 / 2007"/>
    <s v="Asphalt Mix Resurfacing"/>
    <s v=""/>
    <n v="1.0555555555555556"/>
    <m/>
    <m/>
    <n v="1.1866666666666668"/>
    <n v="1.1242105263157895"/>
    <s v=""/>
    <x v="0"/>
    <x v="0"/>
    <n v="0"/>
    <n v="0"/>
    <s v=""/>
    <s v=""/>
    <s v=""/>
    <s v=""/>
    <s v=""/>
    <s v=""/>
    <s v=""/>
    <s v=""/>
    <s v=""/>
    <s v=""/>
  </r>
  <r>
    <s v="Mexico"/>
    <s v="Latin America and Caribbean"/>
    <s v="P065779"/>
    <s v="C1"/>
    <s v="S5"/>
    <s v="P065779C1S5"/>
    <s v="Ratio"/>
    <s v="2000 / 2007"/>
    <s v="Reconstruction"/>
    <s v=""/>
    <n v="0.6875"/>
    <m/>
    <m/>
    <n v="0.57777777777777783"/>
    <n v="0.84040404040404038"/>
    <s v=""/>
    <x v="0"/>
    <x v="0"/>
    <n v="0"/>
    <n v="0"/>
    <s v=""/>
    <s v=""/>
    <s v=""/>
    <s v=""/>
    <s v=""/>
    <s v=""/>
    <s v=""/>
    <s v=""/>
    <s v=""/>
    <s v=""/>
  </r>
  <r>
    <s v="Mexico"/>
    <s v="Latin America and Caribbean"/>
    <s v="P065779"/>
    <s v="C1"/>
    <s v="S50"/>
    <s v="P065779C1S50"/>
    <s v="Ratio"/>
    <s v="2000 / 2007"/>
    <s v="Asphalt Mix Resurfacing"/>
    <s v=""/>
    <n v="1"/>
    <m/>
    <m/>
    <n v="1.4618834080717489"/>
    <n v="1.4618834080717489"/>
    <s v=""/>
    <x v="0"/>
    <x v="0"/>
    <n v="0"/>
    <n v="0"/>
    <s v=""/>
    <s v=""/>
    <s v=""/>
    <s v=""/>
    <s v=""/>
    <s v=""/>
    <s v=""/>
    <s v=""/>
    <s v=""/>
    <s v=""/>
  </r>
  <r>
    <s v="Mexico"/>
    <s v="Latin America and Caribbean"/>
    <s v="P065779"/>
    <s v="C1"/>
    <s v="S51"/>
    <s v="P065779C1S51"/>
    <s v="Ratio"/>
    <s v="2000 / 2007"/>
    <s v="Asphalt Mix Resurfacing"/>
    <s v=""/>
    <n v="0.7"/>
    <m/>
    <m/>
    <n v="0.53623188405797106"/>
    <n v="0.76604554865424446"/>
    <s v=""/>
    <x v="0"/>
    <x v="0"/>
    <n v="0"/>
    <n v="0"/>
    <s v=""/>
    <s v=""/>
    <s v=""/>
    <s v=""/>
    <s v=""/>
    <s v=""/>
    <s v=""/>
    <s v=""/>
    <s v=""/>
    <s v=""/>
  </r>
  <r>
    <s v="Mexico"/>
    <s v="Latin America and Caribbean"/>
    <s v="P065779"/>
    <s v="C1"/>
    <s v="S6"/>
    <s v="P065779C1S6"/>
    <s v="Ratio"/>
    <s v="2000 / 2007"/>
    <s v="Reconstruction"/>
    <s v=""/>
    <n v="2"/>
    <m/>
    <m/>
    <n v="2.75"/>
    <n v="1.3749999999999998"/>
    <s v="x"/>
    <x v="1"/>
    <x v="0"/>
    <n v="0"/>
    <n v="0"/>
    <s v=""/>
    <s v=""/>
    <s v=""/>
    <s v=""/>
    <s v=""/>
    <s v=""/>
    <s v=""/>
    <s v=""/>
    <s v=""/>
    <n v="1"/>
  </r>
  <r>
    <s v="Mexico"/>
    <s v="Latin America and Caribbean"/>
    <s v="P065779"/>
    <s v="C1"/>
    <s v="S7"/>
    <s v="P065779C1S7"/>
    <s v="Ratio"/>
    <s v="2000 / 2007"/>
    <s v="Asphalt Mix Resurfacing"/>
    <s v=""/>
    <n v="1"/>
    <m/>
    <m/>
    <n v="0.14666666666666667"/>
    <n v="0.14666666666666667"/>
    <s v="x"/>
    <x v="0"/>
    <x v="0"/>
    <n v="0"/>
    <n v="1"/>
    <s v=""/>
    <s v=""/>
    <s v=""/>
    <s v=""/>
    <s v=""/>
    <s v=""/>
    <s v=""/>
    <s v=""/>
    <s v=""/>
    <n v="1"/>
  </r>
  <r>
    <s v="Mexico"/>
    <s v="Latin America and Caribbean"/>
    <s v="P065779"/>
    <s v="C1"/>
    <s v="S8"/>
    <s v="P065779C1S8"/>
    <s v="Ratio"/>
    <s v="2000 / 2007"/>
    <s v="Reconstruction"/>
    <s v=""/>
    <n v="1"/>
    <m/>
    <m/>
    <n v="0.45490196078431372"/>
    <n v="0.45490196078431377"/>
    <s v="x"/>
    <x v="0"/>
    <x v="0"/>
    <n v="0"/>
    <n v="1"/>
    <s v=""/>
    <s v=""/>
    <s v=""/>
    <s v=""/>
    <s v=""/>
    <s v=""/>
    <s v=""/>
    <s v=""/>
    <s v=""/>
    <n v="1"/>
  </r>
  <r>
    <s v="Mexico"/>
    <s v="Latin America and Caribbean"/>
    <s v="P065779"/>
    <s v="C1"/>
    <s v="S9"/>
    <s v="P065779C1S9"/>
    <s v="Ratio"/>
    <s v="2000 / 2007"/>
    <s v="Reconstruction"/>
    <s v=""/>
    <n v="1"/>
    <m/>
    <m/>
    <n v="2.6066666666666669"/>
    <n v="2.6066666666666669"/>
    <s v="x"/>
    <x v="0"/>
    <x v="0"/>
    <n v="1"/>
    <n v="0"/>
    <s v=""/>
    <s v=""/>
    <s v=""/>
    <s v=""/>
    <s v=""/>
    <n v="1"/>
    <s v=""/>
    <s v=""/>
    <n v="1"/>
    <s v=""/>
  </r>
  <r>
    <s v="China"/>
    <s v="East Asia and Pacific"/>
    <s v="P068752"/>
    <s v="C1"/>
    <s v=""/>
    <s v="P068752C1"/>
    <s v="Ratio"/>
    <s v="2005 / 2011"/>
    <s v="Widening and Reconstruction"/>
    <n v="0.83333333333333337"/>
    <n v="1.0097740112994349"/>
    <m/>
    <m/>
    <n v="1.2422838612542706"/>
    <n v="1.2302592930230285"/>
    <s v=""/>
    <x v="0"/>
    <x v="0"/>
    <n v="0"/>
    <n v="0"/>
    <s v=""/>
    <s v=""/>
    <s v=""/>
    <s v=""/>
    <s v=""/>
    <s v=""/>
    <s v=""/>
    <s v=""/>
    <s v=""/>
    <s v=""/>
  </r>
  <r>
    <s v="China"/>
    <s v="East Asia and Pacific"/>
    <s v="P068752"/>
    <s v="C2"/>
    <s v=""/>
    <s v="P068752C2"/>
    <s v="Ratio"/>
    <s v="2005 / 2011"/>
    <s v="Upgrading"/>
    <s v=""/>
    <n v="1.6009280742459397"/>
    <m/>
    <m/>
    <n v="2.2810916179337233"/>
    <n v="1.4248557787383109"/>
    <s v="x"/>
    <x v="1"/>
    <x v="0"/>
    <n v="0"/>
    <n v="0"/>
    <s v=""/>
    <s v=""/>
    <s v=""/>
    <s v=""/>
    <s v=""/>
    <s v=""/>
    <s v=""/>
    <s v=""/>
    <s v=""/>
    <n v="1"/>
  </r>
  <r>
    <s v="China"/>
    <s v="East Asia and Pacific"/>
    <s v="P068752"/>
    <s v="C2"/>
    <s v="S1"/>
    <s v="P068752C2S1"/>
    <s v="Ratio"/>
    <s v="2005 / 2011"/>
    <s v="Upgrading"/>
    <n v="1"/>
    <n v="1.0524822695035461"/>
    <m/>
    <m/>
    <n v="1.3856213759105473"/>
    <n v="1.3165270485403446"/>
    <s v=""/>
    <x v="0"/>
    <x v="0"/>
    <n v="0"/>
    <n v="0"/>
    <s v=""/>
    <s v=""/>
    <s v=""/>
    <s v=""/>
    <s v=""/>
    <s v=""/>
    <s v=""/>
    <s v=""/>
    <s v=""/>
    <s v=""/>
  </r>
  <r>
    <s v="China"/>
    <s v="East Asia and Pacific"/>
    <s v="P068752"/>
    <s v="C2"/>
    <s v="S2"/>
    <s v="P068752C2S2"/>
    <s v="Ratio"/>
    <s v="2005 / 2011"/>
    <s v="Upgrading"/>
    <n v="1"/>
    <n v="0.98478260869565226"/>
    <m/>
    <m/>
    <n v="1.0849443599800692"/>
    <n v="1.1017095046155228"/>
    <s v=""/>
    <x v="0"/>
    <x v="0"/>
    <n v="0"/>
    <n v="0"/>
    <s v=""/>
    <s v=""/>
    <s v=""/>
    <s v=""/>
    <s v=""/>
    <s v=""/>
    <s v=""/>
    <s v=""/>
    <s v=""/>
    <s v=""/>
  </r>
  <r>
    <s v="China"/>
    <s v="East Asia and Pacific"/>
    <s v="P068752"/>
    <s v="C2"/>
    <s v="S3"/>
    <s v="P068752C2S3"/>
    <s v="Ratio"/>
    <s v="2005 / 2011"/>
    <s v="Upgrading"/>
    <n v="1.6666666666666667"/>
    <n v="1.145631067961165"/>
    <m/>
    <m/>
    <n v="2.9756043159015308"/>
    <n v="2.597349529981845"/>
    <s v="x"/>
    <x v="0"/>
    <x v="0"/>
    <n v="1"/>
    <n v="0"/>
    <s v=""/>
    <s v=""/>
    <n v="1"/>
    <s v=""/>
    <s v=""/>
    <s v=""/>
    <s v=""/>
    <s v=""/>
    <n v="1"/>
    <s v=""/>
  </r>
  <r>
    <s v="China"/>
    <s v="East Asia and Pacific"/>
    <s v="P068752"/>
    <s v="C2"/>
    <s v="S4"/>
    <s v="P068752C2S4"/>
    <s v="Ratio"/>
    <s v="2005 / 2011"/>
    <s v="Upgrading"/>
    <n v="1"/>
    <n v="0.99030303030303035"/>
    <m/>
    <m/>
    <n v="1.8113250123404554"/>
    <n v="1.8290613649704719"/>
    <s v="x"/>
    <x v="0"/>
    <x v="0"/>
    <n v="1"/>
    <n v="0"/>
    <s v=""/>
    <s v=""/>
    <n v="1"/>
    <s v=""/>
    <s v=""/>
    <s v=""/>
    <s v=""/>
    <s v=""/>
    <n v="1"/>
    <s v=""/>
  </r>
  <r>
    <s v="China"/>
    <s v="East Asia and Pacific"/>
    <s v="P068752"/>
    <s v="C2"/>
    <s v="S5"/>
    <s v="P068752C2S5"/>
    <s v="Ratio"/>
    <s v="2005 / 2011"/>
    <s v="Upgrading"/>
    <n v="1"/>
    <n v="1.1139896373056994"/>
    <m/>
    <m/>
    <n v="1.1747392280731208"/>
    <n v="1.0545333535726156"/>
    <s v=""/>
    <x v="0"/>
    <x v="0"/>
    <n v="0"/>
    <n v="0"/>
    <s v=""/>
    <s v=""/>
    <s v=""/>
    <s v=""/>
    <s v=""/>
    <s v=""/>
    <s v=""/>
    <s v=""/>
    <s v=""/>
    <s v=""/>
  </r>
  <r>
    <s v="Bolivia"/>
    <s v="Latin America and Caribbean"/>
    <s v="P068968"/>
    <s v="C1"/>
    <s v=""/>
    <s v="P068968C1"/>
    <s v="Ratio"/>
    <s v="2002 / 2011"/>
    <s v="Reconstruction"/>
    <s v=""/>
    <n v="1"/>
    <m/>
    <m/>
    <n v="1.1679032701291563"/>
    <n v="1.1679032701291563"/>
    <s v=""/>
    <x v="0"/>
    <x v="0"/>
    <n v="0"/>
    <n v="0"/>
    <s v=""/>
    <s v=""/>
    <s v=""/>
    <s v=""/>
    <s v=""/>
    <s v=""/>
    <s v=""/>
    <s v=""/>
    <s v=""/>
    <s v=""/>
  </r>
  <r>
    <s v="Bolivia"/>
    <s v="Latin America and Caribbean"/>
    <s v="P068968"/>
    <s v="C2"/>
    <s v=""/>
    <s v="P068968C2"/>
    <s v="Ratio"/>
    <s v="2002 / 2011"/>
    <s v="Asphalt Mix Resurfacing"/>
    <s v=""/>
    <n v="0.44333333333333336"/>
    <m/>
    <m/>
    <n v="0.56481481481481477"/>
    <n v="1.2740183792815372"/>
    <s v="x"/>
    <x v="0"/>
    <x v="1"/>
    <n v="0"/>
    <n v="0"/>
    <n v="1"/>
    <s v=""/>
    <n v="1"/>
    <s v=""/>
    <s v=""/>
    <s v=""/>
    <s v=""/>
    <s v=""/>
    <s v=""/>
    <n v="1"/>
  </r>
  <r>
    <s v="China"/>
    <s v="East Asia and Pacific"/>
    <s v="P069852"/>
    <s v="C2"/>
    <s v=""/>
    <s v="P069852C2"/>
    <s v="Ratio"/>
    <s v="2004 / 2010"/>
    <s v="Reconstruction"/>
    <s v=""/>
    <n v="0.95291268666756357"/>
    <m/>
    <m/>
    <n v="1.4284530386740331"/>
    <n v="1.4990387457947321"/>
    <s v=""/>
    <x v="0"/>
    <x v="0"/>
    <n v="0"/>
    <n v="0"/>
    <s v=""/>
    <s v=""/>
    <s v=""/>
    <s v=""/>
    <s v=""/>
    <s v=""/>
    <s v=""/>
    <s v=""/>
    <s v=""/>
    <s v=""/>
  </r>
  <r>
    <s v="Djibouti"/>
    <s v="Middle East and North Africa"/>
    <s v="P069930"/>
    <s v="C1"/>
    <s v=""/>
    <s v="P069930C1"/>
    <s v="Ratio"/>
    <s v="2000 / 2006"/>
    <s v="Reconstruction"/>
    <n v="1.5"/>
    <n v="0.96078431372549022"/>
    <m/>
    <m/>
    <n v="1.1416666666666666"/>
    <n v="1.1882653061224488"/>
    <s v=""/>
    <x v="0"/>
    <x v="0"/>
    <n v="0"/>
    <n v="0"/>
    <s v=""/>
    <s v=""/>
    <s v=""/>
    <s v=""/>
    <s v=""/>
    <s v=""/>
    <s v=""/>
    <s v=""/>
    <s v=""/>
    <s v=""/>
  </r>
  <r>
    <s v="Djibouti"/>
    <s v="Middle East and North Africa"/>
    <s v="P069930"/>
    <s v="C2"/>
    <s v=""/>
    <s v="P069930C2"/>
    <s v="Ratio"/>
    <s v="2000 / 2006"/>
    <s v="Asphalt Mix Resurfacing"/>
    <n v="1"/>
    <n v="1.0232558139534884"/>
    <m/>
    <m/>
    <n v="1.4750000000000001"/>
    <n v="1.4414772727272729"/>
    <s v=""/>
    <x v="0"/>
    <x v="0"/>
    <n v="0"/>
    <n v="0"/>
    <s v=""/>
    <s v=""/>
    <s v=""/>
    <s v=""/>
    <s v=""/>
    <s v=""/>
    <s v=""/>
    <s v=""/>
    <s v=""/>
    <s v=""/>
  </r>
  <r>
    <s v="India"/>
    <s v="South Asia"/>
    <s v="P070421"/>
    <s v="C1"/>
    <s v=""/>
    <s v="P070421C1"/>
    <s v="Ratio"/>
    <s v="2001 / 2008"/>
    <s v="Widening and Reconstruction"/>
    <s v=""/>
    <n v="0.874"/>
    <m/>
    <m/>
    <n v="1.3152161872761512"/>
    <n v="1.5048240129017749"/>
    <s v="x"/>
    <x v="0"/>
    <x v="0"/>
    <n v="1"/>
    <n v="0"/>
    <n v="1"/>
    <s v=""/>
    <s v=""/>
    <s v=""/>
    <s v=""/>
    <s v=""/>
    <s v=""/>
    <s v=""/>
    <s v=""/>
    <s v=""/>
  </r>
  <r>
    <s v="India"/>
    <s v="South Asia"/>
    <s v="P070421"/>
    <s v="C1"/>
    <s v="S1"/>
    <s v="P070421C1S1"/>
    <s v="Ratio"/>
    <s v="2001 / 2008"/>
    <s v="Widening and Reconstruction"/>
    <s v=""/>
    <n v="1"/>
    <m/>
    <m/>
    <n v="1.4233797698364625"/>
    <n v="1.4233797698364627"/>
    <s v=""/>
    <x v="0"/>
    <x v="0"/>
    <n v="0"/>
    <n v="0"/>
    <s v=""/>
    <s v=""/>
    <s v=""/>
    <s v=""/>
    <s v=""/>
    <s v=""/>
    <s v=""/>
    <s v=""/>
    <s v=""/>
    <s v=""/>
  </r>
  <r>
    <s v="India"/>
    <s v="South Asia"/>
    <s v="P070421"/>
    <s v="C1"/>
    <s v="S10"/>
    <s v="P070421C1S10"/>
    <s v="Ratio"/>
    <s v="2001 / 2008"/>
    <s v="Widening and Reconstruction"/>
    <s v=""/>
    <n v="1"/>
    <m/>
    <m/>
    <n v="1.9791967639410575"/>
    <n v="1.9791967639410575"/>
    <s v="x"/>
    <x v="0"/>
    <x v="0"/>
    <n v="1"/>
    <n v="0"/>
    <n v="1"/>
    <s v=""/>
    <s v=""/>
    <s v=""/>
    <s v=""/>
    <s v=""/>
    <s v=""/>
    <s v=""/>
    <s v=""/>
    <s v=""/>
  </r>
  <r>
    <s v="India"/>
    <s v="South Asia"/>
    <s v="P070421"/>
    <s v="C1"/>
    <s v="S11"/>
    <s v="P070421C1S11"/>
    <s v="Ratio"/>
    <s v="2001 / 2008"/>
    <s v="New 2L Highway"/>
    <s v=""/>
    <n v="1"/>
    <m/>
    <m/>
    <n v="0.17227235438884334"/>
    <n v="0.17227235438884334"/>
    <s v="x"/>
    <x v="0"/>
    <x v="0"/>
    <n v="0"/>
    <n v="1"/>
    <s v=""/>
    <s v=""/>
    <s v=""/>
    <s v=""/>
    <s v=""/>
    <s v=""/>
    <s v=""/>
    <s v=""/>
    <n v="1"/>
    <s v=""/>
  </r>
  <r>
    <s v="India"/>
    <s v="South Asia"/>
    <s v="P070421"/>
    <s v="C1"/>
    <s v="S2"/>
    <s v="P070421C1S2"/>
    <s v="Ratio"/>
    <s v="2001 / 2008"/>
    <s v="Widening and Reconstruction"/>
    <s v=""/>
    <n v="1"/>
    <m/>
    <m/>
    <n v="1.1487559555320275"/>
    <n v="1.1487559555320277"/>
    <s v=""/>
    <x v="0"/>
    <x v="0"/>
    <n v="0"/>
    <n v="0"/>
    <s v=""/>
    <s v=""/>
    <s v=""/>
    <s v=""/>
    <s v=""/>
    <s v=""/>
    <s v=""/>
    <s v=""/>
    <s v=""/>
    <s v=""/>
  </r>
  <r>
    <s v="India"/>
    <s v="South Asia"/>
    <s v="P070421"/>
    <s v="C1"/>
    <s v="S3"/>
    <s v="P070421C1S3"/>
    <s v="Ratio"/>
    <s v="2001 / 2008"/>
    <s v="Widening and Reconstruction"/>
    <s v=""/>
    <n v="1"/>
    <m/>
    <m/>
    <n v="1.089727568107973"/>
    <n v="1.089727568107973"/>
    <s v=""/>
    <x v="0"/>
    <x v="0"/>
    <n v="0"/>
    <n v="0"/>
    <s v=""/>
    <s v=""/>
    <s v=""/>
    <s v=""/>
    <s v=""/>
    <s v=""/>
    <s v=""/>
    <s v=""/>
    <s v=""/>
    <s v=""/>
  </r>
  <r>
    <s v="India"/>
    <s v="South Asia"/>
    <s v="P070421"/>
    <s v="C1"/>
    <s v="S4"/>
    <s v="P070421C1S4"/>
    <s v="Ratio"/>
    <s v="2001 / 2008"/>
    <s v="Widening and Reconstruction"/>
    <s v=""/>
    <n v="1"/>
    <m/>
    <m/>
    <n v="0.80645161290322587"/>
    <n v="0.80645161290322576"/>
    <s v=""/>
    <x v="0"/>
    <x v="0"/>
    <n v="0"/>
    <n v="0"/>
    <s v=""/>
    <s v=""/>
    <s v=""/>
    <s v=""/>
    <s v=""/>
    <s v=""/>
    <s v=""/>
    <s v=""/>
    <s v=""/>
    <s v=""/>
  </r>
  <r>
    <s v="India"/>
    <s v="South Asia"/>
    <s v="P070421"/>
    <s v="C1"/>
    <s v="S5"/>
    <s v="P070421C1S5"/>
    <s v="Ratio"/>
    <s v="2001 / 2008"/>
    <s v="Widening and Reconstruction"/>
    <s v=""/>
    <n v="1"/>
    <m/>
    <m/>
    <n v="1.1597938144329898"/>
    <n v="1.1597938144329898"/>
    <s v=""/>
    <x v="0"/>
    <x v="0"/>
    <n v="0"/>
    <n v="0"/>
    <s v=""/>
    <s v=""/>
    <s v=""/>
    <s v=""/>
    <s v=""/>
    <s v=""/>
    <s v=""/>
    <s v=""/>
    <s v=""/>
    <s v=""/>
  </r>
  <r>
    <s v="India"/>
    <s v="South Asia"/>
    <s v="P070421"/>
    <s v="C1"/>
    <s v="S6"/>
    <s v="P070421C1S6"/>
    <s v="Ratio"/>
    <s v="2001 / 2008"/>
    <s v="Widening and Reconstruction"/>
    <s v=""/>
    <n v="1"/>
    <m/>
    <m/>
    <n v="0.93722755013077585"/>
    <n v="0.93722755013077585"/>
    <s v=""/>
    <x v="0"/>
    <x v="0"/>
    <n v="0"/>
    <n v="0"/>
    <s v=""/>
    <s v=""/>
    <s v=""/>
    <s v=""/>
    <s v=""/>
    <s v=""/>
    <s v=""/>
    <s v=""/>
    <s v=""/>
    <s v=""/>
  </r>
  <r>
    <s v="India"/>
    <s v="South Asia"/>
    <s v="P070421"/>
    <s v="C1"/>
    <s v="S7"/>
    <s v="P070421C1S7"/>
    <s v="Ratio"/>
    <s v="2001 / 2008"/>
    <s v="Widening and Reconstruction"/>
    <s v=""/>
    <n v="1"/>
    <m/>
    <m/>
    <n v="0.57199211045364884"/>
    <n v="0.57199211045364884"/>
    <s v=""/>
    <x v="0"/>
    <x v="0"/>
    <n v="0"/>
    <n v="0"/>
    <s v=""/>
    <s v=""/>
    <s v=""/>
    <s v=""/>
    <s v=""/>
    <s v=""/>
    <s v=""/>
    <s v=""/>
    <s v=""/>
    <s v=""/>
  </r>
  <r>
    <s v="India"/>
    <s v="South Asia"/>
    <s v="P070421"/>
    <s v="C1"/>
    <s v="S8"/>
    <s v="P070421C1S8"/>
    <s v="Ratio"/>
    <s v="2001 / 2008"/>
    <s v="Widening and Reconstruction"/>
    <s v=""/>
    <n v="1"/>
    <m/>
    <m/>
    <n v="0.38756295160937154"/>
    <n v="0.38756295160937149"/>
    <s v="x"/>
    <x v="0"/>
    <x v="0"/>
    <n v="0"/>
    <n v="1"/>
    <s v=""/>
    <s v=""/>
    <s v=""/>
    <s v=""/>
    <s v=""/>
    <s v=""/>
    <s v=""/>
    <s v=""/>
    <n v="1"/>
    <s v=""/>
  </r>
  <r>
    <s v="India"/>
    <s v="South Asia"/>
    <s v="P070421"/>
    <s v="C1"/>
    <s v="S9"/>
    <s v="P070421C1S9"/>
    <s v="Ratio"/>
    <s v="2001 / 2008"/>
    <s v="Widening and Reconstruction"/>
    <s v=""/>
    <n v="1"/>
    <m/>
    <m/>
    <n v="9.8834498834498827"/>
    <n v="9.8834498834498827"/>
    <s v="x"/>
    <x v="0"/>
    <x v="0"/>
    <n v="1"/>
    <n v="0"/>
    <n v="1"/>
    <s v=""/>
    <s v=""/>
    <s v=""/>
    <s v=""/>
    <s v=""/>
    <s v=""/>
    <s v=""/>
    <s v=""/>
    <s v=""/>
  </r>
  <r>
    <s v="India"/>
    <s v="South Asia"/>
    <s v="P070421"/>
    <s v="C2"/>
    <s v=""/>
    <s v="P070421C2"/>
    <s v="Ratio"/>
    <s v="2001 / 2008"/>
    <s v="Asphalt Mix Resurfacing"/>
    <s v=""/>
    <n v="0.96153846153846156"/>
    <m/>
    <m/>
    <n v="1.74141524958859"/>
    <n v="1.8110718595721336"/>
    <s v="x"/>
    <x v="0"/>
    <x v="0"/>
    <n v="1"/>
    <n v="0"/>
    <n v="1"/>
    <s v=""/>
    <s v=""/>
    <s v=""/>
    <s v=""/>
    <s v=""/>
    <s v=""/>
    <s v=""/>
    <s v=""/>
    <s v=""/>
  </r>
  <r>
    <s v="China"/>
    <s v="East Asia and Pacific"/>
    <s v="P070441"/>
    <s v="C1"/>
    <s v=""/>
    <s v="P070441C1"/>
    <s v="Ratio"/>
    <s v="2002 / 2008"/>
    <s v="New 4L Highway"/>
    <n v="1"/>
    <n v="1"/>
    <m/>
    <m/>
    <n v="1.5874406645569621"/>
    <n v="1.5874406645569621"/>
    <s v="x"/>
    <x v="0"/>
    <x v="0"/>
    <n v="1"/>
    <n v="0"/>
    <n v="1"/>
    <s v=""/>
    <s v=""/>
    <s v=""/>
    <s v=""/>
    <s v=""/>
    <s v=""/>
    <s v=""/>
    <n v="1"/>
    <s v=""/>
  </r>
  <r>
    <s v="China"/>
    <s v="East Asia and Pacific"/>
    <s v="P070441"/>
    <s v="C2"/>
    <s v=""/>
    <s v="P070441C2"/>
    <s v="Ratio"/>
    <s v="2002 / 2008"/>
    <s v="Upgrading"/>
    <s v=""/>
    <n v="1"/>
    <m/>
    <m/>
    <n v="0.63444108761329299"/>
    <n v="0.63444108761329299"/>
    <s v=""/>
    <x v="0"/>
    <x v="0"/>
    <n v="0"/>
    <n v="0"/>
    <s v=""/>
    <s v=""/>
    <s v=""/>
    <s v=""/>
    <s v=""/>
    <s v=""/>
    <s v=""/>
    <s v=""/>
    <s v=""/>
    <s v=""/>
  </r>
  <r>
    <s v="China"/>
    <s v="East Asia and Pacific"/>
    <s v="P070459"/>
    <s v="C1"/>
    <s v=""/>
    <s v="P070459C1"/>
    <s v="Ratio"/>
    <s v="2002 / 2008"/>
    <s v="New 4L Highway"/>
    <s v=""/>
    <n v="1"/>
    <m/>
    <m/>
    <n v="0.90989827224285491"/>
    <n v="0.90989827224285491"/>
    <s v=""/>
    <x v="0"/>
    <x v="0"/>
    <n v="0"/>
    <n v="0"/>
    <s v=""/>
    <s v=""/>
    <s v=""/>
    <s v=""/>
    <s v=""/>
    <s v=""/>
    <s v=""/>
    <s v=""/>
    <s v=""/>
    <s v=""/>
  </r>
  <r>
    <s v="China"/>
    <s v="East Asia and Pacific"/>
    <s v="P070459"/>
    <s v="C2"/>
    <s v=""/>
    <s v="P070459C2"/>
    <s v="Ratio"/>
    <s v="2002 / 2008"/>
    <s v="Upgrading"/>
    <s v=""/>
    <n v="1.935860058309038"/>
    <m/>
    <m/>
    <n v="1.3363338788870704"/>
    <n v="0.69030500069015843"/>
    <s v="x"/>
    <x v="1"/>
    <x v="0"/>
    <n v="0"/>
    <n v="0"/>
    <s v=""/>
    <s v=""/>
    <s v=""/>
    <s v=""/>
    <s v=""/>
    <s v=""/>
    <s v=""/>
    <s v=""/>
    <s v=""/>
    <n v="1"/>
  </r>
  <r>
    <s v="China"/>
    <s v="East Asia and Pacific"/>
    <s v="P070459"/>
    <s v="C2"/>
    <s v="S1"/>
    <s v="P070459C2S1"/>
    <s v="Ratio"/>
    <s v="2002 / 2008"/>
    <s v="Upgrading"/>
    <s v=""/>
    <n v="1"/>
    <m/>
    <m/>
    <n v="0.9573067632850244"/>
    <n v="0.9573067632850244"/>
    <s v=""/>
    <x v="0"/>
    <x v="0"/>
    <n v="0"/>
    <n v="0"/>
    <s v=""/>
    <s v=""/>
    <s v=""/>
    <s v=""/>
    <s v=""/>
    <s v=""/>
    <s v=""/>
    <s v=""/>
    <s v=""/>
    <s v=""/>
  </r>
  <r>
    <s v="China"/>
    <s v="East Asia and Pacific"/>
    <s v="P070459"/>
    <s v="C2"/>
    <s v="S2"/>
    <s v="P070459C2S2"/>
    <s v="Ratio"/>
    <s v="2002 / 2008"/>
    <s v="Upgrading"/>
    <s v=""/>
    <n v="1"/>
    <m/>
    <m/>
    <n v="0.79828722002635055"/>
    <n v="0.79828722002635055"/>
    <s v=""/>
    <x v="0"/>
    <x v="0"/>
    <n v="0"/>
    <n v="0"/>
    <s v=""/>
    <s v=""/>
    <s v=""/>
    <s v=""/>
    <s v=""/>
    <s v=""/>
    <s v=""/>
    <s v=""/>
    <s v=""/>
    <s v=""/>
  </r>
  <r>
    <s v="China"/>
    <s v="East Asia and Pacific"/>
    <s v="P070459"/>
    <s v="C2"/>
    <s v="S3"/>
    <s v="P070459C2S3"/>
    <s v="Ratio"/>
    <s v="2002 / 2008"/>
    <s v="Upgrading"/>
    <s v=""/>
    <n v="1"/>
    <m/>
    <m/>
    <n v="0.51323671497584544"/>
    <n v="0.51323671497584555"/>
    <s v=""/>
    <x v="0"/>
    <x v="0"/>
    <n v="0"/>
    <n v="0"/>
    <s v=""/>
    <s v=""/>
    <s v=""/>
    <s v=""/>
    <s v=""/>
    <s v=""/>
    <s v=""/>
    <s v=""/>
    <s v=""/>
    <s v=""/>
  </r>
  <r>
    <s v="China"/>
    <s v="East Asia and Pacific"/>
    <s v="P070459"/>
    <s v="C2"/>
    <s v="S4"/>
    <s v="P070459C2S4"/>
    <s v="Ratio"/>
    <s v="2002 / 2008"/>
    <s v="Upgrading"/>
    <s v=""/>
    <n v="1"/>
    <m/>
    <m/>
    <n v="0.98523119392684622"/>
    <n v="0.98523119392684622"/>
    <s v=""/>
    <x v="0"/>
    <x v="0"/>
    <n v="0"/>
    <n v="0"/>
    <s v=""/>
    <s v=""/>
    <s v=""/>
    <s v=""/>
    <s v=""/>
    <s v=""/>
    <s v=""/>
    <s v=""/>
    <s v=""/>
    <s v=""/>
  </r>
  <r>
    <s v="Cambodia"/>
    <s v="East Asia and Pacific"/>
    <s v="P071207"/>
    <s v="C1"/>
    <s v="S1"/>
    <s v="P071207C1S1"/>
    <s v="Ratio"/>
    <s v="2003 / 2012"/>
    <s v="Upgrading"/>
    <s v=""/>
    <n v="0.90825688073394495"/>
    <m/>
    <m/>
    <n v="0.9044943820224719"/>
    <n v="0.99585745091363054"/>
    <s v=""/>
    <x v="0"/>
    <x v="0"/>
    <n v="0"/>
    <n v="0"/>
    <s v=""/>
    <s v=""/>
    <s v=""/>
    <s v=""/>
    <s v=""/>
    <s v=""/>
    <s v=""/>
    <s v=""/>
    <s v=""/>
    <s v=""/>
  </r>
  <r>
    <s v="Cambodia"/>
    <s v="East Asia and Pacific"/>
    <s v="P071207"/>
    <s v="C1"/>
    <s v="S10"/>
    <s v="P071207C1S10"/>
    <s v="Ratio"/>
    <s v="2003 / 2012"/>
    <s v="Upgrading"/>
    <s v=""/>
    <n v="0.7407407407407407"/>
    <m/>
    <m/>
    <n v="1.0769230769230769"/>
    <n v="1.453846153846154"/>
    <s v=""/>
    <x v="0"/>
    <x v="0"/>
    <n v="0"/>
    <n v="0"/>
    <s v=""/>
    <s v=""/>
    <s v=""/>
    <s v=""/>
    <s v=""/>
    <s v=""/>
    <s v=""/>
    <s v=""/>
    <s v=""/>
    <s v=""/>
  </r>
  <r>
    <s v="Cambodia"/>
    <s v="East Asia and Pacific"/>
    <s v="P071207"/>
    <s v="C1"/>
    <s v="S2"/>
    <s v="P071207C1S2"/>
    <s v="Ratio"/>
    <s v="2003 / 2012"/>
    <s v="Upgrading"/>
    <s v=""/>
    <n v="1.0169491525423728"/>
    <m/>
    <m/>
    <n v="1.4021739130434783"/>
    <n v="1.3788043478260872"/>
    <s v=""/>
    <x v="0"/>
    <x v="0"/>
    <n v="0"/>
    <n v="0"/>
    <s v=""/>
    <s v=""/>
    <s v=""/>
    <s v=""/>
    <s v=""/>
    <s v=""/>
    <s v=""/>
    <s v=""/>
    <s v=""/>
    <s v=""/>
  </r>
  <r>
    <s v="Cambodia"/>
    <s v="East Asia and Pacific"/>
    <s v="P071207"/>
    <s v="C1"/>
    <s v="S3"/>
    <s v="P071207C1S3"/>
    <s v="Ratio"/>
    <s v="2003 / 2012"/>
    <s v="Upgrading"/>
    <s v=""/>
    <n v="1.5168539325842696"/>
    <m/>
    <m/>
    <n v="1.6101694915254237"/>
    <n v="1.061519146264909"/>
    <s v="x"/>
    <x v="1"/>
    <x v="0"/>
    <n v="0"/>
    <n v="0"/>
    <s v=""/>
    <s v=""/>
    <s v=""/>
    <s v=""/>
    <s v=""/>
    <n v="1"/>
    <s v=""/>
    <s v=""/>
    <s v=""/>
    <n v="1"/>
  </r>
  <r>
    <s v="Cambodia"/>
    <s v="East Asia and Pacific"/>
    <s v="P071207"/>
    <s v="C1"/>
    <s v="S4"/>
    <s v="P071207C1S4"/>
    <s v="Ratio"/>
    <s v="2003 / 2012"/>
    <s v="Upgrading"/>
    <s v=""/>
    <n v="0.8351648351648352"/>
    <m/>
    <m/>
    <n v="0.81538461538461537"/>
    <n v="0.97631578947368425"/>
    <s v=""/>
    <x v="0"/>
    <x v="0"/>
    <n v="0"/>
    <n v="0"/>
    <s v=""/>
    <s v=""/>
    <s v=""/>
    <s v=""/>
    <s v=""/>
    <s v=""/>
    <s v=""/>
    <s v=""/>
    <s v=""/>
    <s v=""/>
  </r>
  <r>
    <s v="Cambodia"/>
    <s v="East Asia and Pacific"/>
    <s v="P071207"/>
    <s v="C1"/>
    <s v="S5"/>
    <s v="P071207C1S5"/>
    <s v="Ratio"/>
    <s v="2003 / 2012"/>
    <s v="Upgrading"/>
    <s v=""/>
    <n v="1.0130718954248366"/>
    <m/>
    <m/>
    <n v="1.0650406504065042"/>
    <n v="1.051298190401259"/>
    <s v=""/>
    <x v="0"/>
    <x v="0"/>
    <n v="0"/>
    <n v="0"/>
    <s v=""/>
    <s v=""/>
    <s v=""/>
    <s v=""/>
    <s v=""/>
    <s v=""/>
    <s v=""/>
    <s v=""/>
    <s v=""/>
    <s v=""/>
  </r>
  <r>
    <s v="Cambodia"/>
    <s v="East Asia and Pacific"/>
    <s v="P071207"/>
    <s v="C1"/>
    <s v="S6"/>
    <s v="P071207C1S6"/>
    <s v="Ratio"/>
    <s v="2003 / 2012"/>
    <s v="Upgrading"/>
    <s v=""/>
    <n v="1.0054347826086958"/>
    <m/>
    <m/>
    <n v="1.36697247706422"/>
    <n v="1.3595834366476565"/>
    <s v=""/>
    <x v="0"/>
    <x v="0"/>
    <n v="0"/>
    <n v="0"/>
    <s v=""/>
    <s v=""/>
    <s v=""/>
    <s v=""/>
    <s v=""/>
    <s v=""/>
    <s v=""/>
    <s v=""/>
    <s v=""/>
    <s v=""/>
  </r>
  <r>
    <s v="Cambodia"/>
    <s v="East Asia and Pacific"/>
    <s v="P071207"/>
    <s v="C1"/>
    <s v="S7"/>
    <s v="P071207C1S7"/>
    <s v="Ratio"/>
    <s v="2003 / 2012"/>
    <s v="Upgrading"/>
    <s v=""/>
    <n v="1.6292134831460674"/>
    <m/>
    <m/>
    <n v="1.8965517241379313"/>
    <n v="1.1640903686087996"/>
    <s v="x"/>
    <x v="1"/>
    <x v="0"/>
    <n v="0"/>
    <n v="0"/>
    <s v=""/>
    <s v=""/>
    <s v=""/>
    <s v=""/>
    <s v=""/>
    <n v="1"/>
    <s v=""/>
    <s v=""/>
    <s v=""/>
    <n v="1"/>
  </r>
  <r>
    <s v="Cambodia"/>
    <s v="East Asia and Pacific"/>
    <s v="P071207"/>
    <s v="C1"/>
    <s v="S8"/>
    <s v="P071207C1S8"/>
    <s v="Ratio"/>
    <s v="2003 / 2012"/>
    <s v="Upgrading"/>
    <s v=""/>
    <n v="0.99212598425196852"/>
    <m/>
    <m/>
    <n v="1.6904761904761905"/>
    <n v="1.7038926681783826"/>
    <s v="x"/>
    <x v="0"/>
    <x v="0"/>
    <n v="1"/>
    <n v="0"/>
    <s v=""/>
    <s v=""/>
    <s v=""/>
    <n v="1"/>
    <s v=""/>
    <s v=""/>
    <s v=""/>
    <s v=""/>
    <s v=""/>
    <n v="1"/>
  </r>
  <r>
    <s v="Cambodia"/>
    <s v="East Asia and Pacific"/>
    <s v="P071207"/>
    <s v="C1"/>
    <s v="S9"/>
    <s v="P071207C1S9"/>
    <s v="Ratio"/>
    <s v="2003 / 2012"/>
    <s v="Reconstruction"/>
    <s v=""/>
    <n v="1.0179640718562875"/>
    <m/>
    <m/>
    <n v="1.75"/>
    <n v="1.7191176470588234"/>
    <s v="x"/>
    <x v="0"/>
    <x v="0"/>
    <n v="1"/>
    <n v="0"/>
    <s v=""/>
    <s v=""/>
    <s v=""/>
    <n v="1"/>
    <s v=""/>
    <s v=""/>
    <s v=""/>
    <s v=""/>
    <s v=""/>
    <n v="1"/>
  </r>
  <r>
    <s v="Zambia"/>
    <s v="Sub-Saharan Africa"/>
    <s v="P071985"/>
    <s v="C1"/>
    <s v="S1"/>
    <s v="P071985C1S1"/>
    <s v="Ratio"/>
    <s v="2004 / 2015"/>
    <s v="Asphalt Mix Resurfacing"/>
    <n v="0.89189189189189189"/>
    <n v="1"/>
    <m/>
    <m/>
    <n v="0.85041322314049583"/>
    <n v="0.85041322314049583"/>
    <s v=""/>
    <x v="0"/>
    <x v="0"/>
    <n v="0"/>
    <n v="0"/>
    <s v=""/>
    <s v=""/>
    <s v=""/>
    <s v=""/>
    <s v=""/>
    <s v=""/>
    <s v=""/>
    <s v=""/>
    <s v=""/>
    <s v=""/>
  </r>
  <r>
    <s v="Zambia"/>
    <s v="Sub-Saharan Africa"/>
    <s v="P071985"/>
    <s v="C1"/>
    <s v="S2"/>
    <s v="P071985C1S2"/>
    <s v="Ratio"/>
    <s v="2004 / 2015"/>
    <s v="Asphalt Mix Resurfacing"/>
    <n v="1"/>
    <n v="1"/>
    <m/>
    <m/>
    <n v="0.80219780219780223"/>
    <n v="0.80219780219780212"/>
    <s v=""/>
    <x v="0"/>
    <x v="0"/>
    <n v="0"/>
    <n v="0"/>
    <s v=""/>
    <s v=""/>
    <s v=""/>
    <s v=""/>
    <s v=""/>
    <s v=""/>
    <s v=""/>
    <s v=""/>
    <s v=""/>
    <s v=""/>
  </r>
  <r>
    <s v="Zambia"/>
    <s v="Sub-Saharan Africa"/>
    <s v="P071985"/>
    <s v="C1"/>
    <s v="S3"/>
    <s v="P071985C1S3"/>
    <s v="Ratio"/>
    <s v="2004 / 2015"/>
    <s v="Asphalt Mix Resurfacing"/>
    <n v="1.173913043478261"/>
    <n v="1"/>
    <m/>
    <m/>
    <n v="0.4588571428571428"/>
    <n v="0.45885714285714285"/>
    <s v="x"/>
    <x v="0"/>
    <x v="0"/>
    <n v="0"/>
    <n v="1"/>
    <s v=""/>
    <s v=""/>
    <s v=""/>
    <s v=""/>
    <s v=""/>
    <s v=""/>
    <s v=""/>
    <s v=""/>
    <n v="1"/>
    <s v=""/>
  </r>
  <r>
    <s v="Zambia"/>
    <s v="Sub-Saharan Africa"/>
    <s v="P071985"/>
    <s v="C1"/>
    <s v="S4"/>
    <s v="P071985C1S4"/>
    <s v="Ratio"/>
    <s v="2004 / 2015"/>
    <s v="Asphalt Mix Resurfacing"/>
    <s v=""/>
    <n v="1"/>
    <m/>
    <m/>
    <n v="0.62209302325581395"/>
    <n v="0.62209302325581384"/>
    <s v=""/>
    <x v="0"/>
    <x v="0"/>
    <n v="0"/>
    <n v="0"/>
    <s v=""/>
    <s v=""/>
    <s v=""/>
    <s v=""/>
    <s v=""/>
    <s v=""/>
    <s v=""/>
    <s v=""/>
    <s v=""/>
    <s v=""/>
  </r>
  <r>
    <s v="India"/>
    <s v="South Asia"/>
    <s v="P072539"/>
    <s v="C1"/>
    <s v=""/>
    <s v="P072539C1"/>
    <s v="Ratio"/>
    <s v="2002 / 2011"/>
    <s v="Widening and Reconstruction"/>
    <s v=""/>
    <n v="0.43868739205526769"/>
    <m/>
    <m/>
    <n v="0.71923415492957754"/>
    <n v="1.6395140775756902"/>
    <s v="x"/>
    <x v="0"/>
    <x v="1"/>
    <n v="1"/>
    <n v="0"/>
    <s v=""/>
    <s v=""/>
    <s v=""/>
    <n v="1"/>
    <s v=""/>
    <n v="1"/>
    <s v=""/>
    <s v=""/>
    <n v="1"/>
    <n v="1"/>
  </r>
  <r>
    <s v="India"/>
    <s v="South Asia"/>
    <s v="P072539"/>
    <s v="C2"/>
    <s v=""/>
    <s v="P072539C2"/>
    <s v="Ratio"/>
    <s v="2002 / 2011"/>
    <s v="Asphalt Mix Resurfacing"/>
    <s v=""/>
    <n v="1.1456888007928643"/>
    <m/>
    <m/>
    <n v="2.3926062846580405"/>
    <n v="2.0883561775259198"/>
    <s v="x"/>
    <x v="0"/>
    <x v="0"/>
    <n v="1"/>
    <n v="0"/>
    <s v=""/>
    <s v=""/>
    <s v=""/>
    <n v="1"/>
    <s v=""/>
    <n v="1"/>
    <s v=""/>
    <s v=""/>
    <n v="1"/>
    <s v=""/>
  </r>
  <r>
    <s v="Burkina Faso"/>
    <s v="Sub-Saharan Africa"/>
    <s v="P074030"/>
    <s v="C1"/>
    <s v=""/>
    <s v="P074030C1"/>
    <s v="Ratio"/>
    <s v="2003 / 2014"/>
    <s v="Reconstruction"/>
    <s v=""/>
    <n v="0.37948136601955507"/>
    <m/>
    <m/>
    <n v="1.0064985300943834"/>
    <n v="2.6523002714249677"/>
    <s v="x"/>
    <x v="0"/>
    <x v="1"/>
    <n v="1"/>
    <n v="0"/>
    <n v="1"/>
    <s v=""/>
    <n v="1"/>
    <s v=""/>
    <s v=""/>
    <s v=""/>
    <s v=""/>
    <s v=""/>
    <s v=""/>
    <n v="1"/>
  </r>
  <r>
    <s v="Indonesia"/>
    <s v="East Asia and Pacific"/>
    <s v="P074290"/>
    <s v="C1"/>
    <s v=""/>
    <s v="P074290C1"/>
    <s v="Ratio"/>
    <s v="2004 / 2012"/>
    <s v="Reconstruction"/>
    <n v="1"/>
    <n v="0.49467812259553734"/>
    <m/>
    <m/>
    <n v="1.1620157480314961"/>
    <n v="2.349034038405601"/>
    <s v="x"/>
    <x v="0"/>
    <x v="1"/>
    <n v="1"/>
    <n v="0"/>
    <n v="1"/>
    <s v=""/>
    <s v=""/>
    <s v=""/>
    <s v=""/>
    <n v="1"/>
    <s v=""/>
    <s v=""/>
    <s v=""/>
    <n v="1"/>
  </r>
  <r>
    <s v="Indonesia"/>
    <s v="East Asia and Pacific"/>
    <s v="P074290"/>
    <s v="C1"/>
    <s v="S1"/>
    <s v="P074290C1S1"/>
    <s v="Ratio"/>
    <s v="2004 / 2012"/>
    <s v="Asphalt Mix Resurfacing"/>
    <s v=""/>
    <n v="0.38033843674456086"/>
    <m/>
    <m/>
    <n v="0.75980392156862742"/>
    <n v="1.9977048022598864"/>
    <s v="x"/>
    <x v="0"/>
    <x v="1"/>
    <n v="1"/>
    <n v="0"/>
    <s v=""/>
    <s v=""/>
    <s v=""/>
    <s v=""/>
    <s v=""/>
    <n v="1"/>
    <s v=""/>
    <s v=""/>
    <s v=""/>
    <n v="1"/>
  </r>
  <r>
    <s v="Indonesia"/>
    <s v="East Asia and Pacific"/>
    <s v="P074290"/>
    <s v="C1"/>
    <s v="S2"/>
    <s v="P074290C1S2"/>
    <s v="Ratio"/>
    <s v="2004 / 2012"/>
    <s v="Reconstruction"/>
    <s v=""/>
    <n v="4.3481152993348111"/>
    <m/>
    <m/>
    <n v="8.5329192546583847"/>
    <n v="1.9624408892661558"/>
    <s v="x"/>
    <x v="1"/>
    <x v="0"/>
    <n v="1"/>
    <n v="0"/>
    <n v="1"/>
    <s v=""/>
    <s v=""/>
    <s v=""/>
    <s v=""/>
    <s v=""/>
    <s v=""/>
    <s v=""/>
    <s v=""/>
    <n v="1"/>
  </r>
  <r>
    <s v="Indonesia"/>
    <s v="East Asia and Pacific"/>
    <s v="P074290"/>
    <s v="C1"/>
    <s v="S3"/>
    <s v="P074290C1S3"/>
    <s v="Ratio"/>
    <s v="2004 / 2012"/>
    <s v="Asphalt Mix Resurfacing"/>
    <s v=""/>
    <n v="0.88698630136986301"/>
    <m/>
    <m/>
    <n v="1.2551210428305402"/>
    <n v="1.4150399401796052"/>
    <s v=""/>
    <x v="0"/>
    <x v="0"/>
    <n v="0"/>
    <n v="0"/>
    <s v=""/>
    <s v=""/>
    <s v=""/>
    <s v=""/>
    <s v=""/>
    <s v=""/>
    <s v=""/>
    <s v=""/>
    <s v=""/>
    <s v=""/>
  </r>
  <r>
    <s v="Indonesia"/>
    <s v="East Asia and Pacific"/>
    <s v="P074290"/>
    <s v="C1"/>
    <s v="S4"/>
    <s v="P074290C1S4"/>
    <s v="Ratio"/>
    <s v="2004 / 2012"/>
    <s v="Reconstruction"/>
    <s v=""/>
    <n v="0.38235294117647056"/>
    <m/>
    <m/>
    <n v="0.86565096952908593"/>
    <n v="2.2640102279991479"/>
    <s v="x"/>
    <x v="0"/>
    <x v="1"/>
    <n v="1"/>
    <n v="0"/>
    <n v="1"/>
    <s v=""/>
    <s v=""/>
    <s v=""/>
    <s v=""/>
    <n v="1"/>
    <s v=""/>
    <s v=""/>
    <s v=""/>
    <n v="1"/>
  </r>
  <r>
    <s v="Indonesia"/>
    <s v="East Asia and Pacific"/>
    <s v="P074290"/>
    <s v="C1"/>
    <s v="S5"/>
    <s v="P074290C1S5"/>
    <s v="Ratio"/>
    <s v="2004 / 2012"/>
    <s v="Asphalt Mix Resurfacing"/>
    <s v=""/>
    <n v="0.32367927058192547"/>
    <m/>
    <m/>
    <n v="0.47022268254790267"/>
    <n v="1.4527426538700323"/>
    <s v="x"/>
    <x v="0"/>
    <x v="1"/>
    <n v="0"/>
    <n v="0"/>
    <n v="1"/>
    <s v=""/>
    <s v=""/>
    <s v=""/>
    <s v=""/>
    <n v="1"/>
    <s v=""/>
    <s v=""/>
    <s v=""/>
    <n v="1"/>
  </r>
  <r>
    <s v="Indonesia"/>
    <s v="East Asia and Pacific"/>
    <s v="P074290"/>
    <s v="C1"/>
    <s v="S6"/>
    <s v="P074290C1S6"/>
    <s v="Ratio"/>
    <s v="2004 / 2012"/>
    <s v="Reconstruction"/>
    <s v=""/>
    <n v="0.40903903218443272"/>
    <m/>
    <m/>
    <n v="0.76982405398891296"/>
    <n v="1.8820307927039222"/>
    <s v="x"/>
    <x v="0"/>
    <x v="1"/>
    <n v="1"/>
    <n v="0"/>
    <n v="1"/>
    <s v=""/>
    <s v=""/>
    <s v=""/>
    <s v=""/>
    <n v="1"/>
    <s v=""/>
    <s v=""/>
    <s v=""/>
    <n v="1"/>
  </r>
  <r>
    <s v="Indonesia"/>
    <s v="East Asia and Pacific"/>
    <s v="P074290"/>
    <s v="C1"/>
    <s v="S7"/>
    <s v="P074290C1S7"/>
    <s v="Ratio"/>
    <s v="2004 / 2012"/>
    <s v="Asphalt Mix Resurfacing"/>
    <s v=""/>
    <n v="0.26055063351433744"/>
    <m/>
    <m/>
    <n v="0.56571654790182102"/>
    <n v="2.1712345898813221"/>
    <s v="x"/>
    <x v="0"/>
    <x v="1"/>
    <n v="1"/>
    <n v="0"/>
    <n v="1"/>
    <s v=""/>
    <s v=""/>
    <s v=""/>
    <s v=""/>
    <n v="1"/>
    <s v=""/>
    <s v=""/>
    <s v=""/>
    <n v="1"/>
  </r>
  <r>
    <s v="Indonesia"/>
    <s v="East Asia and Pacific"/>
    <s v="P074290"/>
    <s v="C1"/>
    <s v="S8"/>
    <s v="P074290C1S8"/>
    <s v="Ratio"/>
    <s v="2004 / 2012"/>
    <s v="Reconstruction"/>
    <s v=""/>
    <n v="0.49090714591356438"/>
    <m/>
    <m/>
    <n v="0.94053315105946689"/>
    <n v="1.9159084541520803"/>
    <s v="x"/>
    <x v="0"/>
    <x v="1"/>
    <n v="1"/>
    <n v="0"/>
    <n v="1"/>
    <s v=""/>
    <s v=""/>
    <s v=""/>
    <s v=""/>
    <n v="1"/>
    <s v=""/>
    <s v=""/>
    <s v=""/>
    <n v="1"/>
  </r>
  <r>
    <s v="Nigeria"/>
    <s v="Sub-Saharan Africa"/>
    <s v="P074963"/>
    <s v="C1"/>
    <s v=""/>
    <s v="P074963C1"/>
    <s v="Ratio"/>
    <s v="2002 / 2011"/>
    <s v="Strengthening"/>
    <s v=""/>
    <n v="1.0466666666666666"/>
    <m/>
    <m/>
    <n v="1.6121827411167513"/>
    <n v="1.5403019819586798"/>
    <s v="x"/>
    <x v="0"/>
    <x v="0"/>
    <n v="1"/>
    <n v="0"/>
    <n v="1"/>
    <s v=""/>
    <s v=""/>
    <s v=""/>
    <s v=""/>
    <s v=""/>
    <s v=""/>
    <s v=""/>
    <s v=""/>
    <s v=""/>
  </r>
  <r>
    <s v="Nigeria"/>
    <s v="Sub-Saharan Africa"/>
    <s v="P074963"/>
    <s v="C1"/>
    <s v="S1"/>
    <s v="P074963C1S1"/>
    <s v="Ratio"/>
    <s v="2002 / 2011"/>
    <s v="Asphalt Mix Resurfacing"/>
    <s v=""/>
    <n v="1"/>
    <m/>
    <m/>
    <n v="1.0322864045684164"/>
    <n v="1.0322864045684164"/>
    <s v=""/>
    <x v="0"/>
    <x v="0"/>
    <n v="0"/>
    <n v="0"/>
    <s v=""/>
    <s v=""/>
    <s v=""/>
    <s v=""/>
    <s v=""/>
    <s v=""/>
    <s v=""/>
    <s v=""/>
    <s v=""/>
    <s v=""/>
  </r>
  <r>
    <s v="Nigeria"/>
    <s v="Sub-Saharan Africa"/>
    <s v="P074963"/>
    <s v="C1"/>
    <s v="S2"/>
    <s v="P074963C1S2"/>
    <s v="Ratio"/>
    <s v="2002 / 2011"/>
    <s v="Asphalt Mix Resurfacing"/>
    <s v=""/>
    <n v="1.3311827956989246"/>
    <m/>
    <m/>
    <n v="1.2843837990036819"/>
    <n v="0.96484404933232981"/>
    <s v=""/>
    <x v="0"/>
    <x v="0"/>
    <n v="0"/>
    <n v="0"/>
    <s v=""/>
    <s v=""/>
    <s v=""/>
    <s v=""/>
    <s v=""/>
    <s v=""/>
    <s v=""/>
    <s v=""/>
    <s v=""/>
    <s v=""/>
  </r>
  <r>
    <s v="Yugoslavia, FR (Serbia/Montenegro)"/>
    <s v="Europe and Central Asia"/>
    <s v="P075207"/>
    <s v="C1"/>
    <s v="S1"/>
    <s v="P075207C1S1"/>
    <s v="Ratio"/>
    <s v="2004 / 2013"/>
    <s v="Reconstruction"/>
    <s v=""/>
    <n v="1"/>
    <m/>
    <m/>
    <n v="1.8954545454545453"/>
    <n v="1.8954545454545453"/>
    <s v="x"/>
    <x v="0"/>
    <x v="0"/>
    <n v="1"/>
    <n v="0"/>
    <s v=""/>
    <s v=""/>
    <s v=""/>
    <s v=""/>
    <s v=""/>
    <n v="1"/>
    <s v=""/>
    <s v=""/>
    <n v="1"/>
    <s v=""/>
  </r>
  <r>
    <s v="Yugoslavia, FR (Serbia/Montenegro)"/>
    <s v="Europe and Central Asia"/>
    <s v="P075207"/>
    <s v="C1"/>
    <s v="S2"/>
    <s v="P075207C1S2"/>
    <s v="Ratio"/>
    <s v="2004 / 2013"/>
    <s v="Reconstruction"/>
    <s v=""/>
    <n v="1"/>
    <m/>
    <m/>
    <n v="1.8052631578947369"/>
    <n v="1.8052631578947369"/>
    <s v="x"/>
    <x v="0"/>
    <x v="0"/>
    <n v="1"/>
    <n v="0"/>
    <s v=""/>
    <s v=""/>
    <s v=""/>
    <s v=""/>
    <s v=""/>
    <n v="1"/>
    <s v=""/>
    <s v=""/>
    <n v="1"/>
    <s v=""/>
  </r>
  <r>
    <s v="Yugoslavia, FR (Serbia/Montenegro)"/>
    <s v="Europe and Central Asia"/>
    <s v="P075207"/>
    <s v="C1"/>
    <s v="S3"/>
    <s v="P075207C1S3"/>
    <s v="Ratio"/>
    <s v="2004 / 2013"/>
    <s v="Reconstruction"/>
    <s v=""/>
    <n v="1"/>
    <m/>
    <m/>
    <n v="1.4307692307692308"/>
    <n v="1.4307692307692308"/>
    <s v=""/>
    <x v="0"/>
    <x v="0"/>
    <n v="0"/>
    <n v="0"/>
    <s v=""/>
    <s v=""/>
    <s v=""/>
    <s v=""/>
    <s v=""/>
    <s v=""/>
    <s v=""/>
    <s v=""/>
    <s v=""/>
    <s v=""/>
  </r>
  <r>
    <s v="Yugoslavia, FR (Serbia/Montenegro)"/>
    <s v="Europe and Central Asia"/>
    <s v="P075207"/>
    <s v="C1"/>
    <s v="S4"/>
    <s v="P075207C1S4"/>
    <s v="Ratio"/>
    <s v="2004 / 2013"/>
    <s v="Reconstruction"/>
    <s v=""/>
    <n v="1"/>
    <m/>
    <m/>
    <n v="0.75"/>
    <n v="0.75000000000000011"/>
    <s v=""/>
    <x v="0"/>
    <x v="0"/>
    <n v="0"/>
    <n v="0"/>
    <s v=""/>
    <s v=""/>
    <s v=""/>
    <s v=""/>
    <s v=""/>
    <s v=""/>
    <s v=""/>
    <s v=""/>
    <s v=""/>
    <s v=""/>
  </r>
  <r>
    <s v="Samoa"/>
    <s v="East Asia and Pacific"/>
    <s v="P075523"/>
    <s v="C1"/>
    <s v="S1"/>
    <s v="P075523C1S1"/>
    <s v="Ratio"/>
    <s v="2003 / 2014"/>
    <s v="Surface Treatment Resurfacing"/>
    <n v="1.2666666666666666"/>
    <n v="0.9375"/>
    <m/>
    <m/>
    <n v="3.6357142857142857"/>
    <n v="3.8780952380952383"/>
    <s v="x"/>
    <x v="0"/>
    <x v="0"/>
    <n v="1"/>
    <n v="0"/>
    <s v=""/>
    <s v=""/>
    <n v="1"/>
    <s v=""/>
    <s v=""/>
    <n v="1"/>
    <s v=""/>
    <s v=""/>
    <n v="1"/>
    <s v=""/>
  </r>
  <r>
    <s v="Samoa"/>
    <s v="East Asia and Pacific"/>
    <s v="P075523"/>
    <s v="C1"/>
    <s v="S2"/>
    <s v="P075523C1S2"/>
    <s v="Ratio"/>
    <s v="2003 / 2014"/>
    <s v="Widening"/>
    <n v="1"/>
    <n v="1"/>
    <m/>
    <m/>
    <n v="4.407258064516129"/>
    <n v="4.407258064516129"/>
    <s v="x"/>
    <x v="0"/>
    <x v="0"/>
    <n v="1"/>
    <n v="0"/>
    <s v=""/>
    <s v=""/>
    <n v="1"/>
    <s v=""/>
    <s v=""/>
    <n v="1"/>
    <s v=""/>
    <s v=""/>
    <n v="1"/>
    <s v=""/>
  </r>
  <r>
    <s v="Samoa"/>
    <s v="East Asia and Pacific"/>
    <s v="P075523"/>
    <s v="C1"/>
    <s v="S3"/>
    <s v="P075523C1S3"/>
    <s v="Ratio"/>
    <s v="2003 / 2014"/>
    <s v="Upgrading"/>
    <n v="0.33333333333333331"/>
    <n v="1.0076923076923077"/>
    <m/>
    <m/>
    <n v="3.8666666666666667"/>
    <n v="3.8371501272264625"/>
    <s v="x"/>
    <x v="0"/>
    <x v="0"/>
    <n v="1"/>
    <n v="0"/>
    <s v=""/>
    <s v=""/>
    <n v="1"/>
    <s v=""/>
    <s v=""/>
    <n v="1"/>
    <s v=""/>
    <s v=""/>
    <n v="1"/>
    <s v=""/>
  </r>
  <r>
    <s v="China"/>
    <s v="East Asia and Pacific"/>
    <s v="P075613"/>
    <s v="C1"/>
    <s v=""/>
    <s v="P075613C1"/>
    <s v="Ratio"/>
    <s v="2007 / 2013"/>
    <s v="New 4L Highway"/>
    <s v=""/>
    <n v="1"/>
    <m/>
    <m/>
    <n v="1.9539947259639372"/>
    <n v="1.9539947259639372"/>
    <s v="x"/>
    <x v="0"/>
    <x v="0"/>
    <n v="1"/>
    <n v="0"/>
    <n v="1"/>
    <s v=""/>
    <s v=""/>
    <s v=""/>
    <s v=""/>
    <s v=""/>
    <s v=""/>
    <s v=""/>
    <s v=""/>
    <s v=""/>
  </r>
  <r>
    <s v="China"/>
    <s v="East Asia and Pacific"/>
    <s v="P075613"/>
    <s v="C2"/>
    <s v=""/>
    <s v="P075613C2"/>
    <s v="Ratio"/>
    <s v="2007 / 2013"/>
    <s v="Upgrading"/>
    <s v=""/>
    <n v="1"/>
    <m/>
    <m/>
    <n v="1.6431596781024991"/>
    <n v="1.6431596781024993"/>
    <s v="x"/>
    <x v="0"/>
    <x v="0"/>
    <n v="1"/>
    <n v="0"/>
    <n v="1"/>
    <s v=""/>
    <s v=""/>
    <s v=""/>
    <s v=""/>
    <s v=""/>
    <s v=""/>
    <s v=""/>
    <s v=""/>
    <s v=""/>
  </r>
  <r>
    <s v="India"/>
    <s v="South Asia"/>
    <s v="P077977"/>
    <s v="C1"/>
    <s v="S1"/>
    <s v="P077977C1S1"/>
    <s v="Ratio"/>
    <s v="2004 / 2012"/>
    <s v="Upgrading"/>
    <n v="2"/>
    <n v="1.4642857142857142"/>
    <m/>
    <m/>
    <n v="1.5618004205569556"/>
    <n v="1.0665954091608476"/>
    <s v=""/>
    <x v="0"/>
    <x v="0"/>
    <n v="0"/>
    <n v="0"/>
    <s v=""/>
    <s v=""/>
    <s v=""/>
    <s v=""/>
    <s v=""/>
    <s v=""/>
    <s v=""/>
    <s v=""/>
    <s v=""/>
    <n v="1"/>
  </r>
  <r>
    <s v="India"/>
    <s v="South Asia"/>
    <s v="P077977"/>
    <s v="C1"/>
    <s v="S2"/>
    <s v="P077977C1S2"/>
    <s v="Ratio"/>
    <s v="2004 / 2012"/>
    <s v="Upgrading"/>
    <n v="1.5"/>
    <n v="0.96923076923076923"/>
    <m/>
    <m/>
    <n v="0.85712729826807488"/>
    <n v="0.88433768868928364"/>
    <s v=""/>
    <x v="0"/>
    <x v="0"/>
    <n v="0"/>
    <n v="0"/>
    <s v=""/>
    <s v=""/>
    <s v=""/>
    <s v=""/>
    <s v=""/>
    <s v=""/>
    <s v=""/>
    <s v=""/>
    <s v=""/>
    <s v=""/>
  </r>
  <r>
    <s v="India"/>
    <s v="South Asia"/>
    <s v="P077977"/>
    <s v="C1"/>
    <s v="S3"/>
    <s v="P077977C1S3"/>
    <s v="Ratio"/>
    <s v="2004 / 2012"/>
    <s v="Upgrading"/>
    <n v="1.5"/>
    <n v="2.7550394390885189"/>
    <m/>
    <m/>
    <n v="2.3828938269413533"/>
    <n v="0.86492185670115607"/>
    <s v="x"/>
    <x v="1"/>
    <x v="0"/>
    <n v="0"/>
    <n v="0"/>
    <s v=""/>
    <s v=""/>
    <s v=""/>
    <s v=""/>
    <s v=""/>
    <s v=""/>
    <s v=""/>
    <s v=""/>
    <s v=""/>
    <n v="1"/>
  </r>
  <r>
    <s v="India"/>
    <s v="South Asia"/>
    <s v="P077977"/>
    <s v="C1"/>
    <s v="S4"/>
    <s v="P077977C1S4"/>
    <s v="Ratio"/>
    <s v="2004 / 2012"/>
    <s v="Upgrading"/>
    <n v="1.5"/>
    <n v="1.5197135061391542"/>
    <m/>
    <m/>
    <n v="1.6639535289921741"/>
    <n v="1.0949126412776726"/>
    <s v="x"/>
    <x v="1"/>
    <x v="0"/>
    <n v="0"/>
    <n v="0"/>
    <s v=""/>
    <s v=""/>
    <s v=""/>
    <s v=""/>
    <s v=""/>
    <s v=""/>
    <s v=""/>
    <s v=""/>
    <s v=""/>
    <n v="1"/>
  </r>
  <r>
    <s v="Poland"/>
    <s v="Europe and Central Asia"/>
    <s v="P078170"/>
    <s v="C2"/>
    <s v=""/>
    <s v="P078170C2"/>
    <s v="Ratio"/>
    <s v="2004 / 2009"/>
    <s v="Concrete Pavement Restoration"/>
    <s v=""/>
    <n v="1"/>
    <m/>
    <m/>
    <n v="0.84047919293820939"/>
    <n v="0.84047919293820939"/>
    <s v=""/>
    <x v="0"/>
    <x v="0"/>
    <n v="0"/>
    <n v="0"/>
    <s v=""/>
    <s v=""/>
    <s v=""/>
    <s v=""/>
    <s v=""/>
    <s v=""/>
    <s v=""/>
    <s v=""/>
    <s v=""/>
    <s v=""/>
  </r>
  <r>
    <s v="Afghanistan"/>
    <s v="South Asia"/>
    <s v="P078284"/>
    <s v="C1"/>
    <s v=""/>
    <s v="P078284C1"/>
    <s v="Ratio"/>
    <s v="2003 / 2008"/>
    <s v="Strengthening"/>
    <s v=""/>
    <n v="0.9948096885813148"/>
    <m/>
    <m/>
    <n v="1.4092989985693849"/>
    <n v="1.4166518629097469"/>
    <s v=""/>
    <x v="0"/>
    <x v="0"/>
    <n v="0"/>
    <n v="0"/>
    <s v=""/>
    <s v=""/>
    <s v=""/>
    <s v=""/>
    <s v=""/>
    <s v=""/>
    <s v=""/>
    <s v=""/>
    <s v=""/>
    <s v=""/>
  </r>
  <r>
    <s v="Afghanistan"/>
    <s v="South Asia"/>
    <s v="P078284"/>
    <s v="C1"/>
    <s v="S1"/>
    <s v="P078284C1S1"/>
    <s v="Ratio"/>
    <s v="2003 / 2008"/>
    <s v="Strengthening"/>
    <n v="5"/>
    <n v="1"/>
    <m/>
    <m/>
    <n v="1.4997772828507796"/>
    <n v="1.4997772828507796"/>
    <s v=""/>
    <x v="0"/>
    <x v="0"/>
    <n v="0"/>
    <n v="0"/>
    <s v=""/>
    <s v=""/>
    <s v=""/>
    <s v=""/>
    <s v=""/>
    <s v=""/>
    <s v=""/>
    <s v=""/>
    <s v=""/>
    <s v=""/>
  </r>
  <r>
    <s v="Afghanistan"/>
    <s v="South Asia"/>
    <s v="P078284"/>
    <s v="C1"/>
    <s v="S2"/>
    <s v="P078284C1S2"/>
    <s v="Ratio"/>
    <s v="2003 / 2008"/>
    <s v="Strengthening"/>
    <n v="1.5714285714285714"/>
    <n v="0.98952270081490101"/>
    <m/>
    <m/>
    <n v="1.2468000000000001"/>
    <n v="1.260001411764706"/>
    <s v=""/>
    <x v="0"/>
    <x v="0"/>
    <n v="0"/>
    <n v="0"/>
    <s v=""/>
    <s v=""/>
    <s v=""/>
    <s v=""/>
    <s v=""/>
    <s v=""/>
    <s v=""/>
    <s v=""/>
    <s v=""/>
    <s v=""/>
  </r>
  <r>
    <s v="Afghanistan"/>
    <s v="South Asia"/>
    <s v="P078284"/>
    <s v="C2"/>
    <s v=""/>
    <s v="P078284C2"/>
    <s v="Ratio"/>
    <s v="2003 / 2008"/>
    <s v="Upgrading"/>
    <s v=""/>
    <n v="0.24399999999999999"/>
    <m/>
    <m/>
    <n v="0.73185378590078343"/>
    <n v="2.9994007618884568"/>
    <s v="x"/>
    <x v="0"/>
    <x v="1"/>
    <n v="1"/>
    <n v="0"/>
    <s v=""/>
    <n v="1"/>
    <s v=""/>
    <s v=""/>
    <s v=""/>
    <s v=""/>
    <s v=""/>
    <n v="1"/>
    <s v=""/>
    <n v="1"/>
  </r>
  <r>
    <s v="Tanzania"/>
    <s v="Sub-Saharan Africa"/>
    <s v="P078387"/>
    <s v="C1"/>
    <s v="S1"/>
    <s v="P078387C1S1"/>
    <s v="Ratio"/>
    <s v="2004 / 2010"/>
    <s v="Upgrading"/>
    <s v=""/>
    <n v="1.0490909090909091"/>
    <m/>
    <m/>
    <n v="0.9870805670195586"/>
    <n v="0.94089135504463983"/>
    <s v=""/>
    <x v="0"/>
    <x v="0"/>
    <n v="0"/>
    <n v="0"/>
    <s v=""/>
    <s v=""/>
    <s v=""/>
    <s v=""/>
    <s v=""/>
    <s v=""/>
    <s v=""/>
    <s v=""/>
    <s v=""/>
    <s v=""/>
  </r>
  <r>
    <s v="Tanzania"/>
    <s v="Sub-Saharan Africa"/>
    <s v="P078387"/>
    <s v="C1"/>
    <s v="S2"/>
    <s v="P078387C1S2"/>
    <s v="Ratio"/>
    <s v="2004 / 2010"/>
    <s v="Upgrading"/>
    <n v="2"/>
    <n v="0.98245614035087714"/>
    <m/>
    <m/>
    <n v="1.1384615384615384"/>
    <n v="1.1587912087912089"/>
    <s v=""/>
    <x v="0"/>
    <x v="0"/>
    <n v="0"/>
    <n v="0"/>
    <s v=""/>
    <s v=""/>
    <s v=""/>
    <s v=""/>
    <s v=""/>
    <s v=""/>
    <s v=""/>
    <s v=""/>
    <s v=""/>
    <s v=""/>
  </r>
  <r>
    <s v="Peru"/>
    <s v="Latin America and Caribbean"/>
    <s v="P078813"/>
    <s v="C1"/>
    <s v=""/>
    <s v="P078813C1"/>
    <s v="Ratio"/>
    <s v="2005 / 2014"/>
    <s v="Reconstruction"/>
    <s v=""/>
    <n v="1.0414285714285714"/>
    <m/>
    <m/>
    <n v="1.0190867185249208"/>
    <n v="0.97854691765081558"/>
    <s v=""/>
    <x v="0"/>
    <x v="0"/>
    <n v="0"/>
    <n v="0"/>
    <s v=""/>
    <s v=""/>
    <s v=""/>
    <s v=""/>
    <s v=""/>
    <s v=""/>
    <s v=""/>
    <s v=""/>
    <s v=""/>
    <s v=""/>
  </r>
  <r>
    <s v="Peru"/>
    <s v="Latin America and Caribbean"/>
    <s v="P078813"/>
    <s v="C1"/>
    <s v="S1"/>
    <s v="P078813C1S1"/>
    <s v="Ratio"/>
    <s v="2005 / 2014"/>
    <s v="Reconstruction"/>
    <s v=""/>
    <n v="0.71"/>
    <m/>
    <m/>
    <n v="0.93054545454545456"/>
    <n v="1.3106274007682457"/>
    <s v=""/>
    <x v="0"/>
    <x v="0"/>
    <n v="0"/>
    <n v="0"/>
    <s v=""/>
    <s v=""/>
    <s v=""/>
    <s v=""/>
    <s v=""/>
    <s v=""/>
    <s v=""/>
    <s v=""/>
    <s v=""/>
    <s v=""/>
  </r>
  <r>
    <s v="Peru"/>
    <s v="Latin America and Caribbean"/>
    <s v="P078813"/>
    <s v="C1"/>
    <s v="S2"/>
    <s v="P078813C1S2"/>
    <s v="Ratio"/>
    <s v="2005 / 2014"/>
    <s v="Gravel Resurfacing"/>
    <s v=""/>
    <n v="1.3114814814814815"/>
    <m/>
    <m/>
    <n v="1.4928609201480698"/>
    <n v="1.138301181700025"/>
    <s v=""/>
    <x v="0"/>
    <x v="0"/>
    <n v="0"/>
    <n v="0"/>
    <s v=""/>
    <s v=""/>
    <s v=""/>
    <s v=""/>
    <s v=""/>
    <s v=""/>
    <s v=""/>
    <s v=""/>
    <s v=""/>
    <s v=""/>
  </r>
  <r>
    <s v="Mali"/>
    <s v="Sub-Saharan Africa"/>
    <s v="P079351"/>
    <s v="C1"/>
    <s v=""/>
    <s v="P079351C1"/>
    <s v="Ratio"/>
    <s v="2004 / 2010"/>
    <s v="Asphalt Mix Resurfacing"/>
    <n v="1.2"/>
    <n v="0.42375886524822692"/>
    <m/>
    <m/>
    <n v="0.98830049261083752"/>
    <n v="2.3322237566213904"/>
    <s v="x"/>
    <x v="0"/>
    <x v="1"/>
    <n v="1"/>
    <n v="0"/>
    <s v=""/>
    <s v=""/>
    <s v=""/>
    <n v="1"/>
    <s v=""/>
    <n v="1"/>
    <s v=""/>
    <s v=""/>
    <s v=""/>
    <s v=""/>
  </r>
  <r>
    <s v="Indonesia"/>
    <s v="East Asia and Pacific"/>
    <s v="P079906"/>
    <s v="C1"/>
    <s v=""/>
    <s v="P079906C1"/>
    <s v="Ratio"/>
    <s v="2006 / 2014"/>
    <s v="Reconstruction"/>
    <s v=""/>
    <n v="0.56889165628891658"/>
    <m/>
    <m/>
    <n v="0.79664250286150318"/>
    <n v="1.4003413375022702"/>
    <s v=""/>
    <x v="0"/>
    <x v="0"/>
    <n v="0"/>
    <n v="0"/>
    <s v=""/>
    <s v=""/>
    <s v=""/>
    <s v=""/>
    <s v=""/>
    <s v=""/>
    <s v=""/>
    <s v=""/>
    <s v=""/>
    <s v=""/>
  </r>
  <r>
    <s v="Indonesia"/>
    <s v="East Asia and Pacific"/>
    <s v="P079906"/>
    <s v="C1"/>
    <s v="S1"/>
    <s v="P079906C1S1"/>
    <s v="Ratio"/>
    <s v="2006 / 2014"/>
    <s v="Strengthening"/>
    <s v=""/>
    <n v="0.7503526093088857"/>
    <m/>
    <m/>
    <n v="0.84154460719041291"/>
    <n v="1.1215321926654187"/>
    <s v=""/>
    <x v="0"/>
    <x v="0"/>
    <n v="0"/>
    <n v="0"/>
    <s v=""/>
    <s v=""/>
    <s v=""/>
    <s v=""/>
    <s v=""/>
    <s v=""/>
    <s v=""/>
    <s v=""/>
    <s v=""/>
    <s v=""/>
  </r>
  <r>
    <s v="Indonesia"/>
    <s v="East Asia and Pacific"/>
    <s v="P079906"/>
    <s v="C1"/>
    <s v="S2"/>
    <s v="P079906C1S2"/>
    <s v="Ratio"/>
    <s v="2006 / 2014"/>
    <s v="Widening"/>
    <s v=""/>
    <n v="0.82731707317073166"/>
    <m/>
    <m/>
    <n v="0.94984954864593785"/>
    <n v="1.148108239813781"/>
    <s v=""/>
    <x v="0"/>
    <x v="0"/>
    <n v="0"/>
    <n v="0"/>
    <s v=""/>
    <s v=""/>
    <s v=""/>
    <s v=""/>
    <s v=""/>
    <s v=""/>
    <s v=""/>
    <s v=""/>
    <s v=""/>
    <s v=""/>
  </r>
  <r>
    <s v="Indonesia"/>
    <s v="East Asia and Pacific"/>
    <s v="P079906"/>
    <s v="C1"/>
    <s v="S3"/>
    <s v="P079906C1S3"/>
    <s v="Ratio"/>
    <s v="2006 / 2014"/>
    <s v="New 2L Highway"/>
    <s v=""/>
    <n v="0.79273504273504281"/>
    <m/>
    <m/>
    <n v="0.81562320505456642"/>
    <n v="1.0288723988289408"/>
    <s v=""/>
    <x v="0"/>
    <x v="0"/>
    <n v="0"/>
    <n v="0"/>
    <s v=""/>
    <s v=""/>
    <s v=""/>
    <s v=""/>
    <s v=""/>
    <s v=""/>
    <s v=""/>
    <s v=""/>
    <s v=""/>
    <s v=""/>
  </r>
  <r>
    <s v="Jordan"/>
    <s v="Middle East and North Africa"/>
    <s v="P081505"/>
    <s v="C1"/>
    <s v="S1"/>
    <s v="P081505C1S1"/>
    <s v="Ratio"/>
    <s v="2004 / 2013"/>
    <s v="New 4L Highway"/>
    <s v=""/>
    <n v="1"/>
    <m/>
    <m/>
    <n v="2.6628440366972477"/>
    <n v="2.6628440366972477"/>
    <s v="x"/>
    <x v="0"/>
    <x v="0"/>
    <n v="1"/>
    <n v="0"/>
    <s v=""/>
    <n v="1"/>
    <s v=""/>
    <s v=""/>
    <s v=""/>
    <s v=""/>
    <s v=""/>
    <n v="1"/>
    <n v="1"/>
    <s v=""/>
  </r>
  <r>
    <s v="Jordan"/>
    <s v="Middle East and North Africa"/>
    <s v="P081505"/>
    <s v="C1"/>
    <s v="S2"/>
    <s v="P081505C1S2"/>
    <s v="Ratio"/>
    <s v="2004 / 2013"/>
    <s v="New 4L Highway"/>
    <s v=""/>
    <n v="1"/>
    <m/>
    <m/>
    <n v="2.2540983606557381"/>
    <n v="2.2540983606557381"/>
    <s v="x"/>
    <x v="0"/>
    <x v="0"/>
    <n v="1"/>
    <n v="0"/>
    <s v=""/>
    <n v="1"/>
    <s v=""/>
    <s v=""/>
    <s v=""/>
    <s v=""/>
    <s v=""/>
    <s v=""/>
    <n v="1"/>
    <s v=""/>
  </r>
  <r>
    <s v="Jordan"/>
    <s v="Middle East and North Africa"/>
    <s v="P081505"/>
    <s v="C1"/>
    <s v="S3"/>
    <s v="P081505C1S3"/>
    <s v="Ratio"/>
    <s v="2004 / 2013"/>
    <s v="New 4L Highway"/>
    <s v=""/>
    <n v="1"/>
    <m/>
    <m/>
    <n v="2.9766803840877913"/>
    <n v="2.9766803840877918"/>
    <s v="x"/>
    <x v="0"/>
    <x v="0"/>
    <n v="1"/>
    <n v="0"/>
    <s v=""/>
    <n v="1"/>
    <s v=""/>
    <s v=""/>
    <s v=""/>
    <s v=""/>
    <s v=""/>
    <s v=""/>
    <n v="1"/>
    <s v=""/>
  </r>
  <r>
    <s v="Paraguay"/>
    <s v="Latin America and Caribbean"/>
    <s v="P082026"/>
    <s v="C1"/>
    <s v=""/>
    <s v="P082026C1"/>
    <s v="Ratio"/>
    <s v="2006 / 2016"/>
    <s v="Strengthening"/>
    <s v=""/>
    <n v="0.64359504132231404"/>
    <m/>
    <m/>
    <n v="1.6909090909090907"/>
    <n v="2.6272873194221504"/>
    <s v="x"/>
    <x v="0"/>
    <x v="0"/>
    <n v="1"/>
    <n v="0"/>
    <s v=""/>
    <s v=""/>
    <s v=""/>
    <s v=""/>
    <s v=""/>
    <s v=""/>
    <s v=""/>
    <s v=""/>
    <n v="1"/>
    <s v=""/>
  </r>
  <r>
    <s v="Paraguay"/>
    <s v="Latin America and Caribbean"/>
    <s v="P082026"/>
    <s v="C1"/>
    <s v="S1"/>
    <s v="P082026C1S1"/>
    <s v="Ratio"/>
    <s v="2006 / 2016"/>
    <s v="Strengthening"/>
    <n v="1"/>
    <n v="1"/>
    <m/>
    <m/>
    <n v="1.1891304347826088"/>
    <n v="1.1891304347826086"/>
    <s v=""/>
    <x v="0"/>
    <x v="0"/>
    <n v="0"/>
    <n v="0"/>
    <s v=""/>
    <s v=""/>
    <s v=""/>
    <s v=""/>
    <s v=""/>
    <s v=""/>
    <s v=""/>
    <s v=""/>
    <s v=""/>
    <s v=""/>
  </r>
  <r>
    <s v="Paraguay"/>
    <s v="Latin America and Caribbean"/>
    <s v="P082026"/>
    <s v="C1"/>
    <s v="S2"/>
    <s v="P082026C1S2"/>
    <s v="Ratio"/>
    <s v="2006 / 2016"/>
    <s v="Strengthening"/>
    <n v="1"/>
    <n v="1"/>
    <m/>
    <m/>
    <n v="1.744660194174757"/>
    <n v="1.744660194174757"/>
    <s v="x"/>
    <x v="0"/>
    <x v="0"/>
    <n v="1"/>
    <n v="0"/>
    <s v=""/>
    <s v=""/>
    <s v=""/>
    <s v=""/>
    <s v=""/>
    <s v=""/>
    <s v=""/>
    <s v=""/>
    <n v="1"/>
    <s v=""/>
  </r>
  <r>
    <s v="Paraguay"/>
    <s v="Latin America and Caribbean"/>
    <s v="P082026"/>
    <s v="C1"/>
    <s v="S3"/>
    <s v="P082026C1S3"/>
    <s v="Ratio"/>
    <s v="2006 / 2016"/>
    <s v="Strengthening"/>
    <n v="1.7284069981583792"/>
    <n v="1"/>
    <m/>
    <m/>
    <n v="3.9459532710280376"/>
    <n v="3.9459532710280376"/>
    <s v="x"/>
    <x v="0"/>
    <x v="0"/>
    <n v="1"/>
    <n v="0"/>
    <s v=""/>
    <s v=""/>
    <s v=""/>
    <s v=""/>
    <s v=""/>
    <s v=""/>
    <s v=""/>
    <s v=""/>
    <n v="1"/>
    <s v=""/>
  </r>
  <r>
    <s v="Paraguay"/>
    <s v="Latin America and Caribbean"/>
    <s v="P082026"/>
    <s v="C2"/>
    <s v=""/>
    <s v="P082026C2"/>
    <s v="Ratio"/>
    <s v="2006 / 2016"/>
    <s v="Reconstruction"/>
    <s v=""/>
    <n v="0.42320213080793134"/>
    <m/>
    <m/>
    <n v="0.61398601398601405"/>
    <n v="1.4508103085725463"/>
    <s v="x"/>
    <x v="0"/>
    <x v="1"/>
    <n v="0"/>
    <n v="0"/>
    <s v=""/>
    <s v=""/>
    <s v=""/>
    <s v=""/>
    <s v=""/>
    <s v=""/>
    <s v=""/>
    <s v=""/>
    <s v=""/>
    <n v="1"/>
  </r>
  <r>
    <s v="Paraguay"/>
    <s v="Latin America and Caribbean"/>
    <s v="P082026"/>
    <s v="C2"/>
    <s v="S1"/>
    <s v="P082026C2S1"/>
    <s v="Ratio"/>
    <s v="2006 / 2016"/>
    <s v="Reconstruction"/>
    <n v="1.25"/>
    <n v="0.29358552631578949"/>
    <m/>
    <m/>
    <n v="1.4020408163265305"/>
    <n v="4.7755788029497497"/>
    <s v="x"/>
    <x v="0"/>
    <x v="1"/>
    <n v="1"/>
    <n v="0"/>
    <s v=""/>
    <s v=""/>
    <s v=""/>
    <s v=""/>
    <s v=""/>
    <s v=""/>
    <s v=""/>
    <s v=""/>
    <n v="1"/>
    <n v="1"/>
  </r>
  <r>
    <s v="Paraguay"/>
    <s v="Latin America and Caribbean"/>
    <s v="P082026"/>
    <s v="C2"/>
    <s v="S2"/>
    <s v="P082026C2S2"/>
    <s v="Ratio"/>
    <s v="2006 / 2016"/>
    <s v="Reconstruction"/>
    <n v="1.0666666666666667"/>
    <n v="0.31305114638447973"/>
    <m/>
    <m/>
    <n v="1.4738095238095239"/>
    <n v="4.7078873239436625"/>
    <s v="x"/>
    <x v="0"/>
    <x v="1"/>
    <n v="1"/>
    <n v="0"/>
    <s v=""/>
    <s v=""/>
    <s v=""/>
    <s v=""/>
    <s v=""/>
    <s v=""/>
    <s v=""/>
    <s v=""/>
    <n v="1"/>
    <n v="1"/>
  </r>
  <r>
    <s v="Paraguay"/>
    <s v="Latin America and Caribbean"/>
    <s v="P082026"/>
    <s v="C2"/>
    <s v="S3"/>
    <s v="P082026C2S3"/>
    <s v="Ratio"/>
    <s v="2006 / 2016"/>
    <s v="Reconstruction"/>
    <n v="1.8972343522561863"/>
    <n v="0.14285714285714285"/>
    <m/>
    <m/>
    <n v="0.93142857142857138"/>
    <n v="6.5200000000000005"/>
    <s v="x"/>
    <x v="0"/>
    <x v="1"/>
    <n v="1"/>
    <n v="0"/>
    <s v=""/>
    <s v=""/>
    <s v=""/>
    <s v=""/>
    <s v=""/>
    <s v=""/>
    <s v=""/>
    <s v=""/>
    <n v="1"/>
    <n v="1"/>
  </r>
  <r>
    <s v="Afghanistan"/>
    <s v="South Asia"/>
    <s v="P082472"/>
    <s v="C1"/>
    <s v=""/>
    <s v="P082472C1"/>
    <s v="Ratio"/>
    <s v="2008 / 2008"/>
    <s v="Reconstruction"/>
    <s v=""/>
    <n v="0.75834999999999997"/>
    <m/>
    <m/>
    <n v="1.0997076023391812"/>
    <n v="1.4501320001835316"/>
    <s v=""/>
    <x v="0"/>
    <x v="0"/>
    <n v="0"/>
    <n v="0"/>
    <s v=""/>
    <s v=""/>
    <s v=""/>
    <s v=""/>
    <s v=""/>
    <s v=""/>
    <s v=""/>
    <s v=""/>
    <s v=""/>
    <s v=""/>
  </r>
  <r>
    <s v="Kenya"/>
    <s v="Sub-Saharan Africa"/>
    <s v="P082615"/>
    <s v="C1"/>
    <s v="S1"/>
    <s v="P082615C1S1"/>
    <s v="Ratio"/>
    <s v="2004 / 2016"/>
    <s v="Widening and Reconstruction"/>
    <s v=""/>
    <n v="1"/>
    <m/>
    <m/>
    <n v="3.3104152484683462"/>
    <n v="3.3104152484683458"/>
    <s v="x"/>
    <x v="0"/>
    <x v="0"/>
    <n v="1"/>
    <n v="0"/>
    <n v="1"/>
    <n v="1"/>
    <n v="1"/>
    <s v=""/>
    <s v=""/>
    <s v=""/>
    <s v=""/>
    <s v=""/>
    <s v=""/>
    <s v=""/>
  </r>
  <r>
    <s v="Kenya"/>
    <s v="Sub-Saharan Africa"/>
    <s v="P082615"/>
    <s v="C1"/>
    <s v="S2"/>
    <s v="P082615C1S2"/>
    <s v="Ratio"/>
    <s v="2004 / 2016"/>
    <s v="Reconstruction"/>
    <s v=""/>
    <n v="0.6"/>
    <m/>
    <m/>
    <n v="2.3371551415263347"/>
    <n v="3.8952585692105579"/>
    <s v="x"/>
    <x v="0"/>
    <x v="0"/>
    <n v="1"/>
    <n v="0"/>
    <n v="1"/>
    <n v="1"/>
    <n v="1"/>
    <s v=""/>
    <s v=""/>
    <s v=""/>
    <s v=""/>
    <s v=""/>
    <s v=""/>
    <s v=""/>
  </r>
  <r>
    <s v="Kenya"/>
    <s v="Sub-Saharan Africa"/>
    <s v="P082615"/>
    <s v="C1"/>
    <s v="S3"/>
    <s v="P082615C1S3"/>
    <s v="Ratio"/>
    <s v="2004 / 2016"/>
    <s v="Widening"/>
    <s v=""/>
    <n v="1"/>
    <m/>
    <m/>
    <n v="3.0033836543466945"/>
    <n v="3.0033836543466941"/>
    <s v="x"/>
    <x v="0"/>
    <x v="0"/>
    <n v="1"/>
    <n v="0"/>
    <n v="1"/>
    <n v="1"/>
    <n v="1"/>
    <s v=""/>
    <s v=""/>
    <s v=""/>
    <s v=""/>
    <s v=""/>
    <s v=""/>
    <s v=""/>
  </r>
  <r>
    <s v="Kenya"/>
    <s v="Sub-Saharan Africa"/>
    <s v="P082615"/>
    <s v="C1"/>
    <s v="S4"/>
    <s v="P082615C1S4"/>
    <s v="Ratio"/>
    <s v="2004 / 2016"/>
    <s v="Reconstruction"/>
    <s v=""/>
    <n v="1.0309278350515463"/>
    <m/>
    <m/>
    <n v="3.3933136676499505"/>
    <n v="3.2915142576204519"/>
    <s v="x"/>
    <x v="0"/>
    <x v="0"/>
    <n v="1"/>
    <n v="0"/>
    <n v="1"/>
    <n v="1"/>
    <n v="1"/>
    <s v=""/>
    <s v=""/>
    <s v=""/>
    <s v=""/>
    <s v=""/>
    <s v=""/>
    <s v=""/>
  </r>
  <r>
    <s v="Kenya"/>
    <s v="Sub-Saharan Africa"/>
    <s v="P082615"/>
    <s v="C1"/>
    <s v="S5"/>
    <s v="P082615C1S5"/>
    <s v="Ratio"/>
    <s v="2004 / 2016"/>
    <s v="Reconstruction"/>
    <s v=""/>
    <n v="0.91724137931034477"/>
    <m/>
    <m/>
    <n v="3.7055903302395858"/>
    <n v="4.0399293074040594"/>
    <s v="x"/>
    <x v="0"/>
    <x v="0"/>
    <n v="1"/>
    <n v="0"/>
    <n v="1"/>
    <n v="1"/>
    <n v="1"/>
    <s v=""/>
    <s v=""/>
    <s v=""/>
    <s v=""/>
    <s v=""/>
    <s v=""/>
    <s v=""/>
  </r>
  <r>
    <s v="Georgia"/>
    <s v="Europe and Central Asia"/>
    <s v="P083110"/>
    <s v="C1"/>
    <s v=""/>
    <s v="P083110C1"/>
    <s v="Ratio"/>
    <s v="2006 / 2013"/>
    <s v="Widening and Reconstruction"/>
    <s v=""/>
    <n v="1.0655737704918034"/>
    <m/>
    <m/>
    <n v="1.1477707006369426"/>
    <n v="1.0771386575208231"/>
    <s v=""/>
    <x v="0"/>
    <x v="0"/>
    <n v="0"/>
    <n v="0"/>
    <s v=""/>
    <s v=""/>
    <s v=""/>
    <s v=""/>
    <s v=""/>
    <s v=""/>
    <s v=""/>
    <s v=""/>
    <s v=""/>
    <s v=""/>
  </r>
  <r>
    <s v="Lao PDR"/>
    <s v="East Asia and Pacific"/>
    <s v="P083543"/>
    <s v="C1"/>
    <s v=""/>
    <s v="P083543C1"/>
    <s v="Ratio"/>
    <s v="2004 / 2012"/>
    <s v="Routine Maintenance"/>
    <n v="1.263157894736842"/>
    <n v="0.68350538106742809"/>
    <m/>
    <m/>
    <n v="1.8259325044404975"/>
    <n v="2.6714237444465243"/>
    <s v="x"/>
    <x v="0"/>
    <x v="0"/>
    <n v="1"/>
    <n v="0"/>
    <s v=""/>
    <n v="1"/>
    <n v="1"/>
    <s v=""/>
    <s v=""/>
    <s v=""/>
    <s v=""/>
    <s v=""/>
    <s v=""/>
    <s v=""/>
  </r>
  <r>
    <s v="Lao PDR"/>
    <s v="East Asia and Pacific"/>
    <s v="P083543"/>
    <s v="C1"/>
    <s v="S1"/>
    <s v="P083543C1S1"/>
    <s v="Ratio"/>
    <s v="2004 / 2011"/>
    <s v="Surface Treatment Resurfacing"/>
    <n v="1"/>
    <n v="1"/>
    <m/>
    <m/>
    <n v="1.0076083333333334"/>
    <n v="1.0076083333333334"/>
    <s v=""/>
    <x v="0"/>
    <x v="0"/>
    <n v="0"/>
    <n v="0"/>
    <s v=""/>
    <s v=""/>
    <s v=""/>
    <s v=""/>
    <s v=""/>
    <s v=""/>
    <s v=""/>
    <s v=""/>
    <s v=""/>
    <s v=""/>
  </r>
  <r>
    <s v="Lao PDR"/>
    <s v="East Asia and Pacific"/>
    <s v="P083543"/>
    <s v="C1"/>
    <s v="S10"/>
    <s v="P083543C1S10"/>
    <s v="Ratio"/>
    <s v="2004 / 2011"/>
    <s v="Asphalt Mix Resurfacing"/>
    <n v="1"/>
    <n v="1"/>
    <m/>
    <m/>
    <n v="1.1642465753424658"/>
    <n v="1.1642465753424658"/>
    <s v=""/>
    <x v="0"/>
    <x v="0"/>
    <n v="0"/>
    <n v="0"/>
    <s v=""/>
    <s v=""/>
    <s v=""/>
    <s v=""/>
    <s v=""/>
    <s v=""/>
    <s v=""/>
    <s v=""/>
    <s v=""/>
    <s v=""/>
  </r>
  <r>
    <s v="Lao PDR"/>
    <s v="East Asia and Pacific"/>
    <s v="P083543"/>
    <s v="C1"/>
    <s v="S11"/>
    <s v="P083543C1S11"/>
    <s v="Ratio"/>
    <s v="2004 / 2011"/>
    <s v="Surface Treatment Resurfacing"/>
    <n v="1"/>
    <n v="1"/>
    <m/>
    <m/>
    <n v="0.82405555555555554"/>
    <n v="0.82405555555555543"/>
    <s v=""/>
    <x v="0"/>
    <x v="0"/>
    <n v="0"/>
    <n v="0"/>
    <s v=""/>
    <s v=""/>
    <s v=""/>
    <s v=""/>
    <s v=""/>
    <s v=""/>
    <s v=""/>
    <s v=""/>
    <s v=""/>
    <s v=""/>
  </r>
  <r>
    <s v="Lao PDR"/>
    <s v="East Asia and Pacific"/>
    <s v="P083543"/>
    <s v="C1"/>
    <s v="S12"/>
    <s v="P083543C1S12"/>
    <s v="Ratio"/>
    <s v="2004 / 2011"/>
    <s v="Surface Treatment Resurfacing"/>
    <n v="1"/>
    <n v="1"/>
    <m/>
    <m/>
    <n v="0.68967999999999996"/>
    <n v="0.68968000000000007"/>
    <s v=""/>
    <x v="0"/>
    <x v="0"/>
    <n v="0"/>
    <n v="0"/>
    <s v=""/>
    <s v=""/>
    <s v=""/>
    <s v=""/>
    <s v=""/>
    <s v=""/>
    <s v=""/>
    <s v=""/>
    <s v=""/>
    <s v=""/>
  </r>
  <r>
    <s v="Lao PDR"/>
    <s v="East Asia and Pacific"/>
    <s v="P083543"/>
    <s v="C1"/>
    <s v="S13"/>
    <s v="P083543C1S13"/>
    <s v="Ratio"/>
    <s v="2004 / 2011"/>
    <s v="Asphalt Mix Resurfacing"/>
    <n v="1"/>
    <n v="1"/>
    <m/>
    <m/>
    <n v="0.76888499999999993"/>
    <n v="0.76888499999999993"/>
    <s v=""/>
    <x v="0"/>
    <x v="0"/>
    <n v="0"/>
    <n v="0"/>
    <s v=""/>
    <s v=""/>
    <s v=""/>
    <s v=""/>
    <s v=""/>
    <s v=""/>
    <s v=""/>
    <s v=""/>
    <s v=""/>
    <s v=""/>
  </r>
  <r>
    <s v="Lao PDR"/>
    <s v="East Asia and Pacific"/>
    <s v="P083543"/>
    <s v="C1"/>
    <s v="S14"/>
    <s v="P083543C1S14"/>
    <s v="Ratio"/>
    <s v="2004 / 2011"/>
    <s v="Gravel Resurfacing"/>
    <n v="1"/>
    <n v="1"/>
    <m/>
    <m/>
    <n v="0.72873529411764693"/>
    <n v="0.72873529411764693"/>
    <s v=""/>
    <x v="0"/>
    <x v="0"/>
    <n v="0"/>
    <n v="0"/>
    <s v=""/>
    <s v=""/>
    <s v=""/>
    <s v=""/>
    <s v=""/>
    <s v=""/>
    <s v=""/>
    <s v=""/>
    <s v=""/>
    <s v=""/>
  </r>
  <r>
    <s v="Lao PDR"/>
    <s v="East Asia and Pacific"/>
    <s v="P083543"/>
    <s v="C1"/>
    <s v="S15"/>
    <s v="P083543C1S15"/>
    <s v="Ratio"/>
    <s v="2004 / 2011"/>
    <s v="Gravel Resurfacing"/>
    <n v="1"/>
    <n v="1"/>
    <m/>
    <m/>
    <n v="1.1428083333333334"/>
    <n v="1.1428083333333334"/>
    <s v=""/>
    <x v="0"/>
    <x v="0"/>
    <n v="0"/>
    <n v="0"/>
    <s v=""/>
    <s v=""/>
    <s v=""/>
    <s v=""/>
    <s v=""/>
    <s v=""/>
    <s v=""/>
    <s v=""/>
    <s v=""/>
    <s v=""/>
  </r>
  <r>
    <s v="Lao PDR"/>
    <s v="East Asia and Pacific"/>
    <s v="P083543"/>
    <s v="C1"/>
    <s v="S16"/>
    <s v="P083543C1S16"/>
    <s v="Ratio"/>
    <s v="2004 / 2011"/>
    <s v="Gravel Resurfacing"/>
    <n v="1"/>
    <n v="1"/>
    <m/>
    <m/>
    <n v="1.0186885714285714"/>
    <n v="1.0186885714285714"/>
    <s v=""/>
    <x v="0"/>
    <x v="0"/>
    <n v="0"/>
    <n v="0"/>
    <s v=""/>
    <s v=""/>
    <s v=""/>
    <s v=""/>
    <s v=""/>
    <s v=""/>
    <s v=""/>
    <s v=""/>
    <s v=""/>
    <s v=""/>
  </r>
  <r>
    <s v="Lao PDR"/>
    <s v="East Asia and Pacific"/>
    <s v="P083543"/>
    <s v="C1"/>
    <s v="S17"/>
    <s v="P083543C1S17"/>
    <s v="Ratio"/>
    <s v="2004 / 2011"/>
    <s v="Asphalt Mix Resurfacing"/>
    <n v="1"/>
    <n v="1"/>
    <m/>
    <m/>
    <n v="0.83362083333333337"/>
    <n v="0.83362083333333326"/>
    <s v=""/>
    <x v="0"/>
    <x v="0"/>
    <n v="0"/>
    <n v="0"/>
    <s v=""/>
    <s v=""/>
    <s v=""/>
    <s v=""/>
    <s v=""/>
    <s v=""/>
    <s v=""/>
    <s v=""/>
    <s v=""/>
    <s v=""/>
  </r>
  <r>
    <s v="Lao PDR"/>
    <s v="East Asia and Pacific"/>
    <s v="P083543"/>
    <s v="C1"/>
    <s v="S18"/>
    <s v="P083543C1S18"/>
    <s v="Ratio"/>
    <s v="2004 / 2011"/>
    <s v="Surface Treatment Resurfacing"/>
    <n v="1"/>
    <n v="1"/>
    <m/>
    <m/>
    <n v="0.88611333333333342"/>
    <n v="0.88611333333333342"/>
    <s v=""/>
    <x v="0"/>
    <x v="0"/>
    <n v="0"/>
    <n v="0"/>
    <s v=""/>
    <s v=""/>
    <s v=""/>
    <s v=""/>
    <s v=""/>
    <s v=""/>
    <s v=""/>
    <s v=""/>
    <s v=""/>
    <s v=""/>
  </r>
  <r>
    <s v="Lao PDR"/>
    <s v="East Asia and Pacific"/>
    <s v="P083543"/>
    <s v="C1"/>
    <s v="S19"/>
    <s v="P083543C1S19"/>
    <s v="Ratio"/>
    <s v="2004 / 2011"/>
    <s v="Gravel Resurfacing"/>
    <n v="1"/>
    <n v="1"/>
    <m/>
    <m/>
    <n v="1.5803119999999999"/>
    <n v="1.5803119999999999"/>
    <s v="x"/>
    <x v="0"/>
    <x v="0"/>
    <n v="1"/>
    <n v="0"/>
    <s v=""/>
    <n v="1"/>
    <n v="1"/>
    <s v=""/>
    <s v=""/>
    <s v=""/>
    <s v=""/>
    <s v=""/>
    <s v=""/>
    <s v=""/>
  </r>
  <r>
    <s v="Lao PDR"/>
    <s v="East Asia and Pacific"/>
    <s v="P083543"/>
    <s v="C1"/>
    <s v="S2"/>
    <s v="P083543C1S2"/>
    <s v="Ratio"/>
    <s v="2004 / 2011"/>
    <s v="Asphalt Mix Resurfacing"/>
    <n v="1"/>
    <n v="1"/>
    <m/>
    <m/>
    <n v="1.0940676470588235"/>
    <n v="1.0940676470588235"/>
    <s v=""/>
    <x v="0"/>
    <x v="0"/>
    <n v="0"/>
    <n v="0"/>
    <s v=""/>
    <s v=""/>
    <s v=""/>
    <s v=""/>
    <s v=""/>
    <s v=""/>
    <s v=""/>
    <s v=""/>
    <s v=""/>
    <s v=""/>
  </r>
  <r>
    <s v="Lao PDR"/>
    <s v="East Asia and Pacific"/>
    <s v="P083543"/>
    <s v="C1"/>
    <s v="S20"/>
    <s v="P083543C1S20"/>
    <s v="Ratio"/>
    <s v="2004 / 2011"/>
    <s v="Surface Treatment Resurfacing"/>
    <n v="1"/>
    <n v="1"/>
    <m/>
    <m/>
    <n v="0.62789259259259256"/>
    <n v="0.62789259259259256"/>
    <s v=""/>
    <x v="0"/>
    <x v="0"/>
    <n v="0"/>
    <n v="0"/>
    <s v=""/>
    <s v=""/>
    <s v=""/>
    <s v=""/>
    <s v=""/>
    <s v=""/>
    <s v=""/>
    <s v=""/>
    <s v=""/>
    <s v=""/>
  </r>
  <r>
    <s v="Lao PDR"/>
    <s v="East Asia and Pacific"/>
    <s v="P083543"/>
    <s v="C1"/>
    <s v="S21"/>
    <s v="P083543C1S21"/>
    <s v="Ratio"/>
    <s v="2004 / 2011"/>
    <s v="Gravel Resurfacing"/>
    <n v="1"/>
    <n v="1"/>
    <m/>
    <m/>
    <n v="0.59084999999999999"/>
    <n v="0.59084999999999999"/>
    <s v=""/>
    <x v="0"/>
    <x v="0"/>
    <n v="0"/>
    <n v="0"/>
    <s v=""/>
    <s v=""/>
    <s v=""/>
    <s v=""/>
    <s v=""/>
    <s v=""/>
    <s v=""/>
    <s v=""/>
    <s v=""/>
    <s v=""/>
  </r>
  <r>
    <s v="Lao PDR"/>
    <s v="East Asia and Pacific"/>
    <s v="P083543"/>
    <s v="C1"/>
    <s v="S22"/>
    <s v="P083543C1S22"/>
    <s v="Ratio"/>
    <s v="2004 / 2011"/>
    <s v="Asphalt Mix Resurfacing"/>
    <n v="1"/>
    <n v="1"/>
    <m/>
    <m/>
    <n v="0.76255757575757566"/>
    <n v="0.76255757575757566"/>
    <s v=""/>
    <x v="0"/>
    <x v="0"/>
    <n v="0"/>
    <n v="0"/>
    <s v=""/>
    <s v=""/>
    <s v=""/>
    <s v=""/>
    <s v=""/>
    <s v=""/>
    <s v=""/>
    <s v=""/>
    <s v=""/>
    <s v=""/>
  </r>
  <r>
    <s v="Lao PDR"/>
    <s v="East Asia and Pacific"/>
    <s v="P083543"/>
    <s v="C1"/>
    <s v="S23"/>
    <s v="P083543C1S23"/>
    <s v="Ratio"/>
    <s v="2004 / 2011"/>
    <s v="Surface Treatment Resurfacing"/>
    <n v="1"/>
    <n v="1"/>
    <m/>
    <m/>
    <n v="0.82217999999999991"/>
    <n v="0.82217999999999991"/>
    <s v=""/>
    <x v="0"/>
    <x v="0"/>
    <n v="0"/>
    <n v="0"/>
    <s v=""/>
    <s v=""/>
    <s v=""/>
    <s v=""/>
    <s v=""/>
    <s v=""/>
    <s v=""/>
    <s v=""/>
    <s v=""/>
    <s v=""/>
  </r>
  <r>
    <s v="Lao PDR"/>
    <s v="East Asia and Pacific"/>
    <s v="P083543"/>
    <s v="C1"/>
    <s v="S24"/>
    <s v="P083543C1S24"/>
    <s v="Ratio"/>
    <s v="2004 / 2011"/>
    <s v="Gravel Resurfacing"/>
    <n v="1"/>
    <n v="1"/>
    <m/>
    <m/>
    <n v="0.81637999999999999"/>
    <n v="0.81637999999999999"/>
    <s v=""/>
    <x v="0"/>
    <x v="0"/>
    <n v="0"/>
    <n v="0"/>
    <s v=""/>
    <s v=""/>
    <s v=""/>
    <s v=""/>
    <s v=""/>
    <s v=""/>
    <s v=""/>
    <s v=""/>
    <s v=""/>
    <s v=""/>
  </r>
  <r>
    <s v="Lao PDR"/>
    <s v="East Asia and Pacific"/>
    <s v="P083543"/>
    <s v="C1"/>
    <s v="S25"/>
    <s v="P083543C1S25"/>
    <s v="Ratio"/>
    <s v="2004 / 2011"/>
    <s v="Gravel Resurfacing"/>
    <n v="1"/>
    <n v="1"/>
    <m/>
    <m/>
    <n v="0.53620499999999993"/>
    <n v="0.53620499999999993"/>
    <s v=""/>
    <x v="0"/>
    <x v="0"/>
    <n v="0"/>
    <n v="0"/>
    <s v=""/>
    <s v=""/>
    <s v=""/>
    <s v=""/>
    <s v=""/>
    <s v=""/>
    <s v=""/>
    <s v=""/>
    <s v=""/>
    <s v=""/>
  </r>
  <r>
    <s v="Lao PDR"/>
    <s v="East Asia and Pacific"/>
    <s v="P083543"/>
    <s v="C1"/>
    <s v="S26"/>
    <s v="P083543C1S26"/>
    <s v="Ratio"/>
    <s v="2004 / 2011"/>
    <s v="Surface Treatment Resurfacing"/>
    <n v="1"/>
    <n v="1"/>
    <m/>
    <m/>
    <n v="1.0122142857142857"/>
    <n v="1.0122142857142857"/>
    <s v=""/>
    <x v="0"/>
    <x v="0"/>
    <n v="0"/>
    <n v="0"/>
    <s v=""/>
    <s v=""/>
    <s v=""/>
    <s v=""/>
    <s v=""/>
    <s v=""/>
    <s v=""/>
    <s v=""/>
    <s v=""/>
    <s v=""/>
  </r>
  <r>
    <s v="Lao PDR"/>
    <s v="East Asia and Pacific"/>
    <s v="P083543"/>
    <s v="C1"/>
    <s v="S27"/>
    <s v="P083543C1S27"/>
    <s v="Ratio"/>
    <s v="2004 / 2011"/>
    <s v="Gravel Resurfacing"/>
    <n v="1"/>
    <n v="1"/>
    <m/>
    <m/>
    <n v="1.1431285714285715"/>
    <n v="1.1431285714285715"/>
    <s v=""/>
    <x v="0"/>
    <x v="0"/>
    <n v="0"/>
    <n v="0"/>
    <s v=""/>
    <s v=""/>
    <s v=""/>
    <s v=""/>
    <s v=""/>
    <s v=""/>
    <s v=""/>
    <s v=""/>
    <s v=""/>
    <s v=""/>
  </r>
  <r>
    <s v="Lao PDR"/>
    <s v="East Asia and Pacific"/>
    <s v="P083543"/>
    <s v="C1"/>
    <s v="S28"/>
    <s v="P083543C1S28"/>
    <s v="Ratio"/>
    <s v="2004 / 2011"/>
    <s v="Gravel Resurfacing"/>
    <n v="1"/>
    <n v="1"/>
    <m/>
    <m/>
    <n v="2.0662970662970661"/>
    <n v="2.0662970662970661"/>
    <s v="x"/>
    <x v="0"/>
    <x v="0"/>
    <n v="1"/>
    <n v="0"/>
    <s v=""/>
    <n v="1"/>
    <n v="1"/>
    <s v=""/>
    <s v=""/>
    <s v=""/>
    <s v=""/>
    <s v=""/>
    <s v=""/>
    <s v=""/>
  </r>
  <r>
    <s v="Lao PDR"/>
    <s v="East Asia and Pacific"/>
    <s v="P083543"/>
    <s v="C1"/>
    <s v="S29"/>
    <s v="P083543C1S29"/>
    <s v="Ratio"/>
    <s v="2004 / 2011"/>
    <s v="Gravel Resurfacing"/>
    <n v="1"/>
    <n v="1"/>
    <m/>
    <m/>
    <n v="2.3544362292051755"/>
    <n v="2.3544362292051755"/>
    <s v="x"/>
    <x v="0"/>
    <x v="0"/>
    <n v="1"/>
    <n v="0"/>
    <s v=""/>
    <n v="1"/>
    <n v="1"/>
    <s v=""/>
    <s v=""/>
    <s v=""/>
    <s v=""/>
    <s v=""/>
    <s v=""/>
    <s v=""/>
  </r>
  <r>
    <s v="Lao PDR"/>
    <s v="East Asia and Pacific"/>
    <s v="P083543"/>
    <s v="C1"/>
    <s v="S3"/>
    <s v="P083543C1S3"/>
    <s v="Ratio"/>
    <s v="2004 / 2011"/>
    <s v="Gravel Resurfacing"/>
    <n v="1"/>
    <n v="1"/>
    <m/>
    <m/>
    <n v="0.59000714285714273"/>
    <n v="0.59000714285714273"/>
    <s v=""/>
    <x v="0"/>
    <x v="0"/>
    <n v="0"/>
    <n v="0"/>
    <s v=""/>
    <s v=""/>
    <s v=""/>
    <s v=""/>
    <s v=""/>
    <s v=""/>
    <s v=""/>
    <s v=""/>
    <s v=""/>
    <s v=""/>
  </r>
  <r>
    <s v="Lao PDR"/>
    <s v="East Asia and Pacific"/>
    <s v="P083543"/>
    <s v="C1"/>
    <s v="S30"/>
    <s v="P083543C1S30"/>
    <s v="Ratio"/>
    <s v="2004 / 2011"/>
    <s v="Gravel Resurfacing"/>
    <n v="1"/>
    <n v="1"/>
    <m/>
    <m/>
    <n v="0.81465218396117411"/>
    <n v="0.81465218396117411"/>
    <s v=""/>
    <x v="0"/>
    <x v="0"/>
    <n v="0"/>
    <n v="0"/>
    <s v=""/>
    <s v=""/>
    <s v=""/>
    <s v=""/>
    <s v=""/>
    <s v=""/>
    <s v=""/>
    <s v=""/>
    <s v=""/>
    <s v=""/>
  </r>
  <r>
    <s v="Lao PDR"/>
    <s v="East Asia and Pacific"/>
    <s v="P083543"/>
    <s v="C1"/>
    <s v="S31"/>
    <s v="P083543C1S31"/>
    <s v="Ratio"/>
    <s v="2004 / 2011"/>
    <s v="Gravel Resurfacing"/>
    <n v="1"/>
    <n v="1"/>
    <m/>
    <m/>
    <n v="0.8345656192236599"/>
    <n v="0.8345656192236599"/>
    <s v=""/>
    <x v="0"/>
    <x v="0"/>
    <n v="0"/>
    <n v="0"/>
    <s v=""/>
    <s v=""/>
    <s v=""/>
    <s v=""/>
    <s v=""/>
    <s v=""/>
    <s v=""/>
    <s v=""/>
    <s v=""/>
    <s v=""/>
  </r>
  <r>
    <s v="Lao PDR"/>
    <s v="East Asia and Pacific"/>
    <s v="P083543"/>
    <s v="C1"/>
    <s v="S32"/>
    <s v="P083543C1S32"/>
    <s v="Ratio"/>
    <s v="2004 / 2011"/>
    <s v="Gravel Resurfacing"/>
    <n v="1"/>
    <n v="1"/>
    <m/>
    <m/>
    <n v="1.1799907578558224"/>
    <n v="1.1799907578558224"/>
    <s v=""/>
    <x v="0"/>
    <x v="0"/>
    <n v="0"/>
    <n v="0"/>
    <s v=""/>
    <s v=""/>
    <s v=""/>
    <s v=""/>
    <s v=""/>
    <s v=""/>
    <s v=""/>
    <s v=""/>
    <s v=""/>
    <s v=""/>
  </r>
  <r>
    <s v="Lao PDR"/>
    <s v="East Asia and Pacific"/>
    <s v="P083543"/>
    <s v="C1"/>
    <s v="S33"/>
    <s v="P083543C1S33"/>
    <s v="Ratio"/>
    <s v="2004 / 2011"/>
    <s v="Gravel Resurfacing"/>
    <n v="1"/>
    <n v="1"/>
    <m/>
    <m/>
    <n v="1.09865988909427"/>
    <n v="1.0986598890942703"/>
    <s v=""/>
    <x v="0"/>
    <x v="0"/>
    <n v="0"/>
    <n v="0"/>
    <s v=""/>
    <s v=""/>
    <s v=""/>
    <s v=""/>
    <s v=""/>
    <s v=""/>
    <s v=""/>
    <s v=""/>
    <s v=""/>
    <s v=""/>
  </r>
  <r>
    <s v="Lao PDR"/>
    <s v="East Asia and Pacific"/>
    <s v="P083543"/>
    <s v="C1"/>
    <s v="S34"/>
    <s v="P083543C1S34"/>
    <s v="Ratio"/>
    <s v="2004 / 2011"/>
    <s v="Gravel Resurfacing"/>
    <n v="1"/>
    <n v="1"/>
    <m/>
    <m/>
    <n v="1.5946383175410215"/>
    <n v="1.5946383175410215"/>
    <s v="x"/>
    <x v="0"/>
    <x v="0"/>
    <n v="1"/>
    <n v="0"/>
    <s v=""/>
    <n v="1"/>
    <n v="1"/>
    <s v=""/>
    <s v=""/>
    <s v=""/>
    <s v=""/>
    <s v=""/>
    <s v=""/>
    <s v=""/>
  </r>
  <r>
    <s v="Lao PDR"/>
    <s v="East Asia and Pacific"/>
    <s v="P083543"/>
    <s v="C1"/>
    <s v="S35"/>
    <s v="P083543C1S35"/>
    <s v="Ratio"/>
    <s v="2004 / 2011"/>
    <s v="Gravel Resurfacing"/>
    <n v="1"/>
    <n v="1"/>
    <m/>
    <m/>
    <n v="1.1494571494571493"/>
    <n v="1.1494571494571493"/>
    <s v=""/>
    <x v="0"/>
    <x v="0"/>
    <n v="0"/>
    <n v="0"/>
    <s v=""/>
    <s v=""/>
    <s v=""/>
    <s v=""/>
    <s v=""/>
    <s v=""/>
    <s v=""/>
    <s v=""/>
    <s v=""/>
    <s v=""/>
  </r>
  <r>
    <s v="Lao PDR"/>
    <s v="East Asia and Pacific"/>
    <s v="P083543"/>
    <s v="C1"/>
    <s v="S36"/>
    <s v="P083543C1S36"/>
    <s v="Ratio"/>
    <s v="2004 / 2011"/>
    <s v="Gravel Resurfacing"/>
    <n v="1"/>
    <n v="1"/>
    <m/>
    <m/>
    <n v="0.99352900392881893"/>
    <n v="0.99352900392881882"/>
    <s v=""/>
    <x v="0"/>
    <x v="0"/>
    <n v="0"/>
    <n v="0"/>
    <s v=""/>
    <s v=""/>
    <s v=""/>
    <s v=""/>
    <s v=""/>
    <s v=""/>
    <s v=""/>
    <s v=""/>
    <s v=""/>
    <s v=""/>
  </r>
  <r>
    <s v="Lao PDR"/>
    <s v="East Asia and Pacific"/>
    <s v="P083543"/>
    <s v="C1"/>
    <s v="S37"/>
    <s v="P083543C1S37"/>
    <s v="Ratio"/>
    <s v="2004 / 2011"/>
    <s v="Asphalt Mix Resurfacing"/>
    <n v="1"/>
    <n v="1"/>
    <m/>
    <m/>
    <n v="1.0084028382920454"/>
    <n v="1.0084028382920454"/>
    <s v=""/>
    <x v="0"/>
    <x v="0"/>
    <n v="0"/>
    <n v="0"/>
    <s v=""/>
    <s v=""/>
    <s v=""/>
    <s v=""/>
    <s v=""/>
    <s v=""/>
    <s v=""/>
    <s v=""/>
    <s v=""/>
    <s v=""/>
  </r>
  <r>
    <s v="Lao PDR"/>
    <s v="East Asia and Pacific"/>
    <s v="P083543"/>
    <s v="C1"/>
    <s v="S38"/>
    <s v="P083543C1S38"/>
    <s v="Ratio"/>
    <s v="2004 / 2011"/>
    <s v="Gravel Resurfacing"/>
    <n v="1"/>
    <n v="1"/>
    <m/>
    <m/>
    <n v="1.4136973623322537"/>
    <n v="1.4136973623322537"/>
    <s v=""/>
    <x v="0"/>
    <x v="0"/>
    <n v="0"/>
    <n v="0"/>
    <s v=""/>
    <s v=""/>
    <s v=""/>
    <s v=""/>
    <s v=""/>
    <s v=""/>
    <s v=""/>
    <s v=""/>
    <s v=""/>
    <s v=""/>
  </r>
  <r>
    <s v="Lao PDR"/>
    <s v="East Asia and Pacific"/>
    <s v="P083543"/>
    <s v="C1"/>
    <s v="S39"/>
    <s v="P083543C1S39"/>
    <s v="Ratio"/>
    <s v="2004 / 2011"/>
    <s v="Gravel Resurfacing"/>
    <n v="1"/>
    <n v="1"/>
    <m/>
    <m/>
    <n v="1.2760055478502081"/>
    <n v="1.2760055478502079"/>
    <s v=""/>
    <x v="0"/>
    <x v="0"/>
    <n v="0"/>
    <n v="0"/>
    <s v=""/>
    <s v=""/>
    <s v=""/>
    <s v=""/>
    <s v=""/>
    <s v=""/>
    <s v=""/>
    <s v=""/>
    <s v=""/>
    <s v=""/>
  </r>
  <r>
    <s v="Lao PDR"/>
    <s v="East Asia and Pacific"/>
    <s v="P083543"/>
    <s v="C1"/>
    <s v="S4"/>
    <s v="P083543C1S4"/>
    <s v="Ratio"/>
    <s v="2004 / 2011"/>
    <s v="Surface Treatment Resurfacing"/>
    <n v="1"/>
    <n v="1"/>
    <m/>
    <m/>
    <n v="1.449086956521739"/>
    <n v="1.449086956521739"/>
    <s v=""/>
    <x v="0"/>
    <x v="0"/>
    <n v="0"/>
    <n v="0"/>
    <s v=""/>
    <s v=""/>
    <s v=""/>
    <s v=""/>
    <s v=""/>
    <s v=""/>
    <s v=""/>
    <s v=""/>
    <s v=""/>
    <s v=""/>
  </r>
  <r>
    <s v="Lao PDR"/>
    <s v="East Asia and Pacific"/>
    <s v="P083543"/>
    <s v="C1"/>
    <s v="S40"/>
    <s v="P083543C1S40"/>
    <s v="Ratio"/>
    <s v="2004 / 2011"/>
    <s v="Gravel Resurfacing"/>
    <n v="1"/>
    <n v="1"/>
    <m/>
    <m/>
    <n v="1.30998613037448"/>
    <n v="1.30998613037448"/>
    <s v=""/>
    <x v="0"/>
    <x v="0"/>
    <n v="0"/>
    <n v="0"/>
    <s v=""/>
    <s v=""/>
    <s v=""/>
    <s v=""/>
    <s v=""/>
    <s v=""/>
    <s v=""/>
    <s v=""/>
    <s v=""/>
    <s v=""/>
  </r>
  <r>
    <s v="Lao PDR"/>
    <s v="East Asia and Pacific"/>
    <s v="P083543"/>
    <s v="C1"/>
    <s v="S5"/>
    <s v="P083543C1S5"/>
    <s v="Ratio"/>
    <s v="2004 / 2011"/>
    <s v="Surface Treatment Resurfacing"/>
    <n v="1"/>
    <n v="1"/>
    <m/>
    <m/>
    <n v="1.0424529411764707"/>
    <n v="1.0424529411764707"/>
    <s v=""/>
    <x v="0"/>
    <x v="0"/>
    <n v="0"/>
    <n v="0"/>
    <s v=""/>
    <s v=""/>
    <s v=""/>
    <s v=""/>
    <s v=""/>
    <s v=""/>
    <s v=""/>
    <s v=""/>
    <s v=""/>
    <s v=""/>
  </r>
  <r>
    <s v="Lao PDR"/>
    <s v="East Asia and Pacific"/>
    <s v="P083543"/>
    <s v="C1"/>
    <s v="S6"/>
    <s v="P083543C1S6"/>
    <s v="Ratio"/>
    <s v="2004 / 2011"/>
    <s v="Asphalt Mix Resurfacing"/>
    <n v="1"/>
    <n v="1"/>
    <m/>
    <m/>
    <n v="1.1105878787878787"/>
    <n v="1.1105878787878787"/>
    <s v=""/>
    <x v="0"/>
    <x v="0"/>
    <n v="0"/>
    <n v="0"/>
    <s v=""/>
    <s v=""/>
    <s v=""/>
    <s v=""/>
    <s v=""/>
    <s v=""/>
    <s v=""/>
    <s v=""/>
    <s v=""/>
    <s v=""/>
  </r>
  <r>
    <s v="Lao PDR"/>
    <s v="East Asia and Pacific"/>
    <s v="P083543"/>
    <s v="C1"/>
    <s v="S7"/>
    <s v="P083543C1S7"/>
    <s v="Ratio"/>
    <s v="2004 / 2011"/>
    <s v="Gravel Resurfacing"/>
    <n v="1"/>
    <n v="1"/>
    <m/>
    <m/>
    <n v="0.75434000000000001"/>
    <n v="0.75434000000000001"/>
    <s v=""/>
    <x v="0"/>
    <x v="0"/>
    <n v="0"/>
    <n v="0"/>
    <s v=""/>
    <s v=""/>
    <s v=""/>
    <s v=""/>
    <s v=""/>
    <s v=""/>
    <s v=""/>
    <s v=""/>
    <s v=""/>
    <s v=""/>
  </r>
  <r>
    <s v="Lao PDR"/>
    <s v="East Asia and Pacific"/>
    <s v="P083543"/>
    <s v="C1"/>
    <s v="S8"/>
    <s v="P083543C1S8"/>
    <s v="Ratio"/>
    <s v="2004 / 2011"/>
    <s v="Gravel Resurfacing"/>
    <n v="1"/>
    <n v="1"/>
    <m/>
    <m/>
    <n v="0.871888"/>
    <n v="0.871888"/>
    <s v=""/>
    <x v="0"/>
    <x v="0"/>
    <n v="0"/>
    <n v="0"/>
    <s v=""/>
    <s v=""/>
    <s v=""/>
    <s v=""/>
    <s v=""/>
    <s v=""/>
    <s v=""/>
    <s v=""/>
    <s v=""/>
    <s v=""/>
  </r>
  <r>
    <s v="Lao PDR"/>
    <s v="East Asia and Pacific"/>
    <s v="P083543"/>
    <s v="C1"/>
    <s v="S9"/>
    <s v="P083543C1S9"/>
    <s v="Ratio"/>
    <s v="2004 / 2011"/>
    <s v="Gravel Resurfacing"/>
    <n v="1"/>
    <n v="1"/>
    <m/>
    <m/>
    <n v="1.0147549999999999"/>
    <n v="1.0147549999999999"/>
    <s v=""/>
    <x v="0"/>
    <x v="0"/>
    <n v="0"/>
    <n v="0"/>
    <s v=""/>
    <s v=""/>
    <s v=""/>
    <s v=""/>
    <s v=""/>
    <s v=""/>
    <s v=""/>
    <s v=""/>
    <s v=""/>
    <s v=""/>
  </r>
  <r>
    <s v="Georgia"/>
    <s v="Europe and Central Asia"/>
    <s v="P086277"/>
    <s v="C1"/>
    <s v=""/>
    <s v="P086277C1"/>
    <s v="Ratio"/>
    <s v="2004 / 2013"/>
    <s v="Strengthening"/>
    <n v="1.28125"/>
    <n v="1.6839999999999999"/>
    <m/>
    <m/>
    <n v="6.3261927945472252"/>
    <n v="3.7566465525814881"/>
    <s v="x"/>
    <x v="1"/>
    <x v="0"/>
    <n v="1"/>
    <n v="0"/>
    <s v=""/>
    <s v=""/>
    <s v=""/>
    <s v=""/>
    <s v=""/>
    <s v=""/>
    <s v=""/>
    <s v=""/>
    <s v=""/>
    <n v="1"/>
  </r>
  <r>
    <s v="Cape Verde"/>
    <s v="Sub-Saharan Africa"/>
    <s v="P087004"/>
    <s v="C1"/>
    <s v="S1"/>
    <s v="P087004C1S1"/>
    <s v="Ratio"/>
    <s v="2005 / 2014"/>
    <s v="Upgrading"/>
    <s v=""/>
    <n v="1"/>
    <m/>
    <m/>
    <n v="1.2096774193548387"/>
    <n v="1.2096774193548387"/>
    <s v=""/>
    <x v="0"/>
    <x v="0"/>
    <n v="0"/>
    <n v="0"/>
    <s v=""/>
    <s v=""/>
    <s v=""/>
    <s v=""/>
    <s v=""/>
    <s v=""/>
    <s v=""/>
    <s v=""/>
    <s v=""/>
    <s v=""/>
  </r>
  <r>
    <s v="Cape Verde"/>
    <s v="Sub-Saharan Africa"/>
    <s v="P087004"/>
    <s v="C1"/>
    <s v="S2"/>
    <s v="P087004C1S2"/>
    <s v="Ratio"/>
    <s v="2005 / 2014"/>
    <s v="Upgrading"/>
    <s v=""/>
    <n v="1"/>
    <m/>
    <m/>
    <n v="1.1546961325966849"/>
    <n v="1.1546961325966849"/>
    <s v=""/>
    <x v="0"/>
    <x v="0"/>
    <n v="0"/>
    <n v="0"/>
    <s v=""/>
    <s v=""/>
    <s v=""/>
    <s v=""/>
    <s v=""/>
    <s v=""/>
    <s v=""/>
    <s v=""/>
    <s v=""/>
    <s v=""/>
  </r>
  <r>
    <s v="Cape Verde"/>
    <s v="Sub-Saharan Africa"/>
    <s v="P087004"/>
    <s v="C1"/>
    <s v="S3"/>
    <s v="P087004C1S3"/>
    <s v="Ratio"/>
    <s v="2005 / 2014"/>
    <s v="Upgrading"/>
    <s v=""/>
    <n v="1"/>
    <m/>
    <m/>
    <n v="1.4833948339483394"/>
    <n v="1.4833948339483394"/>
    <s v=""/>
    <x v="0"/>
    <x v="0"/>
    <n v="0"/>
    <n v="0"/>
    <s v=""/>
    <s v=""/>
    <s v=""/>
    <s v=""/>
    <s v=""/>
    <s v=""/>
    <s v=""/>
    <s v=""/>
    <s v=""/>
    <s v=""/>
  </r>
  <r>
    <s v="Iraq"/>
    <s v="Middle East and North Africa"/>
    <s v="P087735"/>
    <s v="C1"/>
    <s v=""/>
    <s v="P087735C1"/>
    <s v="Ratio"/>
    <s v="2014 / 2014"/>
    <s v="Strengthening"/>
    <s v=""/>
    <n v="0.43"/>
    <m/>
    <m/>
    <n v="0.81307494173923711"/>
    <n v="1.8908719575331099"/>
    <s v="x"/>
    <x v="0"/>
    <x v="1"/>
    <n v="1"/>
    <n v="0"/>
    <s v=""/>
    <n v="1"/>
    <s v=""/>
    <s v=""/>
    <s v=""/>
    <n v="1"/>
    <s v=""/>
    <s v=""/>
    <s v=""/>
    <n v="1"/>
  </r>
  <r>
    <s v="Iraq"/>
    <s v="Middle East and North Africa"/>
    <s v="P087735"/>
    <s v="C1"/>
    <s v="S1"/>
    <s v="P087735C1S1"/>
    <s v="Ratio"/>
    <s v="2014 / 2014"/>
    <s v="Strengthening"/>
    <n v="1.3333333333333333"/>
    <n v="1"/>
    <m/>
    <m/>
    <n v="0.96"/>
    <n v="0.96"/>
    <s v=""/>
    <x v="0"/>
    <x v="0"/>
    <n v="0"/>
    <n v="0"/>
    <s v=""/>
    <s v=""/>
    <s v=""/>
    <s v=""/>
    <s v=""/>
    <s v=""/>
    <s v=""/>
    <s v=""/>
    <s v=""/>
    <s v=""/>
  </r>
  <r>
    <s v="Iraq"/>
    <s v="Middle East and North Africa"/>
    <s v="P087735"/>
    <s v="C1"/>
    <s v="S10"/>
    <s v="P087735C1S10"/>
    <s v="Ratio"/>
    <s v="2014 / 2014"/>
    <s v="Reconstruction"/>
    <s v=""/>
    <n v="1"/>
    <m/>
    <m/>
    <n v="0.99456521739130443"/>
    <n v="0.99456521739130443"/>
    <s v=""/>
    <x v="0"/>
    <x v="0"/>
    <n v="0"/>
    <n v="0"/>
    <s v=""/>
    <s v=""/>
    <s v=""/>
    <s v=""/>
    <s v=""/>
    <s v=""/>
    <s v=""/>
    <s v=""/>
    <s v=""/>
    <s v=""/>
  </r>
  <r>
    <s v="Iraq"/>
    <s v="Middle East and North Africa"/>
    <s v="P087735"/>
    <s v="C1"/>
    <s v="S11"/>
    <s v="P087735C1S11"/>
    <s v="Ratio"/>
    <s v="2014 / 2014"/>
    <s v="Strengthening"/>
    <s v=""/>
    <n v="1"/>
    <m/>
    <m/>
    <n v="0.86956521739130443"/>
    <n v="0.86956521739130443"/>
    <s v=""/>
    <x v="0"/>
    <x v="0"/>
    <n v="0"/>
    <n v="0"/>
    <s v=""/>
    <s v=""/>
    <s v=""/>
    <s v=""/>
    <s v=""/>
    <s v=""/>
    <s v=""/>
    <s v=""/>
    <s v=""/>
    <s v=""/>
  </r>
  <r>
    <s v="Iraq"/>
    <s v="Middle East and North Africa"/>
    <s v="P087735"/>
    <s v="C1"/>
    <s v="S12"/>
    <s v="P087735C1S12"/>
    <s v="Ratio"/>
    <s v="2014 / 2014"/>
    <s v="Strengthening"/>
    <s v=""/>
    <n v="1"/>
    <m/>
    <m/>
    <n v="0.95"/>
    <n v="0.95000000000000007"/>
    <s v=""/>
    <x v="0"/>
    <x v="0"/>
    <n v="0"/>
    <n v="0"/>
    <s v=""/>
    <s v=""/>
    <s v=""/>
    <s v=""/>
    <s v=""/>
    <s v=""/>
    <s v=""/>
    <s v=""/>
    <s v=""/>
    <s v=""/>
  </r>
  <r>
    <s v="Iraq"/>
    <s v="Middle East and North Africa"/>
    <s v="P087735"/>
    <s v="C1"/>
    <s v="S13"/>
    <s v="P087735C1S13"/>
    <s v="Ratio"/>
    <s v="2014 / 2014"/>
    <s v="Strengthening"/>
    <n v="1.4"/>
    <n v="1"/>
    <m/>
    <m/>
    <n v="1.1355932203389829"/>
    <n v="1.1355932203389831"/>
    <s v=""/>
    <x v="0"/>
    <x v="0"/>
    <n v="0"/>
    <n v="0"/>
    <s v=""/>
    <s v=""/>
    <s v=""/>
    <s v=""/>
    <s v=""/>
    <s v=""/>
    <s v=""/>
    <s v=""/>
    <s v=""/>
    <s v=""/>
  </r>
  <r>
    <s v="Iraq"/>
    <s v="Middle East and North Africa"/>
    <s v="P087735"/>
    <s v="C1"/>
    <s v="S2"/>
    <s v="P087735C1S2"/>
    <s v="Ratio"/>
    <s v="2014 / 2014"/>
    <s v="Strengthening"/>
    <n v="1.0833333333333333"/>
    <n v="1"/>
    <m/>
    <m/>
    <n v="1"/>
    <n v="1"/>
    <s v=""/>
    <x v="0"/>
    <x v="0"/>
    <n v="0"/>
    <n v="0"/>
    <s v=""/>
    <s v=""/>
    <s v=""/>
    <s v=""/>
    <s v=""/>
    <s v=""/>
    <s v=""/>
    <s v=""/>
    <s v=""/>
    <s v=""/>
  </r>
  <r>
    <s v="Iraq"/>
    <s v="Middle East and North Africa"/>
    <s v="P087735"/>
    <s v="C1"/>
    <s v="S3"/>
    <s v="P087735C1S3"/>
    <s v="Ratio"/>
    <s v="2014 / 2014"/>
    <s v="Strengthening"/>
    <n v="1.3076923076923077"/>
    <n v="1"/>
    <m/>
    <m/>
    <n v="1.064516129032258"/>
    <n v="1.064516129032258"/>
    <s v=""/>
    <x v="0"/>
    <x v="0"/>
    <n v="0"/>
    <n v="0"/>
    <s v=""/>
    <s v=""/>
    <s v=""/>
    <s v=""/>
    <s v=""/>
    <s v=""/>
    <s v=""/>
    <s v=""/>
    <s v=""/>
    <s v=""/>
  </r>
  <r>
    <s v="Iraq"/>
    <s v="Middle East and North Africa"/>
    <s v="P087735"/>
    <s v="C1"/>
    <s v="S4"/>
    <s v="P087735C1S4"/>
    <s v="Ratio"/>
    <s v="2014 / 2014"/>
    <s v="Strengthening"/>
    <n v="1"/>
    <n v="1"/>
    <m/>
    <m/>
    <n v="0.92307692307692302"/>
    <n v="0.92307692307692302"/>
    <s v=""/>
    <x v="0"/>
    <x v="0"/>
    <n v="0"/>
    <n v="0"/>
    <s v=""/>
    <s v=""/>
    <s v=""/>
    <s v=""/>
    <s v=""/>
    <s v=""/>
    <s v=""/>
    <s v=""/>
    <s v=""/>
    <s v=""/>
  </r>
  <r>
    <s v="Iraq"/>
    <s v="Middle East and North Africa"/>
    <s v="P087735"/>
    <s v="C1"/>
    <s v="S5"/>
    <s v="P087735C1S5"/>
    <s v="Ratio"/>
    <s v="2014 / 2014"/>
    <s v="Strengthening"/>
    <n v="1"/>
    <n v="1"/>
    <m/>
    <m/>
    <n v="1"/>
    <n v="1"/>
    <s v=""/>
    <x v="0"/>
    <x v="0"/>
    <n v="0"/>
    <n v="0"/>
    <s v=""/>
    <s v=""/>
    <s v=""/>
    <s v=""/>
    <s v=""/>
    <s v=""/>
    <s v=""/>
    <s v=""/>
    <s v=""/>
    <s v=""/>
  </r>
  <r>
    <s v="Iraq"/>
    <s v="Middle East and North Africa"/>
    <s v="P087735"/>
    <s v="C1"/>
    <s v="S6"/>
    <s v="P087735C1S6"/>
    <s v="Ratio"/>
    <s v="2014 / 2014"/>
    <s v="Strengthening"/>
    <s v=""/>
    <n v="1"/>
    <m/>
    <m/>
    <n v="0.8928571428571429"/>
    <n v="0.8928571428571429"/>
    <s v=""/>
    <x v="0"/>
    <x v="0"/>
    <n v="0"/>
    <n v="0"/>
    <s v=""/>
    <s v=""/>
    <s v=""/>
    <s v=""/>
    <s v=""/>
    <s v=""/>
    <s v=""/>
    <s v=""/>
    <s v=""/>
    <s v=""/>
  </r>
  <r>
    <s v="Iraq"/>
    <s v="Middle East and North Africa"/>
    <s v="P087735"/>
    <s v="C1"/>
    <s v="S7"/>
    <s v="P087735C1S7"/>
    <s v="Ratio"/>
    <s v="2014 / 2014"/>
    <s v="Strengthening"/>
    <n v="0.9"/>
    <n v="1"/>
    <m/>
    <m/>
    <n v="0.97142857142857142"/>
    <n v="0.97142857142857131"/>
    <s v=""/>
    <x v="0"/>
    <x v="0"/>
    <n v="0"/>
    <n v="0"/>
    <s v=""/>
    <s v=""/>
    <s v=""/>
    <s v=""/>
    <s v=""/>
    <s v=""/>
    <s v=""/>
    <s v=""/>
    <s v=""/>
    <s v=""/>
  </r>
  <r>
    <s v="Iraq"/>
    <s v="Middle East and North Africa"/>
    <s v="P087735"/>
    <s v="C1"/>
    <s v="S8"/>
    <s v="P087735C1S8"/>
    <s v="Ratio"/>
    <s v="2014 / 2014"/>
    <s v="Strengthening"/>
    <s v=""/>
    <n v="1"/>
    <m/>
    <m/>
    <n v="1.1428571428571428"/>
    <n v="1.1428571428571428"/>
    <s v=""/>
    <x v="0"/>
    <x v="0"/>
    <n v="0"/>
    <n v="0"/>
    <s v=""/>
    <s v=""/>
    <s v=""/>
    <s v=""/>
    <s v=""/>
    <s v=""/>
    <s v=""/>
    <s v=""/>
    <s v=""/>
    <s v=""/>
  </r>
  <r>
    <s v="Iraq"/>
    <s v="Middle East and North Africa"/>
    <s v="P087735"/>
    <s v="C1"/>
    <s v="S9"/>
    <s v="P087735C1S9"/>
    <s v="Ratio"/>
    <s v="2014 / 2014"/>
    <s v="Reconstruction"/>
    <s v=""/>
    <n v="1"/>
    <m/>
    <m/>
    <n v="0.99456521739130443"/>
    <n v="0.99456521739130443"/>
    <s v=""/>
    <x v="0"/>
    <x v="0"/>
    <n v="0"/>
    <n v="0"/>
    <s v=""/>
    <s v=""/>
    <s v=""/>
    <s v=""/>
    <s v=""/>
    <s v=""/>
    <s v=""/>
    <s v=""/>
    <s v=""/>
    <s v=""/>
  </r>
  <r>
    <s v="Iraq"/>
    <s v="Middle East and North Africa"/>
    <s v="P087735"/>
    <s v="C2"/>
    <s v=""/>
    <s v="P087735C2"/>
    <s v="Ratio"/>
    <s v="2014 / 2014"/>
    <s v="Widening"/>
    <s v=""/>
    <n v="1.0581497797356827"/>
    <m/>
    <m/>
    <n v="1.173571953910272"/>
    <n v="1.1090792403731546"/>
    <s v=""/>
    <x v="0"/>
    <x v="0"/>
    <n v="0"/>
    <n v="0"/>
    <s v=""/>
    <s v=""/>
    <s v=""/>
    <s v=""/>
    <s v=""/>
    <s v=""/>
    <s v=""/>
    <s v=""/>
    <s v=""/>
    <s v=""/>
  </r>
  <r>
    <s v="Iraq"/>
    <s v="Middle East and North Africa"/>
    <s v="P087735"/>
    <s v="C2"/>
    <s v="S1"/>
    <s v="P087735C2S1"/>
    <s v="Ratio"/>
    <s v="2014 / 2014"/>
    <s v="Widening"/>
    <s v=""/>
    <n v="1"/>
    <m/>
    <m/>
    <n v="1.1661891117478511"/>
    <n v="1.1661891117478511"/>
    <s v=""/>
    <x v="0"/>
    <x v="0"/>
    <n v="0"/>
    <n v="0"/>
    <s v=""/>
    <s v=""/>
    <s v=""/>
    <s v=""/>
    <s v=""/>
    <s v=""/>
    <s v=""/>
    <s v=""/>
    <s v=""/>
    <s v=""/>
  </r>
  <r>
    <s v="Iraq"/>
    <s v="Middle East and North Africa"/>
    <s v="P087735"/>
    <s v="C2"/>
    <s v="S2"/>
    <s v="P087735C2S2"/>
    <s v="Ratio"/>
    <s v="2014 / 2014"/>
    <s v="Reconstruction"/>
    <s v=""/>
    <n v="1"/>
    <m/>
    <m/>
    <n v="1"/>
    <n v="1"/>
    <s v=""/>
    <x v="0"/>
    <x v="0"/>
    <n v="0"/>
    <n v="0"/>
    <s v=""/>
    <s v=""/>
    <s v=""/>
    <s v=""/>
    <s v=""/>
    <s v=""/>
    <s v=""/>
    <s v=""/>
    <s v=""/>
    <s v=""/>
  </r>
  <r>
    <s v="Iraq"/>
    <s v="Middle East and North Africa"/>
    <s v="P087735"/>
    <s v="C2"/>
    <s v="S3"/>
    <s v="P087735C2S3"/>
    <s v="Ratio"/>
    <s v="2014 / 2014"/>
    <s v="Surface Treatment Resurfacing"/>
    <s v=""/>
    <n v="1"/>
    <m/>
    <m/>
    <n v="1"/>
    <n v="1"/>
    <s v=""/>
    <x v="0"/>
    <x v="0"/>
    <n v="0"/>
    <n v="0"/>
    <s v=""/>
    <s v=""/>
    <s v=""/>
    <s v=""/>
    <s v=""/>
    <s v=""/>
    <s v=""/>
    <s v=""/>
    <s v=""/>
    <s v=""/>
  </r>
  <r>
    <s v="Iraq"/>
    <s v="Middle East and North Africa"/>
    <s v="P087735"/>
    <s v="C2"/>
    <s v="S4"/>
    <s v="P087735C2S4"/>
    <s v="Ratio"/>
    <s v="2014 / 2014"/>
    <s v="Surface Treatment Resurfacing"/>
    <s v=""/>
    <n v="1"/>
    <m/>
    <m/>
    <n v="0.95652173913043492"/>
    <n v="0.95652173913043492"/>
    <s v=""/>
    <x v="0"/>
    <x v="0"/>
    <n v="0"/>
    <n v="0"/>
    <s v=""/>
    <s v=""/>
    <s v=""/>
    <s v=""/>
    <s v=""/>
    <s v=""/>
    <s v=""/>
    <s v=""/>
    <s v=""/>
    <s v=""/>
  </r>
  <r>
    <s v="Argentina"/>
    <s v="Latin America and Caribbean"/>
    <s v="P088153"/>
    <s v="C1"/>
    <s v=""/>
    <s v="P088153C1"/>
    <s v="Ratio"/>
    <s v="2004 / 2011"/>
    <s v="Strengthening"/>
    <s v=""/>
    <n v="0.60184393118524859"/>
    <m/>
    <m/>
    <n v="2.6362582141476616"/>
    <n v="4.3803020642841988"/>
    <s v="x"/>
    <x v="0"/>
    <x v="0"/>
    <n v="1"/>
    <n v="0"/>
    <n v="1"/>
    <s v=""/>
    <s v=""/>
    <s v=""/>
    <s v=""/>
    <s v=""/>
    <s v=""/>
    <n v="1"/>
    <n v="1"/>
    <s v=""/>
  </r>
  <r>
    <s v="Ethiopia"/>
    <s v="Sub-Saharan Africa"/>
    <s v="P091077"/>
    <s v="C1"/>
    <s v=""/>
    <s v="P091077C1"/>
    <s v="Ratio"/>
    <s v="2007 / 2015"/>
    <s v="Upgrading"/>
    <s v=""/>
    <n v="0.98159135559921418"/>
    <m/>
    <m/>
    <n v="1.4986962676003874"/>
    <n v="1.5268026343666257"/>
    <s v="x"/>
    <x v="0"/>
    <x v="0"/>
    <n v="1"/>
    <n v="0"/>
    <s v=""/>
    <s v=""/>
    <s v=""/>
    <n v="1"/>
    <s v=""/>
    <s v=""/>
    <s v=""/>
    <n v="1"/>
    <s v=""/>
    <s v=""/>
  </r>
  <r>
    <s v="Ethiopia"/>
    <s v="Sub-Saharan Africa"/>
    <s v="P091077"/>
    <s v="C1"/>
    <s v="S1"/>
    <s v="P091077C1S1"/>
    <s v="Ratio"/>
    <s v="2007 / 2015"/>
    <s v="Upgrading"/>
    <n v="1.7242009132420091"/>
    <n v="1"/>
    <m/>
    <m/>
    <n v="1.615072463768116"/>
    <n v="1.615072463768116"/>
    <s v="x"/>
    <x v="0"/>
    <x v="0"/>
    <n v="1"/>
    <n v="0"/>
    <s v=""/>
    <s v=""/>
    <s v=""/>
    <n v="1"/>
    <s v=""/>
    <s v=""/>
    <s v=""/>
    <n v="1"/>
    <s v=""/>
    <s v=""/>
  </r>
  <r>
    <s v="Ethiopia"/>
    <s v="Sub-Saharan Africa"/>
    <s v="P091077"/>
    <s v="C1"/>
    <s v="S2"/>
    <s v="P091077C1S2"/>
    <s v="Ratio"/>
    <s v="2007 / 2015"/>
    <s v="Reconstruction"/>
    <n v="2.0328587075575029"/>
    <n v="1"/>
    <m/>
    <m/>
    <n v="1.4831251660908848"/>
    <n v="1.4831251660908851"/>
    <s v=""/>
    <x v="0"/>
    <x v="0"/>
    <n v="0"/>
    <n v="0"/>
    <s v=""/>
    <s v=""/>
    <s v=""/>
    <s v=""/>
    <s v=""/>
    <s v=""/>
    <s v=""/>
    <s v=""/>
    <s v=""/>
    <s v=""/>
  </r>
  <r>
    <s v="Ethiopia"/>
    <s v="Sub-Saharan Africa"/>
    <s v="P091077"/>
    <s v="C1"/>
    <s v="S3"/>
    <s v="P091077C1S3"/>
    <s v="Ratio"/>
    <s v="2007 / 2015"/>
    <s v="Reconstruction"/>
    <n v="1.1846994535519126"/>
    <n v="1"/>
    <m/>
    <m/>
    <n v="1.233502538071066"/>
    <n v="1.233502538071066"/>
    <s v=""/>
    <x v="0"/>
    <x v="0"/>
    <n v="0"/>
    <n v="0"/>
    <s v=""/>
    <s v=""/>
    <s v=""/>
    <s v=""/>
    <s v=""/>
    <s v=""/>
    <s v=""/>
    <s v=""/>
    <s v=""/>
    <s v=""/>
  </r>
  <r>
    <s v="Ethiopia"/>
    <s v="Sub-Saharan Africa"/>
    <s v="P091077"/>
    <s v="C1"/>
    <s v="S4"/>
    <s v="P091077C1S4"/>
    <s v="Ratio"/>
    <s v="2007 / 2015"/>
    <s v="Upgrading"/>
    <n v="0.9214611872146119"/>
    <n v="1"/>
    <m/>
    <m/>
    <n v="1.6840785624738821"/>
    <n v="1.6840785624738823"/>
    <s v="x"/>
    <x v="0"/>
    <x v="0"/>
    <n v="1"/>
    <n v="0"/>
    <s v=""/>
    <s v=""/>
    <s v=""/>
    <n v="1"/>
    <s v=""/>
    <s v=""/>
    <s v=""/>
    <n v="1"/>
    <s v=""/>
    <s v=""/>
  </r>
  <r>
    <s v="Ethiopia"/>
    <s v="Sub-Saharan Africa"/>
    <s v="P091077"/>
    <s v="C1"/>
    <s v="S5"/>
    <s v="P091077C1S5"/>
    <s v="Ratio"/>
    <s v="2007 / 2015"/>
    <s v="Upgrading"/>
    <n v="1.5525114155251141"/>
    <n v="1"/>
    <m/>
    <m/>
    <n v="1.5177656303382301"/>
    <n v="1.5177656303382303"/>
    <s v="x"/>
    <x v="0"/>
    <x v="0"/>
    <n v="1"/>
    <n v="0"/>
    <s v=""/>
    <s v=""/>
    <s v=""/>
    <n v="1"/>
    <s v=""/>
    <s v=""/>
    <s v=""/>
    <n v="1"/>
    <s v=""/>
    <s v=""/>
  </r>
  <r>
    <s v="Ethiopia"/>
    <s v="Sub-Saharan Africa"/>
    <s v="P091077"/>
    <s v="C1"/>
    <s v="S6"/>
    <s v="P091077C1S6"/>
    <s v="Ratio"/>
    <s v="2007 / 2015"/>
    <s v="Upgrading"/>
    <n v="1.6703296703296704"/>
    <n v="1"/>
    <m/>
    <m/>
    <n v="0.99041342121030551"/>
    <n v="0.99041342121030562"/>
    <s v=""/>
    <x v="0"/>
    <x v="0"/>
    <n v="0"/>
    <n v="0"/>
    <s v=""/>
    <s v=""/>
    <s v=""/>
    <s v=""/>
    <s v=""/>
    <s v=""/>
    <s v=""/>
    <s v=""/>
    <s v=""/>
    <s v=""/>
  </r>
  <r>
    <s v="Mauritius"/>
    <s v="Sub-Saharan Africa"/>
    <s v="P091828"/>
    <s v="C1"/>
    <s v="S1"/>
    <s v="P091828C1S1"/>
    <s v="Ratio"/>
    <s v="2009 / 2015"/>
    <s v="Partial Widening and Reconstruction"/>
    <s v=""/>
    <n v="1"/>
    <m/>
    <m/>
    <n v="1.5685185185185184"/>
    <n v="1.5685185185185184"/>
    <s v="x"/>
    <x v="0"/>
    <x v="0"/>
    <n v="1"/>
    <n v="0"/>
    <n v="1"/>
    <s v=""/>
    <s v=""/>
    <s v=""/>
    <s v=""/>
    <s v=""/>
    <s v=""/>
    <s v=""/>
    <n v="1"/>
    <s v=""/>
  </r>
  <r>
    <s v="Mauritius"/>
    <s v="Sub-Saharan Africa"/>
    <s v="P091828"/>
    <s v="C1"/>
    <s v="S2"/>
    <s v="P091828C1S2"/>
    <s v="Ratio"/>
    <s v="2009 / 2015"/>
    <s v="Reconstruction"/>
    <s v=""/>
    <n v="1"/>
    <m/>
    <m/>
    <n v="0.80862920370621794"/>
    <n v="0.80862920370621794"/>
    <s v=""/>
    <x v="0"/>
    <x v="0"/>
    <n v="0"/>
    <n v="0"/>
    <s v=""/>
    <s v=""/>
    <s v=""/>
    <s v=""/>
    <s v=""/>
    <s v=""/>
    <s v=""/>
    <s v=""/>
    <s v=""/>
    <s v=""/>
  </r>
  <r>
    <s v="Mauritius"/>
    <s v="Sub-Saharan Africa"/>
    <s v="P091828"/>
    <s v="C1"/>
    <s v="S3"/>
    <s v="P091828C1S3"/>
    <s v="Ratio"/>
    <s v="2009 / 2015"/>
    <s v="Reconstruction"/>
    <s v=""/>
    <n v="1"/>
    <m/>
    <m/>
    <n v="1.917416478588825"/>
    <n v="1.917416478588825"/>
    <s v="x"/>
    <x v="0"/>
    <x v="0"/>
    <n v="1"/>
    <n v="0"/>
    <n v="1"/>
    <s v=""/>
    <s v=""/>
    <s v=""/>
    <s v=""/>
    <s v=""/>
    <s v=""/>
    <s v=""/>
    <s v=""/>
    <n v="1"/>
  </r>
  <r>
    <s v="Mauritius"/>
    <s v="Sub-Saharan Africa"/>
    <s v="P091828"/>
    <s v="C1"/>
    <s v="S4"/>
    <s v="P091828C1S4"/>
    <s v="Ratio"/>
    <s v="2009 / 2015"/>
    <s v="Reconstruction"/>
    <s v=""/>
    <n v="1"/>
    <m/>
    <m/>
    <n v="0.91823932691746857"/>
    <n v="0.91823932691746857"/>
    <s v=""/>
    <x v="0"/>
    <x v="0"/>
    <n v="0"/>
    <n v="0"/>
    <s v=""/>
    <s v=""/>
    <s v=""/>
    <s v=""/>
    <s v=""/>
    <s v=""/>
    <s v=""/>
    <s v=""/>
    <s v=""/>
    <s v=""/>
  </r>
  <r>
    <s v="Romania"/>
    <s v="Europe and Central Asia"/>
    <s v="P093812"/>
    <s v="C1"/>
    <s v=""/>
    <s v="P093812C1"/>
    <s v="Ratio"/>
    <s v="2006 / 2010"/>
    <s v="Surface Treatment Resurfacing"/>
    <s v=""/>
    <n v="0.75524235132347883"/>
    <m/>
    <m/>
    <n v="1.1146666666666667"/>
    <n v="1.4759059323319681"/>
    <s v=""/>
    <x v="0"/>
    <x v="0"/>
    <n v="0"/>
    <n v="0"/>
    <s v=""/>
    <s v=""/>
    <s v=""/>
    <s v=""/>
    <s v=""/>
    <s v=""/>
    <s v=""/>
    <s v=""/>
    <s v=""/>
    <s v=""/>
  </r>
  <r>
    <s v="China"/>
    <s v="East Asia and Pacific"/>
    <s v="P093906"/>
    <s v="C1"/>
    <s v=""/>
    <s v="P093906C1"/>
    <s v="Ratio"/>
    <s v="2006 / 2011"/>
    <s v="New 4L Highway"/>
    <s v=""/>
    <n v="1"/>
    <m/>
    <m/>
    <n v="1.1404465709728866"/>
    <n v="1.1404465709728868"/>
    <s v=""/>
    <x v="0"/>
    <x v="0"/>
    <n v="0"/>
    <n v="0"/>
    <s v=""/>
    <s v=""/>
    <s v=""/>
    <s v=""/>
    <s v=""/>
    <s v=""/>
    <s v=""/>
    <s v=""/>
    <s v=""/>
    <s v=""/>
  </r>
  <r>
    <s v="China"/>
    <s v="East Asia and Pacific"/>
    <s v="P093906"/>
    <s v="C2"/>
    <s v=""/>
    <s v="P093906C2"/>
    <s v="Ratio"/>
    <s v="2006 / 2011"/>
    <s v="Upgrading"/>
    <s v=""/>
    <n v="0.46818727490996398"/>
    <m/>
    <m/>
    <n v="0.22567567567567567"/>
    <n v="0.48202009702009702"/>
    <s v="x"/>
    <x v="0"/>
    <x v="1"/>
    <n v="0"/>
    <n v="1"/>
    <s v=""/>
    <n v="1"/>
    <s v=""/>
    <n v="1"/>
    <s v=""/>
    <s v=""/>
    <s v=""/>
    <s v=""/>
    <s v=""/>
    <n v="1"/>
  </r>
  <r>
    <s v="Georgia"/>
    <s v="Europe and Central Asia"/>
    <s v="P094044"/>
    <s v="C1"/>
    <s v="S1"/>
    <s v="P094044C1S1"/>
    <s v="Ratio"/>
    <s v="2007 / 2012"/>
    <s v="Widening"/>
    <n v="1.4"/>
    <n v="1"/>
    <m/>
    <m/>
    <n v="1.6495828367103695"/>
    <n v="1.6495828367103693"/>
    <s v="x"/>
    <x v="0"/>
    <x v="0"/>
    <n v="1"/>
    <n v="0"/>
    <s v=""/>
    <n v="1"/>
    <n v="1"/>
    <s v=""/>
    <s v=""/>
    <s v=""/>
    <s v=""/>
    <s v=""/>
    <n v="1"/>
    <s v=""/>
  </r>
  <r>
    <s v="Azerbaijan"/>
    <s v="Europe and Central Asia"/>
    <s v="P094488"/>
    <s v="C1"/>
    <s v="S1"/>
    <s v="P094488C1S1"/>
    <s v="Ratio"/>
    <s v="2005 / 2005"/>
    <s v="Widening"/>
    <s v=""/>
    <n v="0.38750000000000001"/>
    <m/>
    <m/>
    <n v="0.69519152404237972"/>
    <n v="1.7940426426900122"/>
    <s v="x"/>
    <x v="0"/>
    <x v="1"/>
    <n v="1"/>
    <n v="0"/>
    <n v="1"/>
    <s v=""/>
    <s v=""/>
    <s v=""/>
    <n v="1"/>
    <s v=""/>
    <s v=""/>
    <n v="1"/>
    <s v=""/>
    <s v=""/>
  </r>
  <r>
    <s v="Azerbaijan"/>
    <s v="Europe and Central Asia"/>
    <s v="P094488"/>
    <s v="C1"/>
    <s v="S2"/>
    <s v="P094488C1S2"/>
    <s v="Ratio"/>
    <s v="2005 / 2005"/>
    <s v="Reconstruction"/>
    <s v=""/>
    <n v="1"/>
    <m/>
    <m/>
    <n v="1.78125"/>
    <n v="1.78125"/>
    <s v="x"/>
    <x v="0"/>
    <x v="0"/>
    <n v="1"/>
    <n v="0"/>
    <n v="1"/>
    <s v=""/>
    <s v=""/>
    <s v=""/>
    <n v="1"/>
    <s v=""/>
    <s v=""/>
    <n v="1"/>
    <s v=""/>
    <s v=""/>
  </r>
  <r>
    <s v="Angola"/>
    <s v="Sub-Saharan Africa"/>
    <s v="P095229"/>
    <s v="C1"/>
    <s v="S1"/>
    <s v="P095229C1S1"/>
    <s v="Ratio"/>
    <s v="2014 / 2014"/>
    <s v="Reconstruction"/>
    <s v=""/>
    <n v="0.33333333333333331"/>
    <m/>
    <m/>
    <n v="1.5384615384615385"/>
    <n v="4.6153846153846159"/>
    <s v="x"/>
    <x v="0"/>
    <x v="1"/>
    <n v="1"/>
    <n v="0"/>
    <s v=""/>
    <n v="1"/>
    <s v=""/>
    <s v=""/>
    <n v="1"/>
    <s v=""/>
    <s v=""/>
    <s v=""/>
    <s v=""/>
    <s v=""/>
  </r>
  <r>
    <s v="Haiti"/>
    <s v="Latin America and Caribbean"/>
    <s v="P095523"/>
    <s v="C1"/>
    <s v="S1"/>
    <s v="P095523C1S1"/>
    <s v="Ratio"/>
    <s v="2006 / 2014"/>
    <s v="Upgrading"/>
    <s v=""/>
    <n v="0.2061855670103093"/>
    <m/>
    <m/>
    <n v="1.1882352941176471"/>
    <n v="5.762941176470588"/>
    <s v="x"/>
    <x v="0"/>
    <x v="1"/>
    <n v="1"/>
    <n v="0"/>
    <s v=""/>
    <s v=""/>
    <n v="1"/>
    <s v=""/>
    <s v=""/>
    <n v="1"/>
    <s v=""/>
    <s v=""/>
    <s v=""/>
    <s v=""/>
  </r>
  <r>
    <s v="Haiti"/>
    <s v="Latin America and Caribbean"/>
    <s v="P095523"/>
    <s v="C1"/>
    <s v="S2"/>
    <s v="P095523C1S2"/>
    <s v="Ratio"/>
    <s v="2006 / 2014"/>
    <s v="Upgrading"/>
    <s v=""/>
    <n v="0.63492063492063489"/>
    <m/>
    <m/>
    <n v="3.4041666666666668"/>
    <n v="5.3615624999999998"/>
    <s v="x"/>
    <x v="0"/>
    <x v="0"/>
    <n v="1"/>
    <n v="0"/>
    <s v=""/>
    <s v=""/>
    <n v="1"/>
    <s v=""/>
    <s v=""/>
    <n v="1"/>
    <s v=""/>
    <s v=""/>
    <s v=""/>
    <s v=""/>
  </r>
  <r>
    <s v="Argentina"/>
    <s v="Latin America and Caribbean"/>
    <s v="P095569"/>
    <s v="C1"/>
    <s v=""/>
    <s v="P095569C1"/>
    <s v="Ratio"/>
    <s v="2007 / 2014"/>
    <s v="Asphalt Mix Resurfacing"/>
    <s v=""/>
    <n v="1.0112462006079028"/>
    <m/>
    <m/>
    <n v="1.0140478668054111"/>
    <n v="1.0027705085030967"/>
    <s v=""/>
    <x v="0"/>
    <x v="0"/>
    <n v="0"/>
    <n v="0"/>
    <s v=""/>
    <s v=""/>
    <s v=""/>
    <s v=""/>
    <s v=""/>
    <s v=""/>
    <s v=""/>
    <s v=""/>
    <s v=""/>
    <s v=""/>
  </r>
  <r>
    <s v="Peru"/>
    <s v="Latin America and Caribbean"/>
    <s v="P095570"/>
    <s v="C1"/>
    <s v=""/>
    <s v="P095570C1"/>
    <s v="Ratio"/>
    <s v="2006 / 2014"/>
    <s v="Gravel Resurfacing"/>
    <s v=""/>
    <n v="0.79756676557863504"/>
    <m/>
    <m/>
    <n v="1.3032128514056227"/>
    <n v="1.6339859026850763"/>
    <s v="x"/>
    <x v="0"/>
    <x v="0"/>
    <n v="1"/>
    <n v="0"/>
    <n v="1"/>
    <s v=""/>
    <s v=""/>
    <s v=""/>
    <s v=""/>
    <s v=""/>
    <s v=""/>
    <s v=""/>
    <s v=""/>
    <s v=""/>
  </r>
  <r>
    <s v="Peru"/>
    <s v="Latin America and Caribbean"/>
    <s v="P095570"/>
    <s v="C1"/>
    <s v="S1"/>
    <s v="P095570C1S1"/>
    <s v="Ratio"/>
    <s v="2006 / 2014"/>
    <s v="Reconstruction"/>
    <s v=""/>
    <n v="1.0923333333333334"/>
    <m/>
    <m/>
    <n v="1.7059548427672957"/>
    <n v="1.5617529839187936"/>
    <s v="x"/>
    <x v="0"/>
    <x v="0"/>
    <n v="1"/>
    <n v="0"/>
    <n v="1"/>
    <s v=""/>
    <s v=""/>
    <s v=""/>
    <s v=""/>
    <s v=""/>
    <s v=""/>
    <s v=""/>
    <s v=""/>
    <s v=""/>
  </r>
  <r>
    <s v="Peru"/>
    <s v="Latin America and Caribbean"/>
    <s v="P095570"/>
    <s v="C1"/>
    <s v="S2"/>
    <s v="P095570C1S2"/>
    <s v="Ratio"/>
    <s v="2006 / 2014"/>
    <s v="Gravel Resurfacing"/>
    <s v=""/>
    <n v="0.6969642857142857"/>
    <m/>
    <m/>
    <n v="1.2739611464968155"/>
    <n v="1.82787148869643"/>
    <s v="x"/>
    <x v="0"/>
    <x v="0"/>
    <n v="1"/>
    <n v="0"/>
    <n v="1"/>
    <s v=""/>
    <s v=""/>
    <s v=""/>
    <s v=""/>
    <s v=""/>
    <s v=""/>
    <s v=""/>
    <s v=""/>
    <s v=""/>
  </r>
  <r>
    <s v="Peru"/>
    <s v="Latin America and Caribbean"/>
    <s v="P095570"/>
    <s v="C1"/>
    <s v="S3"/>
    <s v="P095570C1S3"/>
    <s v="Ratio"/>
    <s v="2006 / 2014"/>
    <s v="Reconstruction"/>
    <s v=""/>
    <n v="0.88905660377358486"/>
    <m/>
    <m/>
    <n v="1.2798240000000001"/>
    <n v="1.43953039049236"/>
    <s v=""/>
    <x v="0"/>
    <x v="0"/>
    <n v="0"/>
    <n v="0"/>
    <s v=""/>
    <s v=""/>
    <s v=""/>
    <s v=""/>
    <s v=""/>
    <s v=""/>
    <s v=""/>
    <s v=""/>
    <s v=""/>
    <s v=""/>
  </r>
  <r>
    <s v="India"/>
    <s v="South Asia"/>
    <s v="P096023"/>
    <s v="C1"/>
    <s v="S1"/>
    <s v="P096023C1S1"/>
    <s v="Ratio"/>
    <s v="2008 / 2017"/>
    <s v="Partial Widening and Reconstruction"/>
    <s v=""/>
    <n v="1"/>
    <m/>
    <m/>
    <n v="0.85423565514273192"/>
    <n v="0.85423565514273192"/>
    <s v=""/>
    <x v="0"/>
    <x v="0"/>
    <n v="0"/>
    <n v="0"/>
    <s v=""/>
    <s v=""/>
    <s v=""/>
    <s v=""/>
    <s v=""/>
    <s v=""/>
    <s v=""/>
    <s v=""/>
    <s v=""/>
    <s v=""/>
  </r>
  <r>
    <s v="India"/>
    <s v="South Asia"/>
    <s v="P096023"/>
    <s v="C1"/>
    <s v="S2"/>
    <s v="P096023C1S2"/>
    <s v="Ratio"/>
    <s v="2008 / 2017"/>
    <s v="Partial Widening and Reconstruction"/>
    <s v=""/>
    <n v="0.95121951219512191"/>
    <m/>
    <m/>
    <n v="1.0446415151059671"/>
    <n v="1.0982128748549911"/>
    <s v=""/>
    <x v="0"/>
    <x v="0"/>
    <n v="0"/>
    <n v="0"/>
    <s v=""/>
    <s v=""/>
    <s v=""/>
    <s v=""/>
    <s v=""/>
    <s v=""/>
    <s v=""/>
    <s v=""/>
    <s v=""/>
    <s v=""/>
  </r>
  <r>
    <s v="Sudan"/>
    <s v="Sub-Saharan Africa"/>
    <s v="P098837"/>
    <s v="C1"/>
    <s v=""/>
    <s v="P098837C1"/>
    <s v="Ratio"/>
    <s v="2011 / 2013"/>
    <s v="Upgrading"/>
    <s v=""/>
    <n v="0.43959731543624159"/>
    <m/>
    <m/>
    <n v="1.1415929203539823"/>
    <n v="2.596906032560967"/>
    <s v="x"/>
    <x v="0"/>
    <x v="1"/>
    <n v="1"/>
    <n v="0"/>
    <s v=""/>
    <n v="1"/>
    <s v=""/>
    <s v=""/>
    <s v=""/>
    <n v="1"/>
    <s v=""/>
    <s v=""/>
    <s v=""/>
    <n v="1"/>
  </r>
  <r>
    <s v="Bulgaria"/>
    <s v="Europe and Central Asia"/>
    <s v="P099894"/>
    <s v="C1"/>
    <s v=""/>
    <s v="P099894C1"/>
    <s v="Ratio"/>
    <s v="2007 / 2013"/>
    <s v="Strengthening"/>
    <s v=""/>
    <n v="0.68222222222222217"/>
    <m/>
    <m/>
    <n v="0.67988626207157454"/>
    <n v="0.99657595417657496"/>
    <s v=""/>
    <x v="0"/>
    <x v="0"/>
    <n v="0"/>
    <n v="0"/>
    <s v=""/>
    <s v=""/>
    <s v=""/>
    <s v=""/>
    <s v=""/>
    <s v=""/>
    <s v=""/>
    <s v=""/>
    <s v=""/>
    <s v=""/>
  </r>
  <r>
    <s v="Bulgaria"/>
    <s v="Europe and Central Asia"/>
    <s v="P099894"/>
    <s v="C1"/>
    <s v="S1"/>
    <s v="P099894C1S1"/>
    <s v="Ratio"/>
    <s v="2007 / 2013"/>
    <s v="Strengthening"/>
    <s v=""/>
    <n v="0.98546042003231016"/>
    <m/>
    <m/>
    <n v="1.1824324324324322"/>
    <n v="1.1998781568453698"/>
    <s v=""/>
    <x v="0"/>
    <x v="0"/>
    <n v="0"/>
    <n v="0"/>
    <s v=""/>
    <s v=""/>
    <s v=""/>
    <s v=""/>
    <s v=""/>
    <s v=""/>
    <s v=""/>
    <s v=""/>
    <s v=""/>
    <s v=""/>
  </r>
  <r>
    <s v="Bulgaria"/>
    <s v="Europe and Central Asia"/>
    <s v="P099894"/>
    <s v="C1"/>
    <s v="S2"/>
    <s v="P099894C1S2"/>
    <s v="Ratio"/>
    <s v="2007 / 2013"/>
    <s v="Strengthening"/>
    <s v=""/>
    <n v="1.0629213483146067"/>
    <m/>
    <m/>
    <n v="0.88955162484574235"/>
    <n v="0.83689317770899652"/>
    <s v=""/>
    <x v="0"/>
    <x v="0"/>
    <n v="0"/>
    <n v="0"/>
    <s v=""/>
    <s v=""/>
    <s v=""/>
    <s v=""/>
    <s v=""/>
    <s v=""/>
    <s v=""/>
    <s v=""/>
    <s v=""/>
    <s v=""/>
  </r>
  <r>
    <s v="Bulgaria"/>
    <s v="Europe and Central Asia"/>
    <s v="P099894"/>
    <s v="C1"/>
    <s v="S3"/>
    <s v="P099894C1S3"/>
    <s v="Ratio"/>
    <s v="2007 / 2013"/>
    <s v="Strengthening"/>
    <s v=""/>
    <n v="0.75573770491803283"/>
    <m/>
    <m/>
    <n v="0.70315011250401793"/>
    <n v="0.93041555016800637"/>
    <s v=""/>
    <x v="0"/>
    <x v="0"/>
    <n v="0"/>
    <n v="0"/>
    <s v=""/>
    <s v=""/>
    <s v=""/>
    <s v=""/>
    <s v=""/>
    <s v=""/>
    <s v=""/>
    <s v=""/>
    <s v=""/>
    <s v=""/>
  </r>
  <r>
    <s v="Bulgaria"/>
    <s v="Europe and Central Asia"/>
    <s v="P099894"/>
    <s v="C1"/>
    <s v="S4"/>
    <s v="P099894C1S4"/>
    <s v="Ratio"/>
    <s v="2007 / 2013"/>
    <s v="Strengthening"/>
    <s v=""/>
    <n v="0.99105545617173529"/>
    <m/>
    <m/>
    <n v="0.58760683760683752"/>
    <n v="0.59291014841556355"/>
    <s v=""/>
    <x v="0"/>
    <x v="0"/>
    <n v="0"/>
    <n v="0"/>
    <s v=""/>
    <s v=""/>
    <s v=""/>
    <s v=""/>
    <s v=""/>
    <s v=""/>
    <s v=""/>
    <s v=""/>
    <s v=""/>
    <s v=""/>
  </r>
  <r>
    <s v="Bulgaria"/>
    <s v="Europe and Central Asia"/>
    <s v="P099894"/>
    <s v="C1"/>
    <s v="S5"/>
    <s v="P099894C1S5"/>
    <s v="Ratio"/>
    <s v="2007 / 2013"/>
    <s v="Strengthening"/>
    <s v=""/>
    <n v="0.96769230769230763"/>
    <m/>
    <m/>
    <n v="0.90729274165806661"/>
    <n v="0.937583914273042"/>
    <s v=""/>
    <x v="0"/>
    <x v="0"/>
    <n v="0"/>
    <n v="0"/>
    <s v=""/>
    <s v=""/>
    <s v=""/>
    <s v=""/>
    <s v=""/>
    <s v=""/>
    <s v=""/>
    <s v=""/>
    <s v=""/>
    <s v=""/>
  </r>
  <r>
    <s v="Bulgaria"/>
    <s v="Europe and Central Asia"/>
    <s v="P099894"/>
    <s v="C1"/>
    <s v="S6"/>
    <s v="P099894C1S6"/>
    <s v="Ratio"/>
    <s v="2007 / 2013"/>
    <s v="Strengthening"/>
    <s v=""/>
    <n v="0.9507692307692307"/>
    <m/>
    <m/>
    <n v="0.65261044176706828"/>
    <n v="0.68640256820160894"/>
    <s v=""/>
    <x v="0"/>
    <x v="0"/>
    <n v="0"/>
    <n v="0"/>
    <s v=""/>
    <s v=""/>
    <s v=""/>
    <s v=""/>
    <s v=""/>
    <s v=""/>
    <s v=""/>
    <s v=""/>
    <s v=""/>
    <s v=""/>
  </r>
  <r>
    <s v="Bhutan"/>
    <s v="South Asia"/>
    <s v="P100332"/>
    <s v="C1"/>
    <s v=""/>
    <s v="P100332C1"/>
    <s v="Ratio"/>
    <s v="2007 / 2013"/>
    <s v="New 1L Road"/>
    <s v=""/>
    <n v="1.0112359550561798"/>
    <m/>
    <m/>
    <n v="1.245977011494253"/>
    <n v="1.23213282247765"/>
    <s v=""/>
    <x v="0"/>
    <x v="0"/>
    <n v="0"/>
    <n v="0"/>
    <s v=""/>
    <s v=""/>
    <s v=""/>
    <s v=""/>
    <s v=""/>
    <s v=""/>
    <s v=""/>
    <s v=""/>
    <s v=""/>
    <s v=""/>
  </r>
  <r>
    <s v="Bhutan"/>
    <s v="South Asia"/>
    <s v="P100332"/>
    <s v="C1"/>
    <s v="S1"/>
    <s v="P100332C1S1"/>
    <s v="Ratio"/>
    <s v="2007 / 2013"/>
    <s v="New 1L Road"/>
    <s v=""/>
    <n v="0.86350364963503656"/>
    <m/>
    <m/>
    <n v="0.83"/>
    <n v="0.96120033812341499"/>
    <s v=""/>
    <x v="0"/>
    <x v="0"/>
    <n v="0"/>
    <n v="0"/>
    <s v=""/>
    <s v=""/>
    <s v=""/>
    <s v=""/>
    <s v=""/>
    <s v=""/>
    <s v=""/>
    <s v=""/>
    <s v=""/>
    <s v=""/>
  </r>
  <r>
    <s v="Bhutan"/>
    <s v="South Asia"/>
    <s v="P100332"/>
    <s v="C1"/>
    <s v="S2"/>
    <s v="P100332C1S2"/>
    <s v="Ratio"/>
    <s v="2007 / 2013"/>
    <s v="New 1L Road"/>
    <s v=""/>
    <n v="1.1863636363636365"/>
    <m/>
    <m/>
    <n v="1.276"/>
    <n v="1.0755555555555556"/>
    <s v=""/>
    <x v="0"/>
    <x v="0"/>
    <n v="0"/>
    <n v="0"/>
    <s v=""/>
    <s v=""/>
    <s v=""/>
    <s v=""/>
    <s v=""/>
    <s v=""/>
    <s v=""/>
    <s v=""/>
    <s v=""/>
    <s v=""/>
  </r>
  <r>
    <s v="Bhutan"/>
    <s v="South Asia"/>
    <s v="P100332"/>
    <s v="C1"/>
    <s v="S3"/>
    <s v="P100332C1S3"/>
    <s v="Ratio"/>
    <s v="2007 / 2013"/>
    <s v="New 1L Road"/>
    <s v=""/>
    <n v="1"/>
    <m/>
    <m/>
    <n v="1.2242424242424244"/>
    <n v="1.2242424242424244"/>
    <s v=""/>
    <x v="0"/>
    <x v="0"/>
    <n v="0"/>
    <n v="0"/>
    <s v=""/>
    <s v=""/>
    <s v=""/>
    <s v=""/>
    <s v=""/>
    <s v=""/>
    <s v=""/>
    <s v=""/>
    <s v=""/>
    <s v=""/>
  </r>
  <r>
    <s v="China"/>
    <s v="East Asia and Pacific"/>
    <s v="P101258"/>
    <s v="C1"/>
    <s v=""/>
    <s v="P101258C1"/>
    <s v="Ratio"/>
    <s v="2009 / 2016"/>
    <s v="New 4L Highway"/>
    <s v=""/>
    <n v="1"/>
    <m/>
    <m/>
    <n v="1.1853444955949355"/>
    <n v="1.1853444955949353"/>
    <s v=""/>
    <x v="0"/>
    <x v="0"/>
    <n v="0"/>
    <n v="0"/>
    <s v=""/>
    <s v=""/>
    <s v=""/>
    <s v=""/>
    <s v=""/>
    <s v=""/>
    <s v=""/>
    <s v=""/>
    <s v=""/>
    <s v=""/>
  </r>
  <r>
    <s v="Afghanistan"/>
    <s v="South Asia"/>
    <s v="P107101"/>
    <s v="C1"/>
    <s v="S1"/>
    <s v="P107101C1S1"/>
    <s v="Ratio"/>
    <s v="2010 / 2012"/>
    <s v="Strengthening"/>
    <n v="8.25"/>
    <n v="1"/>
    <m/>
    <m/>
    <n v="0.99789156626506037"/>
    <n v="0.99789156626506026"/>
    <s v=""/>
    <x v="0"/>
    <x v="0"/>
    <n v="0"/>
    <n v="0"/>
    <s v=""/>
    <s v=""/>
    <s v=""/>
    <s v=""/>
    <s v=""/>
    <s v=""/>
    <s v=""/>
    <s v=""/>
    <s v=""/>
    <s v=""/>
  </r>
  <r>
    <s v="Afghanistan"/>
    <s v="South Asia"/>
    <s v="P107101"/>
    <s v="C1"/>
    <s v="S2"/>
    <s v="P107101C1S2"/>
    <s v="Ratio"/>
    <s v="2010 / 2012"/>
    <s v="Strengthening"/>
    <n v="8.25"/>
    <n v="1"/>
    <m/>
    <m/>
    <n v="0.98597402597402595"/>
    <n v="0.98597402597402584"/>
    <s v=""/>
    <x v="0"/>
    <x v="0"/>
    <n v="0"/>
    <n v="0"/>
    <s v=""/>
    <s v=""/>
    <s v=""/>
    <s v=""/>
    <s v=""/>
    <s v=""/>
    <s v=""/>
    <s v=""/>
    <s v=""/>
    <s v=""/>
  </r>
  <r>
    <s v="Afghanistan"/>
    <s v="South Asia"/>
    <s v="P107101"/>
    <s v="C1"/>
    <s v="S3"/>
    <s v="P107101C1S3"/>
    <s v="Ratio"/>
    <s v="2010 / 2012"/>
    <s v="Strengthening"/>
    <n v="7.5"/>
    <n v="1"/>
    <m/>
    <m/>
    <n v="0.74125874125874136"/>
    <n v="0.74125874125874147"/>
    <s v=""/>
    <x v="0"/>
    <x v="0"/>
    <n v="0"/>
    <n v="0"/>
    <s v=""/>
    <s v=""/>
    <s v=""/>
    <s v=""/>
    <s v=""/>
    <s v=""/>
    <s v=""/>
    <s v=""/>
    <s v=""/>
    <s v=""/>
  </r>
  <r>
    <s v="Afghanistan"/>
    <s v="South Asia"/>
    <s v="P107101"/>
    <s v="C1"/>
    <s v="S4"/>
    <s v="P107101C1S4"/>
    <s v="Ratio"/>
    <s v="2010 / 2012"/>
    <s v="Strengthening"/>
    <n v="7.5"/>
    <n v="1"/>
    <m/>
    <m/>
    <n v="0.66279069767441867"/>
    <n v="0.66279069767441856"/>
    <s v=""/>
    <x v="0"/>
    <x v="0"/>
    <n v="0"/>
    <n v="0"/>
    <s v=""/>
    <s v=""/>
    <s v=""/>
    <s v=""/>
    <s v=""/>
    <s v=""/>
    <s v=""/>
    <s v=""/>
    <s v=""/>
    <s v=""/>
  </r>
  <r>
    <s v="Macedonia, FYR"/>
    <s v="Europe and Central Asia"/>
    <s v="P107840"/>
    <s v="C1"/>
    <s v="S1"/>
    <s v="P107840C1S1"/>
    <s v="Ratio"/>
    <s v="2008 / 2016"/>
    <s v="Reconstruction"/>
    <s v=""/>
    <n v="1.2565789473684212"/>
    <m/>
    <m/>
    <n v="1.2003254658385092"/>
    <n v="0.95523283145263549"/>
    <s v=""/>
    <x v="0"/>
    <x v="0"/>
    <n v="0"/>
    <n v="0"/>
    <s v=""/>
    <s v=""/>
    <s v=""/>
    <s v=""/>
    <s v=""/>
    <n v="1"/>
    <s v=""/>
    <s v=""/>
    <s v=""/>
    <s v=""/>
  </r>
  <r>
    <s v="Macedonia, FYR"/>
    <s v="Europe and Central Asia"/>
    <s v="P107840"/>
    <s v="C1"/>
    <s v="S10"/>
    <s v="P107840C1S10"/>
    <s v="Ratio"/>
    <s v="2008 / 2016"/>
    <s v="Reconstruction"/>
    <s v=""/>
    <n v="0.72928176795580102"/>
    <m/>
    <m/>
    <n v="0.88368000000000013"/>
    <n v="1.2117127272727277"/>
    <s v=""/>
    <x v="0"/>
    <x v="0"/>
    <n v="0"/>
    <n v="0"/>
    <s v=""/>
    <s v=""/>
    <s v=""/>
    <s v=""/>
    <s v=""/>
    <s v=""/>
    <s v=""/>
    <s v=""/>
    <n v="1"/>
    <s v=""/>
  </r>
  <r>
    <s v="Macedonia, FYR"/>
    <s v="Europe and Central Asia"/>
    <s v="P107840"/>
    <s v="C1"/>
    <s v="S11"/>
    <s v="P107840C1S11"/>
    <s v="Ratio"/>
    <s v="2008 / 2016"/>
    <s v="Reconstruction"/>
    <s v=""/>
    <n v="0.86832740213523119"/>
    <m/>
    <m/>
    <n v="0.78554452554744525"/>
    <n v="0.90466398229029565"/>
    <s v=""/>
    <x v="0"/>
    <x v="0"/>
    <n v="0"/>
    <n v="0"/>
    <s v=""/>
    <s v=""/>
    <s v=""/>
    <s v=""/>
    <s v=""/>
    <n v="1"/>
    <s v=""/>
    <s v=""/>
    <n v="1"/>
    <s v=""/>
  </r>
  <r>
    <s v="Macedonia, FYR"/>
    <s v="Europe and Central Asia"/>
    <s v="P107840"/>
    <s v="C1"/>
    <s v="S2"/>
    <s v="P107840C1S2"/>
    <s v="Ratio"/>
    <s v="2008 / 2016"/>
    <s v="Reconstruction"/>
    <s v=""/>
    <n v="0.93157894736842106"/>
    <m/>
    <m/>
    <n v="0.7023468208092486"/>
    <n v="0.75393161555795041"/>
    <s v=""/>
    <x v="0"/>
    <x v="0"/>
    <n v="0"/>
    <n v="0"/>
    <s v=""/>
    <s v=""/>
    <s v=""/>
    <s v=""/>
    <s v=""/>
    <n v="1"/>
    <s v=""/>
    <s v=""/>
    <s v=""/>
    <s v=""/>
  </r>
  <r>
    <s v="Macedonia, FYR"/>
    <s v="Europe and Central Asia"/>
    <s v="P107840"/>
    <s v="C1"/>
    <s v="S3"/>
    <s v="P107840C1S3"/>
    <s v="Ratio"/>
    <s v="2008 / 2016"/>
    <s v="Reconstruction"/>
    <s v=""/>
    <n v="1.2324723247232472"/>
    <m/>
    <m/>
    <n v="1.2288138808559859"/>
    <n v="0.99703162189213235"/>
    <s v=""/>
    <x v="0"/>
    <x v="0"/>
    <n v="0"/>
    <n v="0"/>
    <s v=""/>
    <s v=""/>
    <s v=""/>
    <s v=""/>
    <s v=""/>
    <s v=""/>
    <s v=""/>
    <s v=""/>
    <n v="1"/>
    <s v=""/>
  </r>
  <r>
    <s v="Macedonia, FYR"/>
    <s v="Europe and Central Asia"/>
    <s v="P107840"/>
    <s v="C1"/>
    <s v="S4"/>
    <s v="P107840C1S4"/>
    <s v="Ratio"/>
    <s v="2008 / 2016"/>
    <s v="Reconstruction"/>
    <s v=""/>
    <n v="1.2434782608695654"/>
    <m/>
    <m/>
    <n v="0.72738285714285711"/>
    <n v="0.58495824175824163"/>
    <s v=""/>
    <x v="0"/>
    <x v="0"/>
    <n v="0"/>
    <n v="0"/>
    <s v=""/>
    <s v=""/>
    <s v=""/>
    <s v=""/>
    <s v=""/>
    <n v="1"/>
    <s v=""/>
    <s v=""/>
    <n v="1"/>
    <s v=""/>
  </r>
  <r>
    <s v="Macedonia, FYR"/>
    <s v="Europe and Central Asia"/>
    <s v="P107840"/>
    <s v="C1"/>
    <s v="S5"/>
    <s v="P107840C1S5"/>
    <s v="Ratio"/>
    <s v="2008 / 2016"/>
    <s v="Reconstruction"/>
    <s v=""/>
    <n v="1.0079051383399209"/>
    <m/>
    <m/>
    <n v="1.2851388819875778"/>
    <n v="1.275059361344538"/>
    <s v=""/>
    <x v="0"/>
    <x v="0"/>
    <n v="0"/>
    <n v="0"/>
    <s v=""/>
    <s v=""/>
    <s v=""/>
    <s v=""/>
    <s v=""/>
    <n v="1"/>
    <s v=""/>
    <s v=""/>
    <s v=""/>
    <s v=""/>
  </r>
  <r>
    <s v="Macedonia, FYR"/>
    <s v="Europe and Central Asia"/>
    <s v="P107840"/>
    <s v="C1"/>
    <s v="S6"/>
    <s v="P107840C1S6"/>
    <s v="Ratio"/>
    <s v="2008 / 2016"/>
    <s v="Reconstruction"/>
    <s v=""/>
    <n v="1.0999999999999999"/>
    <m/>
    <m/>
    <n v="2.2069457142857143"/>
    <n v="2.0063142857142857"/>
    <s v="x"/>
    <x v="0"/>
    <x v="0"/>
    <n v="1"/>
    <n v="0"/>
    <s v=""/>
    <s v=""/>
    <n v="1"/>
    <s v=""/>
    <s v=""/>
    <n v="1"/>
    <s v=""/>
    <s v=""/>
    <n v="1"/>
    <s v=""/>
  </r>
  <r>
    <s v="Macedonia, FYR"/>
    <s v="Europe and Central Asia"/>
    <s v="P107840"/>
    <s v="C1"/>
    <s v="S7"/>
    <s v="P107840C1S7"/>
    <s v="Ratio"/>
    <s v="2008 / 2016"/>
    <s v="Reconstruction"/>
    <s v=""/>
    <n v="1.3741007194244605"/>
    <m/>
    <m/>
    <n v="1.0935471309853582"/>
    <n v="0.79582749323018209"/>
    <s v=""/>
    <x v="0"/>
    <x v="0"/>
    <n v="0"/>
    <n v="0"/>
    <s v=""/>
    <s v=""/>
    <s v=""/>
    <s v=""/>
    <s v=""/>
    <s v=""/>
    <s v=""/>
    <s v=""/>
    <s v=""/>
    <s v=""/>
  </r>
  <r>
    <s v="Macedonia, FYR"/>
    <s v="Europe and Central Asia"/>
    <s v="P107840"/>
    <s v="C1"/>
    <s v="S8"/>
    <s v="P107840C1S8"/>
    <s v="Ratio"/>
    <s v="2008 / 2016"/>
    <s v="Reconstruction"/>
    <s v=""/>
    <n v="1.0277777777777777"/>
    <m/>
    <m/>
    <n v="1.1672801393728223"/>
    <n v="1.135732027497881"/>
    <s v=""/>
    <x v="0"/>
    <x v="0"/>
    <n v="0"/>
    <n v="0"/>
    <s v=""/>
    <s v=""/>
    <s v=""/>
    <s v=""/>
    <s v=""/>
    <s v=""/>
    <s v=""/>
    <s v=""/>
    <s v=""/>
    <s v=""/>
  </r>
  <r>
    <s v="Macedonia, FYR"/>
    <s v="Europe and Central Asia"/>
    <s v="P107840"/>
    <s v="C1"/>
    <s v="S9"/>
    <s v="P107840C1S9"/>
    <s v="Ratio"/>
    <s v="2008 / 2016"/>
    <s v="Reconstruction"/>
    <s v=""/>
    <n v="0.72868217054263562"/>
    <m/>
    <m/>
    <n v="0.4500496375266525"/>
    <n v="0.61762131107381035"/>
    <s v=""/>
    <x v="0"/>
    <x v="0"/>
    <n v="0"/>
    <n v="0"/>
    <s v=""/>
    <s v=""/>
    <s v=""/>
    <s v=""/>
    <s v=""/>
    <s v=""/>
    <s v=""/>
    <s v=""/>
    <s v=""/>
    <s v=""/>
  </r>
  <r>
    <s v="Sri Lanka"/>
    <s v="South Asia"/>
    <s v="P107847"/>
    <s v="C1"/>
    <s v="S1"/>
    <s v="P107847C1S1"/>
    <s v="Ratio"/>
    <s v="2009 / 2015"/>
    <s v="Partial Widening and Reconstruction"/>
    <n v="0.98333333333333328"/>
    <n v="0.78193333333333337"/>
    <m/>
    <m/>
    <n v="1.41643059490085"/>
    <n v="1.8114467493829609"/>
    <s v="x"/>
    <x v="0"/>
    <x v="0"/>
    <n v="1"/>
    <n v="0"/>
    <n v="1"/>
    <s v=""/>
    <n v="1"/>
    <s v=""/>
    <s v=""/>
    <s v=""/>
    <s v=""/>
    <s v=""/>
    <n v="1"/>
    <s v=""/>
  </r>
  <r>
    <s v="Sri Lanka"/>
    <s v="South Asia"/>
    <s v="P107847"/>
    <s v="C1"/>
    <s v="S2"/>
    <s v="P107847C1S2"/>
    <s v="Ratio"/>
    <s v="2009 / 2015"/>
    <s v="Partial Widening and Reconstruction"/>
    <n v="0.98333333333333328"/>
    <n v="0.59150000000000003"/>
    <m/>
    <m/>
    <n v="1.4285714285714286"/>
    <n v="2.4151672503320851"/>
    <s v="x"/>
    <x v="0"/>
    <x v="0"/>
    <n v="1"/>
    <n v="0"/>
    <n v="1"/>
    <s v=""/>
    <s v=""/>
    <s v=""/>
    <s v=""/>
    <n v="1"/>
    <s v=""/>
    <s v=""/>
    <s v=""/>
    <s v=""/>
  </r>
  <r>
    <s v="Sri Lanka"/>
    <s v="South Asia"/>
    <s v="P107847"/>
    <s v="C1"/>
    <s v="S3"/>
    <s v="P107847C1S3"/>
    <s v="Ratio"/>
    <s v="2009 / 2015"/>
    <s v="Partial Widening and Reconstruction"/>
    <n v="0.98333333333333328"/>
    <n v="0.55720000000000003"/>
    <m/>
    <m/>
    <n v="1.4285714285714286"/>
    <n v="2.5638396061942363"/>
    <s v="x"/>
    <x v="0"/>
    <x v="0"/>
    <n v="1"/>
    <n v="0"/>
    <n v="1"/>
    <s v=""/>
    <s v=""/>
    <s v=""/>
    <s v=""/>
    <s v=""/>
    <n v="1"/>
    <s v=""/>
    <s v=""/>
    <s v=""/>
  </r>
  <r>
    <s v="Honduras"/>
    <s v="Latin America and Caribbean"/>
    <s v="P109058"/>
    <s v="C1"/>
    <s v="S1"/>
    <s v="P109058C1S1"/>
    <s v="Ratio"/>
    <s v="2008 / 2015"/>
    <s v="Upgrading"/>
    <s v=""/>
    <n v="1"/>
    <m/>
    <m/>
    <n v="1.0847658565500888"/>
    <n v="1.0847658565500891"/>
    <s v=""/>
    <x v="0"/>
    <x v="0"/>
    <n v="0"/>
    <n v="0"/>
    <s v=""/>
    <s v=""/>
    <s v=""/>
    <s v=""/>
    <s v=""/>
    <s v=""/>
    <s v=""/>
    <s v=""/>
    <s v=""/>
    <s v=""/>
  </r>
  <r>
    <s v="Honduras"/>
    <s v="Latin America and Caribbean"/>
    <s v="P109058"/>
    <s v="C1"/>
    <s v="S2"/>
    <s v="P109058C1S2"/>
    <s v="Ratio"/>
    <s v="2008 / 2015"/>
    <s v="Upgrading"/>
    <s v=""/>
    <n v="1"/>
    <m/>
    <m/>
    <n v="1.2946690099589924"/>
    <n v="1.2946690099589926"/>
    <s v=""/>
    <x v="0"/>
    <x v="0"/>
    <n v="0"/>
    <n v="0"/>
    <s v=""/>
    <s v=""/>
    <s v=""/>
    <s v=""/>
    <s v=""/>
    <s v=""/>
    <s v=""/>
    <s v=""/>
    <s v=""/>
    <s v=""/>
  </r>
  <r>
    <s v="Honduras"/>
    <s v="Latin America and Caribbean"/>
    <s v="P109058"/>
    <s v="C1"/>
    <s v="S3"/>
    <s v="P109058C1S3"/>
    <s v="Ratio"/>
    <s v="2008 / 2015"/>
    <s v="Upgrading"/>
    <s v=""/>
    <n v="0.36363636363636365"/>
    <m/>
    <m/>
    <n v="1.1426959954878737"/>
    <n v="3.1424139875916528"/>
    <s v="x"/>
    <x v="0"/>
    <x v="1"/>
    <n v="1"/>
    <n v="0"/>
    <s v=""/>
    <n v="1"/>
    <n v="1"/>
    <s v=""/>
    <s v=""/>
    <s v=""/>
    <s v=""/>
    <s v=""/>
    <s v=""/>
    <s v=""/>
  </r>
  <r>
    <s v="Belarus"/>
    <s v="Europe and Central Asia"/>
    <s v="P118375"/>
    <s v="C1"/>
    <s v="S1"/>
    <s v="P118375C1S1"/>
    <s v="Ratio"/>
    <s v="2010 / 2016"/>
    <s v="Widening and Reconstruction"/>
    <n v="0.77419354838709675"/>
    <n v="1"/>
    <m/>
    <m/>
    <n v="0.83851508120649654"/>
    <n v="0.83851508120649654"/>
    <s v=""/>
    <x v="0"/>
    <x v="0"/>
    <n v="0"/>
    <n v="0"/>
    <s v=""/>
    <s v=""/>
    <s v=""/>
    <s v=""/>
    <s v=""/>
    <s v=""/>
    <s v=""/>
    <s v=""/>
    <s v=""/>
    <s v=""/>
  </r>
  <r>
    <s v="Belarus"/>
    <s v="Europe and Central Asia"/>
    <s v="P118375"/>
    <s v="C1"/>
    <s v="S2"/>
    <s v="P118375C1S2"/>
    <s v="Ratio"/>
    <s v="2010 / 2016"/>
    <s v="Widening and Reconstruction"/>
    <n v="0.77419354838709675"/>
    <n v="1"/>
    <m/>
    <m/>
    <n v="1.3287937743190661"/>
    <n v="1.3287937743190661"/>
    <s v=""/>
    <x v="0"/>
    <x v="0"/>
    <n v="0"/>
    <n v="0"/>
    <s v=""/>
    <s v=""/>
    <s v=""/>
    <s v=""/>
    <s v=""/>
    <s v=""/>
    <s v=""/>
    <s v=""/>
    <s v=""/>
    <s v=""/>
  </r>
  <r>
    <s v="Belarus"/>
    <s v="Europe and Central Asia"/>
    <s v="P118375"/>
    <s v="C1"/>
    <s v="S3"/>
    <s v="P118375C1S3"/>
    <s v="Ratio"/>
    <s v="2010 / 2016"/>
    <s v="Widening and Reconstruction"/>
    <n v="0.77419354838709675"/>
    <n v="1"/>
    <m/>
    <m/>
    <n v="0.81219512195121946"/>
    <n v="0.81219512195121946"/>
    <s v=""/>
    <x v="0"/>
    <x v="0"/>
    <n v="0"/>
    <n v="0"/>
    <s v=""/>
    <s v=""/>
    <s v=""/>
    <s v=""/>
    <s v=""/>
    <s v=""/>
    <s v=""/>
    <s v=""/>
    <s v=""/>
    <s v=""/>
  </r>
  <r>
    <s v="Belarus"/>
    <s v="Europe and Central Asia"/>
    <s v="P118375"/>
    <s v="C1"/>
    <s v="S4"/>
    <s v="P118375C1S4"/>
    <s v="Ratio"/>
    <s v="2010 / 2016"/>
    <s v="Widening and Reconstruction"/>
    <n v="0.77419354838709675"/>
    <n v="1"/>
    <m/>
    <m/>
    <n v="1.4740384615384614"/>
    <n v="1.4740384615384614"/>
    <s v=""/>
    <x v="0"/>
    <x v="0"/>
    <n v="0"/>
    <n v="0"/>
    <s v=""/>
    <s v=""/>
    <s v=""/>
    <s v=""/>
    <s v=""/>
    <s v=""/>
    <s v=""/>
    <s v=""/>
    <s v=""/>
    <s v=""/>
  </r>
  <r>
    <s v="South Sudan"/>
    <s v="Sub-Saharan Africa"/>
    <s v="P118579"/>
    <s v="C1"/>
    <s v="S1"/>
    <s v="P118579C1S1"/>
    <s v="Ratio"/>
    <s v="2010 / 2013"/>
    <s v="Routine Maintenance"/>
    <s v=""/>
    <n v="0.84848484848484851"/>
    <m/>
    <m/>
    <n v="0.98406244458762893"/>
    <n v="1.1597878811211342"/>
    <s v=""/>
    <x v="0"/>
    <x v="0"/>
    <n v="0"/>
    <n v="0"/>
    <s v=""/>
    <s v=""/>
    <s v=""/>
    <s v=""/>
    <s v=""/>
    <s v=""/>
    <s v=""/>
    <s v=""/>
    <s v=""/>
    <s v=""/>
  </r>
  <r>
    <s v="South Sudan"/>
    <s v="Sub-Saharan Africa"/>
    <s v="P118579"/>
    <s v="C1"/>
    <s v="S2"/>
    <s v="P118579C1S2"/>
    <s v="Ratio"/>
    <s v="2010 / 2013"/>
    <s v="Routine Maintenance"/>
    <s v=""/>
    <n v="0.70625000000000004"/>
    <m/>
    <m/>
    <n v="1.0144039270588237"/>
    <n v="1.4363241445080688"/>
    <s v=""/>
    <x v="0"/>
    <x v="0"/>
    <n v="0"/>
    <n v="0"/>
    <s v=""/>
    <s v=""/>
    <s v=""/>
    <s v=""/>
    <s v=""/>
    <s v=""/>
    <s v=""/>
    <s v=""/>
    <s v=""/>
    <s v=""/>
  </r>
  <r>
    <s v="South Sudan"/>
    <s v="Sub-Saharan Africa"/>
    <s v="P118579"/>
    <s v="C1"/>
    <s v="S3"/>
    <s v="P118579C1S3"/>
    <s v="Ratio"/>
    <s v="2010 / 2013"/>
    <s v="Routine Maintenance"/>
    <s v=""/>
    <n v="0.79473684210526319"/>
    <m/>
    <m/>
    <n v="1.1176118740740741"/>
    <n v="1.4062665965170469"/>
    <s v=""/>
    <x v="0"/>
    <x v="0"/>
    <n v="0"/>
    <n v="0"/>
    <s v=""/>
    <s v=""/>
    <s v=""/>
    <s v=""/>
    <s v=""/>
    <s v=""/>
    <s v=""/>
    <s v=""/>
    <s v=""/>
    <s v=""/>
  </r>
  <r>
    <s v="South Sudan"/>
    <s v="Sub-Saharan Africa"/>
    <s v="P118579"/>
    <s v="C1"/>
    <s v="S4"/>
    <s v="P118579C1S4"/>
    <s v="Ratio"/>
    <s v="2010 / 2013"/>
    <s v="Routine Maintenance"/>
    <s v=""/>
    <n v="0.95102040816326527"/>
    <m/>
    <m/>
    <n v="0.95798102592592582"/>
    <n v="1.0073191045143857"/>
    <s v=""/>
    <x v="0"/>
    <x v="0"/>
    <n v="0"/>
    <n v="0"/>
    <s v=""/>
    <s v=""/>
    <s v=""/>
    <s v=""/>
    <s v=""/>
    <s v=""/>
    <s v=""/>
    <s v=""/>
    <s v=""/>
    <s v=""/>
  </r>
  <r>
    <s v="South Sudan"/>
    <s v="Sub-Saharan Africa"/>
    <s v="P118579"/>
    <s v="C1"/>
    <s v="S5"/>
    <s v="P118579C1S5"/>
    <s v="Ratio"/>
    <s v="2010 / 2013"/>
    <s v="Routine Maintenance"/>
    <s v=""/>
    <n v="0.44791666666666669"/>
    <m/>
    <m/>
    <n v="0.76475004608294939"/>
    <n v="1.7073489400921662"/>
    <s v="x"/>
    <x v="0"/>
    <x v="1"/>
    <n v="1"/>
    <n v="0"/>
    <s v=""/>
    <n v="1"/>
    <s v=""/>
    <s v=""/>
    <s v=""/>
    <n v="1"/>
    <s v=""/>
    <s v=""/>
    <s v=""/>
    <s v=""/>
  </r>
  <r>
    <s v="South Sudan"/>
    <s v="Sub-Saharan Africa"/>
    <s v="P118579"/>
    <s v="C1"/>
    <s v="S6"/>
    <s v="P118579C1S6"/>
    <s v="Ratio"/>
    <s v="2010 / 2013"/>
    <s v="Routine Maintenance"/>
    <s v=""/>
    <n v="1"/>
    <m/>
    <m/>
    <n v="0.95409011727416804"/>
    <n v="0.95409011727416804"/>
    <s v=""/>
    <x v="0"/>
    <x v="0"/>
    <n v="0"/>
    <n v="0"/>
    <s v=""/>
    <s v=""/>
    <s v=""/>
    <s v=""/>
    <s v=""/>
    <s v=""/>
    <s v=""/>
    <s v=""/>
    <s v=""/>
    <s v=""/>
  </r>
  <r>
    <s v="South Sudan"/>
    <s v="Sub-Saharan Africa"/>
    <s v="P118579"/>
    <s v="C1"/>
    <s v="S7"/>
    <s v="P118579C1S7"/>
    <s v="Ratio"/>
    <s v="2010 / 2013"/>
    <s v="Routine Maintenance"/>
    <s v=""/>
    <n v="0.93333333333333335"/>
    <m/>
    <m/>
    <n v="1.1493094748427672"/>
    <n v="1.2314030087601078"/>
    <s v=""/>
    <x v="0"/>
    <x v="0"/>
    <n v="0"/>
    <n v="0"/>
    <s v=""/>
    <s v=""/>
    <s v=""/>
    <s v=""/>
    <s v=""/>
    <s v=""/>
    <s v=""/>
    <s v=""/>
    <s v=""/>
    <s v=""/>
  </r>
  <r>
    <s v="South Sudan"/>
    <s v="Sub-Saharan Africa"/>
    <s v="P118579"/>
    <s v="C1"/>
    <s v="S8"/>
    <s v="P118579C1S8"/>
    <s v="Ratio"/>
    <s v="2010 / 2013"/>
    <s v="Routine Maintenance"/>
    <s v=""/>
    <n v="0.49615384615384617"/>
    <m/>
    <m/>
    <n v="1.1423927173913044"/>
    <n v="2.3024969497809238"/>
    <s v="x"/>
    <x v="0"/>
    <x v="1"/>
    <n v="1"/>
    <n v="0"/>
    <s v=""/>
    <n v="1"/>
    <s v=""/>
    <s v=""/>
    <s v=""/>
    <n v="1"/>
    <s v=""/>
    <s v=""/>
    <n v="1"/>
    <s v=""/>
  </r>
  <r>
    <s v="Pakistan"/>
    <s v="South Asia"/>
    <s v="P125584"/>
    <s v="C1"/>
    <s v="S1"/>
    <s v="P125584C1S1"/>
    <s v="Ratio"/>
    <s v="2011 / 2016"/>
    <s v="Partial Widening and Reconstruction"/>
    <n v="1"/>
    <n v="1.4761904761904763"/>
    <m/>
    <m/>
    <n v="1.4396887159533076"/>
    <n v="0.97527300112965998"/>
    <s v=""/>
    <x v="0"/>
    <x v="0"/>
    <n v="0"/>
    <n v="0"/>
    <s v=""/>
    <s v=""/>
    <s v=""/>
    <s v=""/>
    <s v=""/>
    <s v=""/>
    <s v=""/>
    <s v=""/>
    <s v=""/>
    <s v=""/>
  </r>
  <r>
    <s v="Pakistan"/>
    <s v="South Asia"/>
    <s v="P128966"/>
    <s v="C1"/>
    <s v=""/>
    <s v="P128966C1"/>
    <s v="Ratio"/>
    <s v="2012 / 2016"/>
    <s v="Upgrading"/>
    <s v=""/>
    <n v="1"/>
    <m/>
    <m/>
    <n v="0.99555555555555553"/>
    <n v="0.99555555555555542"/>
    <s v=""/>
    <x v="0"/>
    <x v="0"/>
    <n v="0"/>
    <n v="0"/>
    <s v=""/>
    <s v=""/>
    <s v=""/>
    <s v=""/>
    <s v=""/>
    <s v=""/>
    <s v=""/>
    <s v=""/>
    <s v=""/>
    <s v=""/>
  </r>
  <r>
    <s v="Chad"/>
    <s v="Sub-Saharan Africa"/>
    <s v="AfDB project - P-TD-DB0-008"/>
    <s v="C1"/>
    <s v=""/>
    <s v="AfDB project - P-TD-DB0-008C1"/>
    <s v="Ratio"/>
    <s v="2009 / 2017"/>
    <s v="Asphalt Mix Resurfacing"/>
    <n v="1"/>
    <n v="1"/>
    <n v="1.683027639178504"/>
    <m/>
    <n v="1.7447877214006935"/>
    <n v="1.7447877214006935"/>
    <s v="x"/>
    <x v="0"/>
    <x v="0"/>
    <n v="1"/>
    <n v="0"/>
    <s v=""/>
    <s v=""/>
    <s v=""/>
    <s v=""/>
    <s v=""/>
    <s v=""/>
    <s v=""/>
    <s v=""/>
    <s v=""/>
    <n v="1"/>
  </r>
  <r>
    <s v="Swaziland"/>
    <s v="Sub-Saharan Africa"/>
    <s v="Loan numbers: ADB loan: B/SWA/ROD/89/15 and ADF loan: F/SWA/ROD/89/6"/>
    <s v="C1"/>
    <s v=""/>
    <s v="Loan numbers: ADB loan: B/SWA/ROD/89/15 and ADF loan: F/SWA/ROD/89/6C1"/>
    <s v="Ratio"/>
    <s v="1988 / 1994"/>
    <s v="Strengthening"/>
    <n v="1"/>
    <n v="1"/>
    <n v="6.0425838282608426"/>
    <m/>
    <n v="3.8689557863765907"/>
    <n v="3.8689557863765902"/>
    <s v="x"/>
    <x v="0"/>
    <x v="0"/>
    <n v="1"/>
    <n v="0"/>
    <s v=""/>
    <s v=""/>
    <s v=""/>
    <s v=""/>
    <s v=""/>
    <n v="1"/>
    <s v=""/>
    <s v=""/>
    <s v=""/>
    <n v="1"/>
  </r>
  <r>
    <s v="Niger"/>
    <s v="Sub-Saharan Africa"/>
    <n v="0"/>
    <s v="C1"/>
    <s v=""/>
    <s v="0C1"/>
    <s v="Ratio"/>
    <s v="1989 / 1999"/>
    <s v="Partial Widening"/>
    <s v=""/>
    <n v="0.89114266396213682"/>
    <n v="2.2549884031391891"/>
    <m/>
    <n v="0.85590803626214118"/>
    <n v="1.3110693350540821"/>
    <s v=""/>
    <x v="0"/>
    <x v="0"/>
    <n v="0"/>
    <n v="0"/>
    <s v=""/>
    <s v=""/>
    <s v=""/>
    <s v=""/>
    <s v=""/>
    <s v=""/>
    <s v=""/>
    <s v=""/>
    <s v=""/>
    <s v=""/>
  </r>
  <r>
    <s v="Zambia"/>
    <s v="Sub-Saharan Africa"/>
    <s v="AfDB project - P –Z1-DB0 -063 "/>
    <s v="C1"/>
    <s v=""/>
    <s v="AfDB project - P –Z1-DB0 -063 C1"/>
    <s v="Ratio"/>
    <s v="2010 / 2017"/>
    <s v="Reconstruction"/>
    <n v="1.0833333333333333"/>
    <n v="1"/>
    <n v="0.939306358381503"/>
    <m/>
    <n v="0.939306358381503"/>
    <n v="0.939306358381503"/>
    <s v=""/>
    <x v="0"/>
    <x v="0"/>
    <n v="0"/>
    <n v="0"/>
    <s v=""/>
    <s v=""/>
    <s v=""/>
    <s v=""/>
    <s v=""/>
    <s v=""/>
    <s v=""/>
    <s v=""/>
    <s v=""/>
    <s v=""/>
  </r>
  <r>
    <s v="Kenya"/>
    <s v="Sub-Saharan Africa"/>
    <s v="AfDB project P-KE-DB0-019"/>
    <s v="C1"/>
    <s v=""/>
    <s v="AfDB project P-KE-DB0-019C1"/>
    <s v="Ratio"/>
    <s v="2010 / 2017"/>
    <s v="Reconstruction"/>
    <n v="1.4166666666666667"/>
    <n v="1"/>
    <n v="1.3051760233667675"/>
    <m/>
    <n v="1.0004160961538076"/>
    <n v="1.0004160961538076"/>
    <s v=""/>
    <x v="0"/>
    <x v="0"/>
    <n v="0"/>
    <n v="0"/>
    <s v=""/>
    <s v=""/>
    <s v=""/>
    <s v=""/>
    <s v=""/>
    <s v=""/>
    <s v=""/>
    <s v=""/>
    <s v=""/>
    <s v=""/>
  </r>
  <r>
    <s v="Guinea"/>
    <s v="Sub-Saharan Africa"/>
    <s v="AfDB P-GN-AB0-005_x000a_"/>
    <s v="C1"/>
    <s v=""/>
    <s v="AfDB P-GN-AB0-005_x000a_C1"/>
    <s v="Ratio"/>
    <s v="2012 / 2011"/>
    <s v="Asphalt Mix Resurfacing"/>
    <s v=""/>
    <n v="0.25740740740740742"/>
    <n v="0.40072289156626506"/>
    <m/>
    <n v="0.39306576624971218"/>
    <n v="1.5270180847111121"/>
    <s v="x"/>
    <x v="0"/>
    <x v="1"/>
    <n v="1"/>
    <n v="0"/>
    <s v=""/>
    <s v=""/>
    <s v=""/>
    <n v="1"/>
    <s v=""/>
    <s v=""/>
    <n v="1"/>
    <s v=""/>
    <s v=""/>
    <s v=""/>
  </r>
  <r>
    <s v="Benin"/>
    <s v="Sub-Saharan Africa"/>
    <s v="AfDB-P-BJ-DB0-010 "/>
    <s v="C1"/>
    <s v=""/>
    <s v="AfDB-P-BJ-DB0-010 C1"/>
    <s v="Ratio"/>
    <s v="2002 / 2011"/>
    <s v="New 2L Highway"/>
    <s v=""/>
    <n v="1"/>
    <n v="1.0560310173402154"/>
    <m/>
    <n v="1.5598535550073822"/>
    <n v="1.5598535550073824"/>
    <s v="x"/>
    <x v="0"/>
    <x v="0"/>
    <n v="1"/>
    <n v="0"/>
    <n v="1"/>
    <s v=""/>
    <s v=""/>
    <s v=""/>
    <s v=""/>
    <s v=""/>
    <s v=""/>
    <s v=""/>
    <s v=""/>
    <n v="1"/>
  </r>
  <r>
    <s v="Cameroon"/>
    <s v="Sub-Saharan Africa"/>
    <s v="AfDB loan number: B/CAM/RTE/89/16"/>
    <s v="C1"/>
    <s v="S1"/>
    <s v="AfDB loan number: B/CAM/RTE/89/16C1S1"/>
    <s v="Ratio"/>
    <s v="1988 / 1998"/>
    <s v="Upgrading"/>
    <n v="2"/>
    <n v="1"/>
    <n v="1.0206057259366239"/>
    <m/>
    <n v="0.51525927521478776"/>
    <n v="0.51525927521478776"/>
    <s v=""/>
    <x v="0"/>
    <x v="0"/>
    <n v="0"/>
    <n v="0"/>
    <s v=""/>
    <s v=""/>
    <s v=""/>
    <s v=""/>
    <s v=""/>
    <s v=""/>
    <s v=""/>
    <s v=""/>
    <s v=""/>
    <s v=""/>
  </r>
  <r>
    <s v="Cameroon"/>
    <s v="Sub-Saharan Africa"/>
    <s v="AfDB loan number: B/CAM/RTE/89/16"/>
    <s v="C1"/>
    <s v="S2"/>
    <s v="AfDB loan number: B/CAM/RTE/89/16C1S2"/>
    <s v="Ratio"/>
    <s v="1988 / 1998"/>
    <s v="Strengthening"/>
    <n v="2"/>
    <n v="0.99596774193548376"/>
    <n v="0.94175406155065389"/>
    <m/>
    <n v="0.47545051223365831"/>
    <n v="0.47737541309290393"/>
    <s v="x"/>
    <x v="0"/>
    <x v="0"/>
    <n v="0"/>
    <n v="1"/>
    <s v=""/>
    <s v=""/>
    <s v=""/>
    <s v=""/>
    <s v=""/>
    <s v=""/>
    <s v=""/>
    <s v=""/>
    <s v=""/>
    <n v="1"/>
  </r>
  <r>
    <s v="Burkina Faso"/>
    <s v="Sub-Saharan Africa"/>
    <s v="AfDB loan number: F/BUF/RTE/92/19"/>
    <s v="C1"/>
    <s v=""/>
    <s v="AfDB loan number: F/BUF/RTE/92/19C1"/>
    <s v="Ratio"/>
    <s v="1990 / 1999"/>
    <s v="Upgrading"/>
    <n v="2.2000000000000002"/>
    <n v="1.7591623036649213"/>
    <n v="1.2002132764596107"/>
    <m/>
    <n v="0.53073797958208446"/>
    <n v="0.30169926815529213"/>
    <s v="x"/>
    <x v="1"/>
    <x v="0"/>
    <n v="0"/>
    <n v="1"/>
    <s v=""/>
    <s v=""/>
    <s v=""/>
    <s v=""/>
    <s v=""/>
    <s v=""/>
    <s v=""/>
    <s v=""/>
    <n v="1"/>
    <s v=""/>
  </r>
  <r>
    <s v="Lesotho"/>
    <s v="Sub-Saharan Africa"/>
    <s v="AfDB loan number: CS/LES/TR/86/18_x000a_"/>
    <s v="C1"/>
    <s v=""/>
    <s v="AfDB loan number: CS/LES/TR/86/18_x000a_C1"/>
    <s v="Ratio"/>
    <s v="1985 / 1991"/>
    <s v="Upgrading"/>
    <n v="1.4583333333333333"/>
    <n v="1"/>
    <n v="2.3029832569756454"/>
    <m/>
    <n v="1.8584015561541973"/>
    <n v="1.8584015561541973"/>
    <s v="x"/>
    <x v="0"/>
    <x v="0"/>
    <n v="1"/>
    <n v="0"/>
    <s v=""/>
    <s v=""/>
    <s v=""/>
    <s v=""/>
    <s v=""/>
    <s v=""/>
    <s v=""/>
    <s v=""/>
    <s v=""/>
    <s v=""/>
  </r>
  <r>
    <s v="Morocco"/>
    <s v="Middle East and North Africa"/>
    <s v="AfDB loan number B/MRC/RTE/90/35"/>
    <s v="C1"/>
    <s v=""/>
    <s v="AfDB loan number B/MRC/RTE/90/35C1"/>
    <s v="Ratio"/>
    <s v="1989 / 1998"/>
    <s v="Strengthening"/>
    <s v=""/>
    <n v="1.3698034682080926"/>
    <n v="0.97047046176863261"/>
    <m/>
    <n v="0.85770025817286066"/>
    <n v="0.62614840601539767"/>
    <s v=""/>
    <x v="0"/>
    <x v="0"/>
    <n v="0"/>
    <n v="0"/>
    <s v=""/>
    <s v=""/>
    <s v=""/>
    <s v=""/>
    <s v=""/>
    <s v=""/>
    <s v=""/>
    <s v=""/>
    <s v=""/>
    <s v=""/>
  </r>
  <r>
    <s v="Namibia"/>
    <s v="Sub-Saharan Africa"/>
    <s v="AfDB loan number: F/NAM/ROD/92/1_x000a_"/>
    <s v="C1"/>
    <s v=""/>
    <s v="AfDB loan number: F/NAM/ROD/92/1_x000a_C1"/>
    <s v="Ratio"/>
    <s v="1991 / 1995"/>
    <s v="Upgrading"/>
    <s v=""/>
    <n v="1"/>
    <n v="1.5053558411093844"/>
    <m/>
    <n v="1.1459298255591426"/>
    <n v="1.1459298255591424"/>
    <s v=""/>
    <x v="0"/>
    <x v="0"/>
    <n v="0"/>
    <n v="0"/>
    <s v=""/>
    <s v=""/>
    <s v=""/>
    <s v=""/>
    <s v=""/>
    <s v=""/>
    <s v=""/>
    <s v=""/>
    <s v=""/>
    <s v=""/>
  </r>
  <r>
    <s v="Lesotho"/>
    <s v="Sub-Saharan Africa"/>
    <s v="AfDB loan numbers: F/LES/TRA-ROD/87/20 &amp; F/LES/ROD/93/SUP/8_x000a_"/>
    <s v="C1"/>
    <s v=""/>
    <s v="AfDB loan numbers: F/LES/TRA-ROD/87/20 &amp; F/LES/ROD/93/SUP/8_x000a_C1"/>
    <s v="Ratio"/>
    <s v="1987 / 1997"/>
    <s v="Upgrading"/>
    <n v="3.5"/>
    <n v="1"/>
    <n v="5.8584874016811224"/>
    <m/>
    <n v="2.5890775667077852"/>
    <n v="2.5890775667077852"/>
    <s v="x"/>
    <x v="0"/>
    <x v="0"/>
    <n v="1"/>
    <n v="0"/>
    <s v=""/>
    <s v=""/>
    <s v=""/>
    <s v=""/>
    <s v=""/>
    <s v=""/>
    <s v=""/>
    <s v=""/>
    <s v=""/>
    <n v="1"/>
  </r>
  <r>
    <s v="Benin"/>
    <s v="Sub-Saharan Africa"/>
    <s v="AfDB loan number: F/BEN/ROD/92/27_x000a_"/>
    <s v="C1"/>
    <s v=""/>
    <s v="AfDB loan number: F/BEN/ROD/92/27_x000a_C1"/>
    <s v="Ratio"/>
    <s v="1992 / 1999"/>
    <s v="New 2L Highway"/>
    <s v=""/>
    <n v="1"/>
    <n v="1.3157443157443158"/>
    <m/>
    <n v="1"/>
    <n v="0.56564888650840994"/>
    <s v=""/>
    <x v="0"/>
    <x v="0"/>
    <n v="0"/>
    <n v="0"/>
    <s v=""/>
    <s v=""/>
    <s v=""/>
    <s v=""/>
    <s v=""/>
    <s v=""/>
    <s v=""/>
    <s v=""/>
    <s v=""/>
    <s v=""/>
  </r>
  <r>
    <s v="Benin"/>
    <s v="Sub-Saharan Africa"/>
    <s v="AfDB loan number: F/BEN/ROD/92/27_x000a_"/>
    <s v="C2"/>
    <s v=""/>
    <s v="AfDB loan number: F/BEN/ROD/92/27_x000a_C2"/>
    <s v="Ratio"/>
    <s v="1992 / 1999"/>
    <s v="Partial Widening and Reconstruction"/>
    <s v=""/>
    <n v="1"/>
    <n v="2.8122489959839356"/>
    <m/>
    <n v="1.209008083202566"/>
    <n v="1.209008083202566"/>
    <s v=""/>
    <x v="0"/>
    <x v="0"/>
    <n v="0"/>
    <n v="0"/>
    <s v=""/>
    <s v=""/>
    <s v=""/>
    <s v=""/>
    <s v=""/>
    <s v=""/>
    <s v=""/>
    <s v=""/>
    <s v=""/>
    <s v=""/>
  </r>
  <r>
    <s v="Malawi"/>
    <s v="Sub-Saharan Africa"/>
    <s v="AfDB loan F/MLW/AGR(RD)/87/15"/>
    <s v="C1"/>
    <s v=""/>
    <s v="AfDB loan F/MLW/AGR(RD)/87/15C1"/>
    <s v="Ratio"/>
    <s v="1987 / 1999"/>
    <s v="Upgrading"/>
    <s v=""/>
    <n v="1.0483870967741935"/>
    <n v="1.8660098522167488"/>
    <m/>
    <n v="9.313116322315898E-2"/>
    <n v="8.8832801843628573E-2"/>
    <s v="x"/>
    <x v="0"/>
    <x v="0"/>
    <n v="0"/>
    <n v="1"/>
    <n v="1"/>
    <s v=""/>
    <s v=""/>
    <s v=""/>
    <s v=""/>
    <s v=""/>
    <s v=""/>
    <s v=""/>
    <s v=""/>
    <s v=""/>
  </r>
  <r>
    <s v="Burkina Faso"/>
    <s v="Sub-Saharan Africa"/>
    <s v="AfDB P-BF-DB0-012"/>
    <s v="C1"/>
    <s v=""/>
    <s v="AfDB P-BF-DB0-012C1"/>
    <s v="Ratio"/>
    <s v="2004 / 2011"/>
    <s v="Strengthening"/>
    <s v=""/>
    <n v="0.94256410256410261"/>
    <n v="0.92980259223227979"/>
    <m/>
    <n v="1.040978496639827"/>
    <n v="1.1044113538888263"/>
    <s v=""/>
    <x v="0"/>
    <x v="0"/>
    <n v="0"/>
    <n v="0"/>
    <s v=""/>
    <s v=""/>
    <s v=""/>
    <s v=""/>
    <s v=""/>
    <s v=""/>
    <s v=""/>
    <s v=""/>
    <s v=""/>
    <s v=""/>
  </r>
  <r>
    <s v="China"/>
    <s v="East Asia and Pacific"/>
    <s v="Project number: 42017-013"/>
    <s v="C1"/>
    <s v="S1"/>
    <s v="Project number: 42017-013C1S1"/>
    <s v="Ratio"/>
    <s v="2010 / 2016"/>
    <s v="New 4L Highway"/>
    <s v=""/>
    <n v="1"/>
    <n v="1.2183760957194958"/>
    <m/>
    <n v="1.2422298445814739"/>
    <n v="1.2422298445814739"/>
    <s v=""/>
    <x v="0"/>
    <x v="0"/>
    <n v="0"/>
    <n v="0"/>
    <s v=""/>
    <s v=""/>
    <s v=""/>
    <s v=""/>
    <s v=""/>
    <s v=""/>
    <s v=""/>
    <s v=""/>
    <s v=""/>
    <s v=""/>
  </r>
  <r>
    <s v="China"/>
    <s v="East Asia and Pacific"/>
    <s v="Project number: 42017-013"/>
    <s v="C1"/>
    <s v="S2"/>
    <s v="Project number: 42017-013C1S2"/>
    <s v="Ratio"/>
    <s v="2010 / 2016"/>
    <s v="Upgrading"/>
    <s v=""/>
    <n v="1"/>
    <n v="1.1482381530984205"/>
    <m/>
    <n v="1.1707187193488413"/>
    <n v="1.1707187193488413"/>
    <s v=""/>
    <x v="0"/>
    <x v="0"/>
    <n v="0"/>
    <n v="0"/>
    <s v=""/>
    <s v=""/>
    <s v=""/>
    <s v=""/>
    <s v=""/>
    <s v=""/>
    <s v=""/>
    <s v=""/>
    <s v=""/>
    <s v=""/>
  </r>
  <r>
    <s v="China"/>
    <s v="East Asia and Pacific"/>
    <s v="Project number: 42017-013"/>
    <s v="C1"/>
    <s v="S3"/>
    <s v="Project number: 42017-013C1S3"/>
    <s v="Ratio"/>
    <s v="2010 / 2016"/>
    <s v="New 2L Highway"/>
    <s v=""/>
    <n v="1"/>
    <n v="1.2559878342415411"/>
    <m/>
    <n v="1.280577957502294"/>
    <n v="1.280577957502294"/>
    <s v=""/>
    <x v="0"/>
    <x v="0"/>
    <n v="0"/>
    <n v="0"/>
    <s v=""/>
    <s v=""/>
    <s v=""/>
    <s v=""/>
    <s v=""/>
    <s v=""/>
    <s v=""/>
    <s v=""/>
    <s v=""/>
    <s v=""/>
  </r>
  <r>
    <s v="Kazakhstan"/>
    <s v="Europe and Central Asia"/>
    <s v="Project numbers 29568 &amp; 32463 "/>
    <s v="C1"/>
    <s v=""/>
    <s v="Project numbers 29568 &amp; 32463 C1"/>
    <s v="Ratio"/>
    <s v="2000 / 2007"/>
    <s v="Surface Treatment Resurfacing"/>
    <s v=""/>
    <n v="0.90204081632653066"/>
    <n v="1.5145340939961967"/>
    <m/>
    <n v="1.7565135110540957"/>
    <n v="1.947266109539608"/>
    <s v="x"/>
    <x v="0"/>
    <x v="0"/>
    <n v="1"/>
    <n v="0"/>
    <n v="1"/>
    <s v=""/>
    <s v=""/>
    <s v=""/>
    <s v=""/>
    <s v=""/>
    <s v=""/>
    <s v=""/>
    <s v=""/>
    <s v=""/>
  </r>
  <r>
    <s v="Cambodia"/>
    <s v="East Asia and Pacific"/>
    <s v="Project Number: 42358-013"/>
    <s v="C1"/>
    <s v=""/>
    <s v="Project Number: 42358-013C1"/>
    <s v="Ratio"/>
    <s v="2009 / 2014"/>
    <s v="Upgrading"/>
    <m/>
    <n v="1"/>
    <n v="1.510933557611438"/>
    <m/>
    <n v="1.570977963634659"/>
    <n v="1.5709779636346592"/>
    <s v="x"/>
    <x v="0"/>
    <x v="0"/>
    <n v="1"/>
    <n v="0"/>
    <n v="1"/>
    <s v=""/>
    <s v=""/>
    <s v=""/>
    <s v=""/>
    <s v=""/>
    <s v=""/>
    <s v=""/>
    <s v=""/>
    <s v=""/>
  </r>
  <r>
    <s v="Kazakhstan"/>
    <s v="Europe and Central Asia"/>
    <s v="Project Number: 43439-023 "/>
    <s v="C1"/>
    <s v=""/>
    <s v="Project Number: 43439-023 C1"/>
    <s v="Ratio"/>
    <s v="2010 / 2016"/>
    <s v="Asphalt Mix Resurfacing"/>
    <m/>
    <n v="1"/>
    <n v="0.60246868091378036"/>
    <m/>
    <n v="0.60246868091378036"/>
    <n v="0.60246868091378036"/>
    <s v=""/>
    <x v="0"/>
    <x v="0"/>
    <n v="0"/>
    <n v="0"/>
    <s v=""/>
    <s v=""/>
    <s v=""/>
    <s v=""/>
    <s v=""/>
    <s v=""/>
    <s v=""/>
    <s v=""/>
    <s v=""/>
    <s v=""/>
  </r>
</pivotCacheRecords>
</file>

<file path=xl/pivotCache/pivotCacheRecords2.xml><?xml version="1.0" encoding="utf-8"?>
<pivotCacheRecords xmlns="http://schemas.openxmlformats.org/spreadsheetml/2006/main" xmlns:r="http://schemas.openxmlformats.org/officeDocument/2006/relationships" count="562">
  <r>
    <s v="Mozambique"/>
    <s v="Sub-Saharan Africa"/>
    <s v="P001785"/>
    <s v="C1"/>
    <s v=""/>
    <s v="P001785C1"/>
    <s v="Ratio"/>
    <s v="2001 / 2007"/>
    <s v="Reconstruction"/>
    <s v=""/>
    <n v="0.66159999999999997"/>
    <n v="1.3667232597623091"/>
    <m/>
    <n v="1.3667232597623091"/>
    <n v="2.0657848545379518"/>
    <s v="x"/>
    <n v="0"/>
    <n v="0"/>
    <x v="0"/>
    <x v="0"/>
    <n v="1"/>
    <s v=""/>
    <s v=""/>
    <s v=""/>
    <s v=""/>
    <n v="1"/>
    <n v="1"/>
    <s v=""/>
    <s v=""/>
    <s v=""/>
  </r>
  <r>
    <s v="Chad"/>
    <s v="Sub-Saharan Africa"/>
    <s v="P035672"/>
    <s v="C1"/>
    <s v="S1"/>
    <s v="P035672C1S1"/>
    <s v="Ratio"/>
    <s v="2000 / 2009"/>
    <s v="Strengthening"/>
    <s v=""/>
    <n v="1"/>
    <n v="1.0973550928531233"/>
    <m/>
    <n v="1.0973550928531233"/>
    <n v="1.0973550928531233"/>
    <s v=""/>
    <n v="0"/>
    <n v="0"/>
    <x v="1"/>
    <x v="0"/>
    <s v=""/>
    <s v=""/>
    <s v=""/>
    <s v=""/>
    <s v=""/>
    <s v=""/>
    <s v=""/>
    <s v=""/>
    <s v=""/>
    <s v=""/>
  </r>
  <r>
    <s v="Chad"/>
    <s v="Sub-Saharan Africa"/>
    <s v="P035672"/>
    <s v="C1"/>
    <s v="S2"/>
    <s v="P035672C1S2"/>
    <s v="Ratio"/>
    <s v="2000 / 2009"/>
    <s v="Upgrading"/>
    <s v=""/>
    <n v="1"/>
    <n v="1.7350157728706626"/>
    <m/>
    <n v="1.7350157728706626"/>
    <n v="1.7350157728706626"/>
    <s v="x"/>
    <n v="0"/>
    <n v="0"/>
    <x v="0"/>
    <x v="0"/>
    <n v="1"/>
    <s v=""/>
    <s v=""/>
    <s v=""/>
    <s v=""/>
    <s v=""/>
    <n v="1"/>
    <s v=""/>
    <s v=""/>
    <n v="1"/>
  </r>
  <r>
    <s v="Chad"/>
    <s v="Sub-Saharan Africa"/>
    <s v="P035672"/>
    <s v="C2"/>
    <s v=""/>
    <s v="P035672C2"/>
    <s v="Ratio"/>
    <s v="2000 / 2009"/>
    <s v="Routine Maintenance"/>
    <n v="1.1875"/>
    <n v="1"/>
    <n v="1.430761369443025"/>
    <m/>
    <n v="1.430761369443025"/>
    <n v="1.430761369443025"/>
    <s v=""/>
    <n v="0"/>
    <n v="0"/>
    <x v="1"/>
    <x v="0"/>
    <s v=""/>
    <s v=""/>
    <s v=""/>
    <s v=""/>
    <s v=""/>
    <s v=""/>
    <s v=""/>
    <s v=""/>
    <s v=""/>
    <s v=""/>
  </r>
  <r>
    <s v="Estonia"/>
    <s v="Europe and Central Asia"/>
    <s v="P035775"/>
    <s v="C1"/>
    <s v=""/>
    <s v="P035775C1"/>
    <s v="Ratio"/>
    <s v="2000 / 2005"/>
    <s v="Reconstruction"/>
    <s v=""/>
    <n v="1.3636363636363635"/>
    <n v="1.1383371824480371"/>
    <m/>
    <n v="1.1383371824480371"/>
    <n v="0.83478060046189384"/>
    <s v=""/>
    <n v="0"/>
    <n v="0"/>
    <x v="1"/>
    <x v="0"/>
    <s v=""/>
    <s v=""/>
    <s v=""/>
    <s v=""/>
    <s v=""/>
    <s v=""/>
    <s v=""/>
    <s v=""/>
    <s v=""/>
    <s v=""/>
  </r>
  <r>
    <s v="Georgia"/>
    <s v="Europe and Central Asia"/>
    <s v="P040556"/>
    <s v="C1"/>
    <s v=""/>
    <s v="P040556C1"/>
    <s v="Ratio"/>
    <s v="2000 / 2006"/>
    <s v="Strengthening"/>
    <s v=""/>
    <n v="1.0308641975308641"/>
    <n v="1.0113636363636365"/>
    <m/>
    <n v="1.0113636363636365"/>
    <n v="0.98108328796951561"/>
    <s v=""/>
    <n v="0"/>
    <n v="0"/>
    <x v="1"/>
    <x v="0"/>
    <s v=""/>
    <s v=""/>
    <s v=""/>
    <s v=""/>
    <s v=""/>
    <s v=""/>
    <s v=""/>
    <s v=""/>
    <s v=""/>
    <s v=""/>
  </r>
  <r>
    <s v="Vietnam"/>
    <s v="East Asia and Pacific"/>
    <s v="P042927"/>
    <s v="C1"/>
    <s v=""/>
    <s v="P042927C1"/>
    <s v="Ratio"/>
    <s v="2000 / 2011"/>
    <s v="Widening"/>
    <n v="1.1538461538461537"/>
    <n v="1"/>
    <n v="1.7180160083978482"/>
    <m/>
    <n v="1.7180160083978482"/>
    <n v="1.7180160083978484"/>
    <s v="x"/>
    <n v="0"/>
    <n v="0"/>
    <x v="0"/>
    <x v="0"/>
    <n v="1"/>
    <s v=""/>
    <s v=""/>
    <s v=""/>
    <s v=""/>
    <n v="1"/>
    <s v=""/>
    <s v=""/>
    <s v=""/>
    <s v=""/>
  </r>
  <r>
    <s v="Croatia"/>
    <s v="Europe and Central Asia"/>
    <s v="P043195"/>
    <s v="C3"/>
    <s v=""/>
    <s v="P043195C3"/>
    <s v="Ratio"/>
    <s v="2003 / 2013"/>
    <s v="New 4L Highway"/>
    <n v="1.3"/>
    <n v="0.97846153846153849"/>
    <n v="1.3371298405466971"/>
    <m/>
    <n v="1.3371298405466971"/>
    <n v="1.3665635162820018"/>
    <s v=""/>
    <n v="0"/>
    <n v="0"/>
    <x v="1"/>
    <x v="0"/>
    <s v=""/>
    <s v=""/>
    <s v=""/>
    <s v=""/>
    <s v=""/>
    <s v=""/>
    <s v=""/>
    <s v=""/>
    <s v=""/>
    <s v=""/>
  </r>
  <r>
    <s v="Ethiopia"/>
    <s v="Sub-Saharan Africa"/>
    <s v="P044613"/>
    <s v="C1"/>
    <s v="S1"/>
    <s v="P044613C1S1"/>
    <s v="Ratio"/>
    <s v="2003 / 2010"/>
    <s v="Upgrading"/>
    <n v="1.4166666666666667"/>
    <n v="1"/>
    <n v="1.4197601370645343"/>
    <m/>
    <n v="1.4197601370645343"/>
    <n v="1.4197601370645343"/>
    <s v=""/>
    <n v="0"/>
    <n v="0"/>
    <x v="1"/>
    <x v="0"/>
    <s v=""/>
    <s v=""/>
    <s v=""/>
    <s v=""/>
    <s v=""/>
    <s v=""/>
    <s v=""/>
    <s v=""/>
    <s v=""/>
    <s v=""/>
  </r>
  <r>
    <s v="Ethiopia"/>
    <s v="Sub-Saharan Africa"/>
    <s v="P044613"/>
    <s v="C1"/>
    <s v="S2"/>
    <s v="P044613C1S2"/>
    <s v="Ratio"/>
    <s v="2003 / 2010"/>
    <s v="Asphalt Mix Resurfacing"/>
    <n v="1.1388888888888888"/>
    <n v="1"/>
    <n v="1.505426356589147"/>
    <m/>
    <n v="1.505426356589147"/>
    <n v="1.505426356589147"/>
    <s v="x"/>
    <n v="0"/>
    <n v="0"/>
    <x v="0"/>
    <x v="0"/>
    <n v="1"/>
    <s v=""/>
    <s v=""/>
    <s v=""/>
    <s v=""/>
    <s v=""/>
    <s v=""/>
    <s v=""/>
    <s v=""/>
    <s v=""/>
  </r>
  <r>
    <s v="Ethiopia"/>
    <s v="Sub-Saharan Africa"/>
    <s v="P044613"/>
    <s v="C1"/>
    <s v="S3"/>
    <s v="P044613C1S3"/>
    <s v="Ratio"/>
    <s v="2003 / 2010"/>
    <s v="Upgrading"/>
    <n v="1.1666666666666667"/>
    <n v="1"/>
    <n v="1.3824139361260888"/>
    <m/>
    <n v="1.3824139361260888"/>
    <n v="1.3824139361260885"/>
    <s v=""/>
    <n v="0"/>
    <n v="0"/>
    <x v="1"/>
    <x v="0"/>
    <s v=""/>
    <s v=""/>
    <s v=""/>
    <s v=""/>
    <s v=""/>
    <s v=""/>
    <s v=""/>
    <s v=""/>
    <s v=""/>
    <s v=""/>
  </r>
  <r>
    <s v="Ethiopia"/>
    <s v="Sub-Saharan Africa"/>
    <s v="P044613"/>
    <s v="C1"/>
    <s v="S4"/>
    <s v="P044613C1S4"/>
    <s v="Ratio"/>
    <s v="2003 / 2010"/>
    <s v="Upgrading"/>
    <n v="1.5555555555555556"/>
    <n v="1"/>
    <n v="1.7683912691996768"/>
    <m/>
    <n v="1.7683912691996768"/>
    <n v="1.7683912691996768"/>
    <s v="x"/>
    <n v="0"/>
    <n v="0"/>
    <x v="0"/>
    <x v="0"/>
    <n v="1"/>
    <s v=""/>
    <s v=""/>
    <s v=""/>
    <s v=""/>
    <s v=""/>
    <s v=""/>
    <s v=""/>
    <s v=""/>
    <s v=""/>
  </r>
  <r>
    <s v="Ethiopia"/>
    <s v="Sub-Saharan Africa"/>
    <s v="P044613"/>
    <s v="C2"/>
    <s v=""/>
    <s v="P044613C2"/>
    <s v="Ratio"/>
    <s v="2003 / 2010"/>
    <s v="New 1L Road"/>
    <n v="1.1666666666666667"/>
    <n v="0.82914572864321601"/>
    <n v="0.67794836008374038"/>
    <m/>
    <n v="0.67794836008374038"/>
    <n v="0.81764681004038997"/>
    <s v=""/>
    <n v="0"/>
    <n v="0"/>
    <x v="1"/>
    <x v="0"/>
    <s v=""/>
    <s v=""/>
    <s v=""/>
    <s v=""/>
    <s v=""/>
    <s v=""/>
    <s v=""/>
    <s v=""/>
    <s v=""/>
    <s v=""/>
  </r>
  <r>
    <s v="Nepal"/>
    <s v="South Asia"/>
    <s v="P045052"/>
    <s v="C1"/>
    <s v=""/>
    <s v="P045052C1"/>
    <s v="Ratio"/>
    <s v="1999 / 2007"/>
    <s v="Surface Treatment Resurfacing"/>
    <s v=""/>
    <n v="1.55"/>
    <n v="4.2650406504065037"/>
    <m/>
    <n v="4.2650406504065037"/>
    <n v="2.751639129294519"/>
    <s v="x"/>
    <n v="1"/>
    <n v="0"/>
    <x v="0"/>
    <x v="0"/>
    <s v=""/>
    <n v="1"/>
    <s v=""/>
    <s v=""/>
    <s v=""/>
    <s v=""/>
    <s v=""/>
    <s v=""/>
    <n v="1"/>
    <n v="1"/>
  </r>
  <r>
    <s v="Nepal"/>
    <s v="South Asia"/>
    <s v="P045052"/>
    <s v="C2"/>
    <s v=""/>
    <s v="P045052C2"/>
    <s v="Ratio"/>
    <s v="1999 / 2007"/>
    <s v="Surface Treatment Resurfacing"/>
    <s v=""/>
    <n v="1.4063829787234043"/>
    <n v="1.9644760213143873"/>
    <m/>
    <n v="1.9644760213143873"/>
    <n v="1.396828638453498"/>
    <s v=""/>
    <n v="0"/>
    <n v="0"/>
    <x v="1"/>
    <x v="0"/>
    <s v=""/>
    <s v=""/>
    <s v=""/>
    <s v=""/>
    <s v=""/>
    <s v=""/>
    <s v=""/>
    <s v=""/>
    <s v=""/>
    <s v=""/>
  </r>
  <r>
    <s v="China"/>
    <s v="East Asia and Pacific"/>
    <s v="P045915"/>
    <s v="C1"/>
    <s v=""/>
    <s v="P045915C1"/>
    <s v="Ratio"/>
    <s v="2000 / 2008"/>
    <s v="New 6L Expressway"/>
    <n v="1"/>
    <n v="1"/>
    <n v="1.1108829568788501"/>
    <m/>
    <n v="1.1108829568788501"/>
    <n v="1.1108829568788501"/>
    <s v=""/>
    <n v="0"/>
    <n v="0"/>
    <x v="1"/>
    <x v="0"/>
    <s v=""/>
    <s v=""/>
    <s v=""/>
    <s v=""/>
    <s v=""/>
    <s v=""/>
    <s v=""/>
    <s v=""/>
    <s v=""/>
    <s v=""/>
  </r>
  <r>
    <s v="Papua New Guinea"/>
    <s v="East Asia and Pacific"/>
    <s v="P054238"/>
    <s v="C1"/>
    <s v=""/>
    <s v="P054238C1"/>
    <s v="Ratio"/>
    <s v="1999 / 2008"/>
    <s v="Reconstruction"/>
    <n v="1.9027777777777777"/>
    <n v="1"/>
    <n v="2.8192918192918195"/>
    <m/>
    <n v="2.8192918192918195"/>
    <n v="2.8192918192918199"/>
    <s v="x"/>
    <n v="0"/>
    <n v="0"/>
    <x v="0"/>
    <x v="0"/>
    <n v="1"/>
    <s v=""/>
    <n v="1"/>
    <s v=""/>
    <s v=""/>
    <n v="1"/>
    <s v=""/>
    <s v=""/>
    <s v=""/>
    <s v=""/>
  </r>
  <r>
    <s v="Brazil"/>
    <s v="Latin America and Caribbean"/>
    <s v="P055954"/>
    <s v="C1"/>
    <s v=""/>
    <s v="P055954C1"/>
    <s v="Ratio"/>
    <s v="2001 / 2006"/>
    <s v="Surface Treatment Resurfacing"/>
    <s v=""/>
    <n v="0.83333333333333337"/>
    <n v="1.2411575562700965"/>
    <m/>
    <n v="1.2411575562700965"/>
    <n v="1.4893890675241159"/>
    <s v=""/>
    <n v="0"/>
    <n v="0"/>
    <x v="1"/>
    <x v="0"/>
    <s v=""/>
    <s v=""/>
    <s v=""/>
    <s v=""/>
    <s v=""/>
    <s v=""/>
    <s v=""/>
    <s v=""/>
    <s v=""/>
    <s v=""/>
  </r>
  <r>
    <s v="Brazil"/>
    <s v="Latin America and Caribbean"/>
    <s v="P055954"/>
    <s v="C2"/>
    <s v=""/>
    <s v="P055954C2"/>
    <s v="Ratio"/>
    <s v="2001 / 2006"/>
    <s v="Asphalt Mix Resurfacing"/>
    <s v=""/>
    <n v="0.9"/>
    <n v="0.93765586034912718"/>
    <m/>
    <n v="0.93765586034912718"/>
    <n v="1.0418398448323636"/>
    <s v=""/>
    <n v="0"/>
    <n v="0"/>
    <x v="1"/>
    <x v="0"/>
    <s v=""/>
    <s v=""/>
    <s v=""/>
    <s v=""/>
    <s v=""/>
    <s v=""/>
    <s v=""/>
    <s v=""/>
    <s v=""/>
    <s v=""/>
  </r>
  <r>
    <s v="Mongolia"/>
    <s v="East Asia and Pacific"/>
    <s v="P056200"/>
    <s v="C1"/>
    <s v=""/>
    <s v="P056200C1"/>
    <s v="Ratio"/>
    <s v="2001 / 2008"/>
    <s v="Upgrading"/>
    <s v=""/>
    <n v="1.2162921348314606"/>
    <n v="1.0688481675392669"/>
    <m/>
    <n v="1.0688481675392669"/>
    <n v="0.87877586060965129"/>
    <s v=""/>
    <n v="0"/>
    <n v="0"/>
    <x v="1"/>
    <x v="0"/>
    <s v=""/>
    <s v=""/>
    <s v=""/>
    <s v=""/>
    <s v=""/>
    <s v=""/>
    <s v=""/>
    <s v=""/>
    <s v=""/>
    <s v=""/>
  </r>
  <r>
    <s v="China"/>
    <s v="East Asia and Pacific"/>
    <s v="P056596 "/>
    <s v="C1"/>
    <s v=""/>
    <s v="P056596 C1"/>
    <s v="Ratio"/>
    <s v="2001 / 2009"/>
    <s v="Widening"/>
    <s v=""/>
    <n v="1.3191489361702127"/>
    <n v="1.2008220786846739"/>
    <m/>
    <n v="1.2008220786846739"/>
    <n v="0.91030060803515611"/>
    <s v=""/>
    <n v="0"/>
    <n v="0"/>
    <x v="1"/>
    <x v="0"/>
    <s v=""/>
    <s v=""/>
    <s v=""/>
    <s v=""/>
    <s v=""/>
    <s v=""/>
    <s v=""/>
    <s v=""/>
    <s v=""/>
    <s v=""/>
  </r>
  <r>
    <s v="Congo, Dem. Rep."/>
    <s v="Sub-Saharan Africa"/>
    <s v="P057296"/>
    <s v="C1"/>
    <s v=""/>
    <s v="P057296C1"/>
    <s v="Ratio"/>
    <s v="2007 / 2010"/>
    <s v="Strengthening"/>
    <n v="3.4285714285714284"/>
    <n v="0.83359872611464969"/>
    <n v="1.4375"/>
    <m/>
    <n v="1.4375"/>
    <n v="1.7244508118433619"/>
    <s v="x"/>
    <n v="0"/>
    <n v="0"/>
    <x v="0"/>
    <x v="0"/>
    <s v=""/>
    <n v="1"/>
    <s v=""/>
    <s v=""/>
    <s v=""/>
    <n v="1"/>
    <s v=""/>
    <s v=""/>
    <n v="1"/>
    <s v=""/>
  </r>
  <r>
    <s v="China"/>
    <s v="East Asia and Pacific"/>
    <s v="P058843"/>
    <s v="C1"/>
    <s v=""/>
    <s v="P058843C1"/>
    <s v="Ratio"/>
    <s v="2000 / 2007"/>
    <s v="Asphalt Mix Resurfacing"/>
    <n v="1.25"/>
    <n v="0.97923728813559319"/>
    <n v="0.85701692524682649"/>
    <m/>
    <n v="0.85701692524682649"/>
    <n v="0.87518820579078782"/>
    <s v=""/>
    <n v="0"/>
    <n v="0"/>
    <x v="1"/>
    <x v="0"/>
    <s v=""/>
    <s v=""/>
    <s v=""/>
    <s v=""/>
    <s v=""/>
    <s v=""/>
    <s v=""/>
    <s v=""/>
    <s v=""/>
    <s v=""/>
  </r>
  <r>
    <s v="China"/>
    <s v="East Asia and Pacific"/>
    <s v="P058845"/>
    <s v="C1"/>
    <s v="S1"/>
    <s v="P058845C1S1"/>
    <s v="Ratio"/>
    <s v="2001 / 2007"/>
    <s v="New 4L Highway"/>
    <s v=""/>
    <n v="0.98461538461538467"/>
    <n v="0.68261964735516378"/>
    <m/>
    <n v="0.68261964735516378"/>
    <n v="0.69328557934508817"/>
    <s v=""/>
    <n v="0"/>
    <n v="0"/>
    <x v="1"/>
    <x v="0"/>
    <s v=""/>
    <s v=""/>
    <s v=""/>
    <s v=""/>
    <s v=""/>
    <s v=""/>
    <s v=""/>
    <s v=""/>
    <s v=""/>
    <s v=""/>
  </r>
  <r>
    <s v="China"/>
    <s v="East Asia and Pacific"/>
    <s v="P058845"/>
    <s v="C2"/>
    <s v=""/>
    <s v="P058845C2"/>
    <s v="Ratio"/>
    <s v="2001 / 2007"/>
    <s v="Upgrading"/>
    <s v=""/>
    <n v="1.0111111111111111"/>
    <n v="0.7917282127031019"/>
    <m/>
    <n v="0.7917282127031019"/>
    <n v="0.7830279026733975"/>
    <s v=""/>
    <n v="0"/>
    <n v="0"/>
    <x v="1"/>
    <x v="0"/>
    <s v=""/>
    <s v=""/>
    <s v=""/>
    <s v=""/>
    <s v=""/>
    <s v=""/>
    <s v=""/>
    <s v=""/>
    <s v=""/>
    <s v=""/>
  </r>
  <r>
    <s v="Bhutan"/>
    <s v="South Asia"/>
    <s v="P059481"/>
    <s v="C1"/>
    <s v=""/>
    <s v="P059481C1"/>
    <s v="Ratio"/>
    <s v="1999 / 2006"/>
    <s v="New 1L Road"/>
    <n v="1.2333333333333334"/>
    <n v="1.0554098360655737"/>
    <n v="1.008"/>
    <m/>
    <n v="1.008"/>
    <n v="0.95507921714818267"/>
    <s v=""/>
    <n v="0"/>
    <n v="0"/>
    <x v="1"/>
    <x v="0"/>
    <s v=""/>
    <s v=""/>
    <s v=""/>
    <s v=""/>
    <s v=""/>
    <s v=""/>
    <s v=""/>
    <s v=""/>
    <s v=""/>
    <s v=""/>
  </r>
  <r>
    <s v="Burundi"/>
    <s v="Sub-Saharan Africa"/>
    <s v="P064876"/>
    <s v="C1"/>
    <s v=""/>
    <s v="P064876C1"/>
    <s v="Ratio"/>
    <s v="2004 / 2016"/>
    <s v="Reconstruction"/>
    <s v=""/>
    <n v="1"/>
    <n v="1.4532862481571638"/>
    <m/>
    <n v="1.4532862481571638"/>
    <n v="1.453286248157164"/>
    <s v=""/>
    <n v="0"/>
    <n v="0"/>
    <x v="1"/>
    <x v="0"/>
    <s v=""/>
    <s v=""/>
    <s v=""/>
    <s v=""/>
    <s v=""/>
    <s v=""/>
    <s v=""/>
    <s v=""/>
    <s v=""/>
    <s v=""/>
  </r>
  <r>
    <s v="Burundi"/>
    <s v="Sub-Saharan Africa"/>
    <s v="P064876"/>
    <s v="C2"/>
    <s v=""/>
    <s v="P064876C2"/>
    <s v="Ratio"/>
    <s v="2004 / 2016"/>
    <s v="Gravel Resurfacing"/>
    <s v=""/>
    <n v="1.0142857142857142"/>
    <n v="0.85256746823480001"/>
    <m/>
    <n v="0.85256746823480001"/>
    <n v="0.84055947572445056"/>
    <s v=""/>
    <n v="0"/>
    <n v="0"/>
    <x v="1"/>
    <x v="0"/>
    <s v=""/>
    <s v=""/>
    <s v=""/>
    <s v=""/>
    <s v=""/>
    <s v=""/>
    <s v=""/>
    <s v=""/>
    <s v=""/>
    <s v=""/>
  </r>
  <r>
    <s v="India"/>
    <s v="South Asia"/>
    <s v="P067606"/>
    <s v="C1"/>
    <s v=""/>
    <s v="P067606C1"/>
    <s v="Ratio"/>
    <s v="2002 / 2011"/>
    <s v="Upgrading"/>
    <n v="1.25"/>
    <n v="0.70545829042224506"/>
    <n v="0.75874125874125875"/>
    <m/>
    <n v="0.75874125874125875"/>
    <n v="1.075529579909142"/>
    <s v=""/>
    <n v="0"/>
    <n v="0"/>
    <x v="1"/>
    <x v="0"/>
    <s v=""/>
    <s v=""/>
    <s v=""/>
    <s v=""/>
    <s v=""/>
    <s v=""/>
    <s v=""/>
    <s v=""/>
    <s v=""/>
    <s v=""/>
  </r>
  <r>
    <s v="India"/>
    <s v="South Asia"/>
    <s v="P067606"/>
    <s v="C2"/>
    <s v=""/>
    <s v="P067606C2"/>
    <s v="Ratio"/>
    <s v="2002 / 2011"/>
    <s v="Asphalt Mix Resurfacing"/>
    <n v="1.25"/>
    <n v="0.76004775169120575"/>
    <n v="1.2033747779751334"/>
    <m/>
    <n v="1.2033747779751334"/>
    <n v="1.5832883858908426"/>
    <s v="x"/>
    <n v="0"/>
    <n v="0"/>
    <x v="0"/>
    <x v="0"/>
    <n v="1"/>
    <s v=""/>
    <s v=""/>
    <s v=""/>
    <s v=""/>
    <n v="1"/>
    <s v=""/>
    <s v=""/>
    <s v=""/>
    <s v=""/>
  </r>
  <r>
    <s v="Nicaragua"/>
    <s v="Latin America and Caribbean"/>
    <s v="P068673"/>
    <s v="C1"/>
    <s v=""/>
    <s v="P068673C1"/>
    <s v="Ratio"/>
    <s v="2000 / 2007"/>
    <s v="Partial Widening and Reconstruction"/>
    <s v=""/>
    <n v="0.98645161290322581"/>
    <n v="1.0906593406593408"/>
    <m/>
    <n v="1.0906593406593408"/>
    <n v="1.1056389653511955"/>
    <s v=""/>
    <n v="0"/>
    <n v="0"/>
    <x v="1"/>
    <x v="0"/>
    <s v=""/>
    <s v=""/>
    <s v=""/>
    <s v=""/>
    <s v=""/>
    <s v=""/>
    <s v=""/>
    <s v=""/>
    <s v=""/>
    <s v=""/>
  </r>
  <r>
    <s v="Nicaragua"/>
    <s v="Latin America and Caribbean"/>
    <s v="P068673"/>
    <s v="C2"/>
    <s v=""/>
    <s v="P068673C2"/>
    <s v="Ratio"/>
    <s v="2000 / 2007"/>
    <s v="Upgrading"/>
    <s v=""/>
    <n v="0.95666666666666667"/>
    <n v="1.136546184738956"/>
    <m/>
    <n v="1.136546184738956"/>
    <n v="1.1880273708072711"/>
    <s v=""/>
    <n v="0"/>
    <n v="0"/>
    <x v="1"/>
    <x v="0"/>
    <s v=""/>
    <s v=""/>
    <s v=""/>
    <s v=""/>
    <s v=""/>
    <s v=""/>
    <s v=""/>
    <s v=""/>
    <s v=""/>
    <s v=""/>
  </r>
  <r>
    <s v="Albania"/>
    <s v="Europe and Central Asia"/>
    <s v="P068853"/>
    <s v="C1"/>
    <s v="S1"/>
    <s v="P068853C1S1"/>
    <s v="Ratio"/>
    <s v="1999 / 2004"/>
    <s v="Routine Maintenance"/>
    <s v=""/>
    <n v="0.55909090909090908"/>
    <n v="1.3697260273972602"/>
    <m/>
    <n v="1.3697260273972602"/>
    <n v="2.4499164717674575"/>
    <s v="x"/>
    <n v="0"/>
    <n v="0"/>
    <x v="0"/>
    <x v="0"/>
    <n v="1"/>
    <s v=""/>
    <n v="1"/>
    <s v=""/>
    <s v=""/>
    <n v="1"/>
    <s v=""/>
    <s v=""/>
    <s v=""/>
    <s v=""/>
  </r>
  <r>
    <s v="Albania"/>
    <s v="Europe and Central Asia"/>
    <s v="P068853"/>
    <s v="C1"/>
    <s v="S2"/>
    <s v="P068853C1S2"/>
    <s v="Ratio"/>
    <s v="1999 / 2004"/>
    <s v="Routine Maintenance"/>
    <s v=""/>
    <n v="0.57307692307692304"/>
    <n v="1.2620689655172415"/>
    <m/>
    <n v="1.2620689655172415"/>
    <n v="2.2022679935200191"/>
    <s v="x"/>
    <n v="0"/>
    <n v="0"/>
    <x v="0"/>
    <x v="0"/>
    <n v="1"/>
    <s v=""/>
    <n v="1"/>
    <s v=""/>
    <s v=""/>
    <n v="1"/>
    <s v=""/>
    <s v=""/>
    <s v=""/>
    <s v=""/>
  </r>
  <r>
    <s v="Albania"/>
    <s v="Europe and Central Asia"/>
    <s v="P068853"/>
    <s v="C1"/>
    <s v="S3"/>
    <s v="P068853C1S3"/>
    <s v="Ratio"/>
    <s v="1999 / 2004"/>
    <s v="Asphalt Mix Resurfacing"/>
    <n v="0.26666666666666666"/>
    <n v="0.96666666666666667"/>
    <n v="9.8947368421052631E-2"/>
    <m/>
    <n v="9.8947368421052631E-2"/>
    <n v="0.10235934664246825"/>
    <s v="x"/>
    <n v="0"/>
    <n v="0"/>
    <x v="1"/>
    <x v="1"/>
    <n v="1"/>
    <s v=""/>
    <n v="1"/>
    <s v=""/>
    <s v=""/>
    <n v="1"/>
    <s v=""/>
    <s v=""/>
    <s v=""/>
    <s v=""/>
  </r>
  <r>
    <s v="Albania"/>
    <s v="Europe and Central Asia"/>
    <s v="P068853"/>
    <s v="C1"/>
    <s v="S4"/>
    <s v="P068853C1S4"/>
    <s v="Ratio"/>
    <s v="1999 / 2004"/>
    <s v="Routine Maintenance"/>
    <n v="0.53333333333333333"/>
    <n v="0.87142857142857144"/>
    <n v="1.1125874125874127"/>
    <m/>
    <n v="1.1125874125874127"/>
    <n v="1.276739653788834"/>
    <s v=""/>
    <n v="0"/>
    <n v="0"/>
    <x v="1"/>
    <x v="0"/>
    <s v=""/>
    <s v=""/>
    <s v=""/>
    <s v=""/>
    <s v=""/>
    <s v=""/>
    <s v=""/>
    <s v=""/>
    <s v=""/>
    <s v=""/>
  </r>
  <r>
    <s v="Albania"/>
    <s v="Europe and Central Asia"/>
    <s v="P068853"/>
    <s v="C1"/>
    <s v="S5"/>
    <s v="P068853C1S5"/>
    <s v="Ratio"/>
    <s v="1999 / 2004"/>
    <s v="Asphalt Mix Resurfacing"/>
    <n v="2.9333333333333331"/>
    <n v="0.78999999999999992"/>
    <n v="1.1796296296296294"/>
    <m/>
    <n v="1.1796296296296294"/>
    <n v="1.4932020628223157"/>
    <s v=""/>
    <n v="0"/>
    <n v="0"/>
    <x v="1"/>
    <x v="0"/>
    <s v=""/>
    <s v=""/>
    <s v=""/>
    <s v=""/>
    <s v=""/>
    <s v=""/>
    <s v=""/>
    <s v=""/>
    <s v=""/>
    <s v=""/>
  </r>
  <r>
    <s v="Albania"/>
    <s v="Europe and Central Asia"/>
    <s v="P068853"/>
    <s v="C1"/>
    <s v="S6"/>
    <s v="P068853C1S6"/>
    <s v="Ratio"/>
    <s v="1999 / 2004"/>
    <s v="Routine Maintenance"/>
    <n v="0.26666666666666666"/>
    <n v="6.25E-2"/>
    <n v="0.12166666666666666"/>
    <m/>
    <n v="0.12166666666666666"/>
    <n v="1.9466666666666668"/>
    <s v="x"/>
    <n v="0"/>
    <n v="1"/>
    <x v="0"/>
    <x v="0"/>
    <n v="1"/>
    <s v=""/>
    <s v=""/>
    <s v=""/>
    <s v=""/>
    <n v="1"/>
    <s v=""/>
    <s v=""/>
    <s v=""/>
    <s v=""/>
  </r>
  <r>
    <s v="India"/>
    <s v="South Asia"/>
    <s v="P069889"/>
    <s v="C1"/>
    <s v=""/>
    <s v="P069889C1"/>
    <s v="Ratio"/>
    <s v="2007 / 2011"/>
    <s v="Widening and Reconstruction"/>
    <s v=""/>
    <n v="0.94565217391304346"/>
    <n v="2.3830250272034821"/>
    <m/>
    <n v="2.3830250272034821"/>
    <n v="2.5199804885370156"/>
    <s v="x"/>
    <n v="0"/>
    <n v="0"/>
    <x v="0"/>
    <x v="0"/>
    <n v="1"/>
    <s v=""/>
    <n v="1"/>
    <s v=""/>
    <s v=""/>
    <s v=""/>
    <n v="1"/>
    <s v=""/>
    <s v=""/>
    <s v=""/>
  </r>
  <r>
    <s v="India"/>
    <s v="South Asia"/>
    <s v="P069889"/>
    <s v="C2"/>
    <s v=""/>
    <s v="P069889C2"/>
    <s v="Ratio"/>
    <s v="2007 / 2011"/>
    <s v="Surface Treatment Resurfacing"/>
    <s v=""/>
    <n v="0.57692307692307687"/>
    <n v="0.64552661381653453"/>
    <m/>
    <n v="0.64552661381653453"/>
    <n v="1.1189127972819932"/>
    <s v=""/>
    <n v="0"/>
    <n v="0"/>
    <x v="1"/>
    <x v="0"/>
    <s v=""/>
    <s v=""/>
    <s v=""/>
    <s v=""/>
    <s v=""/>
    <s v=""/>
    <s v=""/>
    <s v=""/>
    <s v=""/>
    <s v=""/>
  </r>
  <r>
    <s v="Yemen, Rep."/>
    <s v="East Asia and Pacific"/>
    <s v="P070391"/>
    <s v="C1"/>
    <s v=""/>
    <s v="P070391C1"/>
    <s v="Ratio"/>
    <s v="2001 / 2007"/>
    <s v="Reconstruction"/>
    <s v=""/>
    <n v="2.0087719298245612"/>
    <n v="0.86192810457516345"/>
    <m/>
    <n v="0.86192810457516345"/>
    <n v="0.42908211319462286"/>
    <s v="x"/>
    <n v="1"/>
    <n v="0"/>
    <x v="1"/>
    <x v="1"/>
    <n v="1"/>
    <s v=""/>
    <s v=""/>
    <s v=""/>
    <s v=""/>
    <s v=""/>
    <s v=""/>
    <s v=""/>
    <n v="1"/>
    <n v="1"/>
  </r>
  <r>
    <s v="Yemen, Rep."/>
    <s v="East Asia and Pacific"/>
    <s v="P070391"/>
    <s v="C2"/>
    <s v=""/>
    <s v="P070391C2"/>
    <s v="Ratio"/>
    <s v="2001 / 2007"/>
    <s v="Upgrading"/>
    <s v=""/>
    <n v="1.6270491803278688"/>
    <n v="1.3822784810126583"/>
    <m/>
    <n v="1.3822784810126583"/>
    <n v="0.8495615853075279"/>
    <s v="x"/>
    <n v="1"/>
    <n v="0"/>
    <x v="1"/>
    <x v="0"/>
    <n v="1"/>
    <s v=""/>
    <s v=""/>
    <s v=""/>
    <s v=""/>
    <s v=""/>
    <s v=""/>
    <s v=""/>
    <n v="1"/>
    <s v=""/>
  </r>
  <r>
    <s v="China"/>
    <s v="East Asia and Pacific"/>
    <s v="P070519"/>
    <s v="C1"/>
    <s v="S1"/>
    <s v="P070519C1S1"/>
    <s v="Ratio"/>
    <s v="2005 / 2013"/>
    <s v="New 6L Expressway"/>
    <s v=""/>
    <n v="1"/>
    <n v="2.057450968026739"/>
    <m/>
    <n v="2.057450968026739"/>
    <n v="2.057450968026739"/>
    <s v="x"/>
    <n v="0"/>
    <n v="0"/>
    <x v="0"/>
    <x v="0"/>
    <n v="1"/>
    <s v=""/>
    <s v=""/>
    <s v=""/>
    <s v=""/>
    <s v=""/>
    <s v=""/>
    <s v=""/>
    <n v="1"/>
    <s v=""/>
  </r>
  <r>
    <s v="China"/>
    <s v="East Asia and Pacific"/>
    <s v="P070519"/>
    <s v="C1"/>
    <s v="S2"/>
    <s v="P070519C1S2"/>
    <s v="Ratio"/>
    <s v="2005 / 2013"/>
    <s v="New 4L Highway"/>
    <s v=""/>
    <n v="1"/>
    <n v="1.0497911982010921"/>
    <m/>
    <n v="1.0497911982010921"/>
    <n v="1.0497911982010923"/>
    <s v=""/>
    <n v="0"/>
    <n v="0"/>
    <x v="1"/>
    <x v="0"/>
    <s v=""/>
    <s v=""/>
    <s v=""/>
    <s v=""/>
    <s v=""/>
    <s v=""/>
    <s v=""/>
    <s v=""/>
    <s v=""/>
    <s v=""/>
  </r>
  <r>
    <s v="India"/>
    <s v="South Asia"/>
    <s v="P071244"/>
    <s v="C1"/>
    <s v=""/>
    <s v="P071244C1"/>
    <s v="Ratio"/>
    <s v="2001 / 2009"/>
    <s v="Widening"/>
    <s v=""/>
    <n v="0.99228571428571422"/>
    <n v="1.1235438778151696"/>
    <m/>
    <n v="1.1235438778151696"/>
    <n v="1.1322785984316421"/>
    <s v=""/>
    <n v="0"/>
    <n v="0"/>
    <x v="1"/>
    <x v="0"/>
    <s v=""/>
    <s v=""/>
    <s v=""/>
    <s v=""/>
    <s v=""/>
    <s v=""/>
    <s v=""/>
    <s v=""/>
    <s v=""/>
    <s v=""/>
  </r>
  <r>
    <s v="Bangladesh"/>
    <s v="South Asia"/>
    <s v="P071435"/>
    <s v="C1"/>
    <s v=""/>
    <s v="P071435C1"/>
    <s v="Ratio"/>
    <s v="2003 / 2013"/>
    <s v="Partial Widening"/>
    <s v=""/>
    <n v="1.0136363636363637"/>
    <n v="1.3595262640173127"/>
    <m/>
    <n v="0.95600782904482673"/>
    <n v="0.94314673717426856"/>
    <s v=""/>
    <n v="0"/>
    <n v="0"/>
    <x v="1"/>
    <x v="0"/>
    <s v=""/>
    <s v=""/>
    <s v=""/>
    <s v=""/>
    <s v=""/>
    <s v=""/>
    <s v=""/>
    <s v=""/>
    <s v=""/>
    <s v=""/>
  </r>
  <r>
    <s v="Bangladesh"/>
    <s v="South Asia"/>
    <s v="P071435"/>
    <s v="C2"/>
    <s v=""/>
    <s v="P071435C2"/>
    <s v="Ratio"/>
    <s v="2003 / 2013"/>
    <s v="Upgrading"/>
    <s v=""/>
    <n v="1.03"/>
    <n v="1.5435929694727106"/>
    <m/>
    <n v="1.0854420416372859"/>
    <n v="1.0538272248905687"/>
    <s v=""/>
    <n v="0"/>
    <n v="0"/>
    <x v="1"/>
    <x v="0"/>
    <s v=""/>
    <s v=""/>
    <s v=""/>
    <s v=""/>
    <s v=""/>
    <s v=""/>
    <s v=""/>
    <s v=""/>
    <s v=""/>
    <s v=""/>
  </r>
  <r>
    <s v="Bangladesh"/>
    <s v="South Asia"/>
    <s v="P071435"/>
    <s v="C3"/>
    <s v=""/>
    <s v="P071435C3"/>
    <s v="Ratio"/>
    <s v="2003 / 2013"/>
    <s v="Asphalt Mix Resurfacing"/>
    <s v=""/>
    <n v="1.4133333333333333"/>
    <n v="1.5274113712374582"/>
    <m/>
    <n v="1.0740632731582958"/>
    <n v="0.75995042912143573"/>
    <s v=""/>
    <n v="0"/>
    <n v="0"/>
    <x v="1"/>
    <x v="0"/>
    <s v=""/>
    <s v=""/>
    <s v=""/>
    <s v=""/>
    <s v=""/>
    <s v=""/>
    <s v=""/>
    <s v=""/>
    <s v=""/>
    <s v=""/>
  </r>
  <r>
    <s v="Madagascar"/>
    <s v="Sub-Saharan Africa"/>
    <s v="P073689"/>
    <s v="C1"/>
    <s v=""/>
    <s v="P073689C1"/>
    <s v="Ratio"/>
    <s v="2002 / 2013"/>
    <s v="Reconstruction"/>
    <s v=""/>
    <n v="0.46666666666666667"/>
    <n v="0.93333333333333335"/>
    <m/>
    <n v="0.93333333333333335"/>
    <n v="2"/>
    <s v="x"/>
    <n v="0"/>
    <n v="1"/>
    <x v="0"/>
    <x v="0"/>
    <s v=""/>
    <s v=""/>
    <s v=""/>
    <s v=""/>
    <s v=""/>
    <s v=""/>
    <s v=""/>
    <s v=""/>
    <s v=""/>
    <n v="1"/>
  </r>
  <r>
    <s v="India"/>
    <s v="South Asia"/>
    <s v="P073776"/>
    <s v="C1"/>
    <s v=""/>
    <s v="P073776C1"/>
    <s v="Ratio"/>
    <s v="2003 / 2010"/>
    <s v="New 4L Highway"/>
    <n v="2.625"/>
    <n v="1.0010860839590121"/>
    <n v="1.2535252277359512"/>
    <m/>
    <n v="1.2535252277359512"/>
    <n v="1.2521652711209548"/>
    <s v=""/>
    <n v="0"/>
    <n v="0"/>
    <x v="1"/>
    <x v="0"/>
    <s v=""/>
    <s v=""/>
    <s v=""/>
    <s v=""/>
    <s v=""/>
    <s v=""/>
    <s v=""/>
    <s v=""/>
    <s v=""/>
    <s v=""/>
  </r>
  <r>
    <s v="Uganda"/>
    <s v="Sub-Saharan Africa"/>
    <s v="P074079"/>
    <s v="C1"/>
    <s v="S1"/>
    <s v="P074079C1S1"/>
    <s v="Ratio"/>
    <s v="2004 / 2012"/>
    <s v="Upgrading"/>
    <s v=""/>
    <n v="0.98399999999999999"/>
    <n v="2.202340425531915"/>
    <m/>
    <n v="2.202340425531915"/>
    <n v="2.2381508389551983"/>
    <s v="x"/>
    <n v="0"/>
    <n v="0"/>
    <x v="0"/>
    <x v="0"/>
    <n v="1"/>
    <n v="1"/>
    <s v=""/>
    <s v=""/>
    <s v=""/>
    <s v=""/>
    <s v=""/>
    <s v=""/>
    <n v="1"/>
    <s v=""/>
  </r>
  <r>
    <s v="Uganda"/>
    <s v="Sub-Saharan Africa"/>
    <s v="P074079"/>
    <s v="C1"/>
    <s v="S2"/>
    <s v="P074079C1S2"/>
    <s v="Ratio"/>
    <s v="2004 / 2012"/>
    <s v="Upgrading"/>
    <s v=""/>
    <n v="0.22058823529411764"/>
    <n v="1.8511866581141758"/>
    <m/>
    <n v="1.8511866581141758"/>
    <n v="8.3920461834509297"/>
    <s v="x"/>
    <n v="0"/>
    <n v="1"/>
    <x v="0"/>
    <x v="0"/>
    <n v="1"/>
    <n v="1"/>
    <s v=""/>
    <s v=""/>
    <s v=""/>
    <s v=""/>
    <s v=""/>
    <s v=""/>
    <n v="1"/>
    <s v=""/>
  </r>
  <r>
    <s v="Cameroon"/>
    <s v="Sub-Saharan Africa"/>
    <s v="P074490"/>
    <s v="C1"/>
    <s v=""/>
    <s v="P074490C1"/>
    <s v="Ratio"/>
    <s v="2002 / 2010"/>
    <s v="Widening and Reconstruction"/>
    <s v=""/>
    <n v="1.173913043478261"/>
    <n v="1.167727507311199"/>
    <m/>
    <n v="1.167727507311199"/>
    <n v="0.99473083956139163"/>
    <s v=""/>
    <n v="0"/>
    <n v="0"/>
    <x v="1"/>
    <x v="0"/>
    <s v=""/>
    <s v=""/>
    <s v=""/>
    <s v=""/>
    <s v=""/>
    <s v=""/>
    <s v=""/>
    <s v=""/>
    <s v=""/>
    <s v=""/>
  </r>
  <r>
    <s v="Thailand"/>
    <s v="East Asia and Pacific"/>
    <s v="P075173"/>
    <s v="C2"/>
    <s v=""/>
    <s v="P075173C2"/>
    <s v="Ratio"/>
    <s v="2003 / 2013"/>
    <s v="Widening"/>
    <n v="1"/>
    <n v="1.1817808219178081"/>
    <n v="0.80564387917329094"/>
    <m/>
    <n v="0.80564387917329094"/>
    <n v="0.68172021768459756"/>
    <s v=""/>
    <n v="0"/>
    <n v="0"/>
    <x v="1"/>
    <x v="0"/>
    <s v=""/>
    <s v=""/>
    <s v=""/>
    <s v=""/>
    <s v=""/>
    <s v=""/>
    <s v=""/>
    <s v=""/>
    <s v=""/>
    <s v=""/>
  </r>
  <r>
    <s v="Vietnam"/>
    <s v="East Asia and Pacific"/>
    <s v="P075407"/>
    <s v="C1"/>
    <s v=""/>
    <s v="P075407C1"/>
    <s v="Ratio"/>
    <s v="2006 / 2014"/>
    <s v="Surface Treatment Resurfacing"/>
    <s v=""/>
    <n v="1.0422222222222222"/>
    <n v="1.9147250333411783"/>
    <m/>
    <n v="1.9147250333411783"/>
    <n v="1.8371562153593395"/>
    <s v="x"/>
    <n v="0"/>
    <n v="0"/>
    <x v="0"/>
    <x v="0"/>
    <n v="1"/>
    <s v=""/>
    <s v=""/>
    <s v=""/>
    <s v=""/>
    <s v=""/>
    <s v=""/>
    <s v=""/>
    <n v="1"/>
    <n v="1"/>
  </r>
  <r>
    <s v="Vietnam"/>
    <s v="East Asia and Pacific"/>
    <s v="P075407"/>
    <s v="C2"/>
    <s v=""/>
    <s v="P075407C2"/>
    <s v="Ratio"/>
    <s v="2006 / 2014"/>
    <s v="Routine Maintenance"/>
    <n v="1"/>
    <n v="1.6585000000000001"/>
    <n v="3.1817447495961226"/>
    <m/>
    <n v="3.1817447495961226"/>
    <n v="1.9184472412397484"/>
    <s v="x"/>
    <n v="1"/>
    <n v="0"/>
    <x v="0"/>
    <x v="0"/>
    <n v="1"/>
    <s v=""/>
    <s v=""/>
    <s v=""/>
    <s v=""/>
    <s v=""/>
    <s v=""/>
    <s v=""/>
    <n v="1"/>
    <n v="1"/>
  </r>
  <r>
    <s v="Lesotho"/>
    <s v="Sub-Saharan Africa"/>
    <s v="P075566"/>
    <s v="C1"/>
    <s v=""/>
    <s v="P075566C1"/>
    <s v="Ratio"/>
    <s v="2006 / 2015"/>
    <s v="Strengthening"/>
    <s v=""/>
    <n v="2.0754716981132075"/>
    <n v="3.0051764705882351"/>
    <m/>
    <n v="3.0051764705882351"/>
    <n v="1.4479486631016043"/>
    <s v="x"/>
    <n v="1"/>
    <n v="0"/>
    <x v="1"/>
    <x v="0"/>
    <s v=""/>
    <s v=""/>
    <s v=""/>
    <s v=""/>
    <s v=""/>
    <s v=""/>
    <s v=""/>
    <s v=""/>
    <s v=""/>
    <n v="1"/>
  </r>
  <r>
    <s v="China"/>
    <s v="East Asia and Pacific"/>
    <s v="P076714"/>
    <s v="C1"/>
    <s v=""/>
    <s v="P076714C1"/>
    <s v="Ratio"/>
    <s v="2003 / 2009"/>
    <s v="New 4L Highway"/>
    <n v="0.9285714285714286"/>
    <n v="0.99974171330176498"/>
    <n v="0.84813823314675107"/>
    <m/>
    <n v="1.0257132951379448"/>
    <n v="1.0259782916833646"/>
    <s v=""/>
    <n v="0"/>
    <n v="0"/>
    <x v="1"/>
    <x v="0"/>
    <s v=""/>
    <s v=""/>
    <s v=""/>
    <s v=""/>
    <s v=""/>
    <s v=""/>
    <s v=""/>
    <s v=""/>
    <s v=""/>
    <s v=""/>
  </r>
  <r>
    <s v="China"/>
    <s v="East Asia and Pacific"/>
    <s v="P076714"/>
    <s v="C1"/>
    <s v="S1"/>
    <s v="P076714C1S1"/>
    <s v="Ratio"/>
    <s v="2003 / 2009"/>
    <s v="New 4L Highway"/>
    <s v=""/>
    <n v="1.1415292879691337"/>
    <n v="1.1346423562412342"/>
    <m/>
    <n v="1.3722029081336156"/>
    <n v="1.2020742022089224"/>
    <s v=""/>
    <n v="0"/>
    <n v="0"/>
    <x v="1"/>
    <x v="0"/>
    <s v=""/>
    <s v=""/>
    <s v=""/>
    <s v=""/>
    <s v=""/>
    <s v=""/>
    <s v=""/>
    <s v=""/>
    <s v=""/>
    <s v=""/>
  </r>
  <r>
    <s v="China"/>
    <s v="East Asia and Pacific"/>
    <s v="P076714"/>
    <s v="C1"/>
    <s v="S2"/>
    <s v="P076714C1S2"/>
    <s v="Ratio"/>
    <s v="2003 / 2009"/>
    <s v="New 4L Highway"/>
    <s v=""/>
    <n v="0.84371807967313572"/>
    <n v="1.0787746170678336"/>
    <m/>
    <n v="1.3046381166881855"/>
    <n v="1.5462962666316391"/>
    <s v="x"/>
    <n v="0"/>
    <n v="0"/>
    <x v="0"/>
    <x v="0"/>
    <n v="1"/>
    <s v=""/>
    <s v=""/>
    <s v=""/>
    <s v=""/>
    <s v=""/>
    <s v=""/>
    <n v="1"/>
    <s v=""/>
    <s v=""/>
  </r>
  <r>
    <s v="China"/>
    <s v="East Asia and Pacific"/>
    <s v="P076714"/>
    <s v="C1"/>
    <s v="S3"/>
    <s v="P076714C1S3"/>
    <s v="Ratio"/>
    <s v="2003 / 2009"/>
    <s v="New 4L Highway"/>
    <s v=""/>
    <n v="0.95579567779960717"/>
    <n v="0.29474485910129472"/>
    <m/>
    <n v="0.35645571539922322"/>
    <n v="0.37294133430257881"/>
    <s v="x"/>
    <n v="0"/>
    <n v="0"/>
    <x v="1"/>
    <x v="1"/>
    <s v=""/>
    <s v=""/>
    <s v=""/>
    <s v=""/>
    <s v=""/>
    <s v=""/>
    <s v=""/>
    <s v=""/>
    <n v="1"/>
    <s v=""/>
  </r>
  <r>
    <s v="China"/>
    <s v="East Asia and Pacific"/>
    <s v="P076714"/>
    <s v="C2"/>
    <s v=""/>
    <s v="P076714C2"/>
    <s v="Ratio"/>
    <s v="2003 / 2009"/>
    <s v="Upgrading"/>
    <s v=""/>
    <n v="0.96090534979423869"/>
    <n v="0.72099999999999997"/>
    <m/>
    <n v="0.87195607613469983"/>
    <n v="0.90743180514232136"/>
    <s v=""/>
    <n v="0"/>
    <n v="0"/>
    <x v="1"/>
    <x v="0"/>
    <s v=""/>
    <s v=""/>
    <s v=""/>
    <s v=""/>
    <s v=""/>
    <s v=""/>
    <s v=""/>
    <s v=""/>
    <s v=""/>
    <s v=""/>
  </r>
  <r>
    <s v="China"/>
    <s v="East Asia and Pacific"/>
    <s v="P076714"/>
    <s v="C2"/>
    <s v="S1"/>
    <s v="P076714C2S1"/>
    <s v="Ratio"/>
    <s v="2003 / 2009"/>
    <s v="Upgrading"/>
    <s v=""/>
    <n v="1.0013513513513512"/>
    <n v="0.66418918918918912"/>
    <m/>
    <n v="0.80325076174270893"/>
    <n v="0.80216675261755022"/>
    <s v=""/>
    <n v="0"/>
    <n v="0"/>
    <x v="1"/>
    <x v="0"/>
    <s v=""/>
    <s v=""/>
    <s v=""/>
    <s v=""/>
    <s v=""/>
    <s v=""/>
    <s v=""/>
    <s v=""/>
    <s v=""/>
    <s v=""/>
  </r>
  <r>
    <s v="China"/>
    <s v="East Asia and Pacific"/>
    <s v="P076714"/>
    <s v="C2"/>
    <s v="S2"/>
    <s v="P076714C2S2"/>
    <s v="Ratio"/>
    <s v="2003 / 2009"/>
    <s v="Upgrading"/>
    <s v=""/>
    <n v="1.1142857142857143"/>
    <n v="0.94857142857142862"/>
    <m/>
    <n v="1.1471742313323574"/>
    <n v="1.02951533581109"/>
    <s v=""/>
    <n v="0"/>
    <n v="0"/>
    <x v="1"/>
    <x v="0"/>
    <s v=""/>
    <s v=""/>
    <s v=""/>
    <s v=""/>
    <s v=""/>
    <s v=""/>
    <s v=""/>
    <s v=""/>
    <s v=""/>
    <s v=""/>
  </r>
  <r>
    <s v="China"/>
    <s v="East Asia and Pacific"/>
    <s v="P076714"/>
    <s v="C2"/>
    <s v="S3"/>
    <s v="P076714C2S3"/>
    <s v="Ratio"/>
    <s v="2003 / 2009"/>
    <s v="Upgrading"/>
    <s v=""/>
    <n v="0.82727272727272727"/>
    <n v="0.84545454545454557"/>
    <m/>
    <n v="1.0224677226141354"/>
    <n v="1.2359499943687351"/>
    <s v=""/>
    <n v="0"/>
    <n v="0"/>
    <x v="1"/>
    <x v="0"/>
    <s v=""/>
    <s v=""/>
    <s v=""/>
    <s v=""/>
    <s v=""/>
    <s v=""/>
    <s v=""/>
    <s v=""/>
    <s v=""/>
    <s v=""/>
  </r>
  <r>
    <s v="China"/>
    <s v="East Asia and Pacific"/>
    <s v="P076714"/>
    <s v="C2"/>
    <s v="S4"/>
    <s v="P076714C2S4"/>
    <s v="Ratio"/>
    <s v="2003 / 2009"/>
    <s v="Upgrading"/>
    <s v=""/>
    <n v="0.86052631578947381"/>
    <n v="0.72666666666666668"/>
    <m/>
    <n v="0.8788091752074183"/>
    <n v="1.0212461363266634"/>
    <s v=""/>
    <n v="0"/>
    <n v="0"/>
    <x v="1"/>
    <x v="0"/>
    <s v=""/>
    <s v=""/>
    <s v=""/>
    <s v=""/>
    <s v=""/>
    <s v=""/>
    <s v=""/>
    <s v=""/>
    <s v=""/>
    <s v=""/>
  </r>
  <r>
    <s v="China"/>
    <s v="East Asia and Pacific"/>
    <s v="P076714"/>
    <s v="C2"/>
    <s v="S5"/>
    <s v="P076714C2S5"/>
    <s v="Ratio"/>
    <s v="2003 / 2009"/>
    <s v="Upgrading"/>
    <s v=""/>
    <n v="0.98653846153846148"/>
    <n v="0.53846153846153844"/>
    <m/>
    <n v="0.65119945939858093"/>
    <n v="0.66008522200246011"/>
    <s v=""/>
    <n v="0"/>
    <n v="0"/>
    <x v="1"/>
    <x v="0"/>
    <s v=""/>
    <s v=""/>
    <s v=""/>
    <s v=""/>
    <s v=""/>
    <s v=""/>
    <s v=""/>
    <s v=""/>
    <s v=""/>
    <s v=""/>
  </r>
  <r>
    <s v="India"/>
    <s v="South Asia"/>
    <s v="P077856"/>
    <s v="C1"/>
    <s v=""/>
    <s v="P077856C1"/>
    <s v="Ratio"/>
    <s v="2004 / 2012"/>
    <s v="Widening"/>
    <n v="1.75"/>
    <n v="0.67701863354037262"/>
    <n v="0.99657478794823573"/>
    <m/>
    <n v="0.99657478794823573"/>
    <n v="1.4720049620152837"/>
    <s v=""/>
    <n v="0"/>
    <n v="0"/>
    <x v="1"/>
    <x v="0"/>
    <s v=""/>
    <s v=""/>
    <s v=""/>
    <s v=""/>
    <s v=""/>
    <s v=""/>
    <s v=""/>
    <s v=""/>
    <s v=""/>
    <s v=""/>
  </r>
  <r>
    <s v="Sierra Leone"/>
    <s v="Sub-Saharan Africa"/>
    <s v="P078389"/>
    <s v="C1"/>
    <s v=""/>
    <s v="P078389C1"/>
    <s v="Ratio"/>
    <s v="2005 / 2014"/>
    <s v="Gravel Resurfacing"/>
    <s v=""/>
    <n v="0.74308300395256921"/>
    <n v="1.2484560570071259"/>
    <m/>
    <n v="1.2484560570071259"/>
    <n v="1.680103097993632"/>
    <s v="x"/>
    <n v="0"/>
    <n v="0"/>
    <x v="0"/>
    <x v="0"/>
    <s v=""/>
    <n v="1"/>
    <s v=""/>
    <s v=""/>
    <s v=""/>
    <s v=""/>
    <s v=""/>
    <n v="1"/>
    <s v=""/>
    <s v=""/>
  </r>
  <r>
    <s v="Albania"/>
    <s v="Europe and Central Asia"/>
    <s v="P078949"/>
    <s v="C1"/>
    <s v="S1"/>
    <s v="P078949C1S1"/>
    <s v="Ratio"/>
    <s v="2007 / 2011"/>
    <s v="New 4L Highway"/>
    <n v="2.2272727272727271"/>
    <n v="1"/>
    <n v="1.1753246753246753"/>
    <m/>
    <n v="1.1753246753246753"/>
    <n v="1.1753246753246755"/>
    <s v=""/>
    <n v="0"/>
    <n v="0"/>
    <x v="1"/>
    <x v="0"/>
    <s v=""/>
    <s v=""/>
    <s v=""/>
    <s v=""/>
    <s v=""/>
    <s v=""/>
    <s v=""/>
    <s v=""/>
    <s v=""/>
    <s v=""/>
  </r>
  <r>
    <s v="Albania"/>
    <s v="Europe and Central Asia"/>
    <s v="P078949"/>
    <s v="C1"/>
    <s v="S2"/>
    <s v="P078949C1S2"/>
    <s v="Ratio"/>
    <s v="2007 / 2011"/>
    <s v="New 4L Highway"/>
    <n v="3.7272727272727271"/>
    <n v="1"/>
    <n v="0.9662921348314607"/>
    <m/>
    <n v="0.9662921348314607"/>
    <n v="0.96629213483146081"/>
    <s v=""/>
    <n v="0"/>
    <n v="0"/>
    <x v="1"/>
    <x v="0"/>
    <s v=""/>
    <s v=""/>
    <s v=""/>
    <s v=""/>
    <s v=""/>
    <s v=""/>
    <s v=""/>
    <s v=""/>
    <s v=""/>
    <s v=""/>
  </r>
  <r>
    <s v="Albania"/>
    <s v="Europe and Central Asia"/>
    <s v="P078949"/>
    <s v="C1"/>
    <s v="S3"/>
    <s v="P078949C1S3"/>
    <s v="Ratio"/>
    <s v="2007 / 2011"/>
    <s v="New 4L Highway"/>
    <n v="2.1875"/>
    <n v="1"/>
    <n v="1.0333333333333334"/>
    <m/>
    <n v="1.0333333333333334"/>
    <n v="1.0333333333333334"/>
    <s v=""/>
    <n v="0"/>
    <n v="0"/>
    <x v="1"/>
    <x v="0"/>
    <s v=""/>
    <s v=""/>
    <s v=""/>
    <s v=""/>
    <s v=""/>
    <s v=""/>
    <s v=""/>
    <s v=""/>
    <s v=""/>
    <s v=""/>
  </r>
  <r>
    <s v="Rwanda"/>
    <s v="Sub-Saharan Africa"/>
    <s v="P079414"/>
    <s v="C1"/>
    <s v="S1"/>
    <s v="P079414C1S1"/>
    <s v="Ratio"/>
    <s v="2007 / 2015"/>
    <s v="Partial Widening and Reconstruction"/>
    <n v="1.2222222222222223"/>
    <n v="1"/>
    <n v="1.2655263157894738"/>
    <m/>
    <n v="1.2655263157894738"/>
    <n v="1.2655263157894738"/>
    <s v=""/>
    <n v="0"/>
    <n v="0"/>
    <x v="1"/>
    <x v="0"/>
    <s v=""/>
    <s v=""/>
    <s v=""/>
    <s v=""/>
    <s v=""/>
    <s v=""/>
    <s v=""/>
    <s v=""/>
    <s v=""/>
    <s v=""/>
  </r>
  <r>
    <s v="Mali"/>
    <s v="Sub-Saharan Africa"/>
    <s v="P079749_2"/>
    <s v="C1"/>
    <s v="S2"/>
    <s v="P079749_2C1S2"/>
    <s v="Ratio"/>
    <s v="2008 / 2015"/>
    <s v="Asphalt Mix Resurfacing"/>
    <s v=""/>
    <n v="1.2922077922077921"/>
    <n v="6.9"/>
    <m/>
    <n v="6.9"/>
    <n v="5.3396984924623112"/>
    <s v="x"/>
    <n v="0"/>
    <n v="0"/>
    <x v="0"/>
    <x v="0"/>
    <s v=""/>
    <s v=""/>
    <s v=""/>
    <s v=""/>
    <s v=""/>
    <s v=""/>
    <s v=""/>
    <s v=""/>
    <n v="1"/>
    <s v=""/>
  </r>
  <r>
    <s v="China"/>
    <s v="East Asia and Pacific"/>
    <s v="P081749"/>
    <s v="C1"/>
    <s v=""/>
    <s v="P081749C1"/>
    <s v="Ratio"/>
    <s v="2004 / 2010"/>
    <s v="New 4L Highway"/>
    <n v="1"/>
    <n v="1.0123691722169363"/>
    <n v="1.6778436635075067"/>
    <m/>
    <n v="1.6778436635075067"/>
    <n v="1.6573436939345765"/>
    <s v="x"/>
    <n v="0"/>
    <n v="0"/>
    <x v="0"/>
    <x v="0"/>
    <s v=""/>
    <s v=""/>
    <n v="1"/>
    <s v=""/>
    <s v=""/>
    <s v=""/>
    <s v=""/>
    <s v=""/>
    <n v="1"/>
    <s v=""/>
  </r>
  <r>
    <s v="China"/>
    <s v="East Asia and Pacific"/>
    <s v="P081749"/>
    <s v="C2"/>
    <s v="S1"/>
    <s v="P081749C2S1"/>
    <s v="Ratio"/>
    <s v="2004 / 2010"/>
    <s v="Upgrading"/>
    <n v="1"/>
    <n v="0.99277389277389294"/>
    <n v="0.84554678692220964"/>
    <m/>
    <n v="1.0250552555952994"/>
    <n v="1.0325163293035533"/>
    <s v=""/>
    <n v="0"/>
    <n v="0"/>
    <x v="1"/>
    <x v="0"/>
    <s v=""/>
    <s v=""/>
    <s v=""/>
    <s v=""/>
    <s v=""/>
    <s v=""/>
    <s v=""/>
    <s v=""/>
    <s v=""/>
    <s v=""/>
  </r>
  <r>
    <s v="Morocco"/>
    <s v="Middle East and North Africa"/>
    <s v="P082754"/>
    <s v="C1"/>
    <s v=""/>
    <s v="P082754C1"/>
    <s v="Ratio"/>
    <s v="2004 / 2011"/>
    <s v="Reconstruction"/>
    <n v="1.2777777777777777"/>
    <n v="0.83199999999999996"/>
    <n v="1.1914052201423675"/>
    <m/>
    <n v="1.3228312156496789"/>
    <n v="1.5899413649635565"/>
    <s v="x"/>
    <n v="0"/>
    <n v="0"/>
    <x v="0"/>
    <x v="0"/>
    <n v="1"/>
    <s v=""/>
    <s v=""/>
    <s v=""/>
    <s v=""/>
    <s v=""/>
    <s v=""/>
    <s v=""/>
    <n v="1"/>
    <s v=""/>
  </r>
  <r>
    <s v="Morocco"/>
    <s v="Middle East and North Africa"/>
    <s v="P082754"/>
    <s v="C1"/>
    <s v="S1"/>
    <s v="P082754C1S1"/>
    <s v="Ratio"/>
    <s v="2004 / 2011"/>
    <s v="Reconstruction"/>
    <n v="1.2777777777777777"/>
    <n v="0.77916666666666667"/>
    <n v="0.91597222222222219"/>
    <m/>
    <n v="1.0170147215560883"/>
    <n v="1.3052595356869583"/>
    <s v=""/>
    <n v="0"/>
    <n v="0"/>
    <x v="1"/>
    <x v="0"/>
    <s v=""/>
    <s v=""/>
    <s v=""/>
    <s v=""/>
    <s v=""/>
    <s v=""/>
    <s v=""/>
    <s v=""/>
    <s v=""/>
    <s v=""/>
  </r>
  <r>
    <s v="Morocco"/>
    <s v="Middle East and North Africa"/>
    <s v="P082754"/>
    <s v="C1"/>
    <s v="S10"/>
    <s v="P082754C1S10"/>
    <s v="Ratio"/>
    <s v="2004 / 2011"/>
    <s v="Reconstruction"/>
    <n v="1.2777777777777777"/>
    <n v="0.97777777777777786"/>
    <n v="1.6722222222222221"/>
    <m/>
    <n v="1.8566879829469756"/>
    <n v="1.8988854371048609"/>
    <s v="x"/>
    <n v="0"/>
    <n v="0"/>
    <x v="0"/>
    <x v="0"/>
    <n v="1"/>
    <s v=""/>
    <s v=""/>
    <s v=""/>
    <s v=""/>
    <s v=""/>
    <s v=""/>
    <s v=""/>
    <n v="1"/>
    <s v=""/>
  </r>
  <r>
    <s v="Morocco"/>
    <s v="Middle East and North Africa"/>
    <s v="P082754"/>
    <s v="C1"/>
    <s v="S11"/>
    <s v="P082754C1S11"/>
    <s v="Ratio"/>
    <s v="2004 / 2011"/>
    <s v="Reconstruction"/>
    <n v="1.2777777777777777"/>
    <n v="0.95"/>
    <n v="2.3470588235294119"/>
    <m/>
    <n v="2.6059669911129921"/>
    <n v="2.7431231485399916"/>
    <s v="x"/>
    <n v="0"/>
    <n v="0"/>
    <x v="0"/>
    <x v="0"/>
    <n v="1"/>
    <s v=""/>
    <s v=""/>
    <s v=""/>
    <s v=""/>
    <s v=""/>
    <s v=""/>
    <s v=""/>
    <n v="1"/>
    <s v=""/>
  </r>
  <r>
    <s v="Morocco"/>
    <s v="Middle East and North Africa"/>
    <s v="P082754"/>
    <s v="C1"/>
    <s v="S12"/>
    <s v="P082754C1S12"/>
    <s v="Ratio"/>
    <s v="2004 / 2011"/>
    <s v="Reconstruction"/>
    <n v="1.2777777777777777"/>
    <n v="1.032142857142857"/>
    <n v="1.0179924242424241"/>
    <m/>
    <n v="1.1302889506576557"/>
    <n v="1.0950896407755835"/>
    <s v=""/>
    <n v="0"/>
    <n v="0"/>
    <x v="1"/>
    <x v="0"/>
    <s v=""/>
    <s v=""/>
    <s v=""/>
    <s v=""/>
    <s v=""/>
    <s v=""/>
    <s v=""/>
    <s v=""/>
    <s v=""/>
    <s v=""/>
  </r>
  <r>
    <s v="Morocco"/>
    <s v="Middle East and North Africa"/>
    <s v="P082754"/>
    <s v="C1"/>
    <s v="S2"/>
    <s v="P082754C1S2"/>
    <s v="Ratio"/>
    <s v="2004 / 2011"/>
    <s v="Reconstruction"/>
    <n v="1.2777777777777777"/>
    <n v="1.0036363636363637"/>
    <n v="1.0925"/>
    <m/>
    <n v="1.213015587529976"/>
    <n v="1.2086206035171863"/>
    <s v=""/>
    <n v="0"/>
    <n v="0"/>
    <x v="1"/>
    <x v="0"/>
    <s v=""/>
    <s v=""/>
    <s v=""/>
    <s v=""/>
    <s v=""/>
    <s v=""/>
    <s v=""/>
    <s v=""/>
    <s v=""/>
    <s v=""/>
  </r>
  <r>
    <s v="Morocco"/>
    <s v="Middle East and North Africa"/>
    <s v="P082754"/>
    <s v="C1"/>
    <s v="S3"/>
    <s v="P082754C1S3"/>
    <s v="Ratio"/>
    <s v="2004 / 2011"/>
    <s v="Reconstruction"/>
    <n v="1.2777777777777777"/>
    <n v="1.1000000000000001"/>
    <n v="1.3590909090909091"/>
    <m/>
    <n v="1.5090146064966208"/>
    <n v="1.3718314604514736"/>
    <s v=""/>
    <n v="0"/>
    <n v="0"/>
    <x v="1"/>
    <x v="0"/>
    <s v=""/>
    <s v=""/>
    <s v=""/>
    <s v=""/>
    <s v=""/>
    <s v=""/>
    <s v=""/>
    <s v=""/>
    <s v=""/>
    <s v=""/>
  </r>
  <r>
    <s v="Morocco"/>
    <s v="Middle East and North Africa"/>
    <s v="P082754"/>
    <s v="C1"/>
    <s v="S4"/>
    <s v="P082754C1S4"/>
    <s v="Ratio"/>
    <s v="2004 / 2011"/>
    <s v="Reconstruction"/>
    <n v="1.2777777777777777"/>
    <n v="0.97857142857142854"/>
    <n v="1.0852272727272727"/>
    <m/>
    <n v="1.2049405929801613"/>
    <n v="1.2313261534103841"/>
    <s v=""/>
    <n v="0"/>
    <n v="0"/>
    <x v="1"/>
    <x v="0"/>
    <s v=""/>
    <s v=""/>
    <s v=""/>
    <s v=""/>
    <s v=""/>
    <s v=""/>
    <s v=""/>
    <s v=""/>
    <s v=""/>
    <s v=""/>
  </r>
  <r>
    <s v="Morocco"/>
    <s v="Middle East and North Africa"/>
    <s v="P082754"/>
    <s v="C1"/>
    <s v="S5"/>
    <s v="P082754C1S5"/>
    <s v="Ratio"/>
    <s v="2004 / 2011"/>
    <s v="Reconstruction"/>
    <n v="1.2777777777777777"/>
    <n v="1.01"/>
    <n v="0.88581730769230771"/>
    <m/>
    <n v="0.98353336561520011"/>
    <n v="0.97379541150019822"/>
    <s v=""/>
    <n v="0"/>
    <n v="0"/>
    <x v="1"/>
    <x v="0"/>
    <s v=""/>
    <s v=""/>
    <s v=""/>
    <s v=""/>
    <s v=""/>
    <s v=""/>
    <s v=""/>
    <s v=""/>
    <s v=""/>
    <s v=""/>
  </r>
  <r>
    <s v="Morocco"/>
    <s v="Middle East and North Africa"/>
    <s v="P082754"/>
    <s v="C1"/>
    <s v="S6"/>
    <s v="P082754C1S6"/>
    <s v="Ratio"/>
    <s v="2004 / 2011"/>
    <s v="Reconstruction"/>
    <n v="1.2777777777777777"/>
    <n v="0.92500000000000004"/>
    <n v="1.2353896103896105"/>
    <m/>
    <n v="1.3716676009841478"/>
    <n v="1.4828838929558354"/>
    <s v=""/>
    <n v="0"/>
    <n v="0"/>
    <x v="1"/>
    <x v="0"/>
    <s v=""/>
    <s v=""/>
    <s v=""/>
    <s v=""/>
    <s v=""/>
    <s v=""/>
    <s v=""/>
    <s v=""/>
    <s v=""/>
    <s v=""/>
  </r>
  <r>
    <s v="Morocco"/>
    <s v="Middle East and North Africa"/>
    <s v="P082754"/>
    <s v="C1"/>
    <s v="S7"/>
    <s v="P082754C1S7"/>
    <s v="Ratio"/>
    <s v="2004 / 2011"/>
    <s v="Reconstruction"/>
    <n v="1.2777777777777777"/>
    <n v="0.88461538461538458"/>
    <n v="0.93990384615384615"/>
    <m/>
    <n v="1.0435862848182993"/>
    <n v="1.1797062350119905"/>
    <s v=""/>
    <n v="0"/>
    <n v="0"/>
    <x v="1"/>
    <x v="0"/>
    <s v=""/>
    <s v=""/>
    <s v=""/>
    <s v=""/>
    <s v=""/>
    <s v=""/>
    <s v=""/>
    <s v=""/>
    <s v=""/>
    <s v=""/>
  </r>
  <r>
    <s v="Morocco"/>
    <s v="Middle East and North Africa"/>
    <s v="P082754"/>
    <s v="C1"/>
    <s v="S8"/>
    <s v="P082754C1S8"/>
    <s v="Ratio"/>
    <s v="2004 / 2011"/>
    <s v="Reconstruction"/>
    <n v="1.2777777777777777"/>
    <n v="0.86153846153846148"/>
    <n v="0.93990384615384615"/>
    <m/>
    <n v="1.0435862848182993"/>
    <n v="1.2113055091640974"/>
    <s v=""/>
    <n v="0"/>
    <n v="0"/>
    <x v="1"/>
    <x v="0"/>
    <s v=""/>
    <s v=""/>
    <s v=""/>
    <s v=""/>
    <s v=""/>
    <s v=""/>
    <s v=""/>
    <s v=""/>
    <s v=""/>
    <s v=""/>
  </r>
  <r>
    <s v="Morocco"/>
    <s v="Middle East and North Africa"/>
    <s v="P082754"/>
    <s v="C1"/>
    <s v="S9"/>
    <s v="P082754C1S9"/>
    <s v="Ratio"/>
    <s v="2004 / 2011"/>
    <s v="Reconstruction"/>
    <n v="1.2777777777777777"/>
    <n v="1.4444444444444444"/>
    <n v="2.046875"/>
    <m/>
    <n v="2.2726693645083933"/>
    <n v="1.5733864831211952"/>
    <s v="x"/>
    <n v="0"/>
    <n v="0"/>
    <x v="0"/>
    <x v="0"/>
    <n v="1"/>
    <s v=""/>
    <s v=""/>
    <s v=""/>
    <s v=""/>
    <s v=""/>
    <s v=""/>
    <s v=""/>
    <n v="1"/>
    <s v=""/>
  </r>
  <r>
    <s v="Madagascar"/>
    <s v="Sub-Saharan Africa"/>
    <s v="P082806"/>
    <s v="C1"/>
    <s v="S1"/>
    <s v="P082806C1S1"/>
    <s v="Ratio"/>
    <s v="2003 / 2013"/>
    <s v="Asphalt Mix Resurfacing"/>
    <n v="1.625"/>
    <n v="1.2630522088353413"/>
    <n v="6.3794760701283622"/>
    <m/>
    <n v="6.3794760701283622"/>
    <n v="5.0508411493226149"/>
    <s v="x"/>
    <n v="0"/>
    <n v="0"/>
    <x v="0"/>
    <x v="0"/>
    <n v="1"/>
    <s v=""/>
    <n v="1"/>
    <s v=""/>
    <s v=""/>
    <s v=""/>
    <s v=""/>
    <s v=""/>
    <s v=""/>
    <s v=""/>
  </r>
  <r>
    <s v="Madagascar"/>
    <s v="Sub-Saharan Africa"/>
    <s v="P082806"/>
    <s v="C1"/>
    <s v="S2"/>
    <s v="P082806C1S2"/>
    <s v="Ratio"/>
    <s v="2003 / 2013"/>
    <s v="Asphalt Mix Resurfacing"/>
    <n v="1"/>
    <n v="0.48779661016949155"/>
    <n v="1.9009688798722191"/>
    <m/>
    <n v="1.9009688798722191"/>
    <n v="3.897052255471193"/>
    <s v="x"/>
    <n v="0"/>
    <n v="1"/>
    <x v="0"/>
    <x v="0"/>
    <n v="1"/>
    <s v=""/>
    <n v="1"/>
    <s v=""/>
    <s v=""/>
    <s v=""/>
    <s v=""/>
    <s v=""/>
    <s v=""/>
    <n v="1"/>
  </r>
  <r>
    <s v="Madagascar"/>
    <s v="Sub-Saharan Africa"/>
    <s v="P082806"/>
    <s v="C1"/>
    <s v="S3"/>
    <s v="P082806C1S3"/>
    <s v="Ratio"/>
    <s v="2003 / 2013"/>
    <s v="Gravel Resurfacing"/>
    <n v="0.27777777777777779"/>
    <n v="1.011049723756906"/>
    <n v="9.8801425665107037E-2"/>
    <m/>
    <n v="9.8801425665107037E-2"/>
    <n v="9.7721628663302584E-2"/>
    <s v="x"/>
    <n v="0"/>
    <n v="0"/>
    <x v="1"/>
    <x v="1"/>
    <s v=""/>
    <s v=""/>
    <s v=""/>
    <s v=""/>
    <s v=""/>
    <s v=""/>
    <s v=""/>
    <s v=""/>
    <s v=""/>
    <n v="1"/>
  </r>
  <r>
    <s v="Ethiopia"/>
    <s v="Sub-Saharan Africa"/>
    <s v="P082998"/>
    <s v="C1"/>
    <s v="S1"/>
    <s v="P082998C1S1"/>
    <s v="Ratio"/>
    <s v="2004 / 2012"/>
    <s v="Upgrading"/>
    <s v=""/>
    <n v="0.77848101265822789"/>
    <n v="3.1677949709864603"/>
    <m/>
    <n v="3.1677949709864603"/>
    <n v="4.0692000440313878"/>
    <s v="x"/>
    <n v="0"/>
    <n v="0"/>
    <x v="0"/>
    <x v="0"/>
    <s v=""/>
    <s v=""/>
    <s v=""/>
    <s v=""/>
    <s v=""/>
    <s v=""/>
    <s v=""/>
    <s v=""/>
    <n v="1"/>
    <n v="1"/>
  </r>
  <r>
    <s v="Ethiopia"/>
    <s v="Sub-Saharan Africa"/>
    <s v="P082998"/>
    <s v="C1"/>
    <s v="S2"/>
    <s v="P082998C1S2"/>
    <s v="Ratio"/>
    <s v="2004 / 2012"/>
    <s v="Upgrading"/>
    <s v=""/>
    <n v="1"/>
    <n v="2.4344999999999999"/>
    <m/>
    <n v="2.4344999999999999"/>
    <n v="2.4344999999999999"/>
    <s v="x"/>
    <n v="0"/>
    <n v="0"/>
    <x v="0"/>
    <x v="0"/>
    <s v=""/>
    <s v=""/>
    <s v=""/>
    <s v=""/>
    <s v=""/>
    <s v=""/>
    <s v=""/>
    <s v=""/>
    <n v="1"/>
    <n v="1"/>
  </r>
  <r>
    <s v="Ethiopia"/>
    <s v="Sub-Saharan Africa"/>
    <s v="P082998"/>
    <s v="C1"/>
    <s v="S3"/>
    <s v="P082998C1S3"/>
    <s v="Ratio"/>
    <s v="2004 / 2012"/>
    <s v="Upgrading"/>
    <s v=""/>
    <n v="1"/>
    <n v="3.1646682653876903"/>
    <m/>
    <n v="3.1646682653876903"/>
    <n v="3.1646682653876903"/>
    <s v="x"/>
    <n v="0"/>
    <n v="0"/>
    <x v="0"/>
    <x v="0"/>
    <s v=""/>
    <s v=""/>
    <s v=""/>
    <s v=""/>
    <s v=""/>
    <s v=""/>
    <s v=""/>
    <s v=""/>
    <n v="1"/>
    <n v="1"/>
  </r>
  <r>
    <s v="Ethiopia"/>
    <s v="Sub-Saharan Africa"/>
    <s v="P082998"/>
    <s v="C1"/>
    <s v="S4"/>
    <s v="P082998C1S4"/>
    <s v="Ratio"/>
    <s v="2004 / 2007"/>
    <s v="Upgrading"/>
    <n v="1.75"/>
    <n v="1"/>
    <n v="4.2753338570306356"/>
    <m/>
    <n v="4.2753338570306356"/>
    <n v="4.2753338570306365"/>
    <s v="x"/>
    <n v="0"/>
    <n v="0"/>
    <x v="0"/>
    <x v="0"/>
    <s v=""/>
    <s v=""/>
    <s v=""/>
    <s v=""/>
    <s v=""/>
    <s v=""/>
    <s v=""/>
    <s v=""/>
    <n v="1"/>
    <n v="1"/>
  </r>
  <r>
    <s v="Ethiopia"/>
    <s v="Sub-Saharan Africa"/>
    <s v="P082998"/>
    <s v="C2"/>
    <s v="S1"/>
    <s v="P082998C2S1"/>
    <s v="Ratio"/>
    <s v="2004 / 2012"/>
    <s v="New 2L Highway"/>
    <s v=""/>
    <n v="1"/>
    <n v="2.6570644718792868"/>
    <m/>
    <n v="2.6570644718792868"/>
    <n v="2.6570644718792868"/>
    <s v="x"/>
    <n v="0"/>
    <n v="0"/>
    <x v="0"/>
    <x v="0"/>
    <s v=""/>
    <s v=""/>
    <s v=""/>
    <s v=""/>
    <s v=""/>
    <s v=""/>
    <s v=""/>
    <s v=""/>
    <n v="1"/>
    <n v="1"/>
  </r>
  <r>
    <s v="Ethiopia"/>
    <s v="Sub-Saharan Africa"/>
    <s v="P082998"/>
    <s v="C2"/>
    <s v="S2"/>
    <s v="P082998C2S2"/>
    <s v="Ratio"/>
    <s v="2004 / 2012"/>
    <s v="New 2L Highway"/>
    <s v=""/>
    <n v="1"/>
    <n v="3.950755456071628"/>
    <m/>
    <n v="3.950755456071628"/>
    <n v="3.950755456071628"/>
    <s v="x"/>
    <n v="0"/>
    <n v="0"/>
    <x v="0"/>
    <x v="0"/>
    <s v=""/>
    <s v=""/>
    <s v=""/>
    <s v=""/>
    <s v=""/>
    <s v=""/>
    <s v=""/>
    <s v=""/>
    <n v="1"/>
    <n v="1"/>
  </r>
  <r>
    <s v="Vietnam"/>
    <s v="East Asia and Pacific"/>
    <s v="P083588 "/>
    <s v="C1"/>
    <s v=""/>
    <s v="P083588 C1"/>
    <s v="Ratio"/>
    <s v="2007 / 2017"/>
    <s v="Widening and Reconstruction"/>
    <n v="2.1944444444444446"/>
    <n v="0.62244897959183676"/>
    <n v="1.0123357468490213"/>
    <m/>
    <n v="1.0123357468490213"/>
    <n v="1.6263754621508864"/>
    <s v="x"/>
    <n v="0"/>
    <n v="0"/>
    <x v="0"/>
    <x v="0"/>
    <n v="1"/>
    <s v=""/>
    <s v=""/>
    <s v=""/>
    <s v=""/>
    <n v="1"/>
    <s v=""/>
    <s v=""/>
    <s v=""/>
    <s v=""/>
  </r>
  <r>
    <s v="Nepal"/>
    <s v="South Asia"/>
    <s v="P083923"/>
    <s v="C1"/>
    <s v="S1"/>
    <s v="P083923C1S1"/>
    <s v="Ratio"/>
    <s v="2005 / 2014"/>
    <s v="Upgrading"/>
    <s v=""/>
    <n v="2.17625"/>
    <n v="2.7154761904761902"/>
    <m/>
    <n v="2.7154761904761902"/>
    <n v="1.2477776866059462"/>
    <s v="x"/>
    <n v="1"/>
    <n v="0"/>
    <x v="1"/>
    <x v="0"/>
    <n v="1"/>
    <s v=""/>
    <s v=""/>
    <n v="1"/>
    <s v=""/>
    <s v=""/>
    <s v=""/>
    <s v=""/>
    <s v=""/>
    <n v="1"/>
  </r>
  <r>
    <s v="Nepal"/>
    <s v="South Asia"/>
    <s v="P083923"/>
    <s v="C1"/>
    <s v="S2"/>
    <s v="P083923C1S2"/>
    <s v="Ratio"/>
    <s v="2005 / 2014"/>
    <s v="Upgrading"/>
    <s v=""/>
    <n v="0.7"/>
    <n v="0.76"/>
    <m/>
    <n v="0.76"/>
    <n v="1.0857142857142856"/>
    <s v=""/>
    <n v="0"/>
    <n v="0"/>
    <x v="1"/>
    <x v="0"/>
    <s v=""/>
    <s v=""/>
    <s v=""/>
    <s v=""/>
    <s v=""/>
    <s v=""/>
    <s v=""/>
    <s v=""/>
    <s v=""/>
    <s v=""/>
  </r>
  <r>
    <s v="Nepal"/>
    <s v="South Asia"/>
    <s v="P083923"/>
    <s v="C1"/>
    <s v="S3"/>
    <s v="P083923C1S3"/>
    <s v="Ratio"/>
    <s v="2005 / 2014"/>
    <s v="Routine Maintenance"/>
    <s v=""/>
    <n v="1.3142857142857143"/>
    <n v="2.0152091254752853"/>
    <m/>
    <n v="2.0152091254752853"/>
    <n v="1.5333112911224998"/>
    <s v="x"/>
    <n v="0"/>
    <n v="0"/>
    <x v="0"/>
    <x v="0"/>
    <s v=""/>
    <n v="1"/>
    <s v=""/>
    <s v=""/>
    <s v=""/>
    <s v=""/>
    <s v=""/>
    <s v=""/>
    <n v="1"/>
    <s v=""/>
  </r>
  <r>
    <s v="Nicaragua"/>
    <s v="Latin America and Caribbean"/>
    <s v="P083952"/>
    <s v="C1"/>
    <s v=""/>
    <s v="P083952C1"/>
    <s v="Ratio"/>
    <s v="2006 / 2015"/>
    <s v="Strengthening"/>
    <s v=""/>
    <n v="1.0111764705882353"/>
    <n v="1.3514313919052319"/>
    <m/>
    <n v="1.3514313919052319"/>
    <n v="1.3364941048510146"/>
    <s v=""/>
    <n v="0"/>
    <n v="0"/>
    <x v="1"/>
    <x v="0"/>
    <s v=""/>
    <s v=""/>
    <s v=""/>
    <s v=""/>
    <s v=""/>
    <s v=""/>
    <s v=""/>
    <s v=""/>
    <s v=""/>
    <s v=""/>
  </r>
  <r>
    <s v="Nicaragua"/>
    <s v="Latin America and Caribbean"/>
    <s v="P083952"/>
    <s v="C2"/>
    <s v=""/>
    <s v="P083952C2"/>
    <s v="Ratio"/>
    <s v="2006 / 2015"/>
    <s v="Reconstruction"/>
    <s v=""/>
    <n v="1.128125"/>
    <n v="2.0714115118223075"/>
    <m/>
    <n v="2.0714115118223075"/>
    <n v="1.8361542487067546"/>
    <s v="x"/>
    <n v="0"/>
    <n v="0"/>
    <x v="0"/>
    <x v="0"/>
    <n v="1"/>
    <s v=""/>
    <s v=""/>
    <s v=""/>
    <s v=""/>
    <s v=""/>
    <s v=""/>
    <s v=""/>
    <s v=""/>
    <n v="1"/>
  </r>
  <r>
    <s v="Nicaragua"/>
    <s v="Latin America and Caribbean"/>
    <s v="P083952"/>
    <s v="C3"/>
    <s v=""/>
    <s v="P083952C3"/>
    <s v="Ratio"/>
    <s v="2006 / 2015"/>
    <s v="Routine Maintenance"/>
    <s v=""/>
    <n v="1.2903225806451613"/>
    <n v="1.6047120418848169"/>
    <m/>
    <n v="1.6047120418848169"/>
    <n v="1.2436518324607331"/>
    <s v=""/>
    <n v="0"/>
    <n v="0"/>
    <x v="1"/>
    <x v="0"/>
    <s v=""/>
    <s v=""/>
    <s v=""/>
    <s v=""/>
    <s v=""/>
    <s v=""/>
    <s v=""/>
    <s v=""/>
    <s v=""/>
    <s v=""/>
  </r>
  <r>
    <s v="Sri Lanka"/>
    <s v="South Asia"/>
    <s v="P086411"/>
    <s v="C1"/>
    <s v=""/>
    <s v="P086411C1"/>
    <s v="Ratio"/>
    <s v="2005 / 2016"/>
    <s v="Upgrading"/>
    <s v=""/>
    <n v="0.24724409448818899"/>
    <n v="1.3017928286852591"/>
    <m/>
    <n v="1.3017928286852591"/>
    <n v="5.2652130332174494"/>
    <s v="x"/>
    <n v="0"/>
    <n v="1"/>
    <x v="0"/>
    <x v="0"/>
    <n v="1"/>
    <s v=""/>
    <s v=""/>
    <s v=""/>
    <s v=""/>
    <s v=""/>
    <s v=""/>
    <s v=""/>
    <n v="1"/>
    <s v=""/>
  </r>
  <r>
    <s v="Sri Lanka"/>
    <s v="South Asia"/>
    <s v="P086411"/>
    <s v="C2"/>
    <s v=""/>
    <s v="P086411C2"/>
    <s v="Ratio"/>
    <s v="2005 / 2016"/>
    <s v="Widening"/>
    <s v=""/>
    <n v="0.99516129032258061"/>
    <n v="2.1242556217225133"/>
    <m/>
    <n v="2.1242556217225133"/>
    <n v="2.1345842552154917"/>
    <s v="x"/>
    <n v="0"/>
    <n v="0"/>
    <x v="0"/>
    <x v="0"/>
    <n v="1"/>
    <s v=""/>
    <s v=""/>
    <s v=""/>
    <s v=""/>
    <s v=""/>
    <s v=""/>
    <s v=""/>
    <n v="1"/>
    <n v="1"/>
  </r>
  <r>
    <s v="Mali"/>
    <s v="Sub-Saharan Africa"/>
    <s v="P090075"/>
    <s v="C1"/>
    <s v=""/>
    <s v="P090075C1"/>
    <s v="Ratio"/>
    <s v="2007 / 2016"/>
    <s v="Gravel Resurfacing"/>
    <s v=""/>
    <n v="1.155813953488372"/>
    <n v="0.94777777777777772"/>
    <m/>
    <n v="0.94777777777777772"/>
    <n v="0.8200089425441538"/>
    <s v=""/>
    <n v="0"/>
    <n v="0"/>
    <x v="1"/>
    <x v="0"/>
    <s v=""/>
    <s v=""/>
    <s v=""/>
    <s v=""/>
    <s v=""/>
    <s v=""/>
    <s v=""/>
    <s v=""/>
    <s v=""/>
    <s v=""/>
  </r>
  <r>
    <s v="China"/>
    <s v="East Asia and Pacific"/>
    <s v="P091020"/>
    <s v="C1"/>
    <s v=""/>
    <s v="P091020C1"/>
    <s v="Ratio"/>
    <s v="2006 / 2015"/>
    <s v="New 4L Highway"/>
    <s v=""/>
    <n v="1"/>
    <n v="1.5870193224865778"/>
    <m/>
    <n v="1.5870193224865778"/>
    <n v="1.5870193224865778"/>
    <s v="x"/>
    <n v="0"/>
    <n v="0"/>
    <x v="0"/>
    <x v="0"/>
    <s v=""/>
    <n v="1"/>
    <n v="1"/>
    <s v=""/>
    <s v=""/>
    <s v=""/>
    <s v=""/>
    <s v=""/>
    <s v=""/>
    <s v=""/>
  </r>
  <r>
    <s v="China"/>
    <s v="East Asia and Pacific"/>
    <s v="P091020"/>
    <s v="C2"/>
    <s v=""/>
    <s v="P091020C2"/>
    <s v="Ratio"/>
    <s v="2006 / 2015"/>
    <s v="Strengthening"/>
    <s v=""/>
    <n v="2.4368557036728293"/>
    <n v="2.6955416794291316"/>
    <m/>
    <n v="3.5514092503117034"/>
    <n v="1.4573736331449656"/>
    <s v="x"/>
    <n v="1"/>
    <n v="0"/>
    <x v="1"/>
    <x v="0"/>
    <s v=""/>
    <s v=""/>
    <s v=""/>
    <s v=""/>
    <s v=""/>
    <s v=""/>
    <s v=""/>
    <s v=""/>
    <s v=""/>
    <s v=""/>
  </r>
  <r>
    <s v="China"/>
    <s v="East Asia and Pacific"/>
    <s v="P091020"/>
    <s v="C2"/>
    <s v="S1"/>
    <s v="P091020C2S1"/>
    <s v="Ratio"/>
    <s v="2006 / 2015"/>
    <s v="Strengthening"/>
    <s v=""/>
    <n v="3.5906546256946719"/>
    <n v="5.2831890097011529"/>
    <m/>
    <n v="6.9606663712101939"/>
    <n v="1.938550792771816"/>
    <s v="x"/>
    <n v="1"/>
    <n v="0"/>
    <x v="0"/>
    <x v="0"/>
    <s v=""/>
    <s v=""/>
    <s v=""/>
    <s v=""/>
    <s v=""/>
    <s v=""/>
    <s v=""/>
    <s v=""/>
    <s v=""/>
    <n v="1"/>
  </r>
  <r>
    <s v="China"/>
    <s v="East Asia and Pacific"/>
    <s v="P091020"/>
    <s v="C2"/>
    <s v="S2"/>
    <s v="P091020C2S2"/>
    <s v="Ratio"/>
    <s v="2006 / 2015"/>
    <s v="Strengthening"/>
    <s v=""/>
    <n v="2.1986594937825203"/>
    <n v="2.0245805458618427"/>
    <m/>
    <n v="2.6674097208163392"/>
    <n v="1.2131981911520973"/>
    <s v="x"/>
    <n v="1"/>
    <n v="0"/>
    <x v="1"/>
    <x v="0"/>
    <s v=""/>
    <s v=""/>
    <s v=""/>
    <s v=""/>
    <s v=""/>
    <s v=""/>
    <s v=""/>
    <s v=""/>
    <s v=""/>
    <s v=""/>
  </r>
  <r>
    <s v="China"/>
    <s v="East Asia and Pacific"/>
    <s v="P091020"/>
    <s v="C2"/>
    <s v="S3"/>
    <s v="P091020C2S3"/>
    <s v="Ratio"/>
    <s v="2006 / 2015"/>
    <s v="Strengthening"/>
    <s v=""/>
    <n v="1.6798525210734438"/>
    <n v="1.7897825567502987"/>
    <m/>
    <n v="2.3580604880261715"/>
    <n v="1.4037306599506398"/>
    <s v="x"/>
    <n v="1"/>
    <n v="0"/>
    <x v="1"/>
    <x v="0"/>
    <s v=""/>
    <s v=""/>
    <s v=""/>
    <s v=""/>
    <s v=""/>
    <s v=""/>
    <s v=""/>
    <s v=""/>
    <s v=""/>
    <s v=""/>
  </r>
  <r>
    <s v="China"/>
    <s v="East Asia and Pacific"/>
    <s v="P091020"/>
    <s v="C2"/>
    <s v="S4"/>
    <s v="P091020C2S4"/>
    <s v="Ratio"/>
    <s v="2006 / 2015"/>
    <s v="Strengthening"/>
    <s v=""/>
    <n v="2.8277243589743586"/>
    <n v="3.0553857301360865"/>
    <m/>
    <n v="4.0255082041891157"/>
    <n v="1.4235857860096393"/>
    <s v="x"/>
    <n v="1"/>
    <n v="0"/>
    <x v="1"/>
    <x v="0"/>
    <s v=""/>
    <s v=""/>
    <s v=""/>
    <s v=""/>
    <s v=""/>
    <s v=""/>
    <s v=""/>
    <s v=""/>
    <s v=""/>
    <s v=""/>
  </r>
  <r>
    <s v="China"/>
    <s v="East Asia and Pacific"/>
    <s v="P091020"/>
    <s v="C2"/>
    <s v="S5"/>
    <s v="P091020C2S5"/>
    <s v="Ratio"/>
    <s v="2006 / 2015"/>
    <s v="Strengthening"/>
    <s v=""/>
    <n v="2.1733047248670152"/>
    <n v="2.3721244925575098"/>
    <m/>
    <n v="3.1253031366756061"/>
    <n v="1.4380418451751371"/>
    <s v="x"/>
    <n v="1"/>
    <n v="0"/>
    <x v="1"/>
    <x v="0"/>
    <s v=""/>
    <s v=""/>
    <s v=""/>
    <s v=""/>
    <s v=""/>
    <s v=""/>
    <s v=""/>
    <s v=""/>
    <s v=""/>
    <s v=""/>
  </r>
  <r>
    <s v="China"/>
    <s v="East Asia and Pacific"/>
    <s v="P091020"/>
    <s v="C2"/>
    <s v="S6"/>
    <s v="P091020C2S6"/>
    <s v="Ratio"/>
    <s v="2006 / 2015"/>
    <s v="Strengthening"/>
    <s v=""/>
    <n v="4.8700071528065347"/>
    <n v="5.8877673761832536"/>
    <m/>
    <n v="7.7572057902250728"/>
    <n v="1.5928530589025265"/>
    <s v="x"/>
    <n v="1"/>
    <n v="0"/>
    <x v="0"/>
    <x v="0"/>
    <s v=""/>
    <s v=""/>
    <s v=""/>
    <s v=""/>
    <s v=""/>
    <s v=""/>
    <s v=""/>
    <s v=""/>
    <s v=""/>
    <n v="1"/>
  </r>
  <r>
    <s v="China"/>
    <s v="East Asia and Pacific"/>
    <s v="P091020"/>
    <s v="C2"/>
    <s v="S7"/>
    <s v="P091020C2S7"/>
    <s v="Ratio"/>
    <s v="2006 / 2015"/>
    <s v="Strengthening"/>
    <s v=""/>
    <n v="1.3628405500042702"/>
    <n v="1.3804635088432609"/>
    <m/>
    <n v="1.8187776180340836"/>
    <n v="1.3345490916221894"/>
    <s v=""/>
    <n v="0"/>
    <n v="0"/>
    <x v="1"/>
    <x v="0"/>
    <s v=""/>
    <s v=""/>
    <s v=""/>
    <s v=""/>
    <s v=""/>
    <s v=""/>
    <s v=""/>
    <s v=""/>
    <s v=""/>
    <s v=""/>
  </r>
  <r>
    <s v="Macedonia, FYR"/>
    <s v="Europe and Central Asia"/>
    <s v="P091723"/>
    <s v="C1"/>
    <s v=""/>
    <s v="P091723C1"/>
    <s v="Ratio"/>
    <s v="2007 / 2012"/>
    <s v="Widening"/>
    <n v="1.2692307692307692"/>
    <n v="1"/>
    <n v="1.3844393592677344"/>
    <m/>
    <n v="1.3844393592677344"/>
    <n v="1.3844393592677346"/>
    <s v=""/>
    <n v="0"/>
    <n v="0"/>
    <x v="1"/>
    <x v="0"/>
    <s v=""/>
    <s v=""/>
    <s v=""/>
    <s v=""/>
    <s v=""/>
    <s v=""/>
    <s v=""/>
    <s v=""/>
    <s v=""/>
    <s v=""/>
  </r>
  <r>
    <s v="Bulgaria"/>
    <s v="Europe and Central Asia"/>
    <s v="P094018"/>
    <s v="C1"/>
    <s v=""/>
    <s v="P094018C1"/>
    <s v="Ratio"/>
    <s v="2007 / 2014"/>
    <s v="New 4L Highway"/>
    <n v="1.368421052631579"/>
    <n v="1"/>
    <n v="1.14031007751938"/>
    <m/>
    <n v="1.14031007751938"/>
    <n v="1.14031007751938"/>
    <s v=""/>
    <n v="0"/>
    <n v="0"/>
    <x v="1"/>
    <x v="0"/>
    <s v=""/>
    <s v=""/>
    <s v=""/>
    <s v=""/>
    <s v=""/>
    <s v=""/>
    <s v=""/>
    <s v=""/>
    <s v=""/>
    <s v=""/>
  </r>
  <r>
    <s v="Sudan"/>
    <s v="Sub-Saharan Africa"/>
    <s v="P095081"/>
    <s v="C1"/>
    <s v="S1"/>
    <s v="P095081C1S1"/>
    <s v="Ratio"/>
    <s v="2006 / 2013"/>
    <s v="Upgrading"/>
    <s v=""/>
    <n v="0.68"/>
    <n v="1.4598214285714286"/>
    <m/>
    <n v="1.4598214285714286"/>
    <n v="2.1467962184873945"/>
    <s v="x"/>
    <n v="0"/>
    <n v="0"/>
    <x v="0"/>
    <x v="0"/>
    <s v=""/>
    <n v="1"/>
    <s v=""/>
    <s v=""/>
    <s v=""/>
    <s v=""/>
    <s v=""/>
    <s v=""/>
    <s v=""/>
    <n v="1"/>
  </r>
  <r>
    <s v="Sudan"/>
    <s v="Sub-Saharan Africa"/>
    <s v="P095081"/>
    <s v="C1"/>
    <s v="S2"/>
    <s v="P095081C1S2"/>
    <s v="Ratio"/>
    <s v="2006 / 2013"/>
    <s v="Asphalt Mix Resurfacing"/>
    <s v=""/>
    <n v="2.85"/>
    <n v="1.5063291139240509"/>
    <m/>
    <n v="1.5063291139240509"/>
    <n v="0.5285365312014213"/>
    <s v="x"/>
    <n v="1"/>
    <n v="0"/>
    <x v="1"/>
    <x v="0"/>
    <s v=""/>
    <s v=""/>
    <s v=""/>
    <s v=""/>
    <s v=""/>
    <s v=""/>
    <s v=""/>
    <s v=""/>
    <s v=""/>
    <n v="1"/>
  </r>
  <r>
    <s v="Sudan"/>
    <s v="Sub-Saharan Africa"/>
    <s v="P095081"/>
    <s v="C1"/>
    <s v="S3"/>
    <s v="P095081C1S3"/>
    <s v="Ratio"/>
    <s v="2006 / 2013"/>
    <s v="Gravel Resurfacing"/>
    <s v=""/>
    <n v="0.70609756097560972"/>
    <n v="1.7175141242937852"/>
    <m/>
    <n v="1.7175141242937852"/>
    <n v="2.4324034230067424"/>
    <s v="x"/>
    <n v="0"/>
    <n v="0"/>
    <x v="0"/>
    <x v="0"/>
    <s v=""/>
    <n v="1"/>
    <s v=""/>
    <s v=""/>
    <s v=""/>
    <s v=""/>
    <s v=""/>
    <s v=""/>
    <s v=""/>
    <n v="1"/>
  </r>
  <r>
    <s v="Brazil"/>
    <s v="Latin America and Caribbean"/>
    <s v="P095460"/>
    <s v="C1"/>
    <s v=""/>
    <s v="P095460C1"/>
    <s v="Ratio"/>
    <s v="2006 / 2014"/>
    <s v="Asphalt Mix Resurfacing"/>
    <s v=""/>
    <n v="0.59799999999999998"/>
    <n v="1.3802987197724039"/>
    <m/>
    <n v="1.3802987197724039"/>
    <n v="2.3081918390842877"/>
    <s v="x"/>
    <n v="0"/>
    <n v="0"/>
    <x v="0"/>
    <x v="0"/>
    <n v="1"/>
    <s v=""/>
    <s v=""/>
    <s v=""/>
    <s v=""/>
    <n v="1"/>
    <s v=""/>
    <s v=""/>
    <n v="1"/>
    <s v=""/>
  </r>
  <r>
    <s v="Poland"/>
    <s v="Europe and Central Asia"/>
    <s v="P096214"/>
    <s v="C1"/>
    <s v=""/>
    <s v="P096214C1"/>
    <s v="Ratio"/>
    <s v="2006 / 2012"/>
    <s v="Asphalt Mix Resurfacing"/>
    <s v=""/>
    <n v="1.2255555555555555"/>
    <n v="1.0893413173652693"/>
    <m/>
    <n v="1.0893413173652693"/>
    <n v="0.88885510936422707"/>
    <s v=""/>
    <n v="0"/>
    <n v="0"/>
    <x v="1"/>
    <x v="0"/>
    <s v=""/>
    <s v=""/>
    <s v=""/>
    <s v=""/>
    <s v=""/>
    <s v=""/>
    <s v=""/>
    <s v=""/>
    <s v=""/>
    <s v=""/>
  </r>
  <r>
    <s v="China"/>
    <s v="East Asia and Pacific"/>
    <s v="P099112"/>
    <s v="C1"/>
    <s v=""/>
    <s v="P099112C1"/>
    <s v="Ratio"/>
    <s v="2008 / 2012"/>
    <s v="Strengthening"/>
    <n v="0.91666666666666663"/>
    <n v="0.94946364046973808"/>
    <n v="1.174296996382886"/>
    <m/>
    <n v="1.174296996382886"/>
    <n v="1.2368003853227214"/>
    <s v=""/>
    <n v="0"/>
    <n v="0"/>
    <x v="1"/>
    <x v="0"/>
    <s v=""/>
    <s v=""/>
    <s v=""/>
    <s v=""/>
    <s v=""/>
    <s v=""/>
    <s v=""/>
    <s v=""/>
    <s v=""/>
    <s v=""/>
  </r>
  <r>
    <s v="China"/>
    <s v="East Asia and Pacific"/>
    <s v="P099112"/>
    <s v="C2"/>
    <s v=""/>
    <s v="P099112C2"/>
    <s v="Ratio"/>
    <s v="2008 / 2012"/>
    <s v="Upgrading"/>
    <s v=""/>
    <n v="1.0018750000000001"/>
    <n v="1.291366279244557"/>
    <m/>
    <n v="1.291366279244557"/>
    <n v="1.2889494989340555"/>
    <s v=""/>
    <n v="0"/>
    <n v="0"/>
    <x v="1"/>
    <x v="0"/>
    <s v=""/>
    <s v=""/>
    <s v=""/>
    <s v=""/>
    <s v=""/>
    <s v=""/>
    <s v=""/>
    <s v=""/>
    <s v=""/>
    <s v=""/>
  </r>
  <r>
    <s v="Argentina"/>
    <s v="Latin America and Caribbean"/>
    <s v="P099585"/>
    <s v="C1"/>
    <s v=""/>
    <s v="P099585C1"/>
    <s v="Ratio"/>
    <s v="2006 / 2014"/>
    <s v="Strengthening"/>
    <s v=""/>
    <n v="0.7173189486973488"/>
    <n v="1.197109689647003"/>
    <m/>
    <n v="1.197109689647003"/>
    <n v="1.6688666761430939"/>
    <s v="x"/>
    <n v="0"/>
    <n v="0"/>
    <x v="0"/>
    <x v="0"/>
    <n v="1"/>
    <s v=""/>
    <s v=""/>
    <s v=""/>
    <s v=""/>
    <s v=""/>
    <s v=""/>
    <s v=""/>
    <n v="1"/>
    <s v=""/>
  </r>
  <r>
    <s v="Argentina"/>
    <s v="Latin America and Caribbean"/>
    <s v="P099585"/>
    <s v="C2"/>
    <s v=""/>
    <s v="P099585C2"/>
    <s v="Ratio"/>
    <s v="2006 / 2014"/>
    <s v="Strengthening"/>
    <s v=""/>
    <n v="0.32294811320754718"/>
    <n v="1.2289855072463767"/>
    <m/>
    <n v="1.2289855072463767"/>
    <n v="3.8055200107534053"/>
    <s v="x"/>
    <n v="0"/>
    <n v="1"/>
    <x v="0"/>
    <x v="0"/>
    <n v="1"/>
    <n v="1"/>
    <s v=""/>
    <s v=""/>
    <s v=""/>
    <s v=""/>
    <s v=""/>
    <s v=""/>
    <n v="1"/>
    <s v=""/>
  </r>
  <r>
    <s v="China"/>
    <s v="East Asia and Pacific"/>
    <s v="P099992"/>
    <s v="C1"/>
    <s v=""/>
    <s v="P099992C1"/>
    <s v="Ratio"/>
    <s v="2006 / 2014"/>
    <s v="Widening and Reconstruction"/>
    <s v=""/>
    <n v="0.5977653631284916"/>
    <n v="0.488502100142024"/>
    <m/>
    <n v="0.488502100142024"/>
    <n v="0.81721379369553548"/>
    <s v=""/>
    <n v="0"/>
    <n v="0"/>
    <x v="1"/>
    <x v="0"/>
    <s v=""/>
    <s v=""/>
    <s v=""/>
    <s v=""/>
    <s v=""/>
    <s v=""/>
    <s v=""/>
    <s v=""/>
    <s v=""/>
    <s v=""/>
  </r>
  <r>
    <s v="Ukraine "/>
    <s v="Europe and Central Asia"/>
    <s v="P100580"/>
    <s v="C1"/>
    <s v=""/>
    <s v="P100580C1"/>
    <s v="Ratio"/>
    <s v="2009 / 2015"/>
    <s v="Reconstruction"/>
    <n v="1.24"/>
    <n v="1.2549999999999999"/>
    <n v="1.4922005184225144"/>
    <m/>
    <n v="0.76294448817087379"/>
    <n v="0.6079238949568716"/>
    <s v=""/>
    <n v="0"/>
    <n v="0"/>
    <x v="1"/>
    <x v="0"/>
    <s v=""/>
    <s v=""/>
    <s v=""/>
    <s v=""/>
    <s v=""/>
    <s v=""/>
    <s v=""/>
    <s v=""/>
    <s v=""/>
    <s v=""/>
  </r>
  <r>
    <s v="Moldova"/>
    <s v="Europe and Central Asia"/>
    <s v="P100929"/>
    <s v="C1"/>
    <s v=""/>
    <s v="P100929C1"/>
    <s v="Ratio"/>
    <s v="2005 / 2013"/>
    <s v="Widening and Reconstruction"/>
    <s v=""/>
    <n v="0.48388888888888887"/>
    <n v="1.5272727272727273"/>
    <m/>
    <n v="1.5272727272727273"/>
    <n v="3.1562467383362911"/>
    <s v="x"/>
    <n v="0"/>
    <n v="1"/>
    <x v="0"/>
    <x v="0"/>
    <s v=""/>
    <s v=""/>
    <s v=""/>
    <n v="1"/>
    <s v=""/>
    <s v=""/>
    <s v=""/>
    <s v=""/>
    <n v="1"/>
    <n v="1"/>
  </r>
  <r>
    <s v="Brazil"/>
    <s v="Latin America and Caribbean"/>
    <s v="P106663"/>
    <s v="C1"/>
    <s v=""/>
    <s v="P106663C1"/>
    <s v="Ratio"/>
    <s v="2009 / 2015"/>
    <s v="Reconstruction"/>
    <s v=""/>
    <n v="2.0674193548387096"/>
    <n v="2.1177469394600035"/>
    <m/>
    <n v="2.1177469394600035"/>
    <n v="1.0243431911883305"/>
    <s v="x"/>
    <n v="1"/>
    <n v="0"/>
    <x v="1"/>
    <x v="0"/>
    <s v=""/>
    <s v=""/>
    <s v=""/>
    <s v=""/>
    <s v=""/>
    <s v=""/>
    <s v=""/>
    <s v=""/>
    <s v=""/>
    <n v="1"/>
  </r>
  <r>
    <s v="Kyrgyz Republic"/>
    <s v="Europe and Central Asia"/>
    <s v="P107608"/>
    <s v="C1"/>
    <s v="S1"/>
    <s v="P107608C1S1"/>
    <s v="Ratio"/>
    <s v="2009 / 2015"/>
    <s v="Upgrading"/>
    <n v="1.0833333333333333"/>
    <n v="1.0666666666666667"/>
    <n v="0.93447072508724316"/>
    <m/>
    <n v="0.93447072508724316"/>
    <n v="0.87606630476929048"/>
    <s v=""/>
    <n v="0"/>
    <n v="0"/>
    <x v="1"/>
    <x v="0"/>
    <s v=""/>
    <s v=""/>
    <s v=""/>
    <s v=""/>
    <s v=""/>
    <s v=""/>
    <s v=""/>
    <s v=""/>
    <s v=""/>
    <s v=""/>
  </r>
  <r>
    <s v="Kyrgyz Republic"/>
    <s v="Europe and Central Asia"/>
    <s v="P107608"/>
    <s v="C1"/>
    <s v="S2"/>
    <s v="P107608C1S2"/>
    <s v="Ratio"/>
    <s v="2015 / 2011"/>
    <s v="Upgrading"/>
    <s v=""/>
    <n v="1.0055555555555555"/>
    <n v="1.0984848484848486"/>
    <m/>
    <n v="1.0984848484848486"/>
    <n v="1.0924158714213963"/>
    <s v=""/>
    <n v="0"/>
    <n v="0"/>
    <x v="1"/>
    <x v="0"/>
    <s v=""/>
    <s v=""/>
    <s v=""/>
    <s v=""/>
    <s v=""/>
    <s v=""/>
    <s v=""/>
    <s v=""/>
    <s v=""/>
    <s v=""/>
  </r>
  <r>
    <s v="Albania"/>
    <s v="Europe and Central Asia"/>
    <s v="P107833"/>
    <s v="C1"/>
    <s v="S1"/>
    <s v="P107833C1S1"/>
    <s v="Ratio"/>
    <s v="2008 / 2013"/>
    <s v="Reconstruction"/>
    <n v="2.4"/>
    <n v="1"/>
    <n v="0.7396694214876034"/>
    <m/>
    <n v="0.7396694214876034"/>
    <n v="0.7396694214876034"/>
    <s v=""/>
    <n v="0"/>
    <n v="0"/>
    <x v="1"/>
    <x v="0"/>
    <s v=""/>
    <s v=""/>
    <s v=""/>
    <s v=""/>
    <s v=""/>
    <s v=""/>
    <s v=""/>
    <s v=""/>
    <s v=""/>
    <s v=""/>
  </r>
  <r>
    <s v="Albania"/>
    <s v="Europe and Central Asia"/>
    <s v="P107833"/>
    <s v="C1"/>
    <s v="S2"/>
    <s v="P107833C1S2"/>
    <s v="Ratio"/>
    <s v="2008 / 2013"/>
    <s v="Reconstruction"/>
    <n v="1.5"/>
    <n v="1"/>
    <n v="0.97572815533980572"/>
    <m/>
    <n v="0.97572815533980572"/>
    <n v="0.97572815533980572"/>
    <s v=""/>
    <n v="0"/>
    <n v="0"/>
    <x v="1"/>
    <x v="0"/>
    <s v=""/>
    <s v=""/>
    <s v=""/>
    <s v=""/>
    <s v=""/>
    <s v=""/>
    <s v=""/>
    <s v=""/>
    <s v=""/>
    <s v=""/>
  </r>
  <r>
    <s v="Albania"/>
    <s v="Europe and Central Asia"/>
    <s v="P107833"/>
    <s v="C1"/>
    <s v="S3"/>
    <s v="P107833C1S3"/>
    <s v="Ratio"/>
    <s v="2008 / 2013"/>
    <s v="Reconstruction"/>
    <n v="1.2"/>
    <n v="1"/>
    <n v="0.83268482490272389"/>
    <m/>
    <n v="0.83268482490272389"/>
    <n v="0.83268482490272389"/>
    <s v=""/>
    <n v="0"/>
    <n v="0"/>
    <x v="1"/>
    <x v="0"/>
    <s v=""/>
    <s v=""/>
    <s v=""/>
    <s v=""/>
    <s v=""/>
    <s v=""/>
    <s v=""/>
    <s v=""/>
    <s v=""/>
    <s v=""/>
  </r>
  <r>
    <s v="Albania"/>
    <s v="Europe and Central Asia"/>
    <s v="P107833"/>
    <s v="C2"/>
    <s v="S1"/>
    <s v="P107833C2S1"/>
    <s v="Ratio"/>
    <s v="2008 / 2013"/>
    <s v="Reconstruction"/>
    <n v="1.0909090909090908"/>
    <n v="1"/>
    <n v="0.58704453441295545"/>
    <m/>
    <n v="0.58704453441295545"/>
    <n v="0.58704453441295534"/>
    <s v=""/>
    <n v="0"/>
    <n v="0"/>
    <x v="1"/>
    <x v="0"/>
    <s v=""/>
    <s v=""/>
    <s v=""/>
    <s v=""/>
    <s v=""/>
    <s v=""/>
    <s v=""/>
    <s v=""/>
    <s v=""/>
    <s v=""/>
  </r>
  <r>
    <s v="Albania"/>
    <s v="Europe and Central Asia"/>
    <s v="P107833"/>
    <s v="C2"/>
    <s v="S2"/>
    <s v="P107833C2S2"/>
    <s v="Ratio"/>
    <s v="2008 / 2013"/>
    <s v="Reconstruction"/>
    <n v="2"/>
    <n v="1"/>
    <n v="0.88127853881278539"/>
    <m/>
    <n v="0.88127853881278539"/>
    <n v="0.88127853881278528"/>
    <s v=""/>
    <n v="0"/>
    <n v="0"/>
    <x v="1"/>
    <x v="0"/>
    <s v=""/>
    <s v=""/>
    <s v=""/>
    <s v=""/>
    <s v=""/>
    <s v=""/>
    <s v=""/>
    <s v=""/>
    <s v=""/>
    <s v=""/>
  </r>
  <r>
    <s v="Albania"/>
    <s v="Europe and Central Asia"/>
    <s v="P107833"/>
    <s v="C2"/>
    <s v="S3"/>
    <s v="P107833C2S3"/>
    <s v="Ratio"/>
    <s v="2008 / 2013"/>
    <s v="Reconstruction"/>
    <n v="0.92307692307692313"/>
    <n v="1"/>
    <n v="0.89206349206349211"/>
    <m/>
    <n v="0.89206349206349211"/>
    <n v="0.89206349206349211"/>
    <s v=""/>
    <n v="0"/>
    <n v="0"/>
    <x v="1"/>
    <x v="0"/>
    <s v=""/>
    <s v=""/>
    <s v=""/>
    <s v=""/>
    <s v=""/>
    <s v=""/>
    <s v=""/>
    <s v=""/>
    <s v=""/>
    <s v=""/>
  </r>
  <r>
    <s v="Albania"/>
    <s v="Europe and Central Asia"/>
    <s v="P107833"/>
    <s v="C2"/>
    <s v="S4"/>
    <s v="P107833C2S4"/>
    <s v="Ratio"/>
    <s v="2008 / 2013"/>
    <s v="Reconstruction"/>
    <n v="1.7142857142857142"/>
    <n v="1"/>
    <n v="1.3971291866028708"/>
    <m/>
    <n v="1.3971291866028708"/>
    <n v="1.397129186602871"/>
    <s v=""/>
    <n v="0"/>
    <n v="0"/>
    <x v="1"/>
    <x v="0"/>
    <s v=""/>
    <s v=""/>
    <s v=""/>
    <s v=""/>
    <s v=""/>
    <s v=""/>
    <s v=""/>
    <s v=""/>
    <s v=""/>
    <s v=""/>
  </r>
  <r>
    <s v="Albania"/>
    <s v="Europe and Central Asia"/>
    <s v="P107833"/>
    <s v="C2"/>
    <s v="S5"/>
    <s v="P107833C2S5"/>
    <s v="Ratio"/>
    <s v="2008 / 2013"/>
    <s v="Reconstruction"/>
    <n v="1"/>
    <n v="1"/>
    <n v="1.0895522388059702"/>
    <m/>
    <n v="1.0895522388059702"/>
    <n v="1.0895522388059702"/>
    <s v=""/>
    <n v="0"/>
    <n v="0"/>
    <x v="1"/>
    <x v="0"/>
    <s v=""/>
    <s v=""/>
    <s v=""/>
    <s v=""/>
    <s v=""/>
    <s v=""/>
    <s v=""/>
    <s v=""/>
    <s v=""/>
    <s v=""/>
  </r>
  <r>
    <s v="Albania"/>
    <s v="Europe and Central Asia"/>
    <s v="P107833"/>
    <s v="C2"/>
    <s v="S6"/>
    <s v="P107833C2S6"/>
    <s v="Ratio"/>
    <s v="2008 / 2013"/>
    <s v="Reconstruction"/>
    <n v="1.2"/>
    <n v="1"/>
    <n v="0.64313725490196083"/>
    <m/>
    <n v="0.64313725490196083"/>
    <n v="0.64313725490196072"/>
    <s v=""/>
    <n v="0"/>
    <n v="0"/>
    <x v="1"/>
    <x v="0"/>
    <s v=""/>
    <s v=""/>
    <s v=""/>
    <s v=""/>
    <s v=""/>
    <s v=""/>
    <s v=""/>
    <s v=""/>
    <s v=""/>
    <s v=""/>
  </r>
  <r>
    <s v="Albania"/>
    <s v="Europe and Central Asia"/>
    <s v="P107833"/>
    <s v="C2"/>
    <s v="S7"/>
    <s v="P107833C2S7"/>
    <s v="Ratio"/>
    <s v="2008 / 2013"/>
    <s v="Reconstruction"/>
    <n v="1.5"/>
    <n v="1"/>
    <n v="0.95631067961165039"/>
    <m/>
    <n v="0.95631067961165039"/>
    <n v="0.95631067961165039"/>
    <s v=""/>
    <n v="0"/>
    <n v="0"/>
    <x v="1"/>
    <x v="0"/>
    <s v=""/>
    <s v=""/>
    <s v=""/>
    <s v=""/>
    <s v=""/>
    <s v=""/>
    <s v=""/>
    <s v=""/>
    <s v=""/>
    <s v=""/>
  </r>
  <r>
    <s v="Albania"/>
    <s v="Europe and Central Asia"/>
    <s v="P107833"/>
    <s v="C2"/>
    <s v="S8"/>
    <s v="P107833C2S8"/>
    <s v="Ratio"/>
    <s v="2008 / 2013"/>
    <s v="Reconstruction"/>
    <n v="2"/>
    <n v="1"/>
    <n v="0.69354838709677413"/>
    <m/>
    <n v="0.69354838709677413"/>
    <n v="0.69354838709677424"/>
    <s v=""/>
    <n v="0"/>
    <n v="0"/>
    <x v="1"/>
    <x v="0"/>
    <s v=""/>
    <s v=""/>
    <s v=""/>
    <s v=""/>
    <s v=""/>
    <s v=""/>
    <s v=""/>
    <s v=""/>
    <s v=""/>
    <s v=""/>
  </r>
  <r>
    <s v="Armenia"/>
    <s v="Europe and Central Asia"/>
    <s v="P115486"/>
    <s v="C1"/>
    <s v=""/>
    <s v="P115486C1"/>
    <s v="Ratio"/>
    <s v="2009 / 2014"/>
    <s v="Reconstruction"/>
    <n v="6.1428571428571432"/>
    <n v="4.4689378757515028"/>
    <n v="4.3025175645756457"/>
    <m/>
    <n v="4.3025175645756457"/>
    <n v="0.96276065682656797"/>
    <s v="x"/>
    <n v="1"/>
    <n v="0"/>
    <x v="1"/>
    <x v="0"/>
    <s v=""/>
    <s v=""/>
    <s v=""/>
    <s v=""/>
    <s v=""/>
    <s v=""/>
    <n v="1"/>
    <s v=""/>
    <s v=""/>
    <n v="1"/>
  </r>
  <r>
    <s v="Papua New Guinea"/>
    <s v="East Asia and Pacific"/>
    <s v="P004397"/>
    <s v="C1"/>
    <s v="S1"/>
    <s v="P004397C1S1"/>
    <s v="Ratio"/>
    <s v="2002 / 2012"/>
    <s v="Routine Maintenance"/>
    <n v="4"/>
    <n v="0.81272727272727274"/>
    <m/>
    <m/>
    <n v="1.9632857284866962"/>
    <n v="2.4156759522766955"/>
    <s v="x"/>
    <n v="0"/>
    <n v="0"/>
    <x v="0"/>
    <x v="0"/>
    <n v="1"/>
    <s v=""/>
    <n v="1"/>
    <s v=""/>
    <s v=""/>
    <s v=""/>
    <s v=""/>
    <s v=""/>
    <s v=""/>
    <s v=""/>
  </r>
  <r>
    <s v="Papua New Guinea"/>
    <s v="East Asia and Pacific"/>
    <s v="P004397"/>
    <s v="C1"/>
    <s v="S2"/>
    <s v="P004397C1S2"/>
    <s v="Ratio"/>
    <s v="2002 / 2012"/>
    <s v="Reconstruction"/>
    <s v=""/>
    <n v="1.4145454545454546"/>
    <m/>
    <m/>
    <n v="5.4592710870756074"/>
    <n v="3.8593818738966381"/>
    <s v="x"/>
    <n v="0"/>
    <n v="0"/>
    <x v="0"/>
    <x v="0"/>
    <n v="1"/>
    <s v=""/>
    <n v="1"/>
    <s v=""/>
    <s v=""/>
    <s v=""/>
    <s v=""/>
    <s v=""/>
    <s v=""/>
    <s v=""/>
  </r>
  <r>
    <s v="Papua New Guinea"/>
    <s v="East Asia and Pacific"/>
    <s v="P004397"/>
    <s v="C2"/>
    <s v="S1"/>
    <s v="P004397C2S1"/>
    <s v="Ratio"/>
    <s v="2002 / 2012"/>
    <s v="Routine Maintenance"/>
    <n v="4"/>
    <n v="0.73777777777777775"/>
    <m/>
    <m/>
    <n v="0.62109770847634915"/>
    <n v="0.84184930365770205"/>
    <s v=""/>
    <n v="0"/>
    <n v="0"/>
    <x v="1"/>
    <x v="0"/>
    <s v=""/>
    <s v=""/>
    <s v=""/>
    <s v=""/>
    <s v=""/>
    <s v=""/>
    <s v=""/>
    <s v=""/>
    <s v=""/>
    <s v=""/>
  </r>
  <r>
    <s v="Papua New Guinea"/>
    <s v="East Asia and Pacific"/>
    <s v="P004397"/>
    <s v="C2"/>
    <s v="S2"/>
    <s v="P004397C2S2"/>
    <s v="Ratio"/>
    <s v="2002 / 2012"/>
    <s v="Reconstruction"/>
    <s v=""/>
    <n v="0.78"/>
    <m/>
    <m/>
    <n v="4.5973729297544264"/>
    <n v="5.894067858659521"/>
    <s v="x"/>
    <n v="0"/>
    <n v="0"/>
    <x v="0"/>
    <x v="0"/>
    <n v="1"/>
    <s v=""/>
    <n v="1"/>
    <s v=""/>
    <s v=""/>
    <s v=""/>
    <s v=""/>
    <s v=""/>
    <s v=""/>
    <s v=""/>
  </r>
  <r>
    <s v="India"/>
    <s v="South Asia"/>
    <s v="P009972"/>
    <s v="C1"/>
    <s v="S1"/>
    <s v="P009972C1S1"/>
    <s v="Ratio"/>
    <s v="2000 / 2008"/>
    <s v="Widening and Reconstruction"/>
    <n v="1.8333333333333333"/>
    <n v="1"/>
    <m/>
    <m/>
    <n v="0.7224986014544873"/>
    <n v="0.7224986014544873"/>
    <s v=""/>
    <n v="0"/>
    <n v="0"/>
    <x v="1"/>
    <x v="0"/>
    <s v=""/>
    <s v=""/>
    <s v=""/>
    <s v=""/>
    <s v=""/>
    <s v=""/>
    <s v=""/>
    <s v=""/>
    <s v=""/>
    <s v=""/>
  </r>
  <r>
    <s v="India"/>
    <s v="South Asia"/>
    <s v="P009972"/>
    <s v="C1"/>
    <s v="S2"/>
    <s v="P009972C1S2"/>
    <s v="Ratio"/>
    <s v="2000 / 2008"/>
    <s v="Widening and Reconstruction"/>
    <n v="2.3250000000000002"/>
    <n v="1"/>
    <m/>
    <m/>
    <n v="0.62411935245162131"/>
    <n v="0.62411935245162142"/>
    <s v=""/>
    <n v="0"/>
    <n v="0"/>
    <x v="1"/>
    <x v="0"/>
    <s v=""/>
    <s v=""/>
    <s v=""/>
    <s v=""/>
    <s v=""/>
    <s v=""/>
    <s v=""/>
    <s v=""/>
    <s v=""/>
    <s v=""/>
  </r>
  <r>
    <s v="India"/>
    <s v="South Asia"/>
    <s v="P009972"/>
    <s v="C1"/>
    <s v="S3"/>
    <s v="P009972C1S3"/>
    <s v="Ratio"/>
    <s v="2000 / 2008"/>
    <s v="Widening and Reconstruction"/>
    <n v="1.2777777777777777"/>
    <n v="1"/>
    <m/>
    <m/>
    <n v="0.76798658222486382"/>
    <n v="0.76798658222486382"/>
    <s v=""/>
    <n v="0"/>
    <n v="0"/>
    <x v="1"/>
    <x v="0"/>
    <s v=""/>
    <s v=""/>
    <s v=""/>
    <s v=""/>
    <s v=""/>
    <s v=""/>
    <s v=""/>
    <s v=""/>
    <s v=""/>
    <s v=""/>
  </r>
  <r>
    <s v="India"/>
    <s v="South Asia"/>
    <s v="P009972"/>
    <s v="C1"/>
    <s v="S4"/>
    <s v="P009972C1S4"/>
    <s v="Ratio"/>
    <s v="2000 / 2008"/>
    <s v="Widening and Reconstruction"/>
    <n v="2.1282051282051282"/>
    <n v="1"/>
    <m/>
    <m/>
    <n v="0.73477964360364201"/>
    <n v="0.7347796436036419"/>
    <s v=""/>
    <n v="0"/>
    <n v="0"/>
    <x v="1"/>
    <x v="0"/>
    <s v=""/>
    <s v=""/>
    <s v=""/>
    <s v=""/>
    <s v=""/>
    <s v=""/>
    <s v=""/>
    <s v=""/>
    <s v=""/>
    <s v=""/>
  </r>
  <r>
    <s v="India"/>
    <s v="South Asia"/>
    <s v="P009972"/>
    <s v="C1"/>
    <s v="S5"/>
    <s v="P009972C1S5"/>
    <s v="Ratio"/>
    <s v="2000 / 2008"/>
    <s v="Widening and Reconstruction"/>
    <n v="1.75"/>
    <n v="1.125"/>
    <m/>
    <m/>
    <n v="0.72632403476854646"/>
    <n v="0.64562136423870797"/>
    <s v=""/>
    <n v="0"/>
    <n v="0"/>
    <x v="1"/>
    <x v="0"/>
    <s v=""/>
    <s v=""/>
    <s v=""/>
    <s v=""/>
    <s v=""/>
    <s v=""/>
    <s v=""/>
    <s v=""/>
    <s v=""/>
    <s v=""/>
  </r>
  <r>
    <s v="India"/>
    <s v="South Asia"/>
    <s v="P009972"/>
    <s v="C1"/>
    <s v="S6"/>
    <s v="P009972C1S6"/>
    <s v="Ratio"/>
    <s v="2000 / 2008"/>
    <s v="Widening and Reconstruction"/>
    <n v="1.5833333333333333"/>
    <n v="0.88888888888888884"/>
    <m/>
    <m/>
    <n v="0.71588926721103008"/>
    <n v="0.80537542561240882"/>
    <s v=""/>
    <n v="0"/>
    <n v="0"/>
    <x v="1"/>
    <x v="0"/>
    <s v=""/>
    <s v=""/>
    <s v=""/>
    <s v=""/>
    <s v=""/>
    <s v=""/>
    <s v=""/>
    <s v=""/>
    <s v=""/>
    <s v=""/>
  </r>
  <r>
    <s v="India"/>
    <s v="South Asia"/>
    <s v="P009972"/>
    <s v="C1"/>
    <s v="S7"/>
    <s v="P009972C1S7"/>
    <s v="Ratio"/>
    <s v="2000 / 2008"/>
    <s v="Widening and Reconstruction"/>
    <n v="2"/>
    <n v="1"/>
    <m/>
    <m/>
    <n v="0.77599673348370335"/>
    <n v="0.77599673348370335"/>
    <s v=""/>
    <n v="0"/>
    <n v="0"/>
    <x v="1"/>
    <x v="0"/>
    <s v=""/>
    <s v=""/>
    <s v=""/>
    <s v=""/>
    <s v=""/>
    <s v=""/>
    <s v=""/>
    <s v=""/>
    <s v=""/>
    <s v=""/>
  </r>
  <r>
    <s v="Pakistan"/>
    <s v="South Asia"/>
    <s v="P010556"/>
    <s v="C1"/>
    <s v="S10"/>
    <s v="P010556C1S10"/>
    <s v="Ratio"/>
    <s v="2003 / 2013"/>
    <s v="Bituminous Pavement Preventive Treatment"/>
    <s v=""/>
    <n v="1.7083333333333333"/>
    <m/>
    <m/>
    <n v="1.8866165937144437"/>
    <n v="1.1043609329060156"/>
    <s v="x"/>
    <n v="1"/>
    <n v="0"/>
    <x v="1"/>
    <x v="0"/>
    <s v=""/>
    <s v=""/>
    <n v="1"/>
    <s v=""/>
    <s v=""/>
    <s v=""/>
    <s v=""/>
    <s v=""/>
    <s v=""/>
    <n v="1"/>
  </r>
  <r>
    <s v="Pakistan"/>
    <s v="South Asia"/>
    <s v="P010556"/>
    <s v="C1"/>
    <s v="S14"/>
    <s v="P010556C1S14"/>
    <s v="Ratio"/>
    <s v="2003 / 2013"/>
    <s v="Bituminous Pavement Preventive Treatment"/>
    <s v=""/>
    <n v="1.7903225806451613"/>
    <m/>
    <m/>
    <n v="2.1674404031229737"/>
    <n v="1.2106423873299492"/>
    <s v="x"/>
    <n v="1"/>
    <n v="0"/>
    <x v="1"/>
    <x v="0"/>
    <s v=""/>
    <s v=""/>
    <n v="1"/>
    <s v=""/>
    <s v=""/>
    <s v=""/>
    <s v=""/>
    <s v=""/>
    <s v=""/>
    <n v="1"/>
  </r>
  <r>
    <s v="Pakistan"/>
    <s v="South Asia"/>
    <s v="P010556"/>
    <s v="C1"/>
    <s v="S15"/>
    <s v="P010556C1S15"/>
    <s v="Ratio"/>
    <s v="2003 / 2013"/>
    <s v="Reconstruction"/>
    <s v=""/>
    <n v="1"/>
    <m/>
    <m/>
    <n v="1.3617113733342634"/>
    <n v="1.3617113733342632"/>
    <s v=""/>
    <n v="0"/>
    <n v="0"/>
    <x v="1"/>
    <x v="0"/>
    <s v=""/>
    <s v=""/>
    <s v=""/>
    <s v=""/>
    <s v=""/>
    <s v=""/>
    <s v=""/>
    <s v=""/>
    <s v=""/>
    <s v=""/>
  </r>
  <r>
    <s v="Pakistan"/>
    <s v="South Asia"/>
    <s v="P010556"/>
    <s v="C1"/>
    <s v="S4"/>
    <s v="P010556C1S4"/>
    <s v="Ratio"/>
    <s v="2003 / 2013"/>
    <s v="Reconstruction"/>
    <s v=""/>
    <n v="0.9662921348314607"/>
    <m/>
    <m/>
    <n v="0.72005173963126268"/>
    <n v="0.74516982357188799"/>
    <s v=""/>
    <n v="0"/>
    <n v="0"/>
    <x v="1"/>
    <x v="0"/>
    <s v=""/>
    <s v=""/>
    <s v=""/>
    <s v=""/>
    <s v=""/>
    <s v=""/>
    <s v=""/>
    <s v=""/>
    <s v=""/>
    <s v=""/>
  </r>
  <r>
    <s v="Pakistan"/>
    <s v="South Asia"/>
    <s v="P010556"/>
    <s v="C1"/>
    <s v="S5"/>
    <s v="P010556C1S5"/>
    <s v="Ratio"/>
    <s v="2003 / 2013"/>
    <s v="Reconstruction"/>
    <s v=""/>
    <n v="0.93109869646182486"/>
    <m/>
    <m/>
    <n v="0.87896449758945128"/>
    <n v="0.94400787041107082"/>
    <s v=""/>
    <n v="0"/>
    <n v="0"/>
    <x v="1"/>
    <x v="0"/>
    <s v=""/>
    <s v=""/>
    <s v=""/>
    <s v=""/>
    <s v=""/>
    <s v=""/>
    <s v=""/>
    <s v=""/>
    <s v=""/>
    <s v=""/>
  </r>
  <r>
    <s v="Pakistan"/>
    <s v="South Asia"/>
    <s v="P010556"/>
    <s v="C1"/>
    <s v="S6"/>
    <s v="P010556C1S6"/>
    <s v="Ratio"/>
    <s v="2003 / 2013"/>
    <s v="Reconstruction"/>
    <s v=""/>
    <n v="1.0217391304347827"/>
    <m/>
    <m/>
    <n v="0.8554012489514401"/>
    <n v="0.83720122237800532"/>
    <s v=""/>
    <n v="0"/>
    <n v="0"/>
    <x v="1"/>
    <x v="0"/>
    <s v=""/>
    <s v=""/>
    <s v=""/>
    <s v=""/>
    <s v=""/>
    <s v=""/>
    <s v=""/>
    <s v=""/>
    <s v=""/>
    <s v=""/>
  </r>
  <r>
    <s v="Pakistan"/>
    <s v="South Asia"/>
    <s v="P010556"/>
    <s v="C1"/>
    <s v="S7"/>
    <s v="P010556C1S7"/>
    <s v="Ratio"/>
    <s v="2003 / 2013"/>
    <s v="Widening and Reconstruction"/>
    <s v=""/>
    <n v="1"/>
    <m/>
    <m/>
    <n v="0.91167836756350273"/>
    <n v="0.91167836756350273"/>
    <s v=""/>
    <n v="0"/>
    <n v="0"/>
    <x v="1"/>
    <x v="0"/>
    <s v=""/>
    <s v=""/>
    <s v=""/>
    <s v=""/>
    <s v=""/>
    <s v=""/>
    <s v=""/>
    <s v=""/>
    <s v=""/>
    <s v=""/>
  </r>
  <r>
    <s v="Philippines"/>
    <s v="East Asia and Pacific"/>
    <s v="P039019"/>
    <s v="C1"/>
    <s v="S1"/>
    <s v="P039019C1S1"/>
    <s v="Ratio"/>
    <s v="2000 / 2008"/>
    <s v="Upgrading"/>
    <s v=""/>
    <n v="0.99764705882352933"/>
    <m/>
    <m/>
    <n v="0.83511337991624734"/>
    <n v="0.83708298694435179"/>
    <s v=""/>
    <n v="0"/>
    <n v="0"/>
    <x v="1"/>
    <x v="0"/>
    <s v=""/>
    <s v=""/>
    <s v=""/>
    <s v=""/>
    <s v=""/>
    <s v=""/>
    <s v=""/>
    <s v=""/>
    <s v=""/>
    <s v=""/>
  </r>
  <r>
    <s v="Philippines"/>
    <s v="East Asia and Pacific"/>
    <s v="P039019"/>
    <s v="C1"/>
    <s v="S2"/>
    <s v="P039019C1S2"/>
    <s v="Ratio"/>
    <s v="2000 / 2008"/>
    <s v="Upgrading"/>
    <s v=""/>
    <n v="1.1232558139534883"/>
    <m/>
    <m/>
    <n v="1.5166681833348501"/>
    <n v="1.350242896136616"/>
    <s v=""/>
    <n v="0"/>
    <n v="0"/>
    <x v="1"/>
    <x v="0"/>
    <s v=""/>
    <s v=""/>
    <s v=""/>
    <s v=""/>
    <s v=""/>
    <s v=""/>
    <s v=""/>
    <s v=""/>
    <s v=""/>
    <s v=""/>
  </r>
  <r>
    <s v="Philippines"/>
    <s v="East Asia and Pacific"/>
    <s v="P039019"/>
    <s v="C1"/>
    <s v="S3"/>
    <s v="P039019C1S3"/>
    <s v="Ratio"/>
    <s v="2000 / 2008"/>
    <s v="Upgrading"/>
    <s v=""/>
    <n v="1.0043478260869565"/>
    <m/>
    <m/>
    <n v="0.82698328312363389"/>
    <n v="0.82340326891097748"/>
    <s v=""/>
    <n v="0"/>
    <n v="0"/>
    <x v="1"/>
    <x v="0"/>
    <s v=""/>
    <s v=""/>
    <s v=""/>
    <s v=""/>
    <s v=""/>
    <s v=""/>
    <s v=""/>
    <s v=""/>
    <s v=""/>
    <s v=""/>
  </r>
  <r>
    <s v="Philippines"/>
    <s v="East Asia and Pacific"/>
    <s v="P039019"/>
    <s v="C1"/>
    <s v="S4"/>
    <s v="P039019C1S4"/>
    <s v="Ratio"/>
    <s v="2000 / 2008"/>
    <s v="Upgrading"/>
    <s v=""/>
    <n v="0.3183098591549296"/>
    <m/>
    <m/>
    <n v="1.0317239675037839"/>
    <n v="3.2412567120694091"/>
    <s v="x"/>
    <n v="0"/>
    <n v="1"/>
    <x v="0"/>
    <x v="0"/>
    <s v=""/>
    <s v=""/>
    <n v="1"/>
    <n v="1"/>
    <s v=""/>
    <n v="1"/>
    <s v=""/>
    <s v=""/>
    <n v="1"/>
    <s v=""/>
  </r>
  <r>
    <s v="Philippines"/>
    <s v="East Asia and Pacific"/>
    <s v="P039019"/>
    <s v="C1"/>
    <s v="S5"/>
    <s v="P039019C1S5"/>
    <s v="Ratio"/>
    <s v="2000 / 2008"/>
    <s v="Upgrading"/>
    <s v=""/>
    <n v="1.1434782608695653"/>
    <m/>
    <m/>
    <n v="4.2809042809042817"/>
    <n v="3.7437565954676226"/>
    <s v="x"/>
    <n v="0"/>
    <n v="0"/>
    <x v="0"/>
    <x v="0"/>
    <s v=""/>
    <s v=""/>
    <n v="1"/>
    <n v="1"/>
    <s v=""/>
    <n v="1"/>
    <s v=""/>
    <s v=""/>
    <n v="1"/>
    <s v=""/>
  </r>
  <r>
    <s v="Philippines"/>
    <s v="East Asia and Pacific"/>
    <s v="P039019"/>
    <s v="C1"/>
    <s v="S8"/>
    <s v="P039019C1S8"/>
    <s v="Ratio"/>
    <s v="2000 / 2008"/>
    <s v="Upgrading"/>
    <s v=""/>
    <n v="1.0021739130434784"/>
    <m/>
    <m/>
    <n v="1.8496071829405163"/>
    <n v="1.8455950198538775"/>
    <s v="x"/>
    <n v="0"/>
    <n v="0"/>
    <x v="0"/>
    <x v="0"/>
    <s v=""/>
    <s v=""/>
    <n v="1"/>
    <n v="1"/>
    <s v=""/>
    <n v="1"/>
    <s v=""/>
    <s v=""/>
    <n v="1"/>
    <s v=""/>
  </r>
  <r>
    <s v="Philippines"/>
    <s v="East Asia and Pacific"/>
    <s v="P039019"/>
    <s v="C1"/>
    <s v="S9"/>
    <s v="P039019C1S9"/>
    <s v="Ratio"/>
    <s v="2000 / 2008"/>
    <s v="Upgrading"/>
    <s v=""/>
    <n v="1.0016949152542374"/>
    <m/>
    <m/>
    <n v="1.3613748108337709"/>
    <n v="1.3590713001555412"/>
    <s v=""/>
    <n v="0"/>
    <n v="0"/>
    <x v="1"/>
    <x v="0"/>
    <s v=""/>
    <s v=""/>
    <s v=""/>
    <s v=""/>
    <s v=""/>
    <s v=""/>
    <s v=""/>
    <s v=""/>
    <s v=""/>
    <s v=""/>
  </r>
  <r>
    <s v="Philippines"/>
    <s v="East Asia and Pacific"/>
    <s v="P039019"/>
    <s v="C2"/>
    <s v=""/>
    <s v="P039019C2"/>
    <s v="Ratio"/>
    <s v="2000 / 2008"/>
    <s v="Asphalt Mix Resurfacing"/>
    <s v=""/>
    <n v="0.8014444444444444"/>
    <m/>
    <m/>
    <n v="0.88636566034375275"/>
    <n v="1.1059602028412276"/>
    <s v=""/>
    <n v="0"/>
    <n v="0"/>
    <x v="1"/>
    <x v="0"/>
    <s v=""/>
    <s v=""/>
    <s v=""/>
    <s v=""/>
    <s v=""/>
    <s v=""/>
    <s v=""/>
    <s v=""/>
    <s v=""/>
    <s v=""/>
  </r>
  <r>
    <s v="Philippines"/>
    <s v="East Asia and Pacific"/>
    <s v="P039019"/>
    <s v="C3"/>
    <s v=""/>
    <s v="P039019C3"/>
    <s v="Ratio"/>
    <s v="2000 / 2008"/>
    <s v="Asphalt Mix Resurfacing"/>
    <s v=""/>
    <n v="1.0995670995670996"/>
    <m/>
    <m/>
    <n v="2.0732931726907626"/>
    <n v="1.8855540271321503"/>
    <s v="x"/>
    <n v="0"/>
    <n v="0"/>
    <x v="0"/>
    <x v="0"/>
    <s v=""/>
    <s v=""/>
    <n v="1"/>
    <n v="1"/>
    <s v=""/>
    <n v="1"/>
    <s v=""/>
    <s v=""/>
    <n v="1"/>
    <s v=""/>
  </r>
  <r>
    <s v="Belize"/>
    <s v="Latin America and Caribbean"/>
    <s v="P040150"/>
    <s v="C1"/>
    <s v="S1"/>
    <s v="P040150C1S1"/>
    <s v="Ratio"/>
    <s v="2000 / 2006"/>
    <s v="Upgrading"/>
    <s v=""/>
    <n v="1"/>
    <m/>
    <m/>
    <n v="1.276470588235294"/>
    <n v="1.2764705882352942"/>
    <s v=""/>
    <n v="0"/>
    <n v="0"/>
    <x v="1"/>
    <x v="0"/>
    <s v=""/>
    <s v=""/>
    <s v=""/>
    <s v=""/>
    <s v=""/>
    <s v=""/>
    <s v=""/>
    <s v=""/>
    <s v=""/>
    <s v=""/>
  </r>
  <r>
    <s v="Indonesia"/>
    <s v="East Asia and Pacific"/>
    <s v="P040578"/>
    <s v="C1"/>
    <s v="S1"/>
    <s v="P040578C1S1"/>
    <s v="Ratio"/>
    <s v="2001 / 2006"/>
    <s v="Asphalt Mix Resurfacing"/>
    <s v=""/>
    <n v="1.111"/>
    <m/>
    <m/>
    <n v="1.1239392585975883"/>
    <n v="1.0116464973875681"/>
    <s v=""/>
    <n v="0"/>
    <n v="0"/>
    <x v="1"/>
    <x v="0"/>
    <s v=""/>
    <s v=""/>
    <s v=""/>
    <s v=""/>
    <s v=""/>
    <s v=""/>
    <s v=""/>
    <s v=""/>
    <s v=""/>
    <s v=""/>
  </r>
  <r>
    <s v="Indonesia"/>
    <s v="East Asia and Pacific"/>
    <s v="P040578"/>
    <s v="C1"/>
    <s v="S2"/>
    <s v="P040578C1S2"/>
    <s v="Ratio"/>
    <s v="2001 / 2006"/>
    <s v="Reconstruction"/>
    <s v=""/>
    <n v="1.3640000000000001"/>
    <m/>
    <m/>
    <n v="1.4030568105354226"/>
    <n v="1.0286340253192245"/>
    <s v=""/>
    <n v="0"/>
    <n v="0"/>
    <x v="1"/>
    <x v="0"/>
    <s v=""/>
    <s v=""/>
    <s v=""/>
    <s v=""/>
    <s v=""/>
    <s v=""/>
    <s v=""/>
    <s v=""/>
    <s v=""/>
    <s v=""/>
  </r>
  <r>
    <s v="Azerbaijan"/>
    <s v="Europe and Central Asia"/>
    <s v="P040716"/>
    <s v="C1"/>
    <s v="S1"/>
    <s v="P040716C1S1"/>
    <s v="Ratio"/>
    <s v="2001 / 2009"/>
    <s v="Reconstruction"/>
    <s v=""/>
    <n v="1"/>
    <m/>
    <m/>
    <n v="0.83240843507214213"/>
    <n v="0.83240843507214213"/>
    <s v=""/>
    <n v="0"/>
    <n v="0"/>
    <x v="1"/>
    <x v="0"/>
    <s v=""/>
    <s v=""/>
    <s v=""/>
    <s v=""/>
    <s v=""/>
    <s v=""/>
    <s v=""/>
    <s v=""/>
    <s v=""/>
    <s v=""/>
  </r>
  <r>
    <s v="Azerbaijan"/>
    <s v="Europe and Central Asia"/>
    <s v="P040716"/>
    <s v="C1"/>
    <s v="S2"/>
    <s v="P040716C1S2"/>
    <s v="Ratio"/>
    <s v="2001 / 2009"/>
    <s v="Reconstruction"/>
    <s v=""/>
    <n v="1"/>
    <m/>
    <m/>
    <n v="0.89456869009584672"/>
    <n v="0.89456869009584672"/>
    <s v=""/>
    <n v="0"/>
    <n v="0"/>
    <x v="1"/>
    <x v="0"/>
    <s v=""/>
    <s v=""/>
    <s v=""/>
    <s v=""/>
    <s v=""/>
    <s v=""/>
    <s v=""/>
    <s v=""/>
    <s v=""/>
    <s v=""/>
  </r>
  <r>
    <s v="Peru"/>
    <s v="Latin America and Caribbean"/>
    <s v="P044601"/>
    <s v="C1"/>
    <s v=""/>
    <s v="P044601C1"/>
    <s v="Ratio"/>
    <s v="2001 / 2007"/>
    <s v="Reconstruction"/>
    <s v=""/>
    <n v="1.3124475524475525"/>
    <m/>
    <m/>
    <n v="1.0588330632090761"/>
    <n v="0.80676219117059833"/>
    <s v=""/>
    <n v="0"/>
    <n v="0"/>
    <x v="1"/>
    <x v="0"/>
    <s v=""/>
    <s v=""/>
    <s v=""/>
    <s v=""/>
    <s v=""/>
    <s v=""/>
    <s v=""/>
    <s v=""/>
    <s v=""/>
    <s v=""/>
  </r>
  <r>
    <s v="Peru"/>
    <s v="Latin America and Caribbean"/>
    <s v="P044601"/>
    <s v="C2"/>
    <s v=""/>
    <s v="P044601C2"/>
    <s v="Ratio"/>
    <s v="2001 / 2007"/>
    <s v="Routine Maintenance"/>
    <s v=""/>
    <n v="1.0929974064468322"/>
    <m/>
    <m/>
    <n v="0.74498069498069508"/>
    <n v="0.6815942019501342"/>
    <s v=""/>
    <n v="0"/>
    <n v="0"/>
    <x v="1"/>
    <x v="0"/>
    <s v=""/>
    <s v=""/>
    <s v=""/>
    <s v=""/>
    <s v=""/>
    <s v=""/>
    <s v=""/>
    <s v=""/>
    <s v=""/>
    <s v=""/>
  </r>
  <r>
    <s v="Armenia"/>
    <s v="Europe and Central Asia"/>
    <s v="P044829"/>
    <s v="C1"/>
    <s v=""/>
    <s v="P044829C1"/>
    <s v="Ratio"/>
    <s v="2000 / 2005"/>
    <s v="Asphalt Mix Resurfacing"/>
    <s v=""/>
    <n v="0.64727687482178498"/>
    <m/>
    <m/>
    <n v="1.2425373134328357"/>
    <n v="1.9196380432638569"/>
    <s v="x"/>
    <n v="0"/>
    <n v="0"/>
    <x v="0"/>
    <x v="0"/>
    <s v=""/>
    <n v="1"/>
    <s v=""/>
    <s v=""/>
    <s v=""/>
    <s v=""/>
    <s v=""/>
    <s v=""/>
    <s v=""/>
    <s v=""/>
  </r>
  <r>
    <s v="Armenia"/>
    <s v="Europe and Central Asia"/>
    <s v="P044829"/>
    <s v="C1"/>
    <s v="S1"/>
    <s v="P044829C1S1"/>
    <s v="Ratio"/>
    <s v="2000 / 2005"/>
    <s v="Surface Treatment Resurfacing"/>
    <s v=""/>
    <n v="1"/>
    <m/>
    <m/>
    <n v="1.008403361344538"/>
    <n v="1.008403361344538"/>
    <s v=""/>
    <n v="0"/>
    <n v="0"/>
    <x v="1"/>
    <x v="0"/>
    <s v=""/>
    <s v=""/>
    <s v=""/>
    <s v=""/>
    <s v=""/>
    <s v=""/>
    <s v=""/>
    <s v=""/>
    <s v=""/>
    <s v=""/>
  </r>
  <r>
    <s v="Armenia"/>
    <s v="Europe and Central Asia"/>
    <s v="P044829"/>
    <s v="C1"/>
    <s v="S2"/>
    <s v="P044829C1S2"/>
    <s v="Ratio"/>
    <s v="2000 / 2005"/>
    <s v="Asphalt Mix Resurfacing"/>
    <s v=""/>
    <n v="1"/>
    <m/>
    <m/>
    <n v="1.1767605633802818"/>
    <n v="1.1767605633802818"/>
    <s v=""/>
    <n v="0"/>
    <n v="0"/>
    <x v="1"/>
    <x v="0"/>
    <s v=""/>
    <s v=""/>
    <s v=""/>
    <s v=""/>
    <s v=""/>
    <s v=""/>
    <s v=""/>
    <s v=""/>
    <s v=""/>
    <s v=""/>
  </r>
  <r>
    <s v="Armenia"/>
    <s v="Europe and Central Asia"/>
    <s v="P044829"/>
    <s v="C1"/>
    <s v="S3"/>
    <s v="P044829C1S3"/>
    <s v="Ratio"/>
    <s v="2000 / 2005"/>
    <s v="Asphalt Mix Resurfacing"/>
    <s v=""/>
    <n v="1"/>
    <m/>
    <m/>
    <n v="1.1359223300970873"/>
    <n v="1.1359223300970871"/>
    <s v=""/>
    <n v="0"/>
    <n v="0"/>
    <x v="1"/>
    <x v="0"/>
    <s v=""/>
    <s v=""/>
    <s v=""/>
    <s v=""/>
    <s v=""/>
    <s v=""/>
    <s v=""/>
    <s v=""/>
    <s v=""/>
    <s v=""/>
  </r>
  <r>
    <s v="Armenia"/>
    <s v="Europe and Central Asia"/>
    <s v="P044829"/>
    <s v="C1"/>
    <s v="S4"/>
    <s v="P044829C1S4"/>
    <s v="Ratio"/>
    <s v="2000 / 2005"/>
    <s v="Asphalt Mix Resurfacing"/>
    <s v=""/>
    <n v="1"/>
    <m/>
    <m/>
    <n v="0.92666666666666675"/>
    <n v="0.92666666666666675"/>
    <s v=""/>
    <n v="0"/>
    <n v="0"/>
    <x v="1"/>
    <x v="0"/>
    <s v=""/>
    <s v=""/>
    <s v=""/>
    <s v=""/>
    <s v=""/>
    <s v=""/>
    <s v=""/>
    <s v=""/>
    <s v=""/>
    <s v=""/>
  </r>
  <r>
    <s v="Armenia"/>
    <s v="Europe and Central Asia"/>
    <s v="P044829"/>
    <s v="C1"/>
    <s v="S5"/>
    <s v="P044829C1S5"/>
    <s v="Ratio"/>
    <s v="2000 / 2005"/>
    <s v="Asphalt Mix Resurfacing"/>
    <s v=""/>
    <n v="1"/>
    <m/>
    <m/>
    <n v="1.086857142857143"/>
    <n v="1.086857142857143"/>
    <s v=""/>
    <n v="0"/>
    <n v="0"/>
    <x v="1"/>
    <x v="0"/>
    <s v=""/>
    <s v=""/>
    <s v=""/>
    <s v=""/>
    <s v=""/>
    <s v=""/>
    <s v=""/>
    <s v=""/>
    <s v=""/>
    <s v=""/>
  </r>
  <r>
    <s v="Armenia"/>
    <s v="Europe and Central Asia"/>
    <s v="P044829"/>
    <s v="C1"/>
    <s v="S6"/>
    <s v="P044829C1S6"/>
    <s v="Ratio"/>
    <s v="2000 / 2005"/>
    <s v="Asphalt Mix Resurfacing"/>
    <s v=""/>
    <n v="1"/>
    <m/>
    <m/>
    <n v="0.90322580645161299"/>
    <n v="0.90322580645161299"/>
    <s v=""/>
    <n v="0"/>
    <n v="0"/>
    <x v="1"/>
    <x v="0"/>
    <s v=""/>
    <s v=""/>
    <s v=""/>
    <s v=""/>
    <s v=""/>
    <s v=""/>
    <s v=""/>
    <s v=""/>
    <s v=""/>
    <s v=""/>
  </r>
  <r>
    <s v="India"/>
    <s v="South Asia"/>
    <s v="P050649"/>
    <s v="C1"/>
    <s v=""/>
    <s v="P050649C1"/>
    <s v="Ratio"/>
    <s v="2003 / 2012"/>
    <s v="Widening and Reconstruction"/>
    <s v=""/>
    <n v="0.96533333333333338"/>
    <m/>
    <m/>
    <n v="1.2020749602766612"/>
    <n v="1.2452433980766517"/>
    <s v=""/>
    <n v="0"/>
    <n v="0"/>
    <x v="1"/>
    <x v="0"/>
    <s v=""/>
    <s v=""/>
    <s v=""/>
    <s v=""/>
    <s v=""/>
    <s v=""/>
    <s v=""/>
    <s v=""/>
    <s v=""/>
    <s v=""/>
  </r>
  <r>
    <s v="India"/>
    <s v="South Asia"/>
    <s v="P050649"/>
    <s v="C1"/>
    <s v="S1"/>
    <s v="P050649C1S1"/>
    <s v="Ratio"/>
    <s v="2003 / 2012"/>
    <s v="Widening and Reconstruction"/>
    <s v=""/>
    <n v="0.94413965087281804"/>
    <m/>
    <m/>
    <n v="0.96374115353406276"/>
    <n v="1.0207612323485449"/>
    <s v=""/>
    <n v="0"/>
    <n v="0"/>
    <x v="1"/>
    <x v="0"/>
    <s v=""/>
    <s v=""/>
    <s v=""/>
    <s v=""/>
    <s v=""/>
    <s v=""/>
    <s v=""/>
    <s v=""/>
    <s v=""/>
    <s v=""/>
  </r>
  <r>
    <s v="India"/>
    <s v="South Asia"/>
    <s v="P050649"/>
    <s v="C1"/>
    <s v="S2"/>
    <s v="P050649C1S2"/>
    <s v="Ratio"/>
    <s v="2003 / 2012"/>
    <s v="Widening and Reconstruction"/>
    <s v=""/>
    <n v="1.0224137931034483"/>
    <m/>
    <m/>
    <n v="1.6075888053896636"/>
    <n v="1.572346555018558"/>
    <s v="x"/>
    <n v="0"/>
    <n v="0"/>
    <x v="0"/>
    <x v="0"/>
    <n v="1"/>
    <s v=""/>
    <n v="1"/>
    <s v=""/>
    <s v=""/>
    <s v=""/>
    <s v=""/>
    <s v=""/>
    <n v="1"/>
    <s v=""/>
  </r>
  <r>
    <s v="India"/>
    <s v="South Asia"/>
    <s v="P050649"/>
    <s v="C1"/>
    <s v="S3"/>
    <s v="P050649C1S3"/>
    <s v="Ratio"/>
    <s v="2003 / 2012"/>
    <s v="Widening and Reconstruction"/>
    <s v=""/>
    <n v="1"/>
    <m/>
    <m/>
    <n v="2.0096642167656591"/>
    <n v="2.0096642167656595"/>
    <s v="x"/>
    <n v="0"/>
    <n v="0"/>
    <x v="0"/>
    <x v="0"/>
    <n v="1"/>
    <s v=""/>
    <n v="1"/>
    <s v=""/>
    <s v=""/>
    <s v=""/>
    <s v=""/>
    <s v=""/>
    <n v="1"/>
    <s v=""/>
  </r>
  <r>
    <s v="India"/>
    <s v="South Asia"/>
    <s v="P050649"/>
    <s v="C1"/>
    <s v="S4"/>
    <s v="P050649C1S4"/>
    <s v="Ratio"/>
    <s v="2003 / 2012"/>
    <s v="Widening and Reconstruction"/>
    <s v=""/>
    <n v="0.971186440677966"/>
    <m/>
    <m/>
    <n v="1.773256672056571"/>
    <n v="1.8258663813496978"/>
    <s v="x"/>
    <n v="0"/>
    <n v="0"/>
    <x v="0"/>
    <x v="0"/>
    <n v="1"/>
    <s v=""/>
    <n v="1"/>
    <s v=""/>
    <s v=""/>
    <s v=""/>
    <s v=""/>
    <s v=""/>
    <n v="1"/>
    <s v=""/>
  </r>
  <r>
    <s v="India"/>
    <s v="South Asia"/>
    <s v="P050649"/>
    <s v="C2"/>
    <s v=""/>
    <s v="P050649C2"/>
    <s v="Ratio"/>
    <s v="2003 / 2012"/>
    <s v="Reconstruction"/>
    <s v=""/>
    <n v="0.66500000000000004"/>
    <m/>
    <m/>
    <n v="0.95899566473988451"/>
    <n v="1.4420987439697512"/>
    <s v=""/>
    <n v="0"/>
    <n v="0"/>
    <x v="1"/>
    <x v="0"/>
    <s v=""/>
    <s v=""/>
    <s v=""/>
    <s v=""/>
    <s v=""/>
    <s v=""/>
    <s v=""/>
    <s v=""/>
    <s v=""/>
    <s v=""/>
  </r>
  <r>
    <s v="Kyrgyz Republic"/>
    <s v="Europe and Central Asia"/>
    <s v="P050719"/>
    <s v="C1"/>
    <s v=""/>
    <s v="P050719C1"/>
    <s v="Ratio"/>
    <s v="2000 / 2006"/>
    <s v="Strengthening"/>
    <s v=""/>
    <n v="1.0714285714285714"/>
    <m/>
    <m/>
    <n v="0.94896551724137934"/>
    <n v="0.88570114942528733"/>
    <s v=""/>
    <n v="0"/>
    <n v="0"/>
    <x v="1"/>
    <x v="0"/>
    <s v=""/>
    <s v=""/>
    <s v=""/>
    <s v=""/>
    <s v=""/>
    <s v=""/>
    <s v=""/>
    <s v=""/>
    <s v=""/>
    <s v=""/>
  </r>
  <r>
    <s v="Kyrgyz Republic"/>
    <s v="Europe and Central Asia"/>
    <s v="P050719"/>
    <s v="C1"/>
    <s v="S1"/>
    <s v="P050719C1S1"/>
    <s v="Ratio"/>
    <s v="2000 / 2006"/>
    <s v="Strengthening"/>
    <s v=""/>
    <n v="1.1111111111111112"/>
    <m/>
    <m/>
    <n v="0.92727272727272736"/>
    <n v="0.83454545454545459"/>
    <s v=""/>
    <n v="0"/>
    <n v="0"/>
    <x v="1"/>
    <x v="0"/>
    <s v=""/>
    <s v=""/>
    <s v=""/>
    <s v=""/>
    <s v=""/>
    <s v=""/>
    <s v=""/>
    <s v=""/>
    <s v=""/>
    <s v=""/>
  </r>
  <r>
    <s v="Kyrgyz Republic"/>
    <s v="Europe and Central Asia"/>
    <s v="P050719"/>
    <s v="C1"/>
    <s v="S2"/>
    <s v="P050719C1S2"/>
    <s v="Ratio"/>
    <s v="2000 / 2006"/>
    <s v="Strengthening"/>
    <s v=""/>
    <n v="1"/>
    <m/>
    <m/>
    <n v="1.0147058823529413"/>
    <n v="1.0147058823529413"/>
    <s v=""/>
    <n v="0"/>
    <n v="0"/>
    <x v="1"/>
    <x v="0"/>
    <s v=""/>
    <s v=""/>
    <s v=""/>
    <s v=""/>
    <s v=""/>
    <s v=""/>
    <s v=""/>
    <s v=""/>
    <s v=""/>
    <s v=""/>
  </r>
  <r>
    <s v="Kyrgyz Republic"/>
    <s v="Europe and Central Asia"/>
    <s v="P050719"/>
    <s v="C1"/>
    <s v="S3"/>
    <s v="P050719C1S3"/>
    <s v="Ratio"/>
    <s v="2000 / 2006"/>
    <s v="Strengthening"/>
    <s v=""/>
    <n v="0.91666666666666663"/>
    <m/>
    <m/>
    <n v="0.99473684210526314"/>
    <n v="1.0851674641148326"/>
    <s v=""/>
    <n v="0"/>
    <n v="0"/>
    <x v="1"/>
    <x v="0"/>
    <s v=""/>
    <s v=""/>
    <s v=""/>
    <s v=""/>
    <s v=""/>
    <s v=""/>
    <s v=""/>
    <s v=""/>
    <s v=""/>
    <s v=""/>
  </r>
  <r>
    <s v="Madagascar"/>
    <s v="Sub-Saharan Africa"/>
    <s v="P052208"/>
    <s v="C1"/>
    <s v="S1"/>
    <s v="P052208C1S1"/>
    <s v="Ratio"/>
    <s v="2000 / 2006"/>
    <s v="Surface Treatment Resurfacing"/>
    <s v=""/>
    <n v="1"/>
    <m/>
    <m/>
    <n v="2.2234042553191489"/>
    <n v="2.2234042553191489"/>
    <s v="x"/>
    <n v="0"/>
    <n v="0"/>
    <x v="0"/>
    <x v="0"/>
    <n v="1"/>
    <n v="1"/>
    <n v="1"/>
    <s v=""/>
    <s v=""/>
    <s v=""/>
    <s v=""/>
    <s v=""/>
    <s v=""/>
    <s v=""/>
  </r>
  <r>
    <s v="Senegal"/>
    <s v="Sub-Saharan Africa"/>
    <s v="P055472"/>
    <s v="C1"/>
    <s v=""/>
    <s v="P055472C1"/>
    <s v="Ratio"/>
    <s v="2000 / 2009"/>
    <s v="Reconstruction"/>
    <s v=""/>
    <n v="0.69230769230769229"/>
    <m/>
    <m/>
    <n v="2.3372402770378264"/>
    <n v="3.3760137334990823"/>
    <s v="x"/>
    <n v="0"/>
    <n v="0"/>
    <x v="0"/>
    <x v="0"/>
    <s v=""/>
    <s v=""/>
    <s v=""/>
    <s v=""/>
    <s v=""/>
    <n v="1"/>
    <s v=""/>
    <s v=""/>
    <n v="1"/>
    <s v=""/>
  </r>
  <r>
    <s v="Uruguay"/>
    <s v="Latin America and Caribbean"/>
    <s v="P057481"/>
    <s v=""/>
    <s v=""/>
    <s v="P057481"/>
    <s v="Ratio"/>
    <s v="2005 / 2012"/>
    <s v="Routine Maintenance"/>
    <n v="1"/>
    <n v="1"/>
    <m/>
    <m/>
    <n v="1.3457142857142856"/>
    <n v="1.3457142857142856"/>
    <s v=""/>
    <n v="0"/>
    <n v="0"/>
    <x v="1"/>
    <x v="0"/>
    <s v=""/>
    <s v=""/>
    <s v=""/>
    <s v=""/>
    <s v=""/>
    <s v=""/>
    <s v=""/>
    <s v=""/>
    <s v=""/>
    <s v=""/>
  </r>
  <r>
    <s v="Uruguay"/>
    <s v="Latin America and Caribbean"/>
    <s v="P057481"/>
    <s v="C1"/>
    <s v="S1"/>
    <s v="P057481C1S1"/>
    <s v="Ratio"/>
    <s v="2007 / 2012"/>
    <s v="Reconstruction"/>
    <s v=""/>
    <n v="1"/>
    <m/>
    <m/>
    <n v="1.584075723830735"/>
    <n v="1.584075723830735"/>
    <s v="x"/>
    <n v="0"/>
    <n v="0"/>
    <x v="0"/>
    <x v="0"/>
    <s v=""/>
    <s v=""/>
    <s v=""/>
    <s v=""/>
    <s v=""/>
    <s v=""/>
    <s v=""/>
    <s v=""/>
    <n v="1"/>
    <s v=""/>
  </r>
  <r>
    <s v="Uruguay"/>
    <s v="Latin America and Caribbean"/>
    <s v="P057481"/>
    <s v="C1"/>
    <s v="S2"/>
    <s v="P057481C1S2"/>
    <s v="Ratio"/>
    <s v="2007 / 2012"/>
    <s v="Reconstruction"/>
    <s v=""/>
    <n v="1"/>
    <m/>
    <m/>
    <n v="1.4583333333333335"/>
    <n v="1.4583333333333335"/>
    <s v=""/>
    <n v="0"/>
    <n v="0"/>
    <x v="1"/>
    <x v="0"/>
    <s v=""/>
    <s v=""/>
    <s v=""/>
    <s v=""/>
    <s v=""/>
    <s v=""/>
    <s v=""/>
    <s v=""/>
    <s v=""/>
    <s v=""/>
  </r>
  <r>
    <s v="Uruguay"/>
    <s v="Latin America and Caribbean"/>
    <s v="P057481"/>
    <s v="C1"/>
    <s v="S3"/>
    <s v="P057481C1S3"/>
    <s v="Ratio"/>
    <s v="2007 / 2012"/>
    <s v="Reconstruction"/>
    <s v=""/>
    <n v="1"/>
    <m/>
    <m/>
    <n v="3.5446524064171121"/>
    <n v="3.5446524064171121"/>
    <s v="x"/>
    <n v="0"/>
    <n v="0"/>
    <x v="0"/>
    <x v="0"/>
    <s v=""/>
    <s v=""/>
    <s v=""/>
    <s v=""/>
    <s v=""/>
    <s v=""/>
    <s v=""/>
    <s v=""/>
    <n v="1"/>
    <n v="1"/>
  </r>
  <r>
    <s v="Honduras"/>
    <s v="Latin America and Caribbean"/>
    <s v="P057538"/>
    <s v="C1"/>
    <s v="S1"/>
    <s v="P057538C1S1"/>
    <s v="Ratio"/>
    <s v="2000 / 2007"/>
    <s v="Strengthening"/>
    <s v=""/>
    <n v="0.59523809523809523"/>
    <m/>
    <m/>
    <n v="1.0625"/>
    <n v="1.7849999999999999"/>
    <s v="x"/>
    <n v="0"/>
    <n v="0"/>
    <x v="0"/>
    <x v="0"/>
    <n v="1"/>
    <s v=""/>
    <s v=""/>
    <s v=""/>
    <s v=""/>
    <s v=""/>
    <s v=""/>
    <s v=""/>
    <n v="1"/>
    <s v=""/>
  </r>
  <r>
    <s v="Honduras"/>
    <s v="Latin America and Caribbean"/>
    <s v="P057538"/>
    <s v="C1"/>
    <s v="S2"/>
    <s v="P057538C1S2"/>
    <s v="Ratio"/>
    <s v="2000 / 2007"/>
    <s v="Strengthening"/>
    <s v=""/>
    <n v="1"/>
    <m/>
    <m/>
    <n v="1.6031746031746033"/>
    <n v="1.6031746031746033"/>
    <s v="x"/>
    <n v="0"/>
    <n v="0"/>
    <x v="0"/>
    <x v="0"/>
    <n v="1"/>
    <s v=""/>
    <s v=""/>
    <s v=""/>
    <s v=""/>
    <s v=""/>
    <s v=""/>
    <s v=""/>
    <n v="1"/>
    <s v=""/>
  </r>
  <r>
    <s v="Honduras"/>
    <s v="Latin America and Caribbean"/>
    <s v="P057538"/>
    <s v="C1"/>
    <s v="S3"/>
    <s v="P057538C1S3"/>
    <s v="Ratio"/>
    <s v="2000 / 2007"/>
    <s v="Upgrading"/>
    <s v=""/>
    <n v="1.0021505376344086"/>
    <m/>
    <m/>
    <n v="1.0277777777777777"/>
    <n v="1.0255722460658083"/>
    <s v=""/>
    <n v="0"/>
    <n v="0"/>
    <x v="1"/>
    <x v="0"/>
    <s v=""/>
    <s v=""/>
    <s v=""/>
    <s v=""/>
    <s v=""/>
    <s v=""/>
    <s v=""/>
    <s v=""/>
    <s v=""/>
    <s v=""/>
  </r>
  <r>
    <s v="Honduras"/>
    <s v="Latin America and Caribbean"/>
    <s v="P057538"/>
    <s v="C1"/>
    <s v="S4"/>
    <s v="P057538C1S4"/>
    <s v="Ratio"/>
    <s v="2000 / 2007"/>
    <s v="Upgrading"/>
    <s v=""/>
    <n v="1"/>
    <m/>
    <m/>
    <n v="1.0740740740740742"/>
    <n v="1.074074074074074"/>
    <s v=""/>
    <n v="0"/>
    <n v="0"/>
    <x v="1"/>
    <x v="0"/>
    <s v=""/>
    <s v=""/>
    <s v=""/>
    <s v=""/>
    <s v=""/>
    <s v=""/>
    <s v=""/>
    <s v=""/>
    <s v=""/>
    <s v=""/>
  </r>
  <r>
    <s v="Honduras"/>
    <s v="Latin America and Caribbean"/>
    <s v="P057538"/>
    <s v="C2"/>
    <s v=""/>
    <s v="P057538C2"/>
    <s v="Ratio"/>
    <s v="2000 / 2007"/>
    <s v="Reconstruction"/>
    <s v=""/>
    <n v="1.02"/>
    <m/>
    <m/>
    <n v="0.57647058823529418"/>
    <n v="0.56516724336793545"/>
    <s v=""/>
    <n v="0"/>
    <n v="0"/>
    <x v="1"/>
    <x v="0"/>
    <s v=""/>
    <s v=""/>
    <s v=""/>
    <s v=""/>
    <s v=""/>
    <s v=""/>
    <s v=""/>
    <s v=""/>
    <s v=""/>
    <s v=""/>
  </r>
  <r>
    <s v="Honduras"/>
    <s v="Latin America and Caribbean"/>
    <s v="P057538"/>
    <s v="C3"/>
    <s v=""/>
    <s v="P057538C3"/>
    <s v="Ratio"/>
    <s v="2000 / 2007"/>
    <s v="Routine Maintenance"/>
    <s v=""/>
    <n v="1.8555555555555556"/>
    <m/>
    <m/>
    <n v="1.95"/>
    <n v="1.0508982035928143"/>
    <s v="x"/>
    <n v="1"/>
    <n v="0"/>
    <x v="1"/>
    <x v="0"/>
    <s v=""/>
    <s v=""/>
    <s v=""/>
    <s v=""/>
    <s v=""/>
    <s v=""/>
    <s v=""/>
    <s v=""/>
    <s v=""/>
    <n v="1"/>
  </r>
  <r>
    <s v="Philippines"/>
    <s v="East Asia and Pacific"/>
    <s v="P057731"/>
    <s v="C1"/>
    <s v="S1"/>
    <s v="P057731C1S1"/>
    <s v="Ratio"/>
    <s v="2001 / 2011"/>
    <s v="Reconstruction"/>
    <s v=""/>
    <n v="1"/>
    <m/>
    <m/>
    <n v="0.95726495726495742"/>
    <n v="0.95726495726495742"/>
    <s v=""/>
    <n v="0"/>
    <n v="0"/>
    <x v="1"/>
    <x v="0"/>
    <s v=""/>
    <s v=""/>
    <s v=""/>
    <s v=""/>
    <s v=""/>
    <s v=""/>
    <s v=""/>
    <s v=""/>
    <s v=""/>
    <s v=""/>
  </r>
  <r>
    <s v="Philippines"/>
    <s v="East Asia and Pacific"/>
    <s v="P057731"/>
    <s v="C1"/>
    <s v="S2"/>
    <s v="P057731C1S2"/>
    <s v="Ratio"/>
    <s v="2001 / 2011"/>
    <s v="Reconstruction"/>
    <s v=""/>
    <n v="1"/>
    <m/>
    <m/>
    <n v="0.75172413793103454"/>
    <n v="0.75172413793103454"/>
    <s v=""/>
    <n v="0"/>
    <n v="0"/>
    <x v="1"/>
    <x v="0"/>
    <s v=""/>
    <s v=""/>
    <s v=""/>
    <s v=""/>
    <s v=""/>
    <s v=""/>
    <s v=""/>
    <s v=""/>
    <s v=""/>
    <s v=""/>
  </r>
  <r>
    <s v="Philippines"/>
    <s v="East Asia and Pacific"/>
    <s v="P057731"/>
    <s v="C1"/>
    <s v="S3"/>
    <s v="P057731C1S3"/>
    <s v="Ratio"/>
    <s v="2001 / 2011"/>
    <s v="Reconstruction"/>
    <s v=""/>
    <n v="1"/>
    <m/>
    <m/>
    <n v="2.8929336188436832"/>
    <n v="2.8929336188436832"/>
    <s v="x"/>
    <n v="0"/>
    <n v="0"/>
    <x v="0"/>
    <x v="0"/>
    <s v=""/>
    <s v=""/>
    <s v=""/>
    <n v="1"/>
    <s v=""/>
    <s v=""/>
    <s v=""/>
    <s v=""/>
    <n v="1"/>
    <s v=""/>
  </r>
  <r>
    <s v="Philippines"/>
    <s v="East Asia and Pacific"/>
    <s v="P057731"/>
    <s v="C1"/>
    <s v="S4"/>
    <s v="P057731C1S4"/>
    <s v="Ratio"/>
    <s v="2001 / 2011"/>
    <s v="Reconstruction"/>
    <s v=""/>
    <n v="1"/>
    <m/>
    <m/>
    <n v="3.7122093023255816"/>
    <n v="3.7122093023255816"/>
    <s v="x"/>
    <n v="0"/>
    <n v="0"/>
    <x v="0"/>
    <x v="0"/>
    <s v=""/>
    <s v=""/>
    <s v=""/>
    <n v="1"/>
    <s v=""/>
    <s v=""/>
    <s v=""/>
    <s v=""/>
    <n v="1"/>
    <s v=""/>
  </r>
  <r>
    <s v="China"/>
    <s v="East Asia and Pacific"/>
    <s v="P058844"/>
    <s v="C1"/>
    <s v=""/>
    <s v="P058844C1"/>
    <s v="Ratio"/>
    <s v="2000 / 2007"/>
    <s v="New 4L Highway"/>
    <n v="1.48"/>
    <n v="1"/>
    <m/>
    <m/>
    <n v="0.90739484396200809"/>
    <n v="0.90739484396200809"/>
    <s v=""/>
    <n v="0"/>
    <n v="0"/>
    <x v="1"/>
    <x v="0"/>
    <s v=""/>
    <s v=""/>
    <s v=""/>
    <s v=""/>
    <s v=""/>
    <s v=""/>
    <s v=""/>
    <s v=""/>
    <s v=""/>
    <s v=""/>
  </r>
  <r>
    <s v="China"/>
    <s v="East Asia and Pacific"/>
    <s v="P058844"/>
    <s v="C2"/>
    <s v=""/>
    <s v="P058844C2"/>
    <s v="Ratio"/>
    <s v="2000 / 2007"/>
    <s v="Upgrading"/>
    <s v=""/>
    <n v="0.9325"/>
    <m/>
    <m/>
    <n v="0.88610478359908884"/>
    <n v="0.95024641672824539"/>
    <s v=""/>
    <n v="0"/>
    <n v="0"/>
    <x v="1"/>
    <x v="0"/>
    <s v=""/>
    <s v=""/>
    <s v=""/>
    <s v=""/>
    <s v=""/>
    <s v=""/>
    <s v=""/>
    <s v=""/>
    <s v=""/>
    <s v=""/>
  </r>
  <r>
    <s v="China"/>
    <s v="East Asia and Pacific"/>
    <s v="P058847"/>
    <s v="C1"/>
    <s v=""/>
    <s v="P058847C1"/>
    <s v="Ratio"/>
    <s v="2002 / 2010"/>
    <s v="Widening and Reconstruction"/>
    <s v=""/>
    <n v="1"/>
    <m/>
    <m/>
    <n v="1.3175646908557643"/>
    <n v="1.3175646908557643"/>
    <s v=""/>
    <n v="0"/>
    <n v="0"/>
    <x v="1"/>
    <x v="0"/>
    <s v=""/>
    <s v=""/>
    <s v=""/>
    <s v=""/>
    <s v=""/>
    <s v=""/>
    <s v=""/>
    <s v=""/>
    <s v=""/>
    <s v=""/>
  </r>
  <r>
    <s v="China"/>
    <s v="East Asia and Pacific"/>
    <s v="P058847"/>
    <s v="C2"/>
    <s v=""/>
    <s v="P058847C2"/>
    <s v="Ratio"/>
    <s v="2002 / 2010"/>
    <s v="Upgrading"/>
    <s v=""/>
    <n v="1.0333333333333334"/>
    <m/>
    <m/>
    <n v="1.2401913875598087"/>
    <n v="1.2001852137675568"/>
    <s v=""/>
    <n v="0"/>
    <n v="0"/>
    <x v="1"/>
    <x v="0"/>
    <s v=""/>
    <s v=""/>
    <s v=""/>
    <s v=""/>
    <s v=""/>
    <s v=""/>
    <s v=""/>
    <s v=""/>
    <s v=""/>
    <s v=""/>
  </r>
  <r>
    <s v="Vietnam"/>
    <s v="East Asia and Pacific"/>
    <s v="P059663"/>
    <s v="C1"/>
    <s v="S1"/>
    <s v="P059663C1S1"/>
    <s v="Ratio"/>
    <s v="2003 / 2012"/>
    <s v="Asphalt Mix Resurfacing"/>
    <n v="1.3"/>
    <n v="0.7654545454545455"/>
    <m/>
    <m/>
    <n v="0.93086419753086425"/>
    <n v="1.2160933696959033"/>
    <s v=""/>
    <n v="0"/>
    <n v="0"/>
    <x v="1"/>
    <x v="0"/>
    <s v=""/>
    <s v=""/>
    <s v=""/>
    <s v=""/>
    <s v=""/>
    <s v=""/>
    <s v=""/>
    <s v=""/>
    <s v=""/>
    <s v=""/>
  </r>
  <r>
    <s v="Vietnam"/>
    <s v="East Asia and Pacific"/>
    <s v="P059663"/>
    <s v="C1"/>
    <s v="S2"/>
    <s v="P059663C1S2"/>
    <s v="Ratio"/>
    <s v="2003 / 2012"/>
    <s v="Asphalt Mix Resurfacing"/>
    <n v="2.25"/>
    <n v="0.70232558139534884"/>
    <m/>
    <m/>
    <n v="3.3642857142857143"/>
    <n v="4.790208136234626"/>
    <s v="x"/>
    <n v="0"/>
    <n v="0"/>
    <x v="0"/>
    <x v="0"/>
    <n v="1"/>
    <s v=""/>
    <s v=""/>
    <n v="1"/>
    <s v=""/>
    <s v=""/>
    <s v=""/>
    <s v=""/>
    <s v=""/>
    <s v=""/>
  </r>
  <r>
    <s v="Vietnam"/>
    <s v="East Asia and Pacific"/>
    <s v="P059663"/>
    <s v="C2"/>
    <s v=""/>
    <s v="P059663C2"/>
    <s v="Ratio"/>
    <s v="2003 / 2012"/>
    <s v="Widening and Reconstruction"/>
    <n v="1.6"/>
    <n v="0.44166666666666665"/>
    <m/>
    <m/>
    <n v="1.4678810460222176"/>
    <n v="3.3235042551446439"/>
    <s v="x"/>
    <n v="0"/>
    <n v="1"/>
    <x v="0"/>
    <x v="0"/>
    <n v="1"/>
    <s v=""/>
    <s v=""/>
    <n v="1"/>
    <s v=""/>
    <s v=""/>
    <s v=""/>
    <s v=""/>
    <n v="1"/>
    <s v=""/>
  </r>
  <r>
    <s v="Vietnam"/>
    <s v="East Asia and Pacific"/>
    <s v="P059864"/>
    <s v="C1"/>
    <s v=""/>
    <s v="P059864C1"/>
    <s v="Ratio"/>
    <s v="1999 / 2007"/>
    <s v="Gravel Resurfacing"/>
    <n v="1"/>
    <n v="0.75990000000000002"/>
    <m/>
    <m/>
    <n v="1.0787925696594427"/>
    <n v="1.4196507035918446"/>
    <s v=""/>
    <n v="0"/>
    <n v="0"/>
    <x v="1"/>
    <x v="0"/>
    <s v=""/>
    <s v=""/>
    <s v=""/>
    <s v=""/>
    <s v=""/>
    <s v=""/>
    <s v=""/>
    <s v=""/>
    <s v=""/>
    <s v=""/>
  </r>
  <r>
    <s v="Lao PDR"/>
    <s v="East Asia and Pacific"/>
    <s v="P064821"/>
    <s v="C1"/>
    <s v="S1"/>
    <s v="P064821C1S1"/>
    <s v="Ratio"/>
    <s v="2001 / 2005"/>
    <s v="Bituminous Pavement Preventive Treatment"/>
    <s v=""/>
    <n v="1.9728571428571429"/>
    <m/>
    <m/>
    <n v="1.0945069941999317"/>
    <n v="0.55478269076028408"/>
    <s v="x"/>
    <n v="1"/>
    <n v="0"/>
    <x v="1"/>
    <x v="0"/>
    <s v=""/>
    <s v=""/>
    <s v=""/>
    <s v=""/>
    <s v=""/>
    <s v=""/>
    <s v=""/>
    <s v=""/>
    <s v=""/>
    <n v="1"/>
  </r>
  <r>
    <s v="Lao PDR"/>
    <s v="East Asia and Pacific"/>
    <s v="P064821"/>
    <s v="C1"/>
    <s v="S10"/>
    <s v="P064821C1S10"/>
    <s v="Ratio"/>
    <s v="2001 / 2005"/>
    <s v="Bituminous Pavement Preventive Treatment"/>
    <s v=""/>
    <n v="1"/>
    <m/>
    <m/>
    <n v="0.82051282051282048"/>
    <n v="0.82051282051282048"/>
    <s v=""/>
    <n v="0"/>
    <n v="0"/>
    <x v="1"/>
    <x v="0"/>
    <s v=""/>
    <s v=""/>
    <s v=""/>
    <s v=""/>
    <s v=""/>
    <s v=""/>
    <s v=""/>
    <s v=""/>
    <s v=""/>
    <s v=""/>
  </r>
  <r>
    <s v="Lao PDR"/>
    <s v="East Asia and Pacific"/>
    <s v="P064821"/>
    <s v="C1"/>
    <s v="S11"/>
    <s v="P064821C1S11"/>
    <s v="Ratio"/>
    <s v="2001 / 2005"/>
    <s v="Gravel Resurfacing"/>
    <s v=""/>
    <n v="1"/>
    <m/>
    <m/>
    <n v="0.83636363636363631"/>
    <n v="0.83636363636363631"/>
    <s v=""/>
    <n v="0"/>
    <n v="0"/>
    <x v="1"/>
    <x v="0"/>
    <s v=""/>
    <s v=""/>
    <s v=""/>
    <s v=""/>
    <s v=""/>
    <s v=""/>
    <s v=""/>
    <s v=""/>
    <s v=""/>
    <s v=""/>
  </r>
  <r>
    <s v="Lao PDR"/>
    <s v="East Asia and Pacific"/>
    <s v="P064821"/>
    <s v="C1"/>
    <s v="S2"/>
    <s v="P064821C1S2"/>
    <s v="Ratio"/>
    <s v="2001 / 2005"/>
    <s v="Routine Maintenance"/>
    <s v=""/>
    <n v="1.6411803278688524"/>
    <m/>
    <m/>
    <n v="0.42654735272184935"/>
    <n v="0.25990279403101335"/>
    <s v="x"/>
    <n v="1"/>
    <n v="0"/>
    <x v="1"/>
    <x v="1"/>
    <s v=""/>
    <s v=""/>
    <s v=""/>
    <n v="1"/>
    <s v=""/>
    <n v="1"/>
    <s v=""/>
    <s v=""/>
    <n v="1"/>
    <n v="1"/>
  </r>
  <r>
    <s v="Lao PDR"/>
    <s v="East Asia and Pacific"/>
    <s v="P064821"/>
    <s v="C1"/>
    <s v="S3"/>
    <s v="P064821C1S3"/>
    <s v="Ratio"/>
    <s v="2001 / 2005"/>
    <s v="Gravel Resurfacing"/>
    <s v=""/>
    <n v="1"/>
    <m/>
    <m/>
    <n v="0.8292682926829269"/>
    <n v="0.82926829268292701"/>
    <s v=""/>
    <n v="0"/>
    <n v="0"/>
    <x v="1"/>
    <x v="0"/>
    <s v=""/>
    <s v=""/>
    <s v=""/>
    <s v=""/>
    <s v=""/>
    <s v=""/>
    <s v=""/>
    <s v=""/>
    <s v=""/>
    <s v=""/>
  </r>
  <r>
    <s v="Lao PDR"/>
    <s v="East Asia and Pacific"/>
    <s v="P064821"/>
    <s v="C1"/>
    <s v="S4"/>
    <s v="P064821C1S4"/>
    <s v="Ratio"/>
    <s v="2001 / 2005"/>
    <s v="Bituminous Pavement Preventive Treatment"/>
    <s v=""/>
    <n v="1"/>
    <m/>
    <m/>
    <n v="0.92857142857142871"/>
    <n v="0.92857142857142871"/>
    <s v=""/>
    <n v="0"/>
    <n v="0"/>
    <x v="1"/>
    <x v="0"/>
    <s v=""/>
    <s v=""/>
    <s v=""/>
    <s v=""/>
    <s v=""/>
    <s v=""/>
    <s v=""/>
    <s v=""/>
    <s v=""/>
    <s v=""/>
  </r>
  <r>
    <s v="Lao PDR"/>
    <s v="East Asia and Pacific"/>
    <s v="P064821"/>
    <s v="C1"/>
    <s v="S5"/>
    <s v="P064821C1S5"/>
    <s v="Ratio"/>
    <s v="2001 / 2005"/>
    <s v="Bituminous Pavement Preventive Treatment"/>
    <s v=""/>
    <n v="1"/>
    <m/>
    <m/>
    <n v="0.82558139534883723"/>
    <n v="0.82558139534883712"/>
    <s v=""/>
    <n v="0"/>
    <n v="0"/>
    <x v="1"/>
    <x v="0"/>
    <s v=""/>
    <s v=""/>
    <s v=""/>
    <s v=""/>
    <s v=""/>
    <s v=""/>
    <s v=""/>
    <s v=""/>
    <s v=""/>
    <s v=""/>
  </r>
  <r>
    <s v="Lao PDR"/>
    <s v="East Asia and Pacific"/>
    <s v="P064821"/>
    <s v="C1"/>
    <s v="S6"/>
    <s v="P064821C1S6"/>
    <s v="Ratio"/>
    <s v="2001 / 2005"/>
    <s v="Bituminous Pavement Preventive Treatment"/>
    <s v=""/>
    <n v="1"/>
    <m/>
    <m/>
    <n v="0.82653061224489799"/>
    <n v="0.8265306122448981"/>
    <s v=""/>
    <n v="0"/>
    <n v="0"/>
    <x v="1"/>
    <x v="0"/>
    <s v=""/>
    <s v=""/>
    <s v=""/>
    <s v=""/>
    <s v=""/>
    <s v=""/>
    <s v=""/>
    <s v=""/>
    <s v=""/>
    <s v=""/>
  </r>
  <r>
    <s v="Lao PDR"/>
    <s v="East Asia and Pacific"/>
    <s v="P064821"/>
    <s v="C1"/>
    <s v="S7"/>
    <s v="P064821C1S7"/>
    <s v="Ratio"/>
    <s v="2001 / 2005"/>
    <s v="Gravel Resurfacing"/>
    <s v=""/>
    <n v="1"/>
    <m/>
    <m/>
    <n v="0.84090909090909094"/>
    <n v="0.84090909090909094"/>
    <s v=""/>
    <n v="0"/>
    <n v="0"/>
    <x v="1"/>
    <x v="0"/>
    <s v=""/>
    <s v=""/>
    <s v=""/>
    <s v=""/>
    <s v=""/>
    <s v=""/>
    <s v=""/>
    <s v=""/>
    <s v=""/>
    <s v=""/>
  </r>
  <r>
    <s v="Lao PDR"/>
    <s v="East Asia and Pacific"/>
    <s v="P064821"/>
    <s v="C1"/>
    <s v="S8"/>
    <s v="P064821C1S8"/>
    <s v="Ratio"/>
    <s v="2001 / 2005"/>
    <s v="Bituminous Pavement Preventive Treatment"/>
    <s v=""/>
    <n v="1"/>
    <m/>
    <m/>
    <n v="0.82758620689655171"/>
    <n v="0.82758620689655182"/>
    <s v=""/>
    <n v="0"/>
    <n v="0"/>
    <x v="1"/>
    <x v="0"/>
    <s v=""/>
    <s v=""/>
    <s v=""/>
    <s v=""/>
    <s v=""/>
    <s v=""/>
    <s v=""/>
    <s v=""/>
    <s v=""/>
    <s v=""/>
  </r>
  <r>
    <s v="Lao PDR"/>
    <s v="East Asia and Pacific"/>
    <s v="P064821"/>
    <s v="C1"/>
    <s v="S9"/>
    <s v="P064821C1S9"/>
    <s v="Ratio"/>
    <s v="2001 / 2005"/>
    <s v="Bituminous Pavement Preventive Treatment"/>
    <s v=""/>
    <n v="1"/>
    <m/>
    <m/>
    <n v="0.79487179487179482"/>
    <n v="0.79487179487179482"/>
    <s v=""/>
    <n v="0"/>
    <n v="0"/>
    <x v="1"/>
    <x v="0"/>
    <s v=""/>
    <s v=""/>
    <s v=""/>
    <s v=""/>
    <s v=""/>
    <s v=""/>
    <s v=""/>
    <s v=""/>
    <s v=""/>
    <s v=""/>
  </r>
  <r>
    <s v="Guinea"/>
    <s v="Sub-Saharan Africa"/>
    <s v="P065127"/>
    <s v="C1"/>
    <s v=""/>
    <s v="P065127C1"/>
    <s v="Ratio"/>
    <s v="2004 / 2013"/>
    <s v="Upgrading"/>
    <s v=""/>
    <n v="0.62992125984251968"/>
    <m/>
    <m/>
    <n v="0.79497907949790803"/>
    <n v="1.262029288702929"/>
    <s v=""/>
    <n v="0"/>
    <n v="0"/>
    <x v="1"/>
    <x v="0"/>
    <s v=""/>
    <s v=""/>
    <s v=""/>
    <s v=""/>
    <s v=""/>
    <s v=""/>
    <s v=""/>
    <s v=""/>
    <s v=""/>
    <s v=""/>
  </r>
  <r>
    <s v="Uganda"/>
    <s v="Sub-Saharan Africa"/>
    <s v="P065436"/>
    <s v="C1"/>
    <s v=""/>
    <s v="P065436C1"/>
    <s v="Ratio"/>
    <s v="2001 / 2009"/>
    <s v="Strengthening"/>
    <s v=""/>
    <n v="1"/>
    <m/>
    <m/>
    <n v="1.1677935697530013"/>
    <n v="1.1677935697530011"/>
    <s v=""/>
    <n v="0"/>
    <n v="0"/>
    <x v="1"/>
    <x v="0"/>
    <s v=""/>
    <s v=""/>
    <s v=""/>
    <s v=""/>
    <s v=""/>
    <s v=""/>
    <s v=""/>
    <s v=""/>
    <s v=""/>
    <s v=""/>
  </r>
  <r>
    <s v="Uganda"/>
    <s v="Sub-Saharan Africa"/>
    <s v="P065436"/>
    <s v="C1"/>
    <s v="S1"/>
    <s v="P065436C1S1"/>
    <s v="Ratio"/>
    <s v="2001 / 2009"/>
    <s v="Upgrading"/>
    <n v="1.1111111111111112"/>
    <n v="1"/>
    <m/>
    <m/>
    <n v="1.2345070422535214"/>
    <n v="1.2345070422535211"/>
    <s v=""/>
    <n v="0"/>
    <n v="0"/>
    <x v="1"/>
    <x v="0"/>
    <s v=""/>
    <s v=""/>
    <s v=""/>
    <s v=""/>
    <s v=""/>
    <s v=""/>
    <s v=""/>
    <s v=""/>
    <s v=""/>
    <s v=""/>
  </r>
  <r>
    <s v="Uganda"/>
    <s v="Sub-Saharan Africa"/>
    <s v="P065436"/>
    <s v="C1"/>
    <s v="S2"/>
    <s v="P065436C1S2"/>
    <s v="Ratio"/>
    <s v="2001 / 2009"/>
    <s v="Upgrading"/>
    <n v="0.88888888888888884"/>
    <n v="1"/>
    <m/>
    <m/>
    <n v="1.104602510460251"/>
    <n v="1.104602510460251"/>
    <s v=""/>
    <n v="0"/>
    <n v="0"/>
    <x v="1"/>
    <x v="0"/>
    <s v=""/>
    <s v=""/>
    <s v=""/>
    <s v=""/>
    <s v=""/>
    <s v=""/>
    <s v=""/>
    <s v=""/>
    <s v=""/>
    <s v=""/>
  </r>
  <r>
    <s v="Uganda"/>
    <s v="Sub-Saharan Africa"/>
    <s v="P065436"/>
    <s v="C1"/>
    <s v="S3"/>
    <s v="P065436C1S3"/>
    <s v="Ratio"/>
    <s v="2001 / 2009"/>
    <s v="Strengthening"/>
    <n v="2"/>
    <n v="1"/>
    <m/>
    <m/>
    <n v="1.2054794520547945"/>
    <n v="1.2054794520547947"/>
    <s v=""/>
    <n v="0"/>
    <n v="0"/>
    <x v="1"/>
    <x v="0"/>
    <s v=""/>
    <s v=""/>
    <s v=""/>
    <s v=""/>
    <s v=""/>
    <s v=""/>
    <s v=""/>
    <s v=""/>
    <s v=""/>
    <s v=""/>
  </r>
  <r>
    <s v="Uganda"/>
    <s v="Sub-Saharan Africa"/>
    <s v="P065436"/>
    <s v="C1"/>
    <s v="S4"/>
    <s v="P065436C1S4"/>
    <s v="Ratio"/>
    <s v="2001 / 2009"/>
    <s v="Strengthening"/>
    <n v="1.375"/>
    <n v="1"/>
    <m/>
    <m/>
    <n v="1.2821292775665398"/>
    <n v="1.28212927756654"/>
    <s v=""/>
    <n v="0"/>
    <n v="0"/>
    <x v="1"/>
    <x v="0"/>
    <s v=""/>
    <s v=""/>
    <s v=""/>
    <s v=""/>
    <s v=""/>
    <s v=""/>
    <s v=""/>
    <s v=""/>
    <s v=""/>
    <s v=""/>
  </r>
  <r>
    <s v="Mexico"/>
    <s v="Latin America and Caribbean"/>
    <s v="P065779"/>
    <s v="C1"/>
    <s v="S1"/>
    <s v="P065779C1S1"/>
    <s v="Ratio"/>
    <s v="2000 / 2007"/>
    <s v="Reconstruction"/>
    <s v=""/>
    <n v="1"/>
    <m/>
    <m/>
    <n v="0.95061728395061729"/>
    <n v="0.95061728395061718"/>
    <s v=""/>
    <n v="0"/>
    <n v="0"/>
    <x v="1"/>
    <x v="0"/>
    <s v=""/>
    <s v=""/>
    <s v=""/>
    <s v=""/>
    <s v=""/>
    <s v=""/>
    <s v=""/>
    <s v=""/>
    <s v=""/>
    <s v=""/>
  </r>
  <r>
    <s v="Mexico"/>
    <s v="Latin America and Caribbean"/>
    <s v="P065779"/>
    <s v="C1"/>
    <s v="S10"/>
    <s v="P065779C1S10"/>
    <s v="Ratio"/>
    <s v="2000 / 2007"/>
    <s v="Reconstruction"/>
    <s v=""/>
    <n v="1"/>
    <m/>
    <m/>
    <n v="1.4259259259259258"/>
    <n v="1.425925925925926"/>
    <s v=""/>
    <n v="0"/>
    <n v="0"/>
    <x v="1"/>
    <x v="0"/>
    <s v=""/>
    <s v=""/>
    <s v=""/>
    <s v=""/>
    <s v=""/>
    <s v=""/>
    <s v=""/>
    <s v=""/>
    <s v=""/>
    <s v=""/>
  </r>
  <r>
    <s v="Mexico"/>
    <s v="Latin America and Caribbean"/>
    <s v="P065779"/>
    <s v="C1"/>
    <s v="S11"/>
    <s v="P065779C1S11"/>
    <s v="Ratio"/>
    <s v="2000 / 2007"/>
    <s v="Reconstruction"/>
    <s v=""/>
    <n v="1"/>
    <m/>
    <m/>
    <n v="1.3703703703703702"/>
    <n v="1.3703703703703702"/>
    <s v=""/>
    <n v="0"/>
    <n v="0"/>
    <x v="1"/>
    <x v="0"/>
    <s v=""/>
    <s v=""/>
    <s v=""/>
    <s v=""/>
    <s v=""/>
    <s v=""/>
    <s v=""/>
    <s v=""/>
    <s v=""/>
    <s v=""/>
  </r>
  <r>
    <s v="Mexico"/>
    <s v="Latin America and Caribbean"/>
    <s v="P065779"/>
    <s v="C1"/>
    <s v="S12"/>
    <s v="P065779C1S12"/>
    <s v="Ratio"/>
    <s v="2000 / 2007"/>
    <s v="Reconstruction"/>
    <s v=""/>
    <n v="1"/>
    <m/>
    <m/>
    <n v="0.85106382978723405"/>
    <n v="0.85106382978723405"/>
    <s v=""/>
    <n v="0"/>
    <n v="0"/>
    <x v="1"/>
    <x v="0"/>
    <s v=""/>
    <s v=""/>
    <s v=""/>
    <s v=""/>
    <s v=""/>
    <s v=""/>
    <s v=""/>
    <s v=""/>
    <s v=""/>
    <s v=""/>
  </r>
  <r>
    <s v="Mexico"/>
    <s v="Latin America and Caribbean"/>
    <s v="P065779"/>
    <s v="C1"/>
    <s v="S13"/>
    <s v="P065779C1S13"/>
    <s v="Ratio"/>
    <s v="2000 / 2007"/>
    <s v="Reconstruction"/>
    <s v=""/>
    <n v="1"/>
    <m/>
    <m/>
    <n v="1.8"/>
    <n v="1.8"/>
    <s v="x"/>
    <n v="0"/>
    <n v="0"/>
    <x v="0"/>
    <x v="0"/>
    <s v=""/>
    <s v=""/>
    <s v=""/>
    <s v=""/>
    <s v=""/>
    <n v="1"/>
    <s v=""/>
    <s v=""/>
    <n v="1"/>
    <s v=""/>
  </r>
  <r>
    <s v="Mexico"/>
    <s v="Latin America and Caribbean"/>
    <s v="P065779"/>
    <s v="C1"/>
    <s v="S14"/>
    <s v="P065779C1S14"/>
    <s v="Ratio"/>
    <s v="2000 / 2007"/>
    <s v="Reconstruction"/>
    <s v=""/>
    <n v="0.85"/>
    <m/>
    <m/>
    <n v="2.5500000000000003"/>
    <n v="3"/>
    <s v="x"/>
    <n v="0"/>
    <n v="0"/>
    <x v="0"/>
    <x v="0"/>
    <s v=""/>
    <s v=""/>
    <s v=""/>
    <s v=""/>
    <s v=""/>
    <n v="1"/>
    <s v=""/>
    <s v=""/>
    <n v="1"/>
    <s v=""/>
  </r>
  <r>
    <s v="Mexico"/>
    <s v="Latin America and Caribbean"/>
    <s v="P065779"/>
    <s v="C1"/>
    <s v="S15"/>
    <s v="P065779C1S15"/>
    <s v="Ratio"/>
    <s v="2000 / 2007"/>
    <s v="Reconstruction"/>
    <s v=""/>
    <n v="1"/>
    <m/>
    <m/>
    <n v="0.77016129032258063"/>
    <n v="0.77016129032258052"/>
    <s v=""/>
    <n v="0"/>
    <n v="0"/>
    <x v="1"/>
    <x v="0"/>
    <s v=""/>
    <s v=""/>
    <s v=""/>
    <s v=""/>
    <s v=""/>
    <s v=""/>
    <s v=""/>
    <s v=""/>
    <s v=""/>
    <s v=""/>
  </r>
  <r>
    <s v="Mexico"/>
    <s v="Latin America and Caribbean"/>
    <s v="P065779"/>
    <s v="C1"/>
    <s v="S16"/>
    <s v="P065779C1S16"/>
    <s v="Ratio"/>
    <s v="2000 / 2007"/>
    <s v="Reconstruction"/>
    <s v=""/>
    <n v="1"/>
    <m/>
    <m/>
    <n v="0.91304347826086962"/>
    <n v="0.91304347826086973"/>
    <s v=""/>
    <n v="0"/>
    <n v="0"/>
    <x v="1"/>
    <x v="0"/>
    <s v=""/>
    <s v=""/>
    <s v=""/>
    <s v=""/>
    <s v=""/>
    <s v=""/>
    <s v=""/>
    <s v=""/>
    <s v=""/>
    <s v=""/>
  </r>
  <r>
    <s v="Mexico"/>
    <s v="Latin America and Caribbean"/>
    <s v="P065779"/>
    <s v="C1"/>
    <s v="S17"/>
    <s v="P065779C1S17"/>
    <s v="Ratio"/>
    <s v="2000 / 2007"/>
    <s v="Asphalt Mix Resurfacing"/>
    <s v=""/>
    <n v="1"/>
    <m/>
    <m/>
    <n v="0.18861209964412812"/>
    <n v="0.18861209964412812"/>
    <s v="x"/>
    <n v="0"/>
    <n v="0"/>
    <x v="1"/>
    <x v="1"/>
    <s v=""/>
    <s v=""/>
    <s v=""/>
    <s v=""/>
    <s v=""/>
    <s v=""/>
    <s v=""/>
    <s v=""/>
    <s v=""/>
    <n v="1"/>
  </r>
  <r>
    <s v="Mexico"/>
    <s v="Latin America and Caribbean"/>
    <s v="P065779"/>
    <s v="C1"/>
    <s v="S18"/>
    <s v="P065779C1S18"/>
    <s v="Ratio"/>
    <s v="2000 / 2007"/>
    <s v="Reconstruction"/>
    <s v=""/>
    <n v="1"/>
    <m/>
    <m/>
    <n v="1.25"/>
    <n v="1.2499999999999998"/>
    <s v=""/>
    <n v="0"/>
    <n v="0"/>
    <x v="1"/>
    <x v="0"/>
    <s v=""/>
    <s v=""/>
    <s v=""/>
    <s v=""/>
    <s v=""/>
    <s v=""/>
    <s v=""/>
    <s v=""/>
    <s v=""/>
    <s v=""/>
  </r>
  <r>
    <s v="Mexico"/>
    <s v="Latin America and Caribbean"/>
    <s v="P065779"/>
    <s v="C1"/>
    <s v="S19"/>
    <s v="P065779C1S19"/>
    <s v="Ratio"/>
    <s v="2000 / 2007"/>
    <s v="Reconstruction"/>
    <s v=""/>
    <n v="1"/>
    <m/>
    <m/>
    <n v="1.5298507462686566"/>
    <n v="1.5298507462686564"/>
    <s v="x"/>
    <n v="0"/>
    <n v="0"/>
    <x v="0"/>
    <x v="0"/>
    <s v=""/>
    <s v=""/>
    <s v=""/>
    <s v=""/>
    <s v=""/>
    <n v="1"/>
    <s v=""/>
    <s v=""/>
    <n v="1"/>
    <s v=""/>
  </r>
  <r>
    <s v="Mexico"/>
    <s v="Latin America and Caribbean"/>
    <s v="P065779"/>
    <s v="C1"/>
    <s v="S2"/>
    <s v="P065779C1S2"/>
    <s v="Ratio"/>
    <s v="2000 / 2007"/>
    <s v="Reconstruction"/>
    <s v=""/>
    <n v="1"/>
    <m/>
    <m/>
    <n v="0.64516129032258074"/>
    <n v="0.64516129032258074"/>
    <s v=""/>
    <n v="0"/>
    <n v="0"/>
    <x v="1"/>
    <x v="0"/>
    <s v=""/>
    <s v=""/>
    <s v=""/>
    <s v=""/>
    <s v=""/>
    <s v=""/>
    <s v=""/>
    <s v=""/>
    <s v=""/>
    <s v=""/>
  </r>
  <r>
    <s v="Mexico"/>
    <s v="Latin America and Caribbean"/>
    <s v="P065779"/>
    <s v="C1"/>
    <s v="S20"/>
    <s v="P065779C1S20"/>
    <s v="Ratio"/>
    <s v="2000 / 2007"/>
    <s v="Reconstruction"/>
    <s v=""/>
    <n v="1"/>
    <m/>
    <m/>
    <n v="1.306878306878307"/>
    <n v="1.306878306878307"/>
    <s v=""/>
    <n v="0"/>
    <n v="0"/>
    <x v="1"/>
    <x v="0"/>
    <s v=""/>
    <s v=""/>
    <s v=""/>
    <s v=""/>
    <s v=""/>
    <s v=""/>
    <s v=""/>
    <s v=""/>
    <s v=""/>
    <s v=""/>
  </r>
  <r>
    <s v="Mexico"/>
    <s v="Latin America and Caribbean"/>
    <s v="P065779"/>
    <s v="C1"/>
    <s v="S21"/>
    <s v="P065779C1S21"/>
    <s v="Ratio"/>
    <s v="2000 / 2007"/>
    <s v="Asphalt Mix Resurfacing"/>
    <s v=""/>
    <n v="0.46728971962616828"/>
    <m/>
    <m/>
    <n v="0.19480519480519481"/>
    <n v="0.4168831168831168"/>
    <s v="x"/>
    <n v="0"/>
    <n v="1"/>
    <x v="1"/>
    <x v="1"/>
    <s v=""/>
    <s v=""/>
    <s v=""/>
    <s v=""/>
    <s v=""/>
    <s v=""/>
    <s v=""/>
    <s v=""/>
    <s v=""/>
    <n v="1"/>
  </r>
  <r>
    <s v="Mexico"/>
    <s v="Latin America and Caribbean"/>
    <s v="P065779"/>
    <s v="C1"/>
    <s v="S22"/>
    <s v="P065779C1S22"/>
    <s v="Ratio"/>
    <s v="2000 / 2007"/>
    <s v="Asphalt Mix Resurfacing"/>
    <s v=""/>
    <n v="1.0083333333333333"/>
    <m/>
    <m/>
    <n v="0.64814814814814803"/>
    <n v="0.64279155188246084"/>
    <s v=""/>
    <n v="0"/>
    <n v="0"/>
    <x v="1"/>
    <x v="0"/>
    <s v=""/>
    <s v=""/>
    <s v=""/>
    <s v=""/>
    <s v=""/>
    <s v=""/>
    <s v=""/>
    <s v=""/>
    <s v=""/>
    <s v=""/>
  </r>
  <r>
    <s v="Mexico"/>
    <s v="Latin America and Caribbean"/>
    <s v="P065779"/>
    <s v="C1"/>
    <s v="S23"/>
    <s v="P065779C1S23"/>
    <s v="Ratio"/>
    <s v="2000 / 2007"/>
    <s v="Reconstruction"/>
    <s v=""/>
    <n v="1"/>
    <m/>
    <m/>
    <n v="0.91666666666666674"/>
    <n v="0.91666666666666674"/>
    <s v=""/>
    <n v="0"/>
    <n v="0"/>
    <x v="1"/>
    <x v="0"/>
    <s v=""/>
    <s v=""/>
    <s v=""/>
    <s v=""/>
    <s v=""/>
    <s v=""/>
    <s v=""/>
    <s v=""/>
    <s v=""/>
    <s v=""/>
  </r>
  <r>
    <s v="Mexico"/>
    <s v="Latin America and Caribbean"/>
    <s v="P065779"/>
    <s v="C1"/>
    <s v="S24"/>
    <s v="P065779C1S24"/>
    <s v="Ratio"/>
    <s v="2000 / 2007"/>
    <s v="Reconstruction"/>
    <s v=""/>
    <n v="1"/>
    <m/>
    <m/>
    <n v="0.7142857142857143"/>
    <n v="0.7142857142857143"/>
    <s v=""/>
    <n v="0"/>
    <n v="0"/>
    <x v="1"/>
    <x v="0"/>
    <s v=""/>
    <s v=""/>
    <s v=""/>
    <s v=""/>
    <s v=""/>
    <s v=""/>
    <s v=""/>
    <s v=""/>
    <s v=""/>
    <s v=""/>
  </r>
  <r>
    <s v="Mexico"/>
    <s v="Latin America and Caribbean"/>
    <s v="P065779"/>
    <s v="C1"/>
    <s v="S25"/>
    <s v="P065779C1S25"/>
    <s v="Ratio"/>
    <s v="2000 / 2007"/>
    <s v="Asphalt Mix Resurfacing"/>
    <s v=""/>
    <n v="0.96202531645569611"/>
    <m/>
    <m/>
    <n v="1.7142857142857142"/>
    <n v="1.7819548872180451"/>
    <s v="x"/>
    <n v="0"/>
    <n v="0"/>
    <x v="0"/>
    <x v="0"/>
    <s v=""/>
    <s v=""/>
    <s v=""/>
    <s v=""/>
    <s v=""/>
    <n v="1"/>
    <s v=""/>
    <s v=""/>
    <n v="1"/>
    <s v=""/>
  </r>
  <r>
    <s v="Mexico"/>
    <s v="Latin America and Caribbean"/>
    <s v="P065779"/>
    <s v="C1"/>
    <s v="S26"/>
    <s v="P065779C1S26"/>
    <s v="Ratio"/>
    <s v="2000 / 2007"/>
    <s v="Asphalt Mix Resurfacing"/>
    <s v=""/>
    <n v="1"/>
    <m/>
    <m/>
    <n v="1.26984126984127"/>
    <n v="1.2698412698412698"/>
    <s v=""/>
    <n v="0"/>
    <n v="0"/>
    <x v="1"/>
    <x v="0"/>
    <s v=""/>
    <s v=""/>
    <s v=""/>
    <s v=""/>
    <s v=""/>
    <s v=""/>
    <s v=""/>
    <s v=""/>
    <s v=""/>
    <s v=""/>
  </r>
  <r>
    <s v="Mexico"/>
    <s v="Latin America and Caribbean"/>
    <s v="P065779"/>
    <s v="C1"/>
    <s v="S27"/>
    <s v="P065779C1S27"/>
    <s v="Ratio"/>
    <s v="2000 / 2007"/>
    <s v="Asphalt Mix Resurfacing"/>
    <s v=""/>
    <n v="1"/>
    <m/>
    <m/>
    <n v="1.2545454545454544"/>
    <n v="1.2545454545454544"/>
    <s v=""/>
    <n v="0"/>
    <n v="0"/>
    <x v="1"/>
    <x v="0"/>
    <s v=""/>
    <s v=""/>
    <s v=""/>
    <s v=""/>
    <s v=""/>
    <s v=""/>
    <s v=""/>
    <s v=""/>
    <s v=""/>
    <s v=""/>
  </r>
  <r>
    <s v="Mexico"/>
    <s v="Latin America and Caribbean"/>
    <s v="P065779"/>
    <s v="C1"/>
    <s v="S28"/>
    <s v="P065779C1S28"/>
    <s v="Ratio"/>
    <s v="2000 / 2007"/>
    <s v="Asphalt Mix Resurfacing"/>
    <s v=""/>
    <n v="1"/>
    <m/>
    <m/>
    <n v="2.3877551020408161"/>
    <n v="2.3877551020408161"/>
    <s v="x"/>
    <n v="0"/>
    <n v="0"/>
    <x v="0"/>
    <x v="0"/>
    <s v=""/>
    <s v=""/>
    <s v=""/>
    <s v=""/>
    <s v=""/>
    <n v="1"/>
    <s v=""/>
    <s v=""/>
    <n v="1"/>
    <s v=""/>
  </r>
  <r>
    <s v="Mexico"/>
    <s v="Latin America and Caribbean"/>
    <s v="P065779"/>
    <s v="C1"/>
    <s v="S29"/>
    <s v="P065779C1S29"/>
    <s v="Ratio"/>
    <s v="2000 / 2007"/>
    <s v="Asphalt Mix Resurfacing"/>
    <s v=""/>
    <n v="1"/>
    <m/>
    <m/>
    <n v="2"/>
    <n v="2"/>
    <s v="x"/>
    <n v="0"/>
    <n v="0"/>
    <x v="0"/>
    <x v="0"/>
    <s v=""/>
    <s v=""/>
    <s v=""/>
    <s v=""/>
    <s v=""/>
    <n v="1"/>
    <s v=""/>
    <s v=""/>
    <n v="1"/>
    <s v=""/>
  </r>
  <r>
    <s v="Mexico"/>
    <s v="Latin America and Caribbean"/>
    <s v="P065779"/>
    <s v="C1"/>
    <s v="S3"/>
    <s v="P065779C1S3"/>
    <s v="Ratio"/>
    <s v="2000 / 2007"/>
    <s v="Reconstruction"/>
    <s v=""/>
    <n v="1"/>
    <m/>
    <m/>
    <n v="0.5"/>
    <n v="0.5"/>
    <s v=""/>
    <n v="0"/>
    <n v="0"/>
    <x v="1"/>
    <x v="0"/>
    <s v=""/>
    <s v=""/>
    <s v=""/>
    <s v=""/>
    <s v=""/>
    <s v=""/>
    <s v=""/>
    <s v=""/>
    <s v=""/>
    <s v=""/>
  </r>
  <r>
    <s v="Mexico"/>
    <s v="Latin America and Caribbean"/>
    <s v="P065779"/>
    <s v="C1"/>
    <s v="S30"/>
    <s v="P065779C1S30"/>
    <s v="Ratio"/>
    <s v="2000 / 2007"/>
    <s v="Asphalt Mix Resurfacing"/>
    <s v=""/>
    <n v="1"/>
    <m/>
    <m/>
    <n v="1.9411764705882353"/>
    <n v="1.9411764705882353"/>
    <s v="x"/>
    <n v="0"/>
    <n v="0"/>
    <x v="0"/>
    <x v="0"/>
    <s v=""/>
    <s v=""/>
    <s v=""/>
    <s v=""/>
    <s v=""/>
    <n v="1"/>
    <s v=""/>
    <s v=""/>
    <n v="1"/>
    <s v=""/>
  </r>
  <r>
    <s v="Mexico"/>
    <s v="Latin America and Caribbean"/>
    <s v="P065779"/>
    <s v="C1"/>
    <s v="S31"/>
    <s v="P065779C1S31"/>
    <s v="Ratio"/>
    <s v="2000 / 2007"/>
    <s v="Asphalt Mix Resurfacing"/>
    <s v=""/>
    <n v="1"/>
    <m/>
    <m/>
    <n v="1.1666666666666667"/>
    <n v="1.1666666666666667"/>
    <s v=""/>
    <n v="0"/>
    <n v="0"/>
    <x v="1"/>
    <x v="0"/>
    <s v=""/>
    <s v=""/>
    <s v=""/>
    <s v=""/>
    <s v=""/>
    <s v=""/>
    <s v=""/>
    <s v=""/>
    <s v=""/>
    <s v=""/>
  </r>
  <r>
    <s v="Mexico"/>
    <s v="Latin America and Caribbean"/>
    <s v="P065779"/>
    <s v="C1"/>
    <s v="S32"/>
    <s v="P065779C1S32"/>
    <s v="Ratio"/>
    <s v="2000 / 2007"/>
    <s v="Asphalt Mix Resurfacing"/>
    <s v=""/>
    <n v="1"/>
    <m/>
    <m/>
    <n v="0.44444444444444442"/>
    <n v="0.44444444444444442"/>
    <s v="x"/>
    <n v="0"/>
    <n v="0"/>
    <x v="1"/>
    <x v="1"/>
    <s v=""/>
    <s v=""/>
    <s v=""/>
    <s v=""/>
    <s v=""/>
    <s v=""/>
    <s v=""/>
    <s v=""/>
    <s v=""/>
    <n v="1"/>
  </r>
  <r>
    <s v="Mexico"/>
    <s v="Latin America and Caribbean"/>
    <s v="P065779"/>
    <s v="C1"/>
    <s v="S33"/>
    <s v="P065779C1S33"/>
    <s v="Ratio"/>
    <s v="2000 / 2007"/>
    <s v="Asphalt Mix Resurfacing"/>
    <s v=""/>
    <n v="1"/>
    <m/>
    <m/>
    <n v="1.9295774647887327"/>
    <n v="1.9295774647887325"/>
    <s v="x"/>
    <n v="0"/>
    <n v="0"/>
    <x v="0"/>
    <x v="0"/>
    <s v=""/>
    <s v=""/>
    <s v=""/>
    <n v="1"/>
    <s v=""/>
    <n v="1"/>
    <s v=""/>
    <s v=""/>
    <s v=""/>
    <n v="1"/>
  </r>
  <r>
    <s v="Mexico"/>
    <s v="Latin America and Caribbean"/>
    <s v="P065779"/>
    <s v="C1"/>
    <s v="S34"/>
    <s v="P065779C1S34"/>
    <s v="Ratio"/>
    <s v="2000 / 2007"/>
    <s v="Asphalt Mix Resurfacing"/>
    <s v=""/>
    <n v="1.6"/>
    <m/>
    <m/>
    <n v="3.2307692307692304"/>
    <n v="2.0192307692307692"/>
    <s v="x"/>
    <n v="1"/>
    <n v="0"/>
    <x v="0"/>
    <x v="0"/>
    <s v=""/>
    <s v=""/>
    <s v=""/>
    <s v=""/>
    <s v=""/>
    <n v="1"/>
    <s v=""/>
    <s v=""/>
    <n v="1"/>
    <n v="1"/>
  </r>
  <r>
    <s v="Mexico"/>
    <s v="Latin America and Caribbean"/>
    <s v="P065779"/>
    <s v="C1"/>
    <s v="S35"/>
    <s v="P065779C1S35"/>
    <s v="Ratio"/>
    <s v="2000 / 2007"/>
    <s v="Asphalt Mix Resurfacing"/>
    <s v=""/>
    <n v="1"/>
    <m/>
    <m/>
    <n v="3"/>
    <n v="3"/>
    <s v="x"/>
    <n v="0"/>
    <n v="0"/>
    <x v="0"/>
    <x v="0"/>
    <s v=""/>
    <s v=""/>
    <s v=""/>
    <s v=""/>
    <s v=""/>
    <n v="1"/>
    <s v=""/>
    <s v=""/>
    <n v="1"/>
    <s v=""/>
  </r>
  <r>
    <s v="Mexico"/>
    <s v="Latin America and Caribbean"/>
    <s v="P065779"/>
    <s v="C1"/>
    <s v="S36"/>
    <s v="P065779C1S36"/>
    <s v="Ratio"/>
    <s v="2000 / 2007"/>
    <s v="Asphalt Mix Resurfacing"/>
    <s v=""/>
    <n v="1.09375"/>
    <m/>
    <m/>
    <n v="3.5"/>
    <n v="3.2"/>
    <s v="x"/>
    <n v="0"/>
    <n v="0"/>
    <x v="0"/>
    <x v="0"/>
    <s v=""/>
    <s v=""/>
    <s v=""/>
    <s v=""/>
    <s v=""/>
    <n v="1"/>
    <s v=""/>
    <s v=""/>
    <n v="1"/>
    <s v=""/>
  </r>
  <r>
    <s v="Mexico"/>
    <s v="Latin America and Caribbean"/>
    <s v="P065779"/>
    <s v="C1"/>
    <s v="S37"/>
    <s v="P065779C1S37"/>
    <s v="Ratio"/>
    <s v="2000 / 2007"/>
    <s v="Asphalt Mix Resurfacing"/>
    <s v=""/>
    <n v="1"/>
    <m/>
    <m/>
    <n v="1.5037593984962405"/>
    <n v="1.5037593984962405"/>
    <s v="x"/>
    <n v="0"/>
    <n v="0"/>
    <x v="0"/>
    <x v="0"/>
    <s v=""/>
    <s v=""/>
    <s v=""/>
    <s v=""/>
    <s v=""/>
    <n v="1"/>
    <s v=""/>
    <s v=""/>
    <n v="1"/>
    <s v=""/>
  </r>
  <r>
    <s v="Mexico"/>
    <s v="Latin America and Caribbean"/>
    <s v="P065779"/>
    <s v="C1"/>
    <s v="S38"/>
    <s v="P065779C1S38"/>
    <s v="Ratio"/>
    <s v="2000 / 2007"/>
    <s v="Asphalt Mix Resurfacing"/>
    <s v=""/>
    <n v="0.99032258064516132"/>
    <m/>
    <m/>
    <n v="0.88124999999999987"/>
    <n v="0.88986156351791534"/>
    <s v=""/>
    <n v="0"/>
    <n v="0"/>
    <x v="1"/>
    <x v="0"/>
    <s v=""/>
    <s v=""/>
    <s v=""/>
    <s v=""/>
    <s v=""/>
    <s v=""/>
    <s v=""/>
    <s v=""/>
    <s v=""/>
    <s v=""/>
  </r>
  <r>
    <s v="Mexico"/>
    <s v="Latin America and Caribbean"/>
    <s v="P065779"/>
    <s v="C1"/>
    <s v="S39"/>
    <s v="P065779C1S39"/>
    <s v="Ratio"/>
    <s v="2000 / 2007"/>
    <s v="Reconstruction"/>
    <s v=""/>
    <n v="1"/>
    <m/>
    <m/>
    <n v="7.5"/>
    <n v="7.5000000000000009"/>
    <s v="x"/>
    <n v="0"/>
    <n v="0"/>
    <x v="0"/>
    <x v="0"/>
    <s v=""/>
    <s v=""/>
    <s v=""/>
    <s v=""/>
    <s v=""/>
    <n v="1"/>
    <s v=""/>
    <s v=""/>
    <n v="1"/>
    <s v=""/>
  </r>
  <r>
    <s v="Mexico"/>
    <s v="Latin America and Caribbean"/>
    <s v="P065779"/>
    <s v="C1"/>
    <s v="S4"/>
    <s v="P065779C1S4"/>
    <s v="Ratio"/>
    <s v="2000 / 2007"/>
    <s v="Reconstruction"/>
    <s v=""/>
    <n v="1"/>
    <m/>
    <m/>
    <n v="0.84158415841584155"/>
    <n v="0.84158415841584155"/>
    <s v=""/>
    <n v="0"/>
    <n v="0"/>
    <x v="1"/>
    <x v="0"/>
    <s v=""/>
    <s v=""/>
    <s v=""/>
    <s v=""/>
    <s v=""/>
    <s v=""/>
    <s v=""/>
    <s v=""/>
    <s v=""/>
    <s v=""/>
  </r>
  <r>
    <s v="Mexico"/>
    <s v="Latin America and Caribbean"/>
    <s v="P065779"/>
    <s v="C1"/>
    <s v="S40"/>
    <s v="P065779C1S40"/>
    <s v="Ratio"/>
    <s v="2000 / 2007"/>
    <s v="Asphalt Mix Resurfacing"/>
    <s v=""/>
    <n v="4"/>
    <m/>
    <m/>
    <n v="6.6"/>
    <n v="1.65"/>
    <s v="x"/>
    <n v="1"/>
    <n v="0"/>
    <x v="0"/>
    <x v="0"/>
    <s v=""/>
    <s v=""/>
    <s v=""/>
    <s v=""/>
    <s v=""/>
    <n v="1"/>
    <s v=""/>
    <s v=""/>
    <n v="1"/>
    <n v="1"/>
  </r>
  <r>
    <s v="Mexico"/>
    <s v="Latin America and Caribbean"/>
    <s v="P065779"/>
    <s v="C1"/>
    <s v="S41"/>
    <s v="P065779C1S41"/>
    <s v="Ratio"/>
    <s v="2000 / 2007"/>
    <s v="Reconstruction"/>
    <s v=""/>
    <n v="1"/>
    <m/>
    <m/>
    <n v="2.248062015503876"/>
    <n v="2.2480620155038755"/>
    <s v="x"/>
    <n v="0"/>
    <n v="0"/>
    <x v="0"/>
    <x v="0"/>
    <s v=""/>
    <s v=""/>
    <s v=""/>
    <s v=""/>
    <s v=""/>
    <n v="1"/>
    <s v=""/>
    <s v=""/>
    <n v="1"/>
    <s v=""/>
  </r>
  <r>
    <s v="Mexico"/>
    <s v="Latin America and Caribbean"/>
    <s v="P065779"/>
    <s v="C1"/>
    <s v="S42"/>
    <s v="P065779C1S42"/>
    <s v="Ratio"/>
    <s v="2000 / 2007"/>
    <s v="Asphalt Mix Resurfacing"/>
    <s v=""/>
    <n v="1"/>
    <m/>
    <m/>
    <n v="2.043478260869565"/>
    <n v="2.0434782608695654"/>
    <s v="x"/>
    <n v="0"/>
    <n v="0"/>
    <x v="0"/>
    <x v="0"/>
    <s v=""/>
    <s v=""/>
    <s v=""/>
    <s v=""/>
    <s v=""/>
    <n v="1"/>
    <s v=""/>
    <s v=""/>
    <n v="1"/>
    <s v=""/>
  </r>
  <r>
    <s v="Mexico"/>
    <s v="Latin America and Caribbean"/>
    <s v="P065779"/>
    <s v="C1"/>
    <s v="S43"/>
    <s v="P065779C1S43"/>
    <s v="Ratio"/>
    <s v="2000 / 2007"/>
    <s v="Asphalt Mix Resurfacing"/>
    <s v=""/>
    <n v="1"/>
    <m/>
    <m/>
    <n v="1.1111111111111112"/>
    <n v="1.1111111111111112"/>
    <s v=""/>
    <n v="0"/>
    <n v="0"/>
    <x v="1"/>
    <x v="0"/>
    <s v=""/>
    <s v=""/>
    <s v=""/>
    <s v=""/>
    <s v=""/>
    <s v=""/>
    <s v=""/>
    <s v=""/>
    <s v=""/>
    <s v=""/>
  </r>
  <r>
    <s v="Mexico"/>
    <s v="Latin America and Caribbean"/>
    <s v="P065779"/>
    <s v="C1"/>
    <s v="S44"/>
    <s v="P065779C1S44"/>
    <s v="Ratio"/>
    <s v="2000 / 2007"/>
    <s v="Reconstruction"/>
    <s v=""/>
    <n v="0.95833333333333337"/>
    <m/>
    <m/>
    <n v="6.9230769230769234"/>
    <n v="7.2240802675585289"/>
    <s v="x"/>
    <n v="0"/>
    <n v="0"/>
    <x v="0"/>
    <x v="0"/>
    <s v=""/>
    <s v=""/>
    <s v=""/>
    <s v=""/>
    <s v=""/>
    <n v="1"/>
    <s v=""/>
    <s v=""/>
    <n v="1"/>
    <s v=""/>
  </r>
  <r>
    <s v="Mexico"/>
    <s v="Latin America and Caribbean"/>
    <s v="P065779"/>
    <s v="C1"/>
    <s v="S45"/>
    <s v="P065779C1S45"/>
    <s v="Ratio"/>
    <s v="2000 / 2007"/>
    <s v="Asphalt Mix Resurfacing"/>
    <s v=""/>
    <n v="1"/>
    <m/>
    <m/>
    <n v="0.89743589743589736"/>
    <n v="0.89743589743589747"/>
    <s v=""/>
    <n v="0"/>
    <n v="0"/>
    <x v="1"/>
    <x v="0"/>
    <s v=""/>
    <s v=""/>
    <s v=""/>
    <s v=""/>
    <s v=""/>
    <s v=""/>
    <s v=""/>
    <s v=""/>
    <s v=""/>
    <s v=""/>
  </r>
  <r>
    <s v="Mexico"/>
    <s v="Latin America and Caribbean"/>
    <s v="P065779"/>
    <s v="C1"/>
    <s v="S46"/>
    <s v="P065779C1S46"/>
    <s v="Ratio"/>
    <s v="2000 / 2007"/>
    <s v="Asphalt Mix Resurfacing"/>
    <s v=""/>
    <n v="1"/>
    <m/>
    <m/>
    <n v="1.607142857142857"/>
    <n v="1.6071428571428572"/>
    <s v="x"/>
    <n v="0"/>
    <n v="0"/>
    <x v="0"/>
    <x v="0"/>
    <s v=""/>
    <s v=""/>
    <s v=""/>
    <s v=""/>
    <s v=""/>
    <n v="1"/>
    <s v=""/>
    <s v=""/>
    <n v="1"/>
    <s v=""/>
  </r>
  <r>
    <s v="Mexico"/>
    <s v="Latin America and Caribbean"/>
    <s v="P065779"/>
    <s v="C1"/>
    <s v="S47"/>
    <s v="P065779C1S47"/>
    <s v="Ratio"/>
    <s v="2000 / 2007"/>
    <s v="Asphalt Mix Resurfacing"/>
    <s v=""/>
    <n v="0.76666666666666672"/>
    <m/>
    <m/>
    <n v="1.1649484536082473"/>
    <n v="1.5194979829672792"/>
    <s v="x"/>
    <n v="0"/>
    <n v="0"/>
    <x v="0"/>
    <x v="0"/>
    <s v=""/>
    <s v=""/>
    <s v=""/>
    <s v=""/>
    <s v=""/>
    <n v="1"/>
    <s v=""/>
    <s v=""/>
    <n v="1"/>
    <s v=""/>
  </r>
  <r>
    <s v="Mexico"/>
    <s v="Latin America and Caribbean"/>
    <s v="P065779"/>
    <s v="C1"/>
    <s v="S48"/>
    <s v="P065779C1S48"/>
    <s v="Ratio"/>
    <s v="2000 / 2007"/>
    <s v="Asphalt Mix Resurfacing"/>
    <s v=""/>
    <n v="1"/>
    <m/>
    <m/>
    <n v="2.9999999999999996"/>
    <n v="2.9999999999999996"/>
    <s v="x"/>
    <n v="0"/>
    <n v="0"/>
    <x v="0"/>
    <x v="0"/>
    <s v=""/>
    <s v=""/>
    <s v=""/>
    <s v=""/>
    <s v=""/>
    <n v="1"/>
    <s v=""/>
    <s v=""/>
    <n v="1"/>
    <s v=""/>
  </r>
  <r>
    <s v="Mexico"/>
    <s v="Latin America and Caribbean"/>
    <s v="P065779"/>
    <s v="C1"/>
    <s v="S49"/>
    <s v="P065779C1S49"/>
    <s v="Ratio"/>
    <s v="2000 / 2007"/>
    <s v="Asphalt Mix Resurfacing"/>
    <s v=""/>
    <n v="1.0555555555555556"/>
    <m/>
    <m/>
    <n v="1.1866666666666668"/>
    <n v="1.1242105263157895"/>
    <s v=""/>
    <n v="0"/>
    <n v="0"/>
    <x v="1"/>
    <x v="0"/>
    <s v=""/>
    <s v=""/>
    <s v=""/>
    <s v=""/>
    <s v=""/>
    <s v=""/>
    <s v=""/>
    <s v=""/>
    <s v=""/>
    <s v=""/>
  </r>
  <r>
    <s v="Mexico"/>
    <s v="Latin America and Caribbean"/>
    <s v="P065779"/>
    <s v="C1"/>
    <s v="S5"/>
    <s v="P065779C1S5"/>
    <s v="Ratio"/>
    <s v="2000 / 2007"/>
    <s v="Reconstruction"/>
    <s v=""/>
    <n v="0.6875"/>
    <m/>
    <m/>
    <n v="0.57777777777777783"/>
    <n v="0.84040404040404038"/>
    <s v=""/>
    <n v="0"/>
    <n v="0"/>
    <x v="1"/>
    <x v="0"/>
    <s v=""/>
    <s v=""/>
    <s v=""/>
    <s v=""/>
    <s v=""/>
    <s v=""/>
    <s v=""/>
    <s v=""/>
    <s v=""/>
    <s v=""/>
  </r>
  <r>
    <s v="Mexico"/>
    <s v="Latin America and Caribbean"/>
    <s v="P065779"/>
    <s v="C1"/>
    <s v="S50"/>
    <s v="P065779C1S50"/>
    <s v="Ratio"/>
    <s v="2000 / 2007"/>
    <s v="Asphalt Mix Resurfacing"/>
    <s v=""/>
    <n v="1"/>
    <m/>
    <m/>
    <n v="1.4618834080717489"/>
    <n v="1.4618834080717489"/>
    <s v=""/>
    <n v="0"/>
    <n v="0"/>
    <x v="1"/>
    <x v="0"/>
    <s v=""/>
    <s v=""/>
    <s v=""/>
    <s v=""/>
    <s v=""/>
    <s v=""/>
    <s v=""/>
    <s v=""/>
    <s v=""/>
    <s v=""/>
  </r>
  <r>
    <s v="Mexico"/>
    <s v="Latin America and Caribbean"/>
    <s v="P065779"/>
    <s v="C1"/>
    <s v="S51"/>
    <s v="P065779C1S51"/>
    <s v="Ratio"/>
    <s v="2000 / 2007"/>
    <s v="Asphalt Mix Resurfacing"/>
    <s v=""/>
    <n v="0.7"/>
    <m/>
    <m/>
    <n v="0.53623188405797106"/>
    <n v="0.76604554865424446"/>
    <s v=""/>
    <n v="0"/>
    <n v="0"/>
    <x v="1"/>
    <x v="0"/>
    <s v=""/>
    <s v=""/>
    <s v=""/>
    <s v=""/>
    <s v=""/>
    <s v=""/>
    <s v=""/>
    <s v=""/>
    <s v=""/>
    <s v=""/>
  </r>
  <r>
    <s v="Mexico"/>
    <s v="Latin America and Caribbean"/>
    <s v="P065779"/>
    <s v="C1"/>
    <s v="S6"/>
    <s v="P065779C1S6"/>
    <s v="Ratio"/>
    <s v="2000 / 2007"/>
    <s v="Reconstruction"/>
    <s v=""/>
    <n v="2"/>
    <m/>
    <m/>
    <n v="2.75"/>
    <n v="1.3749999999999998"/>
    <s v="x"/>
    <n v="1"/>
    <n v="0"/>
    <x v="1"/>
    <x v="0"/>
    <s v=""/>
    <s v=""/>
    <s v=""/>
    <s v=""/>
    <s v=""/>
    <s v=""/>
    <s v=""/>
    <s v=""/>
    <s v=""/>
    <n v="1"/>
  </r>
  <r>
    <s v="Mexico"/>
    <s v="Latin America and Caribbean"/>
    <s v="P065779"/>
    <s v="C1"/>
    <s v="S7"/>
    <s v="P065779C1S7"/>
    <s v="Ratio"/>
    <s v="2000 / 2007"/>
    <s v="Asphalt Mix Resurfacing"/>
    <s v=""/>
    <n v="1"/>
    <m/>
    <m/>
    <n v="0.14666666666666667"/>
    <n v="0.14666666666666667"/>
    <s v="x"/>
    <n v="0"/>
    <n v="0"/>
    <x v="1"/>
    <x v="1"/>
    <s v=""/>
    <s v=""/>
    <s v=""/>
    <s v=""/>
    <s v=""/>
    <s v=""/>
    <s v=""/>
    <s v=""/>
    <s v=""/>
    <n v="1"/>
  </r>
  <r>
    <s v="Mexico"/>
    <s v="Latin America and Caribbean"/>
    <s v="P065779"/>
    <s v="C1"/>
    <s v="S8"/>
    <s v="P065779C1S8"/>
    <s v="Ratio"/>
    <s v="2000 / 2007"/>
    <s v="Reconstruction"/>
    <s v=""/>
    <n v="1"/>
    <m/>
    <m/>
    <n v="0.45490196078431372"/>
    <n v="0.45490196078431377"/>
    <s v="x"/>
    <n v="0"/>
    <n v="0"/>
    <x v="1"/>
    <x v="1"/>
    <s v=""/>
    <s v=""/>
    <s v=""/>
    <s v=""/>
    <s v=""/>
    <s v=""/>
    <s v=""/>
    <s v=""/>
    <s v=""/>
    <n v="1"/>
  </r>
  <r>
    <s v="Mexico"/>
    <s v="Latin America and Caribbean"/>
    <s v="P065779"/>
    <s v="C1"/>
    <s v="S9"/>
    <s v="P065779C1S9"/>
    <s v="Ratio"/>
    <s v="2000 / 2007"/>
    <s v="Reconstruction"/>
    <s v=""/>
    <n v="1"/>
    <m/>
    <m/>
    <n v="2.6066666666666669"/>
    <n v="2.6066666666666669"/>
    <s v="x"/>
    <n v="0"/>
    <n v="0"/>
    <x v="0"/>
    <x v="0"/>
    <s v=""/>
    <s v=""/>
    <s v=""/>
    <s v=""/>
    <s v=""/>
    <n v="1"/>
    <s v=""/>
    <s v=""/>
    <n v="1"/>
    <s v=""/>
  </r>
  <r>
    <s v="China"/>
    <s v="East Asia and Pacific"/>
    <s v="P068752"/>
    <s v="C1"/>
    <s v=""/>
    <s v="P068752C1"/>
    <s v="Ratio"/>
    <s v="2005 / 2011"/>
    <s v="Widening and Reconstruction"/>
    <n v="0.83333333333333337"/>
    <n v="1.0097740112994349"/>
    <m/>
    <m/>
    <n v="1.2422838612542706"/>
    <n v="1.2302592930230285"/>
    <s v=""/>
    <n v="0"/>
    <n v="0"/>
    <x v="1"/>
    <x v="0"/>
    <s v=""/>
    <s v=""/>
    <s v=""/>
    <s v=""/>
    <s v=""/>
    <s v=""/>
    <s v=""/>
    <s v=""/>
    <s v=""/>
    <s v=""/>
  </r>
  <r>
    <s v="China"/>
    <s v="East Asia and Pacific"/>
    <s v="P068752"/>
    <s v="C2"/>
    <s v=""/>
    <s v="P068752C2"/>
    <s v="Ratio"/>
    <s v="2005 / 2011"/>
    <s v="Upgrading"/>
    <s v=""/>
    <n v="1.6009280742459397"/>
    <m/>
    <m/>
    <n v="2.2810916179337233"/>
    <n v="1.4248557787383109"/>
    <s v="x"/>
    <n v="1"/>
    <n v="0"/>
    <x v="1"/>
    <x v="0"/>
    <s v=""/>
    <s v=""/>
    <s v=""/>
    <s v=""/>
    <s v=""/>
    <s v=""/>
    <s v=""/>
    <s v=""/>
    <s v=""/>
    <n v="1"/>
  </r>
  <r>
    <s v="China"/>
    <s v="East Asia and Pacific"/>
    <s v="P068752"/>
    <s v="C2"/>
    <s v="S1"/>
    <s v="P068752C2S1"/>
    <s v="Ratio"/>
    <s v="2005 / 2011"/>
    <s v="Upgrading"/>
    <n v="1"/>
    <n v="1.0524822695035461"/>
    <m/>
    <m/>
    <n v="1.3856213759105473"/>
    <n v="1.3165270485403446"/>
    <s v=""/>
    <n v="0"/>
    <n v="0"/>
    <x v="1"/>
    <x v="0"/>
    <s v=""/>
    <s v=""/>
    <s v=""/>
    <s v=""/>
    <s v=""/>
    <s v=""/>
    <s v=""/>
    <s v=""/>
    <s v=""/>
    <s v=""/>
  </r>
  <r>
    <s v="China"/>
    <s v="East Asia and Pacific"/>
    <s v="P068752"/>
    <s v="C2"/>
    <s v="S2"/>
    <s v="P068752C2S2"/>
    <s v="Ratio"/>
    <s v="2005 / 2011"/>
    <s v="Upgrading"/>
    <n v="1"/>
    <n v="0.98478260869565226"/>
    <m/>
    <m/>
    <n v="1.0849443599800692"/>
    <n v="1.1017095046155228"/>
    <s v=""/>
    <n v="0"/>
    <n v="0"/>
    <x v="1"/>
    <x v="0"/>
    <s v=""/>
    <s v=""/>
    <s v=""/>
    <s v=""/>
    <s v=""/>
    <s v=""/>
    <s v=""/>
    <s v=""/>
    <s v=""/>
    <s v=""/>
  </r>
  <r>
    <s v="China"/>
    <s v="East Asia and Pacific"/>
    <s v="P068752"/>
    <s v="C2"/>
    <s v="S3"/>
    <s v="P068752C2S3"/>
    <s v="Ratio"/>
    <s v="2005 / 2011"/>
    <s v="Upgrading"/>
    <n v="1.6666666666666667"/>
    <n v="1.145631067961165"/>
    <m/>
    <m/>
    <n v="2.9756043159015308"/>
    <n v="2.597349529981845"/>
    <s v="x"/>
    <n v="0"/>
    <n v="0"/>
    <x v="0"/>
    <x v="0"/>
    <s v=""/>
    <s v=""/>
    <n v="1"/>
    <s v=""/>
    <s v=""/>
    <s v=""/>
    <s v=""/>
    <s v=""/>
    <n v="1"/>
    <s v=""/>
  </r>
  <r>
    <s v="China"/>
    <s v="East Asia and Pacific"/>
    <s v="P068752"/>
    <s v="C2"/>
    <s v="S4"/>
    <s v="P068752C2S4"/>
    <s v="Ratio"/>
    <s v="2005 / 2011"/>
    <s v="Upgrading"/>
    <n v="1"/>
    <n v="0.99030303030303035"/>
    <m/>
    <m/>
    <n v="1.8113250123404554"/>
    <n v="1.8290613649704719"/>
    <s v="x"/>
    <n v="0"/>
    <n v="0"/>
    <x v="0"/>
    <x v="0"/>
    <s v=""/>
    <s v=""/>
    <n v="1"/>
    <s v=""/>
    <s v=""/>
    <s v=""/>
    <s v=""/>
    <s v=""/>
    <n v="1"/>
    <s v=""/>
  </r>
  <r>
    <s v="China"/>
    <s v="East Asia and Pacific"/>
    <s v="P068752"/>
    <s v="C2"/>
    <s v="S5"/>
    <s v="P068752C2S5"/>
    <s v="Ratio"/>
    <s v="2005 / 2011"/>
    <s v="Upgrading"/>
    <n v="1"/>
    <n v="1.1139896373056994"/>
    <m/>
    <m/>
    <n v="1.1747392280731208"/>
    <n v="1.0545333535726156"/>
    <s v=""/>
    <n v="0"/>
    <n v="0"/>
    <x v="1"/>
    <x v="0"/>
    <s v=""/>
    <s v=""/>
    <s v=""/>
    <s v=""/>
    <s v=""/>
    <s v=""/>
    <s v=""/>
    <s v=""/>
    <s v=""/>
    <s v=""/>
  </r>
  <r>
    <s v="Bolivia"/>
    <s v="Latin America and Caribbean"/>
    <s v="P068968"/>
    <s v="C1"/>
    <s v=""/>
    <s v="P068968C1"/>
    <s v="Ratio"/>
    <s v="2002 / 2011"/>
    <s v="Reconstruction"/>
    <s v=""/>
    <n v="1"/>
    <m/>
    <m/>
    <n v="1.1679032701291563"/>
    <n v="1.1679032701291563"/>
    <s v=""/>
    <n v="0"/>
    <n v="0"/>
    <x v="1"/>
    <x v="0"/>
    <s v=""/>
    <s v=""/>
    <s v=""/>
    <s v=""/>
    <s v=""/>
    <s v=""/>
    <s v=""/>
    <s v=""/>
    <s v=""/>
    <s v=""/>
  </r>
  <r>
    <s v="Bolivia"/>
    <s v="Latin America and Caribbean"/>
    <s v="P068968"/>
    <s v="C2"/>
    <s v=""/>
    <s v="P068968C2"/>
    <s v="Ratio"/>
    <s v="2002 / 2011"/>
    <s v="Asphalt Mix Resurfacing"/>
    <s v=""/>
    <n v="0.44333333333333336"/>
    <m/>
    <m/>
    <n v="0.56481481481481477"/>
    <n v="1.2740183792815372"/>
    <s v="x"/>
    <n v="0"/>
    <n v="1"/>
    <x v="1"/>
    <x v="0"/>
    <n v="1"/>
    <s v=""/>
    <n v="1"/>
    <s v=""/>
    <s v=""/>
    <s v=""/>
    <s v=""/>
    <s v=""/>
    <s v=""/>
    <n v="1"/>
  </r>
  <r>
    <s v="China"/>
    <s v="East Asia and Pacific"/>
    <s v="P069852"/>
    <s v="C2"/>
    <s v=""/>
    <s v="P069852C2"/>
    <s v="Ratio"/>
    <s v="2004 / 2010"/>
    <s v="Reconstruction"/>
    <s v=""/>
    <n v="0.95291268666756357"/>
    <m/>
    <m/>
    <n v="1.4284530386740331"/>
    <n v="1.4990387457947321"/>
    <s v=""/>
    <n v="0"/>
    <n v="0"/>
    <x v="1"/>
    <x v="0"/>
    <s v=""/>
    <s v=""/>
    <s v=""/>
    <s v=""/>
    <s v=""/>
    <s v=""/>
    <s v=""/>
    <s v=""/>
    <s v=""/>
    <s v=""/>
  </r>
  <r>
    <s v="Djibouti"/>
    <s v="Middle East and North Africa"/>
    <s v="P069930"/>
    <s v="C1"/>
    <s v=""/>
    <s v="P069930C1"/>
    <s v="Ratio"/>
    <s v="2000 / 2006"/>
    <s v="Reconstruction"/>
    <n v="1.5"/>
    <n v="0.96078431372549022"/>
    <m/>
    <m/>
    <n v="1.1416666666666666"/>
    <n v="1.1882653061224488"/>
    <s v=""/>
    <n v="0"/>
    <n v="0"/>
    <x v="1"/>
    <x v="0"/>
    <s v=""/>
    <s v=""/>
    <s v=""/>
    <s v=""/>
    <s v=""/>
    <s v=""/>
    <s v=""/>
    <s v=""/>
    <s v=""/>
    <s v=""/>
  </r>
  <r>
    <s v="Djibouti"/>
    <s v="Middle East and North Africa"/>
    <s v="P069930"/>
    <s v="C2"/>
    <s v=""/>
    <s v="P069930C2"/>
    <s v="Ratio"/>
    <s v="2000 / 2006"/>
    <s v="Asphalt Mix Resurfacing"/>
    <n v="1"/>
    <n v="1.0232558139534884"/>
    <m/>
    <m/>
    <n v="1.4750000000000001"/>
    <n v="1.4414772727272729"/>
    <s v=""/>
    <n v="0"/>
    <n v="0"/>
    <x v="1"/>
    <x v="0"/>
    <s v=""/>
    <s v=""/>
    <s v=""/>
    <s v=""/>
    <s v=""/>
    <s v=""/>
    <s v=""/>
    <s v=""/>
    <s v=""/>
    <s v=""/>
  </r>
  <r>
    <s v="India"/>
    <s v="South Asia"/>
    <s v="P070421"/>
    <s v="C1"/>
    <s v=""/>
    <s v="P070421C1"/>
    <s v="Ratio"/>
    <s v="2001 / 2008"/>
    <s v="Widening and Reconstruction"/>
    <s v=""/>
    <n v="0.874"/>
    <m/>
    <m/>
    <n v="1.3152161872761512"/>
    <n v="1.5048240129017749"/>
    <s v="x"/>
    <n v="0"/>
    <n v="0"/>
    <x v="0"/>
    <x v="0"/>
    <n v="1"/>
    <s v=""/>
    <s v=""/>
    <s v=""/>
    <s v=""/>
    <s v=""/>
    <s v=""/>
    <s v=""/>
    <s v=""/>
    <s v=""/>
  </r>
  <r>
    <s v="India"/>
    <s v="South Asia"/>
    <s v="P070421"/>
    <s v="C1"/>
    <s v="S1"/>
    <s v="P070421C1S1"/>
    <s v="Ratio"/>
    <s v="2001 / 2008"/>
    <s v="Widening and Reconstruction"/>
    <s v=""/>
    <n v="1"/>
    <m/>
    <m/>
    <n v="1.4233797698364625"/>
    <n v="1.4233797698364627"/>
    <s v=""/>
    <n v="0"/>
    <n v="0"/>
    <x v="1"/>
    <x v="0"/>
    <s v=""/>
    <s v=""/>
    <s v=""/>
    <s v=""/>
    <s v=""/>
    <s v=""/>
    <s v=""/>
    <s v=""/>
    <s v=""/>
    <s v=""/>
  </r>
  <r>
    <s v="India"/>
    <s v="South Asia"/>
    <s v="P070421"/>
    <s v="C1"/>
    <s v="S10"/>
    <s v="P070421C1S10"/>
    <s v="Ratio"/>
    <s v="2001 / 2008"/>
    <s v="Widening and Reconstruction"/>
    <s v=""/>
    <n v="1"/>
    <m/>
    <m/>
    <n v="1.9791967639410575"/>
    <n v="1.9791967639410575"/>
    <s v="x"/>
    <n v="0"/>
    <n v="0"/>
    <x v="0"/>
    <x v="0"/>
    <n v="1"/>
    <s v=""/>
    <s v=""/>
    <s v=""/>
    <s v=""/>
    <s v=""/>
    <s v=""/>
    <s v=""/>
    <s v=""/>
    <s v=""/>
  </r>
  <r>
    <s v="India"/>
    <s v="South Asia"/>
    <s v="P070421"/>
    <s v="C1"/>
    <s v="S11"/>
    <s v="P070421C1S11"/>
    <s v="Ratio"/>
    <s v="2001 / 2008"/>
    <s v="New 2L Highway"/>
    <s v=""/>
    <n v="1"/>
    <m/>
    <m/>
    <n v="0.17227235438884334"/>
    <n v="0.17227235438884334"/>
    <s v="x"/>
    <n v="0"/>
    <n v="0"/>
    <x v="1"/>
    <x v="1"/>
    <s v=""/>
    <s v=""/>
    <s v=""/>
    <s v=""/>
    <s v=""/>
    <s v=""/>
    <s v=""/>
    <s v=""/>
    <n v="1"/>
    <s v=""/>
  </r>
  <r>
    <s v="India"/>
    <s v="South Asia"/>
    <s v="P070421"/>
    <s v="C1"/>
    <s v="S2"/>
    <s v="P070421C1S2"/>
    <s v="Ratio"/>
    <s v="2001 / 2008"/>
    <s v="Widening and Reconstruction"/>
    <s v=""/>
    <n v="1"/>
    <m/>
    <m/>
    <n v="1.1487559555320275"/>
    <n v="1.1487559555320277"/>
    <s v=""/>
    <n v="0"/>
    <n v="0"/>
    <x v="1"/>
    <x v="0"/>
    <s v=""/>
    <s v=""/>
    <s v=""/>
    <s v=""/>
    <s v=""/>
    <s v=""/>
    <s v=""/>
    <s v=""/>
    <s v=""/>
    <s v=""/>
  </r>
  <r>
    <s v="India"/>
    <s v="South Asia"/>
    <s v="P070421"/>
    <s v="C1"/>
    <s v="S3"/>
    <s v="P070421C1S3"/>
    <s v="Ratio"/>
    <s v="2001 / 2008"/>
    <s v="Widening and Reconstruction"/>
    <s v=""/>
    <n v="1"/>
    <m/>
    <m/>
    <n v="1.089727568107973"/>
    <n v="1.089727568107973"/>
    <s v=""/>
    <n v="0"/>
    <n v="0"/>
    <x v="1"/>
    <x v="0"/>
    <s v=""/>
    <s v=""/>
    <s v=""/>
    <s v=""/>
    <s v=""/>
    <s v=""/>
    <s v=""/>
    <s v=""/>
    <s v=""/>
    <s v=""/>
  </r>
  <r>
    <s v="India"/>
    <s v="South Asia"/>
    <s v="P070421"/>
    <s v="C1"/>
    <s v="S4"/>
    <s v="P070421C1S4"/>
    <s v="Ratio"/>
    <s v="2001 / 2008"/>
    <s v="Widening and Reconstruction"/>
    <s v=""/>
    <n v="1"/>
    <m/>
    <m/>
    <n v="0.80645161290322587"/>
    <n v="0.80645161290322576"/>
    <s v=""/>
    <n v="0"/>
    <n v="0"/>
    <x v="1"/>
    <x v="0"/>
    <s v=""/>
    <s v=""/>
    <s v=""/>
    <s v=""/>
    <s v=""/>
    <s v=""/>
    <s v=""/>
    <s v=""/>
    <s v=""/>
    <s v=""/>
  </r>
  <r>
    <s v="India"/>
    <s v="South Asia"/>
    <s v="P070421"/>
    <s v="C1"/>
    <s v="S5"/>
    <s v="P070421C1S5"/>
    <s v="Ratio"/>
    <s v="2001 / 2008"/>
    <s v="Widening and Reconstruction"/>
    <s v=""/>
    <n v="1"/>
    <m/>
    <m/>
    <n v="1.1597938144329898"/>
    <n v="1.1597938144329898"/>
    <s v=""/>
    <n v="0"/>
    <n v="0"/>
    <x v="1"/>
    <x v="0"/>
    <s v=""/>
    <s v=""/>
    <s v=""/>
    <s v=""/>
    <s v=""/>
    <s v=""/>
    <s v=""/>
    <s v=""/>
    <s v=""/>
    <s v=""/>
  </r>
  <r>
    <s v="India"/>
    <s v="South Asia"/>
    <s v="P070421"/>
    <s v="C1"/>
    <s v="S6"/>
    <s v="P070421C1S6"/>
    <s v="Ratio"/>
    <s v="2001 / 2008"/>
    <s v="Widening and Reconstruction"/>
    <s v=""/>
    <n v="1"/>
    <m/>
    <m/>
    <n v="0.93722755013077585"/>
    <n v="0.93722755013077585"/>
    <s v=""/>
    <n v="0"/>
    <n v="0"/>
    <x v="1"/>
    <x v="0"/>
    <s v=""/>
    <s v=""/>
    <s v=""/>
    <s v=""/>
    <s v=""/>
    <s v=""/>
    <s v=""/>
    <s v=""/>
    <s v=""/>
    <s v=""/>
  </r>
  <r>
    <s v="India"/>
    <s v="South Asia"/>
    <s v="P070421"/>
    <s v="C1"/>
    <s v="S7"/>
    <s v="P070421C1S7"/>
    <s v="Ratio"/>
    <s v="2001 / 2008"/>
    <s v="Widening and Reconstruction"/>
    <s v=""/>
    <n v="1"/>
    <m/>
    <m/>
    <n v="0.57199211045364884"/>
    <n v="0.57199211045364884"/>
    <s v=""/>
    <n v="0"/>
    <n v="0"/>
    <x v="1"/>
    <x v="0"/>
    <s v=""/>
    <s v=""/>
    <s v=""/>
    <s v=""/>
    <s v=""/>
    <s v=""/>
    <s v=""/>
    <s v=""/>
    <s v=""/>
    <s v=""/>
  </r>
  <r>
    <s v="India"/>
    <s v="South Asia"/>
    <s v="P070421"/>
    <s v="C1"/>
    <s v="S8"/>
    <s v="P070421C1S8"/>
    <s v="Ratio"/>
    <s v="2001 / 2008"/>
    <s v="Widening and Reconstruction"/>
    <s v=""/>
    <n v="1"/>
    <m/>
    <m/>
    <n v="0.38756295160937154"/>
    <n v="0.38756295160937149"/>
    <s v="x"/>
    <n v="0"/>
    <n v="0"/>
    <x v="1"/>
    <x v="1"/>
    <s v=""/>
    <s v=""/>
    <s v=""/>
    <s v=""/>
    <s v=""/>
    <s v=""/>
    <s v=""/>
    <s v=""/>
    <n v="1"/>
    <s v=""/>
  </r>
  <r>
    <s v="India"/>
    <s v="South Asia"/>
    <s v="P070421"/>
    <s v="C1"/>
    <s v="S9"/>
    <s v="P070421C1S9"/>
    <s v="Ratio"/>
    <s v="2001 / 2008"/>
    <s v="Widening and Reconstruction"/>
    <s v=""/>
    <n v="1"/>
    <m/>
    <m/>
    <n v="9.8834498834498827"/>
    <n v="9.8834498834498827"/>
    <s v="x"/>
    <n v="0"/>
    <n v="0"/>
    <x v="0"/>
    <x v="0"/>
    <n v="1"/>
    <s v=""/>
    <s v=""/>
    <s v=""/>
    <s v=""/>
    <s v=""/>
    <s v=""/>
    <s v=""/>
    <s v=""/>
    <s v=""/>
  </r>
  <r>
    <s v="India"/>
    <s v="South Asia"/>
    <s v="P070421"/>
    <s v="C2"/>
    <s v=""/>
    <s v="P070421C2"/>
    <s v="Ratio"/>
    <s v="2001 / 2008"/>
    <s v="Asphalt Mix Resurfacing"/>
    <s v=""/>
    <n v="0.96153846153846156"/>
    <m/>
    <m/>
    <n v="1.74141524958859"/>
    <n v="1.8110718595721336"/>
    <s v="x"/>
    <n v="0"/>
    <n v="0"/>
    <x v="0"/>
    <x v="0"/>
    <n v="1"/>
    <s v=""/>
    <s v=""/>
    <s v=""/>
    <s v=""/>
    <s v=""/>
    <s v=""/>
    <s v=""/>
    <s v=""/>
    <s v=""/>
  </r>
  <r>
    <s v="China"/>
    <s v="East Asia and Pacific"/>
    <s v="P070441"/>
    <s v="C1"/>
    <s v=""/>
    <s v="P070441C1"/>
    <s v="Ratio"/>
    <s v="2002 / 2008"/>
    <s v="New 4L Highway"/>
    <n v="1"/>
    <n v="1"/>
    <m/>
    <m/>
    <n v="1.5874406645569621"/>
    <n v="1.5874406645569621"/>
    <s v="x"/>
    <n v="0"/>
    <n v="0"/>
    <x v="0"/>
    <x v="0"/>
    <n v="1"/>
    <s v=""/>
    <s v=""/>
    <s v=""/>
    <s v=""/>
    <s v=""/>
    <s v=""/>
    <s v=""/>
    <n v="1"/>
    <s v=""/>
  </r>
  <r>
    <s v="China"/>
    <s v="East Asia and Pacific"/>
    <s v="P070441"/>
    <s v="C2"/>
    <s v=""/>
    <s v="P070441C2"/>
    <s v="Ratio"/>
    <s v="2002 / 2008"/>
    <s v="Upgrading"/>
    <s v=""/>
    <n v="1"/>
    <m/>
    <m/>
    <n v="0.63444108761329299"/>
    <n v="0.63444108761329299"/>
    <s v=""/>
    <n v="0"/>
    <n v="0"/>
    <x v="1"/>
    <x v="0"/>
    <s v=""/>
    <s v=""/>
    <s v=""/>
    <s v=""/>
    <s v=""/>
    <s v=""/>
    <s v=""/>
    <s v=""/>
    <s v=""/>
    <s v=""/>
  </r>
  <r>
    <s v="China"/>
    <s v="East Asia and Pacific"/>
    <s v="P070459"/>
    <s v="C1"/>
    <s v=""/>
    <s v="P070459C1"/>
    <s v="Ratio"/>
    <s v="2002 / 2008"/>
    <s v="New 4L Highway"/>
    <s v=""/>
    <n v="1"/>
    <m/>
    <m/>
    <n v="0.90989827224285491"/>
    <n v="0.90989827224285491"/>
    <s v=""/>
    <n v="0"/>
    <n v="0"/>
    <x v="1"/>
    <x v="0"/>
    <s v=""/>
    <s v=""/>
    <s v=""/>
    <s v=""/>
    <s v=""/>
    <s v=""/>
    <s v=""/>
    <s v=""/>
    <s v=""/>
    <s v=""/>
  </r>
  <r>
    <s v="China"/>
    <s v="East Asia and Pacific"/>
    <s v="P070459"/>
    <s v="C2"/>
    <s v=""/>
    <s v="P070459C2"/>
    <s v="Ratio"/>
    <s v="2002 / 2008"/>
    <s v="Upgrading"/>
    <s v=""/>
    <n v="1.935860058309038"/>
    <m/>
    <m/>
    <n v="1.3363338788870704"/>
    <n v="0.69030500069015843"/>
    <s v="x"/>
    <n v="1"/>
    <n v="0"/>
    <x v="1"/>
    <x v="0"/>
    <s v=""/>
    <s v=""/>
    <s v=""/>
    <s v=""/>
    <s v=""/>
    <s v=""/>
    <s v=""/>
    <s v=""/>
    <s v=""/>
    <n v="1"/>
  </r>
  <r>
    <s v="China"/>
    <s v="East Asia and Pacific"/>
    <s v="P070459"/>
    <s v="C2"/>
    <s v="S1"/>
    <s v="P070459C2S1"/>
    <s v="Ratio"/>
    <s v="2002 / 2008"/>
    <s v="Upgrading"/>
    <s v=""/>
    <n v="1"/>
    <m/>
    <m/>
    <n v="0.9573067632850244"/>
    <n v="0.9573067632850244"/>
    <s v=""/>
    <n v="0"/>
    <n v="0"/>
    <x v="1"/>
    <x v="0"/>
    <s v=""/>
    <s v=""/>
    <s v=""/>
    <s v=""/>
    <s v=""/>
    <s v=""/>
    <s v=""/>
    <s v=""/>
    <s v=""/>
    <s v=""/>
  </r>
  <r>
    <s v="China"/>
    <s v="East Asia and Pacific"/>
    <s v="P070459"/>
    <s v="C2"/>
    <s v="S2"/>
    <s v="P070459C2S2"/>
    <s v="Ratio"/>
    <s v="2002 / 2008"/>
    <s v="Upgrading"/>
    <s v=""/>
    <n v="1"/>
    <m/>
    <m/>
    <n v="0.79828722002635055"/>
    <n v="0.79828722002635055"/>
    <s v=""/>
    <n v="0"/>
    <n v="0"/>
    <x v="1"/>
    <x v="0"/>
    <s v=""/>
    <s v=""/>
    <s v=""/>
    <s v=""/>
    <s v=""/>
    <s v=""/>
    <s v=""/>
    <s v=""/>
    <s v=""/>
    <s v=""/>
  </r>
  <r>
    <s v="China"/>
    <s v="East Asia and Pacific"/>
    <s v="P070459"/>
    <s v="C2"/>
    <s v="S3"/>
    <s v="P070459C2S3"/>
    <s v="Ratio"/>
    <s v="2002 / 2008"/>
    <s v="Upgrading"/>
    <s v=""/>
    <n v="1"/>
    <m/>
    <m/>
    <n v="0.51323671497584544"/>
    <n v="0.51323671497584555"/>
    <s v=""/>
    <n v="0"/>
    <n v="0"/>
    <x v="1"/>
    <x v="0"/>
    <s v=""/>
    <s v=""/>
    <s v=""/>
    <s v=""/>
    <s v=""/>
    <s v=""/>
    <s v=""/>
    <s v=""/>
    <s v=""/>
    <s v=""/>
  </r>
  <r>
    <s v="China"/>
    <s v="East Asia and Pacific"/>
    <s v="P070459"/>
    <s v="C2"/>
    <s v="S4"/>
    <s v="P070459C2S4"/>
    <s v="Ratio"/>
    <s v="2002 / 2008"/>
    <s v="Upgrading"/>
    <s v=""/>
    <n v="1"/>
    <m/>
    <m/>
    <n v="0.98523119392684622"/>
    <n v="0.98523119392684622"/>
    <s v=""/>
    <n v="0"/>
    <n v="0"/>
    <x v="1"/>
    <x v="0"/>
    <s v=""/>
    <s v=""/>
    <s v=""/>
    <s v=""/>
    <s v=""/>
    <s v=""/>
    <s v=""/>
    <s v=""/>
    <s v=""/>
    <s v=""/>
  </r>
  <r>
    <s v="Cambodia"/>
    <s v="East Asia and Pacific"/>
    <s v="P071207"/>
    <s v="C1"/>
    <s v="S1"/>
    <s v="P071207C1S1"/>
    <s v="Ratio"/>
    <s v="2003 / 2012"/>
    <s v="Upgrading"/>
    <s v=""/>
    <n v="0.90825688073394495"/>
    <m/>
    <m/>
    <n v="0.9044943820224719"/>
    <n v="0.99585745091363054"/>
    <s v=""/>
    <n v="0"/>
    <n v="0"/>
    <x v="1"/>
    <x v="0"/>
    <s v=""/>
    <s v=""/>
    <s v=""/>
    <s v=""/>
    <s v=""/>
    <s v=""/>
    <s v=""/>
    <s v=""/>
    <s v=""/>
    <s v=""/>
  </r>
  <r>
    <s v="Cambodia"/>
    <s v="East Asia and Pacific"/>
    <s v="P071207"/>
    <s v="C1"/>
    <s v="S10"/>
    <s v="P071207C1S10"/>
    <s v="Ratio"/>
    <s v="2003 / 2012"/>
    <s v="Upgrading"/>
    <s v=""/>
    <n v="0.7407407407407407"/>
    <m/>
    <m/>
    <n v="1.0769230769230769"/>
    <n v="1.453846153846154"/>
    <s v=""/>
    <n v="0"/>
    <n v="0"/>
    <x v="1"/>
    <x v="0"/>
    <s v=""/>
    <s v=""/>
    <s v=""/>
    <s v=""/>
    <s v=""/>
    <s v=""/>
    <s v=""/>
    <s v=""/>
    <s v=""/>
    <s v=""/>
  </r>
  <r>
    <s v="Cambodia"/>
    <s v="East Asia and Pacific"/>
    <s v="P071207"/>
    <s v="C1"/>
    <s v="S2"/>
    <s v="P071207C1S2"/>
    <s v="Ratio"/>
    <s v="2003 / 2012"/>
    <s v="Upgrading"/>
    <s v=""/>
    <n v="1.0169491525423728"/>
    <m/>
    <m/>
    <n v="1.4021739130434783"/>
    <n v="1.3788043478260872"/>
    <s v=""/>
    <n v="0"/>
    <n v="0"/>
    <x v="1"/>
    <x v="0"/>
    <s v=""/>
    <s v=""/>
    <s v=""/>
    <s v=""/>
    <s v=""/>
    <s v=""/>
    <s v=""/>
    <s v=""/>
    <s v=""/>
    <s v=""/>
  </r>
  <r>
    <s v="Cambodia"/>
    <s v="East Asia and Pacific"/>
    <s v="P071207"/>
    <s v="C1"/>
    <s v="S3"/>
    <s v="P071207C1S3"/>
    <s v="Ratio"/>
    <s v="2003 / 2012"/>
    <s v="Upgrading"/>
    <s v=""/>
    <n v="1.5168539325842696"/>
    <m/>
    <m/>
    <n v="1.6101694915254237"/>
    <n v="1.061519146264909"/>
    <s v="x"/>
    <n v="1"/>
    <n v="0"/>
    <x v="1"/>
    <x v="0"/>
    <s v=""/>
    <s v=""/>
    <s v=""/>
    <s v=""/>
    <s v=""/>
    <n v="1"/>
    <s v=""/>
    <s v=""/>
    <s v=""/>
    <n v="1"/>
  </r>
  <r>
    <s v="Cambodia"/>
    <s v="East Asia and Pacific"/>
    <s v="P071207"/>
    <s v="C1"/>
    <s v="S4"/>
    <s v="P071207C1S4"/>
    <s v="Ratio"/>
    <s v="2003 / 2012"/>
    <s v="Upgrading"/>
    <s v=""/>
    <n v="0.8351648351648352"/>
    <m/>
    <m/>
    <n v="0.81538461538461537"/>
    <n v="0.97631578947368425"/>
    <s v=""/>
    <n v="0"/>
    <n v="0"/>
    <x v="1"/>
    <x v="0"/>
    <s v=""/>
    <s v=""/>
    <s v=""/>
    <s v=""/>
    <s v=""/>
    <s v=""/>
    <s v=""/>
    <s v=""/>
    <s v=""/>
    <s v=""/>
  </r>
  <r>
    <s v="Cambodia"/>
    <s v="East Asia and Pacific"/>
    <s v="P071207"/>
    <s v="C1"/>
    <s v="S5"/>
    <s v="P071207C1S5"/>
    <s v="Ratio"/>
    <s v="2003 / 2012"/>
    <s v="Upgrading"/>
    <s v=""/>
    <n v="1.0130718954248366"/>
    <m/>
    <m/>
    <n v="1.0650406504065042"/>
    <n v="1.051298190401259"/>
    <s v=""/>
    <n v="0"/>
    <n v="0"/>
    <x v="1"/>
    <x v="0"/>
    <s v=""/>
    <s v=""/>
    <s v=""/>
    <s v=""/>
    <s v=""/>
    <s v=""/>
    <s v=""/>
    <s v=""/>
    <s v=""/>
    <s v=""/>
  </r>
  <r>
    <s v="Cambodia"/>
    <s v="East Asia and Pacific"/>
    <s v="P071207"/>
    <s v="C1"/>
    <s v="S6"/>
    <s v="P071207C1S6"/>
    <s v="Ratio"/>
    <s v="2003 / 2012"/>
    <s v="Upgrading"/>
    <s v=""/>
    <n v="1.0054347826086958"/>
    <m/>
    <m/>
    <n v="1.36697247706422"/>
    <n v="1.3595834366476565"/>
    <s v=""/>
    <n v="0"/>
    <n v="0"/>
    <x v="1"/>
    <x v="0"/>
    <s v=""/>
    <s v=""/>
    <s v=""/>
    <s v=""/>
    <s v=""/>
    <s v=""/>
    <s v=""/>
    <s v=""/>
    <s v=""/>
    <s v=""/>
  </r>
  <r>
    <s v="Cambodia"/>
    <s v="East Asia and Pacific"/>
    <s v="P071207"/>
    <s v="C1"/>
    <s v="S7"/>
    <s v="P071207C1S7"/>
    <s v="Ratio"/>
    <s v="2003 / 2012"/>
    <s v="Upgrading"/>
    <s v=""/>
    <n v="1.6292134831460674"/>
    <m/>
    <m/>
    <n v="1.8965517241379313"/>
    <n v="1.1640903686087996"/>
    <s v="x"/>
    <n v="1"/>
    <n v="0"/>
    <x v="1"/>
    <x v="0"/>
    <s v=""/>
    <s v=""/>
    <s v=""/>
    <s v=""/>
    <s v=""/>
    <n v="1"/>
    <s v=""/>
    <s v=""/>
    <s v=""/>
    <n v="1"/>
  </r>
  <r>
    <s v="Cambodia"/>
    <s v="East Asia and Pacific"/>
    <s v="P071207"/>
    <s v="C1"/>
    <s v="S8"/>
    <s v="P071207C1S8"/>
    <s v="Ratio"/>
    <s v="2003 / 2012"/>
    <s v="Upgrading"/>
    <s v=""/>
    <n v="0.99212598425196852"/>
    <m/>
    <m/>
    <n v="1.6904761904761905"/>
    <n v="1.7038926681783826"/>
    <s v="x"/>
    <n v="0"/>
    <n v="0"/>
    <x v="0"/>
    <x v="0"/>
    <s v=""/>
    <s v=""/>
    <s v=""/>
    <n v="1"/>
    <s v=""/>
    <s v=""/>
    <s v=""/>
    <s v=""/>
    <s v=""/>
    <n v="1"/>
  </r>
  <r>
    <s v="Cambodia"/>
    <s v="East Asia and Pacific"/>
    <s v="P071207"/>
    <s v="C1"/>
    <s v="S9"/>
    <s v="P071207C1S9"/>
    <s v="Ratio"/>
    <s v="2003 / 2012"/>
    <s v="Reconstruction"/>
    <s v=""/>
    <n v="1.0179640718562875"/>
    <m/>
    <m/>
    <n v="1.75"/>
    <n v="1.7191176470588234"/>
    <s v="x"/>
    <n v="0"/>
    <n v="0"/>
    <x v="0"/>
    <x v="0"/>
    <s v=""/>
    <s v=""/>
    <s v=""/>
    <n v="1"/>
    <s v=""/>
    <s v=""/>
    <s v=""/>
    <s v=""/>
    <s v=""/>
    <n v="1"/>
  </r>
  <r>
    <s v="Zambia"/>
    <s v="Sub-Saharan Africa"/>
    <s v="P071985"/>
    <s v="C1"/>
    <s v="S1"/>
    <s v="P071985C1S1"/>
    <s v="Ratio"/>
    <s v="2004 / 2015"/>
    <s v="Asphalt Mix Resurfacing"/>
    <n v="0.89189189189189189"/>
    <n v="1"/>
    <m/>
    <m/>
    <n v="0.85041322314049583"/>
    <n v="0.85041322314049583"/>
    <s v=""/>
    <n v="0"/>
    <n v="0"/>
    <x v="1"/>
    <x v="0"/>
    <s v=""/>
    <s v=""/>
    <s v=""/>
    <s v=""/>
    <s v=""/>
    <s v=""/>
    <s v=""/>
    <s v=""/>
    <s v=""/>
    <s v=""/>
  </r>
  <r>
    <s v="Zambia"/>
    <s v="Sub-Saharan Africa"/>
    <s v="P071985"/>
    <s v="C1"/>
    <s v="S2"/>
    <s v="P071985C1S2"/>
    <s v="Ratio"/>
    <s v="2004 / 2015"/>
    <s v="Asphalt Mix Resurfacing"/>
    <n v="1"/>
    <n v="1"/>
    <m/>
    <m/>
    <n v="0.80219780219780223"/>
    <n v="0.80219780219780212"/>
    <s v=""/>
    <n v="0"/>
    <n v="0"/>
    <x v="1"/>
    <x v="0"/>
    <s v=""/>
    <s v=""/>
    <s v=""/>
    <s v=""/>
    <s v=""/>
    <s v=""/>
    <s v=""/>
    <s v=""/>
    <s v=""/>
    <s v=""/>
  </r>
  <r>
    <s v="Zambia"/>
    <s v="Sub-Saharan Africa"/>
    <s v="P071985"/>
    <s v="C1"/>
    <s v="S3"/>
    <s v="P071985C1S3"/>
    <s v="Ratio"/>
    <s v="2004 / 2015"/>
    <s v="Asphalt Mix Resurfacing"/>
    <n v="1.173913043478261"/>
    <n v="1"/>
    <m/>
    <m/>
    <n v="0.4588571428571428"/>
    <n v="0.45885714285714285"/>
    <s v="x"/>
    <n v="0"/>
    <n v="0"/>
    <x v="1"/>
    <x v="1"/>
    <s v=""/>
    <s v=""/>
    <s v=""/>
    <s v=""/>
    <s v=""/>
    <s v=""/>
    <s v=""/>
    <s v=""/>
    <n v="1"/>
    <s v=""/>
  </r>
  <r>
    <s v="Zambia"/>
    <s v="Sub-Saharan Africa"/>
    <s v="P071985"/>
    <s v="C1"/>
    <s v="S4"/>
    <s v="P071985C1S4"/>
    <s v="Ratio"/>
    <s v="2004 / 2015"/>
    <s v="Asphalt Mix Resurfacing"/>
    <s v=""/>
    <n v="1"/>
    <m/>
    <m/>
    <n v="0.62209302325581395"/>
    <n v="0.62209302325581384"/>
    <s v=""/>
    <n v="0"/>
    <n v="0"/>
    <x v="1"/>
    <x v="0"/>
    <s v=""/>
    <s v=""/>
    <s v=""/>
    <s v=""/>
    <s v=""/>
    <s v=""/>
    <s v=""/>
    <s v=""/>
    <s v=""/>
    <s v=""/>
  </r>
  <r>
    <s v="India"/>
    <s v="South Asia"/>
    <s v="P072539"/>
    <s v="C1"/>
    <s v=""/>
    <s v="P072539C1"/>
    <s v="Ratio"/>
    <s v="2002 / 2011"/>
    <s v="Widening and Reconstruction"/>
    <s v=""/>
    <n v="0.43868739205526769"/>
    <m/>
    <m/>
    <n v="0.71923415492957754"/>
    <n v="1.6395140775756902"/>
    <s v="x"/>
    <n v="0"/>
    <n v="1"/>
    <x v="0"/>
    <x v="0"/>
    <s v=""/>
    <s v=""/>
    <s v=""/>
    <n v="1"/>
    <s v=""/>
    <n v="1"/>
    <s v=""/>
    <s v=""/>
    <n v="1"/>
    <n v="1"/>
  </r>
  <r>
    <s v="India"/>
    <s v="South Asia"/>
    <s v="P072539"/>
    <s v="C2"/>
    <s v=""/>
    <s v="P072539C2"/>
    <s v="Ratio"/>
    <s v="2002 / 2011"/>
    <s v="Asphalt Mix Resurfacing"/>
    <s v=""/>
    <n v="1.1456888007928643"/>
    <m/>
    <m/>
    <n v="2.3926062846580405"/>
    <n v="2.0883561775259198"/>
    <s v="x"/>
    <n v="0"/>
    <n v="0"/>
    <x v="0"/>
    <x v="0"/>
    <s v=""/>
    <s v=""/>
    <s v=""/>
    <n v="1"/>
    <s v=""/>
    <n v="1"/>
    <s v=""/>
    <s v=""/>
    <n v="1"/>
    <s v=""/>
  </r>
  <r>
    <s v="Burkina Faso"/>
    <s v="Sub-Saharan Africa"/>
    <s v="P074030"/>
    <s v="C1"/>
    <s v=""/>
    <s v="P074030C1"/>
    <s v="Ratio"/>
    <s v="2003 / 2014"/>
    <s v="Reconstruction"/>
    <s v=""/>
    <n v="0.37948136601955507"/>
    <m/>
    <m/>
    <n v="1.0064985300943834"/>
    <n v="2.6523002714249677"/>
    <s v="x"/>
    <n v="0"/>
    <n v="1"/>
    <x v="0"/>
    <x v="0"/>
    <n v="1"/>
    <s v=""/>
    <n v="1"/>
    <s v=""/>
    <s v=""/>
    <s v=""/>
    <s v=""/>
    <s v=""/>
    <s v=""/>
    <n v="1"/>
  </r>
  <r>
    <s v="Indonesia"/>
    <s v="East Asia and Pacific"/>
    <s v="P074290"/>
    <s v="C1"/>
    <s v=""/>
    <s v="P074290C1"/>
    <s v="Ratio"/>
    <s v="2004 / 2012"/>
    <s v="Reconstruction"/>
    <n v="1"/>
    <n v="0.49467812259553734"/>
    <m/>
    <m/>
    <n v="1.1620157480314961"/>
    <n v="2.349034038405601"/>
    <s v="x"/>
    <n v="0"/>
    <n v="1"/>
    <x v="0"/>
    <x v="0"/>
    <n v="1"/>
    <s v=""/>
    <s v=""/>
    <s v=""/>
    <s v=""/>
    <n v="1"/>
    <s v=""/>
    <s v=""/>
    <s v=""/>
    <n v="1"/>
  </r>
  <r>
    <s v="Indonesia"/>
    <s v="East Asia and Pacific"/>
    <s v="P074290"/>
    <s v="C1"/>
    <s v="S1"/>
    <s v="P074290C1S1"/>
    <s v="Ratio"/>
    <s v="2004 / 2012"/>
    <s v="Asphalt Mix Resurfacing"/>
    <s v=""/>
    <n v="0.38033843674456086"/>
    <m/>
    <m/>
    <n v="0.75980392156862742"/>
    <n v="1.9977048022598864"/>
    <s v="x"/>
    <n v="0"/>
    <n v="1"/>
    <x v="0"/>
    <x v="0"/>
    <s v=""/>
    <s v=""/>
    <s v=""/>
    <s v=""/>
    <s v=""/>
    <n v="1"/>
    <s v=""/>
    <s v=""/>
    <s v=""/>
    <n v="1"/>
  </r>
  <r>
    <s v="Indonesia"/>
    <s v="East Asia and Pacific"/>
    <s v="P074290"/>
    <s v="C1"/>
    <s v="S2"/>
    <s v="P074290C1S2"/>
    <s v="Ratio"/>
    <s v="2004 / 2012"/>
    <s v="Reconstruction"/>
    <s v=""/>
    <n v="4.3481152993348111"/>
    <m/>
    <m/>
    <n v="8.5329192546583847"/>
    <n v="1.9624408892661558"/>
    <s v="x"/>
    <n v="1"/>
    <n v="0"/>
    <x v="0"/>
    <x v="0"/>
    <n v="1"/>
    <s v=""/>
    <s v=""/>
    <s v=""/>
    <s v=""/>
    <s v=""/>
    <s v=""/>
    <s v=""/>
    <s v=""/>
    <n v="1"/>
  </r>
  <r>
    <s v="Indonesia"/>
    <s v="East Asia and Pacific"/>
    <s v="P074290"/>
    <s v="C1"/>
    <s v="S3"/>
    <s v="P074290C1S3"/>
    <s v="Ratio"/>
    <s v="2004 / 2012"/>
    <s v="Asphalt Mix Resurfacing"/>
    <s v=""/>
    <n v="0.88698630136986301"/>
    <m/>
    <m/>
    <n v="1.2551210428305402"/>
    <n v="1.4150399401796052"/>
    <s v=""/>
    <n v="0"/>
    <n v="0"/>
    <x v="1"/>
    <x v="0"/>
    <s v=""/>
    <s v=""/>
    <s v=""/>
    <s v=""/>
    <s v=""/>
    <s v=""/>
    <s v=""/>
    <s v=""/>
    <s v=""/>
    <s v=""/>
  </r>
  <r>
    <s v="Indonesia"/>
    <s v="East Asia and Pacific"/>
    <s v="P074290"/>
    <s v="C1"/>
    <s v="S4"/>
    <s v="P074290C1S4"/>
    <s v="Ratio"/>
    <s v="2004 / 2012"/>
    <s v="Reconstruction"/>
    <s v=""/>
    <n v="0.38235294117647056"/>
    <m/>
    <m/>
    <n v="0.86565096952908593"/>
    <n v="2.2640102279991479"/>
    <s v="x"/>
    <n v="0"/>
    <n v="1"/>
    <x v="0"/>
    <x v="0"/>
    <n v="1"/>
    <s v=""/>
    <s v=""/>
    <s v=""/>
    <s v=""/>
    <n v="1"/>
    <s v=""/>
    <s v=""/>
    <s v=""/>
    <n v="1"/>
  </r>
  <r>
    <s v="Indonesia"/>
    <s v="East Asia and Pacific"/>
    <s v="P074290"/>
    <s v="C1"/>
    <s v="S5"/>
    <s v="P074290C1S5"/>
    <s v="Ratio"/>
    <s v="2004 / 2012"/>
    <s v="Asphalt Mix Resurfacing"/>
    <s v=""/>
    <n v="0.32367927058192547"/>
    <m/>
    <m/>
    <n v="0.47022268254790267"/>
    <n v="1.4527426538700323"/>
    <s v="x"/>
    <n v="0"/>
    <n v="1"/>
    <x v="1"/>
    <x v="0"/>
    <n v="1"/>
    <s v=""/>
    <s v=""/>
    <s v=""/>
    <s v=""/>
    <n v="1"/>
    <s v=""/>
    <s v=""/>
    <s v=""/>
    <n v="1"/>
  </r>
  <r>
    <s v="Indonesia"/>
    <s v="East Asia and Pacific"/>
    <s v="P074290"/>
    <s v="C1"/>
    <s v="S6"/>
    <s v="P074290C1S6"/>
    <s v="Ratio"/>
    <s v="2004 / 2012"/>
    <s v="Reconstruction"/>
    <s v=""/>
    <n v="0.40903903218443272"/>
    <m/>
    <m/>
    <n v="0.76982405398891296"/>
    <n v="1.8820307927039222"/>
    <s v="x"/>
    <n v="0"/>
    <n v="1"/>
    <x v="0"/>
    <x v="0"/>
    <n v="1"/>
    <s v=""/>
    <s v=""/>
    <s v=""/>
    <s v=""/>
    <n v="1"/>
    <s v=""/>
    <s v=""/>
    <s v=""/>
    <n v="1"/>
  </r>
  <r>
    <s v="Indonesia"/>
    <s v="East Asia and Pacific"/>
    <s v="P074290"/>
    <s v="C1"/>
    <s v="S7"/>
    <s v="P074290C1S7"/>
    <s v="Ratio"/>
    <s v="2004 / 2012"/>
    <s v="Asphalt Mix Resurfacing"/>
    <s v=""/>
    <n v="0.26055063351433744"/>
    <m/>
    <m/>
    <n v="0.56571654790182102"/>
    <n v="2.1712345898813221"/>
    <s v="x"/>
    <n v="0"/>
    <n v="1"/>
    <x v="0"/>
    <x v="0"/>
    <n v="1"/>
    <s v=""/>
    <s v=""/>
    <s v=""/>
    <s v=""/>
    <n v="1"/>
    <s v=""/>
    <s v=""/>
    <s v=""/>
    <n v="1"/>
  </r>
  <r>
    <s v="Indonesia"/>
    <s v="East Asia and Pacific"/>
    <s v="P074290"/>
    <s v="C1"/>
    <s v="S8"/>
    <s v="P074290C1S8"/>
    <s v="Ratio"/>
    <s v="2004 / 2012"/>
    <s v="Reconstruction"/>
    <s v=""/>
    <n v="0.49090714591356438"/>
    <m/>
    <m/>
    <n v="0.94053315105946689"/>
    <n v="1.9159084541520803"/>
    <s v="x"/>
    <n v="0"/>
    <n v="1"/>
    <x v="0"/>
    <x v="0"/>
    <n v="1"/>
    <s v=""/>
    <s v=""/>
    <s v=""/>
    <s v=""/>
    <n v="1"/>
    <s v=""/>
    <s v=""/>
    <s v=""/>
    <n v="1"/>
  </r>
  <r>
    <s v="Nigeria"/>
    <s v="Sub-Saharan Africa"/>
    <s v="P074963"/>
    <s v="C1"/>
    <s v=""/>
    <s v="P074963C1"/>
    <s v="Ratio"/>
    <s v="2002 / 2011"/>
    <s v="Strengthening"/>
    <s v=""/>
    <n v="1.0466666666666666"/>
    <m/>
    <m/>
    <n v="1.6121827411167513"/>
    <n v="1.5403019819586798"/>
    <s v="x"/>
    <n v="0"/>
    <n v="0"/>
    <x v="0"/>
    <x v="0"/>
    <n v="1"/>
    <s v=""/>
    <s v=""/>
    <s v=""/>
    <s v=""/>
    <s v=""/>
    <s v=""/>
    <s v=""/>
    <s v=""/>
    <s v=""/>
  </r>
  <r>
    <s v="Nigeria"/>
    <s v="Sub-Saharan Africa"/>
    <s v="P074963"/>
    <s v="C1"/>
    <s v="S1"/>
    <s v="P074963C1S1"/>
    <s v="Ratio"/>
    <s v="2002 / 2011"/>
    <s v="Asphalt Mix Resurfacing"/>
    <s v=""/>
    <n v="1"/>
    <m/>
    <m/>
    <n v="1.0322864045684164"/>
    <n v="1.0322864045684164"/>
    <s v=""/>
    <n v="0"/>
    <n v="0"/>
    <x v="1"/>
    <x v="0"/>
    <s v=""/>
    <s v=""/>
    <s v=""/>
    <s v=""/>
    <s v=""/>
    <s v=""/>
    <s v=""/>
    <s v=""/>
    <s v=""/>
    <s v=""/>
  </r>
  <r>
    <s v="Nigeria"/>
    <s v="Sub-Saharan Africa"/>
    <s v="P074963"/>
    <s v="C1"/>
    <s v="S2"/>
    <s v="P074963C1S2"/>
    <s v="Ratio"/>
    <s v="2002 / 2011"/>
    <s v="Asphalt Mix Resurfacing"/>
    <s v=""/>
    <n v="1.3311827956989246"/>
    <m/>
    <m/>
    <n v="1.2843837990036819"/>
    <n v="0.96484404933232981"/>
    <s v=""/>
    <n v="0"/>
    <n v="0"/>
    <x v="1"/>
    <x v="0"/>
    <s v=""/>
    <s v=""/>
    <s v=""/>
    <s v=""/>
    <s v=""/>
    <s v=""/>
    <s v=""/>
    <s v=""/>
    <s v=""/>
    <s v=""/>
  </r>
  <r>
    <s v="Yugoslavia, FR (Serbia/Montenegro)"/>
    <s v="Europe and Central Asia"/>
    <s v="P075207"/>
    <s v="C1"/>
    <s v="S1"/>
    <s v="P075207C1S1"/>
    <s v="Ratio"/>
    <s v="2004 / 2013"/>
    <s v="Reconstruction"/>
    <s v=""/>
    <n v="1"/>
    <m/>
    <m/>
    <n v="1.8954545454545453"/>
    <n v="1.8954545454545453"/>
    <s v="x"/>
    <n v="0"/>
    <n v="0"/>
    <x v="0"/>
    <x v="0"/>
    <s v=""/>
    <s v=""/>
    <s v=""/>
    <s v=""/>
    <s v=""/>
    <n v="1"/>
    <s v=""/>
    <s v=""/>
    <n v="1"/>
    <s v=""/>
  </r>
  <r>
    <s v="Yugoslavia, FR (Serbia/Montenegro)"/>
    <s v="Europe and Central Asia"/>
    <s v="P075207"/>
    <s v="C1"/>
    <s v="S2"/>
    <s v="P075207C1S2"/>
    <s v="Ratio"/>
    <s v="2004 / 2013"/>
    <s v="Reconstruction"/>
    <s v=""/>
    <n v="1"/>
    <m/>
    <m/>
    <n v="1.8052631578947369"/>
    <n v="1.8052631578947369"/>
    <s v="x"/>
    <n v="0"/>
    <n v="0"/>
    <x v="0"/>
    <x v="0"/>
    <s v=""/>
    <s v=""/>
    <s v=""/>
    <s v=""/>
    <s v=""/>
    <n v="1"/>
    <s v=""/>
    <s v=""/>
    <n v="1"/>
    <s v=""/>
  </r>
  <r>
    <s v="Yugoslavia, FR (Serbia/Montenegro)"/>
    <s v="Europe and Central Asia"/>
    <s v="P075207"/>
    <s v="C1"/>
    <s v="S3"/>
    <s v="P075207C1S3"/>
    <s v="Ratio"/>
    <s v="2004 / 2013"/>
    <s v="Reconstruction"/>
    <s v=""/>
    <n v="1"/>
    <m/>
    <m/>
    <n v="1.4307692307692308"/>
    <n v="1.4307692307692308"/>
    <s v=""/>
    <n v="0"/>
    <n v="0"/>
    <x v="1"/>
    <x v="0"/>
    <s v=""/>
    <s v=""/>
    <s v=""/>
    <s v=""/>
    <s v=""/>
    <s v=""/>
    <s v=""/>
    <s v=""/>
    <s v=""/>
    <s v=""/>
  </r>
  <r>
    <s v="Yugoslavia, FR (Serbia/Montenegro)"/>
    <s v="Europe and Central Asia"/>
    <s v="P075207"/>
    <s v="C1"/>
    <s v="S4"/>
    <s v="P075207C1S4"/>
    <s v="Ratio"/>
    <s v="2004 / 2013"/>
    <s v="Reconstruction"/>
    <s v=""/>
    <n v="1"/>
    <m/>
    <m/>
    <n v="0.75"/>
    <n v="0.75000000000000011"/>
    <s v=""/>
    <n v="0"/>
    <n v="0"/>
    <x v="1"/>
    <x v="0"/>
    <s v=""/>
    <s v=""/>
    <s v=""/>
    <s v=""/>
    <s v=""/>
    <s v=""/>
    <s v=""/>
    <s v=""/>
    <s v=""/>
    <s v=""/>
  </r>
  <r>
    <s v="Samoa"/>
    <s v="East Asia and Pacific"/>
    <s v="P075523"/>
    <s v="C1"/>
    <s v="S1"/>
    <s v="P075523C1S1"/>
    <s v="Ratio"/>
    <s v="2003 / 2014"/>
    <s v="Surface Treatment Resurfacing"/>
    <n v="1.2666666666666666"/>
    <n v="0.9375"/>
    <m/>
    <m/>
    <n v="3.6357142857142857"/>
    <n v="3.8780952380952383"/>
    <s v="x"/>
    <n v="0"/>
    <n v="0"/>
    <x v="0"/>
    <x v="0"/>
    <s v=""/>
    <s v=""/>
    <n v="1"/>
    <s v=""/>
    <s v=""/>
    <n v="1"/>
    <s v=""/>
    <s v=""/>
    <n v="1"/>
    <s v=""/>
  </r>
  <r>
    <s v="Samoa"/>
    <s v="East Asia and Pacific"/>
    <s v="P075523"/>
    <s v="C1"/>
    <s v="S2"/>
    <s v="P075523C1S2"/>
    <s v="Ratio"/>
    <s v="2003 / 2014"/>
    <s v="Widening"/>
    <n v="1"/>
    <n v="1"/>
    <m/>
    <m/>
    <n v="4.407258064516129"/>
    <n v="4.407258064516129"/>
    <s v="x"/>
    <n v="0"/>
    <n v="0"/>
    <x v="0"/>
    <x v="0"/>
    <s v=""/>
    <s v=""/>
    <n v="1"/>
    <s v=""/>
    <s v=""/>
    <n v="1"/>
    <s v=""/>
    <s v=""/>
    <n v="1"/>
    <s v=""/>
  </r>
  <r>
    <s v="Samoa"/>
    <s v="East Asia and Pacific"/>
    <s v="P075523"/>
    <s v="C1"/>
    <s v="S3"/>
    <s v="P075523C1S3"/>
    <s v="Ratio"/>
    <s v="2003 / 2014"/>
    <s v="Upgrading"/>
    <n v="0.33333333333333331"/>
    <n v="1.0076923076923077"/>
    <m/>
    <m/>
    <n v="3.8666666666666667"/>
    <n v="3.8371501272264625"/>
    <s v="x"/>
    <n v="0"/>
    <n v="0"/>
    <x v="0"/>
    <x v="0"/>
    <s v=""/>
    <s v=""/>
    <n v="1"/>
    <s v=""/>
    <s v=""/>
    <n v="1"/>
    <s v=""/>
    <s v=""/>
    <n v="1"/>
    <s v=""/>
  </r>
  <r>
    <s v="China"/>
    <s v="East Asia and Pacific"/>
    <s v="P075613"/>
    <s v="C1"/>
    <s v=""/>
    <s v="P075613C1"/>
    <s v="Ratio"/>
    <s v="2007 / 2013"/>
    <s v="New 4L Highway"/>
    <s v=""/>
    <n v="1"/>
    <m/>
    <m/>
    <n v="1.9539947259639372"/>
    <n v="1.9539947259639372"/>
    <s v="x"/>
    <n v="0"/>
    <n v="0"/>
    <x v="0"/>
    <x v="0"/>
    <n v="1"/>
    <s v=""/>
    <s v=""/>
    <s v=""/>
    <s v=""/>
    <s v=""/>
    <s v=""/>
    <s v=""/>
    <s v=""/>
    <s v=""/>
  </r>
  <r>
    <s v="China"/>
    <s v="East Asia and Pacific"/>
    <s v="P075613"/>
    <s v="C2"/>
    <s v=""/>
    <s v="P075613C2"/>
    <s v="Ratio"/>
    <s v="2007 / 2013"/>
    <s v="Upgrading"/>
    <s v=""/>
    <n v="1"/>
    <m/>
    <m/>
    <n v="1.6431596781024991"/>
    <n v="1.6431596781024993"/>
    <s v="x"/>
    <n v="0"/>
    <n v="0"/>
    <x v="0"/>
    <x v="0"/>
    <n v="1"/>
    <s v=""/>
    <s v=""/>
    <s v=""/>
    <s v=""/>
    <s v=""/>
    <s v=""/>
    <s v=""/>
    <s v=""/>
    <s v=""/>
  </r>
  <r>
    <s v="India"/>
    <s v="South Asia"/>
    <s v="P077977"/>
    <s v="C1"/>
    <s v="S1"/>
    <s v="P077977C1S1"/>
    <s v="Ratio"/>
    <s v="2004 / 2012"/>
    <s v="Upgrading"/>
    <n v="2"/>
    <n v="1.4642857142857142"/>
    <m/>
    <m/>
    <n v="1.5618004205569556"/>
    <n v="1.0665954091608476"/>
    <s v=""/>
    <n v="0"/>
    <n v="0"/>
    <x v="1"/>
    <x v="0"/>
    <s v=""/>
    <s v=""/>
    <s v=""/>
    <s v=""/>
    <s v=""/>
    <s v=""/>
    <s v=""/>
    <s v=""/>
    <s v=""/>
    <n v="1"/>
  </r>
  <r>
    <s v="India"/>
    <s v="South Asia"/>
    <s v="P077977"/>
    <s v="C1"/>
    <s v="S2"/>
    <s v="P077977C1S2"/>
    <s v="Ratio"/>
    <s v="2004 / 2012"/>
    <s v="Upgrading"/>
    <n v="1.5"/>
    <n v="0.96923076923076923"/>
    <m/>
    <m/>
    <n v="0.85712729826807488"/>
    <n v="0.88433768868928364"/>
    <s v=""/>
    <n v="0"/>
    <n v="0"/>
    <x v="1"/>
    <x v="0"/>
    <s v=""/>
    <s v=""/>
    <s v=""/>
    <s v=""/>
    <s v=""/>
    <s v=""/>
    <s v=""/>
    <s v=""/>
    <s v=""/>
    <s v=""/>
  </r>
  <r>
    <s v="India"/>
    <s v="South Asia"/>
    <s v="P077977"/>
    <s v="C1"/>
    <s v="S3"/>
    <s v="P077977C1S3"/>
    <s v="Ratio"/>
    <s v="2004 / 2012"/>
    <s v="Upgrading"/>
    <n v="1.5"/>
    <n v="2.7550394390885189"/>
    <m/>
    <m/>
    <n v="2.3828938269413533"/>
    <n v="0.86492185670115607"/>
    <s v="x"/>
    <n v="1"/>
    <n v="0"/>
    <x v="1"/>
    <x v="0"/>
    <s v=""/>
    <s v=""/>
    <s v=""/>
    <s v=""/>
    <s v=""/>
    <s v=""/>
    <s v=""/>
    <s v=""/>
    <s v=""/>
    <n v="1"/>
  </r>
  <r>
    <s v="India"/>
    <s v="South Asia"/>
    <s v="P077977"/>
    <s v="C1"/>
    <s v="S4"/>
    <s v="P077977C1S4"/>
    <s v="Ratio"/>
    <s v="2004 / 2012"/>
    <s v="Upgrading"/>
    <n v="1.5"/>
    <n v="1.5197135061391542"/>
    <m/>
    <m/>
    <n v="1.6639535289921741"/>
    <n v="1.0949126412776726"/>
    <s v="x"/>
    <n v="1"/>
    <n v="0"/>
    <x v="1"/>
    <x v="0"/>
    <s v=""/>
    <s v=""/>
    <s v=""/>
    <s v=""/>
    <s v=""/>
    <s v=""/>
    <s v=""/>
    <s v=""/>
    <s v=""/>
    <n v="1"/>
  </r>
  <r>
    <s v="Poland"/>
    <s v="Europe and Central Asia"/>
    <s v="P078170"/>
    <s v="C2"/>
    <s v=""/>
    <s v="P078170C2"/>
    <s v="Ratio"/>
    <s v="2004 / 2009"/>
    <s v="Concrete Pavement Restoration"/>
    <s v=""/>
    <n v="1"/>
    <m/>
    <m/>
    <n v="0.84047919293820939"/>
    <n v="0.84047919293820939"/>
    <s v=""/>
    <n v="0"/>
    <n v="0"/>
    <x v="1"/>
    <x v="0"/>
    <s v=""/>
    <s v=""/>
    <s v=""/>
    <s v=""/>
    <s v=""/>
    <s v=""/>
    <s v=""/>
    <s v=""/>
    <s v=""/>
    <s v=""/>
  </r>
  <r>
    <s v="Afghanistan"/>
    <s v="South Asia"/>
    <s v="P078284"/>
    <s v="C1"/>
    <s v=""/>
    <s v="P078284C1"/>
    <s v="Ratio"/>
    <s v="2003 / 2008"/>
    <s v="Strengthening"/>
    <s v=""/>
    <n v="0.9948096885813148"/>
    <m/>
    <m/>
    <n v="1.4092989985693849"/>
    <n v="1.4166518629097469"/>
    <s v=""/>
    <n v="0"/>
    <n v="0"/>
    <x v="1"/>
    <x v="0"/>
    <s v=""/>
    <s v=""/>
    <s v=""/>
    <s v=""/>
    <s v=""/>
    <s v=""/>
    <s v=""/>
    <s v=""/>
    <s v=""/>
    <s v=""/>
  </r>
  <r>
    <s v="Afghanistan"/>
    <s v="South Asia"/>
    <s v="P078284"/>
    <s v="C1"/>
    <s v="S1"/>
    <s v="P078284C1S1"/>
    <s v="Ratio"/>
    <s v="2003 / 2008"/>
    <s v="Strengthening"/>
    <n v="5"/>
    <n v="1"/>
    <m/>
    <m/>
    <n v="1.4997772828507796"/>
    <n v="1.4997772828507796"/>
    <s v=""/>
    <n v="0"/>
    <n v="0"/>
    <x v="1"/>
    <x v="0"/>
    <s v=""/>
    <s v=""/>
    <s v=""/>
    <s v=""/>
    <s v=""/>
    <s v=""/>
    <s v=""/>
    <s v=""/>
    <s v=""/>
    <s v=""/>
  </r>
  <r>
    <s v="Afghanistan"/>
    <s v="South Asia"/>
    <s v="P078284"/>
    <s v="C1"/>
    <s v="S2"/>
    <s v="P078284C1S2"/>
    <s v="Ratio"/>
    <s v="2003 / 2008"/>
    <s v="Strengthening"/>
    <n v="1.5714285714285714"/>
    <n v="0.98952270081490101"/>
    <m/>
    <m/>
    <n v="1.2468000000000001"/>
    <n v="1.260001411764706"/>
    <s v=""/>
    <n v="0"/>
    <n v="0"/>
    <x v="1"/>
    <x v="0"/>
    <s v=""/>
    <s v=""/>
    <s v=""/>
    <s v=""/>
    <s v=""/>
    <s v=""/>
    <s v=""/>
    <s v=""/>
    <s v=""/>
    <s v=""/>
  </r>
  <r>
    <s v="Afghanistan"/>
    <s v="South Asia"/>
    <s v="P078284"/>
    <s v="C2"/>
    <s v=""/>
    <s v="P078284C2"/>
    <s v="Ratio"/>
    <s v="2003 / 2008"/>
    <s v="Upgrading"/>
    <s v=""/>
    <n v="0.24399999999999999"/>
    <m/>
    <m/>
    <n v="0.73185378590078343"/>
    <n v="2.9994007618884568"/>
    <s v="x"/>
    <n v="0"/>
    <n v="1"/>
    <x v="0"/>
    <x v="0"/>
    <s v=""/>
    <n v="1"/>
    <s v=""/>
    <s v=""/>
    <s v=""/>
    <s v=""/>
    <s v=""/>
    <n v="1"/>
    <s v=""/>
    <n v="1"/>
  </r>
  <r>
    <s v="Tanzania"/>
    <s v="Sub-Saharan Africa"/>
    <s v="P078387"/>
    <s v="C1"/>
    <s v="S1"/>
    <s v="P078387C1S1"/>
    <s v="Ratio"/>
    <s v="2004 / 2010"/>
    <s v="Upgrading"/>
    <s v=""/>
    <n v="1.0490909090909091"/>
    <m/>
    <m/>
    <n v="0.9870805670195586"/>
    <n v="0.94089135504463983"/>
    <s v=""/>
    <n v="0"/>
    <n v="0"/>
    <x v="1"/>
    <x v="0"/>
    <s v=""/>
    <s v=""/>
    <s v=""/>
    <s v=""/>
    <s v=""/>
    <s v=""/>
    <s v=""/>
    <s v=""/>
    <s v=""/>
    <s v=""/>
  </r>
  <r>
    <s v="Tanzania"/>
    <s v="Sub-Saharan Africa"/>
    <s v="P078387"/>
    <s v="C1"/>
    <s v="S2"/>
    <s v="P078387C1S2"/>
    <s v="Ratio"/>
    <s v="2004 / 2010"/>
    <s v="Upgrading"/>
    <n v="2"/>
    <n v="0.98245614035087714"/>
    <m/>
    <m/>
    <n v="1.1384615384615384"/>
    <n v="1.1587912087912089"/>
    <s v=""/>
    <n v="0"/>
    <n v="0"/>
    <x v="1"/>
    <x v="0"/>
    <s v=""/>
    <s v=""/>
    <s v=""/>
    <s v=""/>
    <s v=""/>
    <s v=""/>
    <s v=""/>
    <s v=""/>
    <s v=""/>
    <s v=""/>
  </r>
  <r>
    <s v="Peru"/>
    <s v="Latin America and Caribbean"/>
    <s v="P078813"/>
    <s v="C1"/>
    <s v=""/>
    <s v="P078813C1"/>
    <s v="Ratio"/>
    <s v="2005 / 2014"/>
    <s v="Reconstruction"/>
    <s v=""/>
    <n v="1.0414285714285714"/>
    <m/>
    <m/>
    <n v="1.0190867185249208"/>
    <n v="0.97854691765081558"/>
    <s v=""/>
    <n v="0"/>
    <n v="0"/>
    <x v="1"/>
    <x v="0"/>
    <s v=""/>
    <s v=""/>
    <s v=""/>
    <s v=""/>
    <s v=""/>
    <s v=""/>
    <s v=""/>
    <s v=""/>
    <s v=""/>
    <s v=""/>
  </r>
  <r>
    <s v="Peru"/>
    <s v="Latin America and Caribbean"/>
    <s v="P078813"/>
    <s v="C1"/>
    <s v="S1"/>
    <s v="P078813C1S1"/>
    <s v="Ratio"/>
    <s v="2005 / 2014"/>
    <s v="Reconstruction"/>
    <s v=""/>
    <n v="0.71"/>
    <m/>
    <m/>
    <n v="0.93054545454545456"/>
    <n v="1.3106274007682457"/>
    <s v=""/>
    <n v="0"/>
    <n v="0"/>
    <x v="1"/>
    <x v="0"/>
    <s v=""/>
    <s v=""/>
    <s v=""/>
    <s v=""/>
    <s v=""/>
    <s v=""/>
    <s v=""/>
    <s v=""/>
    <s v=""/>
    <s v=""/>
  </r>
  <r>
    <s v="Peru"/>
    <s v="Latin America and Caribbean"/>
    <s v="P078813"/>
    <s v="C1"/>
    <s v="S2"/>
    <s v="P078813C1S2"/>
    <s v="Ratio"/>
    <s v="2005 / 2014"/>
    <s v="Gravel Resurfacing"/>
    <s v=""/>
    <n v="1.3114814814814815"/>
    <m/>
    <m/>
    <n v="1.4928609201480698"/>
    <n v="1.138301181700025"/>
    <s v=""/>
    <n v="0"/>
    <n v="0"/>
    <x v="1"/>
    <x v="0"/>
    <s v=""/>
    <s v=""/>
    <s v=""/>
    <s v=""/>
    <s v=""/>
    <s v=""/>
    <s v=""/>
    <s v=""/>
    <s v=""/>
    <s v=""/>
  </r>
  <r>
    <s v="Mali"/>
    <s v="Sub-Saharan Africa"/>
    <s v="P079351"/>
    <s v="C1"/>
    <s v=""/>
    <s v="P079351C1"/>
    <s v="Ratio"/>
    <s v="2004 / 2010"/>
    <s v="Asphalt Mix Resurfacing"/>
    <n v="1.2"/>
    <n v="0.42375886524822692"/>
    <m/>
    <m/>
    <n v="0.98830049261083752"/>
    <n v="2.3322237566213904"/>
    <s v="x"/>
    <n v="0"/>
    <n v="1"/>
    <x v="0"/>
    <x v="0"/>
    <s v=""/>
    <s v=""/>
    <s v=""/>
    <n v="1"/>
    <s v=""/>
    <n v="1"/>
    <s v=""/>
    <s v=""/>
    <s v=""/>
    <s v=""/>
  </r>
  <r>
    <s v="Indonesia"/>
    <s v="East Asia and Pacific"/>
    <s v="P079906"/>
    <s v="C1"/>
    <s v=""/>
    <s v="P079906C1"/>
    <s v="Ratio"/>
    <s v="2006 / 2014"/>
    <s v="Reconstruction"/>
    <s v=""/>
    <n v="0.56889165628891658"/>
    <m/>
    <m/>
    <n v="0.79664250286150318"/>
    <n v="1.4003413375022702"/>
    <s v=""/>
    <n v="0"/>
    <n v="0"/>
    <x v="1"/>
    <x v="0"/>
    <s v=""/>
    <s v=""/>
    <s v=""/>
    <s v=""/>
    <s v=""/>
    <s v=""/>
    <s v=""/>
    <s v=""/>
    <s v=""/>
    <s v=""/>
  </r>
  <r>
    <s v="Indonesia"/>
    <s v="East Asia and Pacific"/>
    <s v="P079906"/>
    <s v="C1"/>
    <s v="S1"/>
    <s v="P079906C1S1"/>
    <s v="Ratio"/>
    <s v="2006 / 2014"/>
    <s v="Strengthening"/>
    <s v=""/>
    <n v="0.7503526093088857"/>
    <m/>
    <m/>
    <n v="0.84154460719041291"/>
    <n v="1.1215321926654187"/>
    <s v=""/>
    <n v="0"/>
    <n v="0"/>
    <x v="1"/>
    <x v="0"/>
    <s v=""/>
    <s v=""/>
    <s v=""/>
    <s v=""/>
    <s v=""/>
    <s v=""/>
    <s v=""/>
    <s v=""/>
    <s v=""/>
    <s v=""/>
  </r>
  <r>
    <s v="Indonesia"/>
    <s v="East Asia and Pacific"/>
    <s v="P079906"/>
    <s v="C1"/>
    <s v="S2"/>
    <s v="P079906C1S2"/>
    <s v="Ratio"/>
    <s v="2006 / 2014"/>
    <s v="Widening"/>
    <s v=""/>
    <n v="0.82731707317073166"/>
    <m/>
    <m/>
    <n v="0.94984954864593785"/>
    <n v="1.148108239813781"/>
    <s v=""/>
    <n v="0"/>
    <n v="0"/>
    <x v="1"/>
    <x v="0"/>
    <s v=""/>
    <s v=""/>
    <s v=""/>
    <s v=""/>
    <s v=""/>
    <s v=""/>
    <s v=""/>
    <s v=""/>
    <s v=""/>
    <s v=""/>
  </r>
  <r>
    <s v="Indonesia"/>
    <s v="East Asia and Pacific"/>
    <s v="P079906"/>
    <s v="C1"/>
    <s v="S3"/>
    <s v="P079906C1S3"/>
    <s v="Ratio"/>
    <s v="2006 / 2014"/>
    <s v="New 2L Highway"/>
    <s v=""/>
    <n v="0.79273504273504281"/>
    <m/>
    <m/>
    <n v="0.81562320505456642"/>
    <n v="1.0288723988289408"/>
    <s v=""/>
    <n v="0"/>
    <n v="0"/>
    <x v="1"/>
    <x v="0"/>
    <s v=""/>
    <s v=""/>
    <s v=""/>
    <s v=""/>
    <s v=""/>
    <s v=""/>
    <s v=""/>
    <s v=""/>
    <s v=""/>
    <s v=""/>
  </r>
  <r>
    <s v="Jordan"/>
    <s v="Middle East and North Africa"/>
    <s v="P081505"/>
    <s v="C1"/>
    <s v="S1"/>
    <s v="P081505C1S1"/>
    <s v="Ratio"/>
    <s v="2004 / 2013"/>
    <s v="New 4L Highway"/>
    <s v=""/>
    <n v="1"/>
    <m/>
    <m/>
    <n v="2.6628440366972477"/>
    <n v="2.6628440366972477"/>
    <s v="x"/>
    <n v="0"/>
    <n v="0"/>
    <x v="0"/>
    <x v="0"/>
    <s v=""/>
    <n v="1"/>
    <s v=""/>
    <s v=""/>
    <s v=""/>
    <s v=""/>
    <s v=""/>
    <n v="1"/>
    <n v="1"/>
    <s v=""/>
  </r>
  <r>
    <s v="Jordan"/>
    <s v="Middle East and North Africa"/>
    <s v="P081505"/>
    <s v="C1"/>
    <s v="S2"/>
    <s v="P081505C1S2"/>
    <s v="Ratio"/>
    <s v="2004 / 2013"/>
    <s v="New 4L Highway"/>
    <s v=""/>
    <n v="1"/>
    <m/>
    <m/>
    <n v="2.2540983606557381"/>
    <n v="2.2540983606557381"/>
    <s v="x"/>
    <n v="0"/>
    <n v="0"/>
    <x v="0"/>
    <x v="0"/>
    <s v=""/>
    <n v="1"/>
    <s v=""/>
    <s v=""/>
    <s v=""/>
    <s v=""/>
    <s v=""/>
    <s v=""/>
    <n v="1"/>
    <s v=""/>
  </r>
  <r>
    <s v="Jordan"/>
    <s v="Middle East and North Africa"/>
    <s v="P081505"/>
    <s v="C1"/>
    <s v="S3"/>
    <s v="P081505C1S3"/>
    <s v="Ratio"/>
    <s v="2004 / 2013"/>
    <s v="New 4L Highway"/>
    <s v=""/>
    <n v="1"/>
    <m/>
    <m/>
    <n v="2.9766803840877913"/>
    <n v="2.9766803840877918"/>
    <s v="x"/>
    <n v="0"/>
    <n v="0"/>
    <x v="0"/>
    <x v="0"/>
    <s v=""/>
    <n v="1"/>
    <s v=""/>
    <s v=""/>
    <s v=""/>
    <s v=""/>
    <s v=""/>
    <s v=""/>
    <n v="1"/>
    <s v=""/>
  </r>
  <r>
    <s v="Paraguay"/>
    <s v="Latin America and Caribbean"/>
    <s v="P082026"/>
    <s v="C1"/>
    <s v=""/>
    <s v="P082026C1"/>
    <s v="Ratio"/>
    <s v="2006 / 2016"/>
    <s v="Strengthening"/>
    <s v=""/>
    <n v="0.64359504132231404"/>
    <m/>
    <m/>
    <n v="1.6909090909090907"/>
    <n v="2.6272873194221504"/>
    <s v="x"/>
    <n v="0"/>
    <n v="0"/>
    <x v="0"/>
    <x v="0"/>
    <s v=""/>
    <s v=""/>
    <s v=""/>
    <s v=""/>
    <s v=""/>
    <s v=""/>
    <s v=""/>
    <s v=""/>
    <n v="1"/>
    <s v=""/>
  </r>
  <r>
    <s v="Paraguay"/>
    <s v="Latin America and Caribbean"/>
    <s v="P082026"/>
    <s v="C1"/>
    <s v="S1"/>
    <s v="P082026C1S1"/>
    <s v="Ratio"/>
    <s v="2006 / 2016"/>
    <s v="Strengthening"/>
    <n v="1"/>
    <n v="1"/>
    <m/>
    <m/>
    <n v="1.1891304347826088"/>
    <n v="1.1891304347826086"/>
    <s v=""/>
    <n v="0"/>
    <n v="0"/>
    <x v="1"/>
    <x v="0"/>
    <s v=""/>
    <s v=""/>
    <s v=""/>
    <s v=""/>
    <s v=""/>
    <s v=""/>
    <s v=""/>
    <s v=""/>
    <s v=""/>
    <s v=""/>
  </r>
  <r>
    <s v="Paraguay"/>
    <s v="Latin America and Caribbean"/>
    <s v="P082026"/>
    <s v="C1"/>
    <s v="S2"/>
    <s v="P082026C1S2"/>
    <s v="Ratio"/>
    <s v="2006 / 2016"/>
    <s v="Strengthening"/>
    <n v="1"/>
    <n v="1"/>
    <m/>
    <m/>
    <n v="1.744660194174757"/>
    <n v="1.744660194174757"/>
    <s v="x"/>
    <n v="0"/>
    <n v="0"/>
    <x v="0"/>
    <x v="0"/>
    <s v=""/>
    <s v=""/>
    <s v=""/>
    <s v=""/>
    <s v=""/>
    <s v=""/>
    <s v=""/>
    <s v=""/>
    <n v="1"/>
    <s v=""/>
  </r>
  <r>
    <s v="Paraguay"/>
    <s v="Latin America and Caribbean"/>
    <s v="P082026"/>
    <s v="C1"/>
    <s v="S3"/>
    <s v="P082026C1S3"/>
    <s v="Ratio"/>
    <s v="2006 / 2016"/>
    <s v="Strengthening"/>
    <n v="1.7284069981583792"/>
    <n v="1"/>
    <m/>
    <m/>
    <n v="3.9459532710280376"/>
    <n v="3.9459532710280376"/>
    <s v="x"/>
    <n v="0"/>
    <n v="0"/>
    <x v="0"/>
    <x v="0"/>
    <s v=""/>
    <s v=""/>
    <s v=""/>
    <s v=""/>
    <s v=""/>
    <s v=""/>
    <s v=""/>
    <s v=""/>
    <n v="1"/>
    <s v=""/>
  </r>
  <r>
    <s v="Paraguay"/>
    <s v="Latin America and Caribbean"/>
    <s v="P082026"/>
    <s v="C2"/>
    <s v=""/>
    <s v="P082026C2"/>
    <s v="Ratio"/>
    <s v="2006 / 2016"/>
    <s v="Reconstruction"/>
    <s v=""/>
    <n v="0.42320213080793134"/>
    <m/>
    <m/>
    <n v="0.61398601398601405"/>
    <n v="1.4508103085725463"/>
    <s v="x"/>
    <n v="0"/>
    <n v="1"/>
    <x v="1"/>
    <x v="0"/>
    <s v=""/>
    <s v=""/>
    <s v=""/>
    <s v=""/>
    <s v=""/>
    <s v=""/>
    <s v=""/>
    <s v=""/>
    <s v=""/>
    <n v="1"/>
  </r>
  <r>
    <s v="Paraguay"/>
    <s v="Latin America and Caribbean"/>
    <s v="P082026"/>
    <s v="C2"/>
    <s v="S1"/>
    <s v="P082026C2S1"/>
    <s v="Ratio"/>
    <s v="2006 / 2016"/>
    <s v="Reconstruction"/>
    <n v="1.25"/>
    <n v="0.29358552631578949"/>
    <m/>
    <m/>
    <n v="1.4020408163265305"/>
    <n v="4.7755788029497497"/>
    <s v="x"/>
    <n v="0"/>
    <n v="1"/>
    <x v="0"/>
    <x v="0"/>
    <s v=""/>
    <s v=""/>
    <s v=""/>
    <s v=""/>
    <s v=""/>
    <s v=""/>
    <s v=""/>
    <s v=""/>
    <n v="1"/>
    <n v="1"/>
  </r>
  <r>
    <s v="Paraguay"/>
    <s v="Latin America and Caribbean"/>
    <s v="P082026"/>
    <s v="C2"/>
    <s v="S2"/>
    <s v="P082026C2S2"/>
    <s v="Ratio"/>
    <s v="2006 / 2016"/>
    <s v="Reconstruction"/>
    <n v="1.0666666666666667"/>
    <n v="0.31305114638447973"/>
    <m/>
    <m/>
    <n v="1.4738095238095239"/>
    <n v="4.7078873239436625"/>
    <s v="x"/>
    <n v="0"/>
    <n v="1"/>
    <x v="0"/>
    <x v="0"/>
    <s v=""/>
    <s v=""/>
    <s v=""/>
    <s v=""/>
    <s v=""/>
    <s v=""/>
    <s v=""/>
    <s v=""/>
    <n v="1"/>
    <n v="1"/>
  </r>
  <r>
    <s v="Paraguay"/>
    <s v="Latin America and Caribbean"/>
    <s v="P082026"/>
    <s v="C2"/>
    <s v="S3"/>
    <s v="P082026C2S3"/>
    <s v="Ratio"/>
    <s v="2006 / 2016"/>
    <s v="Reconstruction"/>
    <n v="1.8972343522561863"/>
    <n v="0.14285714285714285"/>
    <m/>
    <m/>
    <n v="0.93142857142857138"/>
    <n v="6.5200000000000005"/>
    <s v="x"/>
    <n v="0"/>
    <n v="1"/>
    <x v="0"/>
    <x v="0"/>
    <s v=""/>
    <s v=""/>
    <s v=""/>
    <s v=""/>
    <s v=""/>
    <s v=""/>
    <s v=""/>
    <s v=""/>
    <n v="1"/>
    <n v="1"/>
  </r>
  <r>
    <s v="Afghanistan"/>
    <s v="South Asia"/>
    <s v="P082472"/>
    <s v="C1"/>
    <s v=""/>
    <s v="P082472C1"/>
    <s v="Ratio"/>
    <s v="2008 / 2008"/>
    <s v="Reconstruction"/>
    <s v=""/>
    <n v="0.75834999999999997"/>
    <m/>
    <m/>
    <n v="1.0997076023391812"/>
    <n v="1.4501320001835316"/>
    <s v=""/>
    <n v="0"/>
    <n v="0"/>
    <x v="1"/>
    <x v="0"/>
    <s v=""/>
    <s v=""/>
    <s v=""/>
    <s v=""/>
    <s v=""/>
    <s v=""/>
    <s v=""/>
    <s v=""/>
    <s v=""/>
    <s v=""/>
  </r>
  <r>
    <s v="Kenya"/>
    <s v="Sub-Saharan Africa"/>
    <s v="P082615"/>
    <s v="C1"/>
    <s v="S1"/>
    <s v="P082615C1S1"/>
    <s v="Ratio"/>
    <s v="2004 / 2016"/>
    <s v="Widening and Reconstruction"/>
    <s v=""/>
    <n v="1"/>
    <m/>
    <m/>
    <n v="3.3104152484683462"/>
    <n v="3.3104152484683458"/>
    <s v="x"/>
    <n v="0"/>
    <n v="0"/>
    <x v="0"/>
    <x v="0"/>
    <n v="1"/>
    <n v="1"/>
    <n v="1"/>
    <s v=""/>
    <s v=""/>
    <s v=""/>
    <s v=""/>
    <s v=""/>
    <s v=""/>
    <s v=""/>
  </r>
  <r>
    <s v="Kenya"/>
    <s v="Sub-Saharan Africa"/>
    <s v="P082615"/>
    <s v="C1"/>
    <s v="S2"/>
    <s v="P082615C1S2"/>
    <s v="Ratio"/>
    <s v="2004 / 2016"/>
    <s v="Reconstruction"/>
    <s v=""/>
    <n v="0.6"/>
    <m/>
    <m/>
    <n v="2.3371551415263347"/>
    <n v="3.8952585692105579"/>
    <s v="x"/>
    <n v="0"/>
    <n v="0"/>
    <x v="0"/>
    <x v="0"/>
    <n v="1"/>
    <n v="1"/>
    <n v="1"/>
    <s v=""/>
    <s v=""/>
    <s v=""/>
    <s v=""/>
    <s v=""/>
    <s v=""/>
    <s v=""/>
  </r>
  <r>
    <s v="Kenya"/>
    <s v="Sub-Saharan Africa"/>
    <s v="P082615"/>
    <s v="C1"/>
    <s v="S3"/>
    <s v="P082615C1S3"/>
    <s v="Ratio"/>
    <s v="2004 / 2016"/>
    <s v="Widening"/>
    <s v=""/>
    <n v="1"/>
    <m/>
    <m/>
    <n v="3.0033836543466945"/>
    <n v="3.0033836543466941"/>
    <s v="x"/>
    <n v="0"/>
    <n v="0"/>
    <x v="0"/>
    <x v="0"/>
    <n v="1"/>
    <n v="1"/>
    <n v="1"/>
    <s v=""/>
    <s v=""/>
    <s v=""/>
    <s v=""/>
    <s v=""/>
    <s v=""/>
    <s v=""/>
  </r>
  <r>
    <s v="Kenya"/>
    <s v="Sub-Saharan Africa"/>
    <s v="P082615"/>
    <s v="C1"/>
    <s v="S4"/>
    <s v="P082615C1S4"/>
    <s v="Ratio"/>
    <s v="2004 / 2016"/>
    <s v="Reconstruction"/>
    <s v=""/>
    <n v="1.0309278350515463"/>
    <m/>
    <m/>
    <n v="3.3933136676499505"/>
    <n v="3.2915142576204519"/>
    <s v="x"/>
    <n v="0"/>
    <n v="0"/>
    <x v="0"/>
    <x v="0"/>
    <n v="1"/>
    <n v="1"/>
    <n v="1"/>
    <s v=""/>
    <s v=""/>
    <s v=""/>
    <s v=""/>
    <s v=""/>
    <s v=""/>
    <s v=""/>
  </r>
  <r>
    <s v="Kenya"/>
    <s v="Sub-Saharan Africa"/>
    <s v="P082615"/>
    <s v="C1"/>
    <s v="S5"/>
    <s v="P082615C1S5"/>
    <s v="Ratio"/>
    <s v="2004 / 2016"/>
    <s v="Reconstruction"/>
    <s v=""/>
    <n v="0.91724137931034477"/>
    <m/>
    <m/>
    <n v="3.7055903302395858"/>
    <n v="4.0399293074040594"/>
    <s v="x"/>
    <n v="0"/>
    <n v="0"/>
    <x v="0"/>
    <x v="0"/>
    <n v="1"/>
    <n v="1"/>
    <n v="1"/>
    <s v=""/>
    <s v=""/>
    <s v=""/>
    <s v=""/>
    <s v=""/>
    <s v=""/>
    <s v=""/>
  </r>
  <r>
    <s v="Georgia"/>
    <s v="Europe and Central Asia"/>
    <s v="P083110"/>
    <s v="C1"/>
    <s v=""/>
    <s v="P083110C1"/>
    <s v="Ratio"/>
    <s v="2006 / 2013"/>
    <s v="Widening and Reconstruction"/>
    <s v=""/>
    <n v="1.0655737704918034"/>
    <m/>
    <m/>
    <n v="1.1477707006369426"/>
    <n v="1.0771386575208231"/>
    <s v=""/>
    <n v="0"/>
    <n v="0"/>
    <x v="1"/>
    <x v="0"/>
    <s v=""/>
    <s v=""/>
    <s v=""/>
    <s v=""/>
    <s v=""/>
    <s v=""/>
    <s v=""/>
    <s v=""/>
    <s v=""/>
    <s v=""/>
  </r>
  <r>
    <s v="Lao PDR"/>
    <s v="East Asia and Pacific"/>
    <s v="P083543"/>
    <s v="C1"/>
    <s v=""/>
    <s v="P083543C1"/>
    <s v="Ratio"/>
    <s v="2004 / 2012"/>
    <s v="Routine Maintenance"/>
    <n v="1.263157894736842"/>
    <n v="0.68350538106742809"/>
    <m/>
    <m/>
    <n v="1.8259325044404975"/>
    <n v="2.6714237444465243"/>
    <s v="x"/>
    <n v="0"/>
    <n v="0"/>
    <x v="0"/>
    <x v="0"/>
    <s v=""/>
    <n v="1"/>
    <n v="1"/>
    <s v=""/>
    <s v=""/>
    <s v=""/>
    <s v=""/>
    <s v=""/>
    <s v=""/>
    <s v=""/>
  </r>
  <r>
    <s v="Lao PDR"/>
    <s v="East Asia and Pacific"/>
    <s v="P083543"/>
    <s v="C1"/>
    <s v="S1"/>
    <s v="P083543C1S1"/>
    <s v="Ratio"/>
    <s v="2004 / 2011"/>
    <s v="Surface Treatment Resurfacing"/>
    <n v="1"/>
    <n v="1"/>
    <m/>
    <m/>
    <n v="1.0076083333333334"/>
    <n v="1.0076083333333334"/>
    <s v=""/>
    <n v="0"/>
    <n v="0"/>
    <x v="1"/>
    <x v="0"/>
    <s v=""/>
    <s v=""/>
    <s v=""/>
    <s v=""/>
    <s v=""/>
    <s v=""/>
    <s v=""/>
    <s v=""/>
    <s v=""/>
    <s v=""/>
  </r>
  <r>
    <s v="Lao PDR"/>
    <s v="East Asia and Pacific"/>
    <s v="P083543"/>
    <s v="C1"/>
    <s v="S10"/>
    <s v="P083543C1S10"/>
    <s v="Ratio"/>
    <s v="2004 / 2011"/>
    <s v="Asphalt Mix Resurfacing"/>
    <n v="1"/>
    <n v="1"/>
    <m/>
    <m/>
    <n v="1.1642465753424658"/>
    <n v="1.1642465753424658"/>
    <s v=""/>
    <n v="0"/>
    <n v="0"/>
    <x v="1"/>
    <x v="0"/>
    <s v=""/>
    <s v=""/>
    <s v=""/>
    <s v=""/>
    <s v=""/>
    <s v=""/>
    <s v=""/>
    <s v=""/>
    <s v=""/>
    <s v=""/>
  </r>
  <r>
    <s v="Lao PDR"/>
    <s v="East Asia and Pacific"/>
    <s v="P083543"/>
    <s v="C1"/>
    <s v="S11"/>
    <s v="P083543C1S11"/>
    <s v="Ratio"/>
    <s v="2004 / 2011"/>
    <s v="Surface Treatment Resurfacing"/>
    <n v="1"/>
    <n v="1"/>
    <m/>
    <m/>
    <n v="0.82405555555555554"/>
    <n v="0.82405555555555543"/>
    <s v=""/>
    <n v="0"/>
    <n v="0"/>
    <x v="1"/>
    <x v="0"/>
    <s v=""/>
    <s v=""/>
    <s v=""/>
    <s v=""/>
    <s v=""/>
    <s v=""/>
    <s v=""/>
    <s v=""/>
    <s v=""/>
    <s v=""/>
  </r>
  <r>
    <s v="Lao PDR"/>
    <s v="East Asia and Pacific"/>
    <s v="P083543"/>
    <s v="C1"/>
    <s v="S12"/>
    <s v="P083543C1S12"/>
    <s v="Ratio"/>
    <s v="2004 / 2011"/>
    <s v="Surface Treatment Resurfacing"/>
    <n v="1"/>
    <n v="1"/>
    <m/>
    <m/>
    <n v="0.68967999999999996"/>
    <n v="0.68968000000000007"/>
    <s v=""/>
    <n v="0"/>
    <n v="0"/>
    <x v="1"/>
    <x v="0"/>
    <s v=""/>
    <s v=""/>
    <s v=""/>
    <s v=""/>
    <s v=""/>
    <s v=""/>
    <s v=""/>
    <s v=""/>
    <s v=""/>
    <s v=""/>
  </r>
  <r>
    <s v="Lao PDR"/>
    <s v="East Asia and Pacific"/>
    <s v="P083543"/>
    <s v="C1"/>
    <s v="S13"/>
    <s v="P083543C1S13"/>
    <s v="Ratio"/>
    <s v="2004 / 2011"/>
    <s v="Asphalt Mix Resurfacing"/>
    <n v="1"/>
    <n v="1"/>
    <m/>
    <m/>
    <n v="0.76888499999999993"/>
    <n v="0.76888499999999993"/>
    <s v=""/>
    <n v="0"/>
    <n v="0"/>
    <x v="1"/>
    <x v="0"/>
    <s v=""/>
    <s v=""/>
    <s v=""/>
    <s v=""/>
    <s v=""/>
    <s v=""/>
    <s v=""/>
    <s v=""/>
    <s v=""/>
    <s v=""/>
  </r>
  <r>
    <s v="Lao PDR"/>
    <s v="East Asia and Pacific"/>
    <s v="P083543"/>
    <s v="C1"/>
    <s v="S14"/>
    <s v="P083543C1S14"/>
    <s v="Ratio"/>
    <s v="2004 / 2011"/>
    <s v="Gravel Resurfacing"/>
    <n v="1"/>
    <n v="1"/>
    <m/>
    <m/>
    <n v="0.72873529411764693"/>
    <n v="0.72873529411764693"/>
    <s v=""/>
    <n v="0"/>
    <n v="0"/>
    <x v="1"/>
    <x v="0"/>
    <s v=""/>
    <s v=""/>
    <s v=""/>
    <s v=""/>
    <s v=""/>
    <s v=""/>
    <s v=""/>
    <s v=""/>
    <s v=""/>
    <s v=""/>
  </r>
  <r>
    <s v="Lao PDR"/>
    <s v="East Asia and Pacific"/>
    <s v="P083543"/>
    <s v="C1"/>
    <s v="S15"/>
    <s v="P083543C1S15"/>
    <s v="Ratio"/>
    <s v="2004 / 2011"/>
    <s v="Gravel Resurfacing"/>
    <n v="1"/>
    <n v="1"/>
    <m/>
    <m/>
    <n v="1.1428083333333334"/>
    <n v="1.1428083333333334"/>
    <s v=""/>
    <n v="0"/>
    <n v="0"/>
    <x v="1"/>
    <x v="0"/>
    <s v=""/>
    <s v=""/>
    <s v=""/>
    <s v=""/>
    <s v=""/>
    <s v=""/>
    <s v=""/>
    <s v=""/>
    <s v=""/>
    <s v=""/>
  </r>
  <r>
    <s v="Lao PDR"/>
    <s v="East Asia and Pacific"/>
    <s v="P083543"/>
    <s v="C1"/>
    <s v="S16"/>
    <s v="P083543C1S16"/>
    <s v="Ratio"/>
    <s v="2004 / 2011"/>
    <s v="Gravel Resurfacing"/>
    <n v="1"/>
    <n v="1"/>
    <m/>
    <m/>
    <n v="1.0186885714285714"/>
    <n v="1.0186885714285714"/>
    <s v=""/>
    <n v="0"/>
    <n v="0"/>
    <x v="1"/>
    <x v="0"/>
    <s v=""/>
    <s v=""/>
    <s v=""/>
    <s v=""/>
    <s v=""/>
    <s v=""/>
    <s v=""/>
    <s v=""/>
    <s v=""/>
    <s v=""/>
  </r>
  <r>
    <s v="Lao PDR"/>
    <s v="East Asia and Pacific"/>
    <s v="P083543"/>
    <s v="C1"/>
    <s v="S17"/>
    <s v="P083543C1S17"/>
    <s v="Ratio"/>
    <s v="2004 / 2011"/>
    <s v="Asphalt Mix Resurfacing"/>
    <n v="1"/>
    <n v="1"/>
    <m/>
    <m/>
    <n v="0.83362083333333337"/>
    <n v="0.83362083333333326"/>
    <s v=""/>
    <n v="0"/>
    <n v="0"/>
    <x v="1"/>
    <x v="0"/>
    <s v=""/>
    <s v=""/>
    <s v=""/>
    <s v=""/>
    <s v=""/>
    <s v=""/>
    <s v=""/>
    <s v=""/>
    <s v=""/>
    <s v=""/>
  </r>
  <r>
    <s v="Lao PDR"/>
    <s v="East Asia and Pacific"/>
    <s v="P083543"/>
    <s v="C1"/>
    <s v="S18"/>
    <s v="P083543C1S18"/>
    <s v="Ratio"/>
    <s v="2004 / 2011"/>
    <s v="Surface Treatment Resurfacing"/>
    <n v="1"/>
    <n v="1"/>
    <m/>
    <m/>
    <n v="0.88611333333333342"/>
    <n v="0.88611333333333342"/>
    <s v=""/>
    <n v="0"/>
    <n v="0"/>
    <x v="1"/>
    <x v="0"/>
    <s v=""/>
    <s v=""/>
    <s v=""/>
    <s v=""/>
    <s v=""/>
    <s v=""/>
    <s v=""/>
    <s v=""/>
    <s v=""/>
    <s v=""/>
  </r>
  <r>
    <s v="Lao PDR"/>
    <s v="East Asia and Pacific"/>
    <s v="P083543"/>
    <s v="C1"/>
    <s v="S19"/>
    <s v="P083543C1S19"/>
    <s v="Ratio"/>
    <s v="2004 / 2011"/>
    <s v="Gravel Resurfacing"/>
    <n v="1"/>
    <n v="1"/>
    <m/>
    <m/>
    <n v="1.5803119999999999"/>
    <n v="1.5803119999999999"/>
    <s v="x"/>
    <n v="0"/>
    <n v="0"/>
    <x v="0"/>
    <x v="0"/>
    <s v=""/>
    <n v="1"/>
    <n v="1"/>
    <s v=""/>
    <s v=""/>
    <s v=""/>
    <s v=""/>
    <s v=""/>
    <s v=""/>
    <s v=""/>
  </r>
  <r>
    <s v="Lao PDR"/>
    <s v="East Asia and Pacific"/>
    <s v="P083543"/>
    <s v="C1"/>
    <s v="S2"/>
    <s v="P083543C1S2"/>
    <s v="Ratio"/>
    <s v="2004 / 2011"/>
    <s v="Asphalt Mix Resurfacing"/>
    <n v="1"/>
    <n v="1"/>
    <m/>
    <m/>
    <n v="1.0940676470588235"/>
    <n v="1.0940676470588235"/>
    <s v=""/>
    <n v="0"/>
    <n v="0"/>
    <x v="1"/>
    <x v="0"/>
    <s v=""/>
    <s v=""/>
    <s v=""/>
    <s v=""/>
    <s v=""/>
    <s v=""/>
    <s v=""/>
    <s v=""/>
    <s v=""/>
    <s v=""/>
  </r>
  <r>
    <s v="Lao PDR"/>
    <s v="East Asia and Pacific"/>
    <s v="P083543"/>
    <s v="C1"/>
    <s v="S20"/>
    <s v="P083543C1S20"/>
    <s v="Ratio"/>
    <s v="2004 / 2011"/>
    <s v="Surface Treatment Resurfacing"/>
    <n v="1"/>
    <n v="1"/>
    <m/>
    <m/>
    <n v="0.62789259259259256"/>
    <n v="0.62789259259259256"/>
    <s v=""/>
    <n v="0"/>
    <n v="0"/>
    <x v="1"/>
    <x v="0"/>
    <s v=""/>
    <s v=""/>
    <s v=""/>
    <s v=""/>
    <s v=""/>
    <s v=""/>
    <s v=""/>
    <s v=""/>
    <s v=""/>
    <s v=""/>
  </r>
  <r>
    <s v="Lao PDR"/>
    <s v="East Asia and Pacific"/>
    <s v="P083543"/>
    <s v="C1"/>
    <s v="S21"/>
    <s v="P083543C1S21"/>
    <s v="Ratio"/>
    <s v="2004 / 2011"/>
    <s v="Gravel Resurfacing"/>
    <n v="1"/>
    <n v="1"/>
    <m/>
    <m/>
    <n v="0.59084999999999999"/>
    <n v="0.59084999999999999"/>
    <s v=""/>
    <n v="0"/>
    <n v="0"/>
    <x v="1"/>
    <x v="0"/>
    <s v=""/>
    <s v=""/>
    <s v=""/>
    <s v=""/>
    <s v=""/>
    <s v=""/>
    <s v=""/>
    <s v=""/>
    <s v=""/>
    <s v=""/>
  </r>
  <r>
    <s v="Lao PDR"/>
    <s v="East Asia and Pacific"/>
    <s v="P083543"/>
    <s v="C1"/>
    <s v="S22"/>
    <s v="P083543C1S22"/>
    <s v="Ratio"/>
    <s v="2004 / 2011"/>
    <s v="Asphalt Mix Resurfacing"/>
    <n v="1"/>
    <n v="1"/>
    <m/>
    <m/>
    <n v="0.76255757575757566"/>
    <n v="0.76255757575757566"/>
    <s v=""/>
    <n v="0"/>
    <n v="0"/>
    <x v="1"/>
    <x v="0"/>
    <s v=""/>
    <s v=""/>
    <s v=""/>
    <s v=""/>
    <s v=""/>
    <s v=""/>
    <s v=""/>
    <s v=""/>
    <s v=""/>
    <s v=""/>
  </r>
  <r>
    <s v="Lao PDR"/>
    <s v="East Asia and Pacific"/>
    <s v="P083543"/>
    <s v="C1"/>
    <s v="S23"/>
    <s v="P083543C1S23"/>
    <s v="Ratio"/>
    <s v="2004 / 2011"/>
    <s v="Surface Treatment Resurfacing"/>
    <n v="1"/>
    <n v="1"/>
    <m/>
    <m/>
    <n v="0.82217999999999991"/>
    <n v="0.82217999999999991"/>
    <s v=""/>
    <n v="0"/>
    <n v="0"/>
    <x v="1"/>
    <x v="0"/>
    <s v=""/>
    <s v=""/>
    <s v=""/>
    <s v=""/>
    <s v=""/>
    <s v=""/>
    <s v=""/>
    <s v=""/>
    <s v=""/>
    <s v=""/>
  </r>
  <r>
    <s v="Lao PDR"/>
    <s v="East Asia and Pacific"/>
    <s v="P083543"/>
    <s v="C1"/>
    <s v="S24"/>
    <s v="P083543C1S24"/>
    <s v="Ratio"/>
    <s v="2004 / 2011"/>
    <s v="Gravel Resurfacing"/>
    <n v="1"/>
    <n v="1"/>
    <m/>
    <m/>
    <n v="0.81637999999999999"/>
    <n v="0.81637999999999999"/>
    <s v=""/>
    <n v="0"/>
    <n v="0"/>
    <x v="1"/>
    <x v="0"/>
    <s v=""/>
    <s v=""/>
    <s v=""/>
    <s v=""/>
    <s v=""/>
    <s v=""/>
    <s v=""/>
    <s v=""/>
    <s v=""/>
    <s v=""/>
  </r>
  <r>
    <s v="Lao PDR"/>
    <s v="East Asia and Pacific"/>
    <s v="P083543"/>
    <s v="C1"/>
    <s v="S25"/>
    <s v="P083543C1S25"/>
    <s v="Ratio"/>
    <s v="2004 / 2011"/>
    <s v="Gravel Resurfacing"/>
    <n v="1"/>
    <n v="1"/>
    <m/>
    <m/>
    <n v="0.53620499999999993"/>
    <n v="0.53620499999999993"/>
    <s v=""/>
    <n v="0"/>
    <n v="0"/>
    <x v="1"/>
    <x v="0"/>
    <s v=""/>
    <s v=""/>
    <s v=""/>
    <s v=""/>
    <s v=""/>
    <s v=""/>
    <s v=""/>
    <s v=""/>
    <s v=""/>
    <s v=""/>
  </r>
  <r>
    <s v="Lao PDR"/>
    <s v="East Asia and Pacific"/>
    <s v="P083543"/>
    <s v="C1"/>
    <s v="S26"/>
    <s v="P083543C1S26"/>
    <s v="Ratio"/>
    <s v="2004 / 2011"/>
    <s v="Surface Treatment Resurfacing"/>
    <n v="1"/>
    <n v="1"/>
    <m/>
    <m/>
    <n v="1.0122142857142857"/>
    <n v="1.0122142857142857"/>
    <s v=""/>
    <n v="0"/>
    <n v="0"/>
    <x v="1"/>
    <x v="0"/>
    <s v=""/>
    <s v=""/>
    <s v=""/>
    <s v=""/>
    <s v=""/>
    <s v=""/>
    <s v=""/>
    <s v=""/>
    <s v=""/>
    <s v=""/>
  </r>
  <r>
    <s v="Lao PDR"/>
    <s v="East Asia and Pacific"/>
    <s v="P083543"/>
    <s v="C1"/>
    <s v="S27"/>
    <s v="P083543C1S27"/>
    <s v="Ratio"/>
    <s v="2004 / 2011"/>
    <s v="Gravel Resurfacing"/>
    <n v="1"/>
    <n v="1"/>
    <m/>
    <m/>
    <n v="1.1431285714285715"/>
    <n v="1.1431285714285715"/>
    <s v=""/>
    <n v="0"/>
    <n v="0"/>
    <x v="1"/>
    <x v="0"/>
    <s v=""/>
    <s v=""/>
    <s v=""/>
    <s v=""/>
    <s v=""/>
    <s v=""/>
    <s v=""/>
    <s v=""/>
    <s v=""/>
    <s v=""/>
  </r>
  <r>
    <s v="Lao PDR"/>
    <s v="East Asia and Pacific"/>
    <s v="P083543"/>
    <s v="C1"/>
    <s v="S28"/>
    <s v="P083543C1S28"/>
    <s v="Ratio"/>
    <s v="2004 / 2011"/>
    <s v="Gravel Resurfacing"/>
    <n v="1"/>
    <n v="1"/>
    <m/>
    <m/>
    <n v="2.0662970662970661"/>
    <n v="2.0662970662970661"/>
    <s v="x"/>
    <n v="0"/>
    <n v="0"/>
    <x v="0"/>
    <x v="0"/>
    <s v=""/>
    <n v="1"/>
    <n v="1"/>
    <s v=""/>
    <s v=""/>
    <s v=""/>
    <s v=""/>
    <s v=""/>
    <s v=""/>
    <s v=""/>
  </r>
  <r>
    <s v="Lao PDR"/>
    <s v="East Asia and Pacific"/>
    <s v="P083543"/>
    <s v="C1"/>
    <s v="S29"/>
    <s v="P083543C1S29"/>
    <s v="Ratio"/>
    <s v="2004 / 2011"/>
    <s v="Gravel Resurfacing"/>
    <n v="1"/>
    <n v="1"/>
    <m/>
    <m/>
    <n v="2.3544362292051755"/>
    <n v="2.3544362292051755"/>
    <s v="x"/>
    <n v="0"/>
    <n v="0"/>
    <x v="0"/>
    <x v="0"/>
    <s v=""/>
    <n v="1"/>
    <n v="1"/>
    <s v=""/>
    <s v=""/>
    <s v=""/>
    <s v=""/>
    <s v=""/>
    <s v=""/>
    <s v=""/>
  </r>
  <r>
    <s v="Lao PDR"/>
    <s v="East Asia and Pacific"/>
    <s v="P083543"/>
    <s v="C1"/>
    <s v="S3"/>
    <s v="P083543C1S3"/>
    <s v="Ratio"/>
    <s v="2004 / 2011"/>
    <s v="Gravel Resurfacing"/>
    <n v="1"/>
    <n v="1"/>
    <m/>
    <m/>
    <n v="0.59000714285714273"/>
    <n v="0.59000714285714273"/>
    <s v=""/>
    <n v="0"/>
    <n v="0"/>
    <x v="1"/>
    <x v="0"/>
    <s v=""/>
    <s v=""/>
    <s v=""/>
    <s v=""/>
    <s v=""/>
    <s v=""/>
    <s v=""/>
    <s v=""/>
    <s v=""/>
    <s v=""/>
  </r>
  <r>
    <s v="Lao PDR"/>
    <s v="East Asia and Pacific"/>
    <s v="P083543"/>
    <s v="C1"/>
    <s v="S30"/>
    <s v="P083543C1S30"/>
    <s v="Ratio"/>
    <s v="2004 / 2011"/>
    <s v="Gravel Resurfacing"/>
    <n v="1"/>
    <n v="1"/>
    <m/>
    <m/>
    <n v="0.81465218396117411"/>
    <n v="0.81465218396117411"/>
    <s v=""/>
    <n v="0"/>
    <n v="0"/>
    <x v="1"/>
    <x v="0"/>
    <s v=""/>
    <s v=""/>
    <s v=""/>
    <s v=""/>
    <s v=""/>
    <s v=""/>
    <s v=""/>
    <s v=""/>
    <s v=""/>
    <s v=""/>
  </r>
  <r>
    <s v="Lao PDR"/>
    <s v="East Asia and Pacific"/>
    <s v="P083543"/>
    <s v="C1"/>
    <s v="S31"/>
    <s v="P083543C1S31"/>
    <s v="Ratio"/>
    <s v="2004 / 2011"/>
    <s v="Gravel Resurfacing"/>
    <n v="1"/>
    <n v="1"/>
    <m/>
    <m/>
    <n v="0.8345656192236599"/>
    <n v="0.8345656192236599"/>
    <s v=""/>
    <n v="0"/>
    <n v="0"/>
    <x v="1"/>
    <x v="0"/>
    <s v=""/>
    <s v=""/>
    <s v=""/>
    <s v=""/>
    <s v=""/>
    <s v=""/>
    <s v=""/>
    <s v=""/>
    <s v=""/>
    <s v=""/>
  </r>
  <r>
    <s v="Lao PDR"/>
    <s v="East Asia and Pacific"/>
    <s v="P083543"/>
    <s v="C1"/>
    <s v="S32"/>
    <s v="P083543C1S32"/>
    <s v="Ratio"/>
    <s v="2004 / 2011"/>
    <s v="Gravel Resurfacing"/>
    <n v="1"/>
    <n v="1"/>
    <m/>
    <m/>
    <n v="1.1799907578558224"/>
    <n v="1.1799907578558224"/>
    <s v=""/>
    <n v="0"/>
    <n v="0"/>
    <x v="1"/>
    <x v="0"/>
    <s v=""/>
    <s v=""/>
    <s v=""/>
    <s v=""/>
    <s v=""/>
    <s v=""/>
    <s v=""/>
    <s v=""/>
    <s v=""/>
    <s v=""/>
  </r>
  <r>
    <s v="Lao PDR"/>
    <s v="East Asia and Pacific"/>
    <s v="P083543"/>
    <s v="C1"/>
    <s v="S33"/>
    <s v="P083543C1S33"/>
    <s v="Ratio"/>
    <s v="2004 / 2011"/>
    <s v="Gravel Resurfacing"/>
    <n v="1"/>
    <n v="1"/>
    <m/>
    <m/>
    <n v="1.09865988909427"/>
    <n v="1.0986598890942703"/>
    <s v=""/>
    <n v="0"/>
    <n v="0"/>
    <x v="1"/>
    <x v="0"/>
    <s v=""/>
    <s v=""/>
    <s v=""/>
    <s v=""/>
    <s v=""/>
    <s v=""/>
    <s v=""/>
    <s v=""/>
    <s v=""/>
    <s v=""/>
  </r>
  <r>
    <s v="Lao PDR"/>
    <s v="East Asia and Pacific"/>
    <s v="P083543"/>
    <s v="C1"/>
    <s v="S34"/>
    <s v="P083543C1S34"/>
    <s v="Ratio"/>
    <s v="2004 / 2011"/>
    <s v="Gravel Resurfacing"/>
    <n v="1"/>
    <n v="1"/>
    <m/>
    <m/>
    <n v="1.5946383175410215"/>
    <n v="1.5946383175410215"/>
    <s v="x"/>
    <n v="0"/>
    <n v="0"/>
    <x v="0"/>
    <x v="0"/>
    <s v=""/>
    <n v="1"/>
    <n v="1"/>
    <s v=""/>
    <s v=""/>
    <s v=""/>
    <s v=""/>
    <s v=""/>
    <s v=""/>
    <s v=""/>
  </r>
  <r>
    <s v="Lao PDR"/>
    <s v="East Asia and Pacific"/>
    <s v="P083543"/>
    <s v="C1"/>
    <s v="S35"/>
    <s v="P083543C1S35"/>
    <s v="Ratio"/>
    <s v="2004 / 2011"/>
    <s v="Gravel Resurfacing"/>
    <n v="1"/>
    <n v="1"/>
    <m/>
    <m/>
    <n v="1.1494571494571493"/>
    <n v="1.1494571494571493"/>
    <s v=""/>
    <n v="0"/>
    <n v="0"/>
    <x v="1"/>
    <x v="0"/>
    <s v=""/>
    <s v=""/>
    <s v=""/>
    <s v=""/>
    <s v=""/>
    <s v=""/>
    <s v=""/>
    <s v=""/>
    <s v=""/>
    <s v=""/>
  </r>
  <r>
    <s v="Lao PDR"/>
    <s v="East Asia and Pacific"/>
    <s v="P083543"/>
    <s v="C1"/>
    <s v="S36"/>
    <s v="P083543C1S36"/>
    <s v="Ratio"/>
    <s v="2004 / 2011"/>
    <s v="Gravel Resurfacing"/>
    <n v="1"/>
    <n v="1"/>
    <m/>
    <m/>
    <n v="0.99352900392881893"/>
    <n v="0.99352900392881882"/>
    <s v=""/>
    <n v="0"/>
    <n v="0"/>
    <x v="1"/>
    <x v="0"/>
    <s v=""/>
    <s v=""/>
    <s v=""/>
    <s v=""/>
    <s v=""/>
    <s v=""/>
    <s v=""/>
    <s v=""/>
    <s v=""/>
    <s v=""/>
  </r>
  <r>
    <s v="Lao PDR"/>
    <s v="East Asia and Pacific"/>
    <s v="P083543"/>
    <s v="C1"/>
    <s v="S37"/>
    <s v="P083543C1S37"/>
    <s v="Ratio"/>
    <s v="2004 / 2011"/>
    <s v="Asphalt Mix Resurfacing"/>
    <n v="1"/>
    <n v="1"/>
    <m/>
    <m/>
    <n v="1.0084028382920454"/>
    <n v="1.0084028382920454"/>
    <s v=""/>
    <n v="0"/>
    <n v="0"/>
    <x v="1"/>
    <x v="0"/>
    <s v=""/>
    <s v=""/>
    <s v=""/>
    <s v=""/>
    <s v=""/>
    <s v=""/>
    <s v=""/>
    <s v=""/>
    <s v=""/>
    <s v=""/>
  </r>
  <r>
    <s v="Lao PDR"/>
    <s v="East Asia and Pacific"/>
    <s v="P083543"/>
    <s v="C1"/>
    <s v="S38"/>
    <s v="P083543C1S38"/>
    <s v="Ratio"/>
    <s v="2004 / 2011"/>
    <s v="Gravel Resurfacing"/>
    <n v="1"/>
    <n v="1"/>
    <m/>
    <m/>
    <n v="1.4136973623322537"/>
    <n v="1.4136973623322537"/>
    <s v=""/>
    <n v="0"/>
    <n v="0"/>
    <x v="1"/>
    <x v="0"/>
    <s v=""/>
    <s v=""/>
    <s v=""/>
    <s v=""/>
    <s v=""/>
    <s v=""/>
    <s v=""/>
    <s v=""/>
    <s v=""/>
    <s v=""/>
  </r>
  <r>
    <s v="Lao PDR"/>
    <s v="East Asia and Pacific"/>
    <s v="P083543"/>
    <s v="C1"/>
    <s v="S39"/>
    <s v="P083543C1S39"/>
    <s v="Ratio"/>
    <s v="2004 / 2011"/>
    <s v="Gravel Resurfacing"/>
    <n v="1"/>
    <n v="1"/>
    <m/>
    <m/>
    <n v="1.2760055478502081"/>
    <n v="1.2760055478502079"/>
    <s v=""/>
    <n v="0"/>
    <n v="0"/>
    <x v="1"/>
    <x v="0"/>
    <s v=""/>
    <s v=""/>
    <s v=""/>
    <s v=""/>
    <s v=""/>
    <s v=""/>
    <s v=""/>
    <s v=""/>
    <s v=""/>
    <s v=""/>
  </r>
  <r>
    <s v="Lao PDR"/>
    <s v="East Asia and Pacific"/>
    <s v="P083543"/>
    <s v="C1"/>
    <s v="S4"/>
    <s v="P083543C1S4"/>
    <s v="Ratio"/>
    <s v="2004 / 2011"/>
    <s v="Surface Treatment Resurfacing"/>
    <n v="1"/>
    <n v="1"/>
    <m/>
    <m/>
    <n v="1.449086956521739"/>
    <n v="1.449086956521739"/>
    <s v=""/>
    <n v="0"/>
    <n v="0"/>
    <x v="1"/>
    <x v="0"/>
    <s v=""/>
    <s v=""/>
    <s v=""/>
    <s v=""/>
    <s v=""/>
    <s v=""/>
    <s v=""/>
    <s v=""/>
    <s v=""/>
    <s v=""/>
  </r>
  <r>
    <s v="Lao PDR"/>
    <s v="East Asia and Pacific"/>
    <s v="P083543"/>
    <s v="C1"/>
    <s v="S40"/>
    <s v="P083543C1S40"/>
    <s v="Ratio"/>
    <s v="2004 / 2011"/>
    <s v="Gravel Resurfacing"/>
    <n v="1"/>
    <n v="1"/>
    <m/>
    <m/>
    <n v="1.30998613037448"/>
    <n v="1.30998613037448"/>
    <s v=""/>
    <n v="0"/>
    <n v="0"/>
    <x v="1"/>
    <x v="0"/>
    <s v=""/>
    <s v=""/>
    <s v=""/>
    <s v=""/>
    <s v=""/>
    <s v=""/>
    <s v=""/>
    <s v=""/>
    <s v=""/>
    <s v=""/>
  </r>
  <r>
    <s v="Lao PDR"/>
    <s v="East Asia and Pacific"/>
    <s v="P083543"/>
    <s v="C1"/>
    <s v="S5"/>
    <s v="P083543C1S5"/>
    <s v="Ratio"/>
    <s v="2004 / 2011"/>
    <s v="Surface Treatment Resurfacing"/>
    <n v="1"/>
    <n v="1"/>
    <m/>
    <m/>
    <n v="1.0424529411764707"/>
    <n v="1.0424529411764707"/>
    <s v=""/>
    <n v="0"/>
    <n v="0"/>
    <x v="1"/>
    <x v="0"/>
    <s v=""/>
    <s v=""/>
    <s v=""/>
    <s v=""/>
    <s v=""/>
    <s v=""/>
    <s v=""/>
    <s v=""/>
    <s v=""/>
    <s v=""/>
  </r>
  <r>
    <s v="Lao PDR"/>
    <s v="East Asia and Pacific"/>
    <s v="P083543"/>
    <s v="C1"/>
    <s v="S6"/>
    <s v="P083543C1S6"/>
    <s v="Ratio"/>
    <s v="2004 / 2011"/>
    <s v="Asphalt Mix Resurfacing"/>
    <n v="1"/>
    <n v="1"/>
    <m/>
    <m/>
    <n v="1.1105878787878787"/>
    <n v="1.1105878787878787"/>
    <s v=""/>
    <n v="0"/>
    <n v="0"/>
    <x v="1"/>
    <x v="0"/>
    <s v=""/>
    <s v=""/>
    <s v=""/>
    <s v=""/>
    <s v=""/>
    <s v=""/>
    <s v=""/>
    <s v=""/>
    <s v=""/>
    <s v=""/>
  </r>
  <r>
    <s v="Lao PDR"/>
    <s v="East Asia and Pacific"/>
    <s v="P083543"/>
    <s v="C1"/>
    <s v="S7"/>
    <s v="P083543C1S7"/>
    <s v="Ratio"/>
    <s v="2004 / 2011"/>
    <s v="Gravel Resurfacing"/>
    <n v="1"/>
    <n v="1"/>
    <m/>
    <m/>
    <n v="0.75434000000000001"/>
    <n v="0.75434000000000001"/>
    <s v=""/>
    <n v="0"/>
    <n v="0"/>
    <x v="1"/>
    <x v="0"/>
    <s v=""/>
    <s v=""/>
    <s v=""/>
    <s v=""/>
    <s v=""/>
    <s v=""/>
    <s v=""/>
    <s v=""/>
    <s v=""/>
    <s v=""/>
  </r>
  <r>
    <s v="Lao PDR"/>
    <s v="East Asia and Pacific"/>
    <s v="P083543"/>
    <s v="C1"/>
    <s v="S8"/>
    <s v="P083543C1S8"/>
    <s v="Ratio"/>
    <s v="2004 / 2011"/>
    <s v="Gravel Resurfacing"/>
    <n v="1"/>
    <n v="1"/>
    <m/>
    <m/>
    <n v="0.871888"/>
    <n v="0.871888"/>
    <s v=""/>
    <n v="0"/>
    <n v="0"/>
    <x v="1"/>
    <x v="0"/>
    <s v=""/>
    <s v=""/>
    <s v=""/>
    <s v=""/>
    <s v=""/>
    <s v=""/>
    <s v=""/>
    <s v=""/>
    <s v=""/>
    <s v=""/>
  </r>
  <r>
    <s v="Lao PDR"/>
    <s v="East Asia and Pacific"/>
    <s v="P083543"/>
    <s v="C1"/>
    <s v="S9"/>
    <s v="P083543C1S9"/>
    <s v="Ratio"/>
    <s v="2004 / 2011"/>
    <s v="Gravel Resurfacing"/>
    <n v="1"/>
    <n v="1"/>
    <m/>
    <m/>
    <n v="1.0147549999999999"/>
    <n v="1.0147549999999999"/>
    <s v=""/>
    <n v="0"/>
    <n v="0"/>
    <x v="1"/>
    <x v="0"/>
    <s v=""/>
    <s v=""/>
    <s v=""/>
    <s v=""/>
    <s v=""/>
    <s v=""/>
    <s v=""/>
    <s v=""/>
    <s v=""/>
    <s v=""/>
  </r>
  <r>
    <s v="Georgia"/>
    <s v="Europe and Central Asia"/>
    <s v="P086277"/>
    <s v="C1"/>
    <s v=""/>
    <s v="P086277C1"/>
    <s v="Ratio"/>
    <s v="2004 / 2013"/>
    <s v="Strengthening"/>
    <n v="1.28125"/>
    <n v="1.6839999999999999"/>
    <m/>
    <m/>
    <n v="6.3261927945472252"/>
    <n v="3.7566465525814881"/>
    <s v="x"/>
    <n v="1"/>
    <n v="0"/>
    <x v="0"/>
    <x v="0"/>
    <s v=""/>
    <s v=""/>
    <s v=""/>
    <s v=""/>
    <s v=""/>
    <s v=""/>
    <s v=""/>
    <s v=""/>
    <s v=""/>
    <n v="1"/>
  </r>
  <r>
    <s v="Cape Verde"/>
    <s v="Sub-Saharan Africa"/>
    <s v="P087004"/>
    <s v="C1"/>
    <s v="S1"/>
    <s v="P087004C1S1"/>
    <s v="Ratio"/>
    <s v="2005 / 2014"/>
    <s v="Upgrading"/>
    <s v=""/>
    <n v="1"/>
    <m/>
    <m/>
    <n v="1.2096774193548387"/>
    <n v="1.2096774193548387"/>
    <s v=""/>
    <n v="0"/>
    <n v="0"/>
    <x v="1"/>
    <x v="0"/>
    <s v=""/>
    <s v=""/>
    <s v=""/>
    <s v=""/>
    <s v=""/>
    <s v=""/>
    <s v=""/>
    <s v=""/>
    <s v=""/>
    <s v=""/>
  </r>
  <r>
    <s v="Cape Verde"/>
    <s v="Sub-Saharan Africa"/>
    <s v="P087004"/>
    <s v="C1"/>
    <s v="S2"/>
    <s v="P087004C1S2"/>
    <s v="Ratio"/>
    <s v="2005 / 2014"/>
    <s v="Upgrading"/>
    <s v=""/>
    <n v="1"/>
    <m/>
    <m/>
    <n v="1.1546961325966849"/>
    <n v="1.1546961325966849"/>
    <s v=""/>
    <n v="0"/>
    <n v="0"/>
    <x v="1"/>
    <x v="0"/>
    <s v=""/>
    <s v=""/>
    <s v=""/>
    <s v=""/>
    <s v=""/>
    <s v=""/>
    <s v=""/>
    <s v=""/>
    <s v=""/>
    <s v=""/>
  </r>
  <r>
    <s v="Cape Verde"/>
    <s v="Sub-Saharan Africa"/>
    <s v="P087004"/>
    <s v="C1"/>
    <s v="S3"/>
    <s v="P087004C1S3"/>
    <s v="Ratio"/>
    <s v="2005 / 2014"/>
    <s v="Upgrading"/>
    <s v=""/>
    <n v="1"/>
    <m/>
    <m/>
    <n v="1.4833948339483394"/>
    <n v="1.4833948339483394"/>
    <s v=""/>
    <n v="0"/>
    <n v="0"/>
    <x v="1"/>
    <x v="0"/>
    <s v=""/>
    <s v=""/>
    <s v=""/>
    <s v=""/>
    <s v=""/>
    <s v=""/>
    <s v=""/>
    <s v=""/>
    <s v=""/>
    <s v=""/>
  </r>
  <r>
    <s v="Iraq"/>
    <s v="Middle East and North Africa"/>
    <s v="P087735"/>
    <s v="C1"/>
    <s v=""/>
    <s v="P087735C1"/>
    <s v="Ratio"/>
    <s v="2014 / 2014"/>
    <s v="Strengthening"/>
    <s v=""/>
    <n v="0.43"/>
    <m/>
    <m/>
    <n v="0.81307494173923711"/>
    <n v="1.8908719575331099"/>
    <s v="x"/>
    <n v="0"/>
    <n v="1"/>
    <x v="0"/>
    <x v="0"/>
    <s v=""/>
    <n v="1"/>
    <s v=""/>
    <s v=""/>
    <s v=""/>
    <n v="1"/>
    <s v=""/>
    <s v=""/>
    <s v=""/>
    <n v="1"/>
  </r>
  <r>
    <s v="Iraq"/>
    <s v="Middle East and North Africa"/>
    <s v="P087735"/>
    <s v="C1"/>
    <s v="S1"/>
    <s v="P087735C1S1"/>
    <s v="Ratio"/>
    <s v="2014 / 2014"/>
    <s v="Strengthening"/>
    <n v="1.3333333333333333"/>
    <n v="1"/>
    <m/>
    <m/>
    <n v="0.96"/>
    <n v="0.96"/>
    <s v=""/>
    <n v="0"/>
    <n v="0"/>
    <x v="1"/>
    <x v="0"/>
    <s v=""/>
    <s v=""/>
    <s v=""/>
    <s v=""/>
    <s v=""/>
    <s v=""/>
    <s v=""/>
    <s v=""/>
    <s v=""/>
    <s v=""/>
  </r>
  <r>
    <s v="Iraq"/>
    <s v="Middle East and North Africa"/>
    <s v="P087735"/>
    <s v="C1"/>
    <s v="S10"/>
    <s v="P087735C1S10"/>
    <s v="Ratio"/>
    <s v="2014 / 2014"/>
    <s v="Reconstruction"/>
    <s v=""/>
    <n v="1"/>
    <m/>
    <m/>
    <n v="0.99456521739130443"/>
    <n v="0.99456521739130443"/>
    <s v=""/>
    <n v="0"/>
    <n v="0"/>
    <x v="1"/>
    <x v="0"/>
    <s v=""/>
    <s v=""/>
    <s v=""/>
    <s v=""/>
    <s v=""/>
    <s v=""/>
    <s v=""/>
    <s v=""/>
    <s v=""/>
    <s v=""/>
  </r>
  <r>
    <s v="Iraq"/>
    <s v="Middle East and North Africa"/>
    <s v="P087735"/>
    <s v="C1"/>
    <s v="S11"/>
    <s v="P087735C1S11"/>
    <s v="Ratio"/>
    <s v="2014 / 2014"/>
    <s v="Strengthening"/>
    <s v=""/>
    <n v="1"/>
    <m/>
    <m/>
    <n v="0.86956521739130443"/>
    <n v="0.86956521739130443"/>
    <s v=""/>
    <n v="0"/>
    <n v="0"/>
    <x v="1"/>
    <x v="0"/>
    <s v=""/>
    <s v=""/>
    <s v=""/>
    <s v=""/>
    <s v=""/>
    <s v=""/>
    <s v=""/>
    <s v=""/>
    <s v=""/>
    <s v=""/>
  </r>
  <r>
    <s v="Iraq"/>
    <s v="Middle East and North Africa"/>
    <s v="P087735"/>
    <s v="C1"/>
    <s v="S12"/>
    <s v="P087735C1S12"/>
    <s v="Ratio"/>
    <s v="2014 / 2014"/>
    <s v="Strengthening"/>
    <s v=""/>
    <n v="1"/>
    <m/>
    <m/>
    <n v="0.95"/>
    <n v="0.95000000000000007"/>
    <s v=""/>
    <n v="0"/>
    <n v="0"/>
    <x v="1"/>
    <x v="0"/>
    <s v=""/>
    <s v=""/>
    <s v=""/>
    <s v=""/>
    <s v=""/>
    <s v=""/>
    <s v=""/>
    <s v=""/>
    <s v=""/>
    <s v=""/>
  </r>
  <r>
    <s v="Iraq"/>
    <s v="Middle East and North Africa"/>
    <s v="P087735"/>
    <s v="C1"/>
    <s v="S13"/>
    <s v="P087735C1S13"/>
    <s v="Ratio"/>
    <s v="2014 / 2014"/>
    <s v="Strengthening"/>
    <n v="1.4"/>
    <n v="1"/>
    <m/>
    <m/>
    <n v="1.1355932203389829"/>
    <n v="1.1355932203389831"/>
    <s v=""/>
    <n v="0"/>
    <n v="0"/>
    <x v="1"/>
    <x v="0"/>
    <s v=""/>
    <s v=""/>
    <s v=""/>
    <s v=""/>
    <s v=""/>
    <s v=""/>
    <s v=""/>
    <s v=""/>
    <s v=""/>
    <s v=""/>
  </r>
  <r>
    <s v="Iraq"/>
    <s v="Middle East and North Africa"/>
    <s v="P087735"/>
    <s v="C1"/>
    <s v="S2"/>
    <s v="P087735C1S2"/>
    <s v="Ratio"/>
    <s v="2014 / 2014"/>
    <s v="Strengthening"/>
    <n v="1.0833333333333333"/>
    <n v="1"/>
    <m/>
    <m/>
    <n v="1"/>
    <n v="1"/>
    <s v=""/>
    <n v="0"/>
    <n v="0"/>
    <x v="1"/>
    <x v="0"/>
    <s v=""/>
    <s v=""/>
    <s v=""/>
    <s v=""/>
    <s v=""/>
    <s v=""/>
    <s v=""/>
    <s v=""/>
    <s v=""/>
    <s v=""/>
  </r>
  <r>
    <s v="Iraq"/>
    <s v="Middle East and North Africa"/>
    <s v="P087735"/>
    <s v="C1"/>
    <s v="S3"/>
    <s v="P087735C1S3"/>
    <s v="Ratio"/>
    <s v="2014 / 2014"/>
    <s v="Strengthening"/>
    <n v="1.3076923076923077"/>
    <n v="1"/>
    <m/>
    <m/>
    <n v="1.064516129032258"/>
    <n v="1.064516129032258"/>
    <s v=""/>
    <n v="0"/>
    <n v="0"/>
    <x v="1"/>
    <x v="0"/>
    <s v=""/>
    <s v=""/>
    <s v=""/>
    <s v=""/>
    <s v=""/>
    <s v=""/>
    <s v=""/>
    <s v=""/>
    <s v=""/>
    <s v=""/>
  </r>
  <r>
    <s v="Iraq"/>
    <s v="Middle East and North Africa"/>
    <s v="P087735"/>
    <s v="C1"/>
    <s v="S4"/>
    <s v="P087735C1S4"/>
    <s v="Ratio"/>
    <s v="2014 / 2014"/>
    <s v="Strengthening"/>
    <n v="1"/>
    <n v="1"/>
    <m/>
    <m/>
    <n v="0.92307692307692302"/>
    <n v="0.92307692307692302"/>
    <s v=""/>
    <n v="0"/>
    <n v="0"/>
    <x v="1"/>
    <x v="0"/>
    <s v=""/>
    <s v=""/>
    <s v=""/>
    <s v=""/>
    <s v=""/>
    <s v=""/>
    <s v=""/>
    <s v=""/>
    <s v=""/>
    <s v=""/>
  </r>
  <r>
    <s v="Iraq"/>
    <s v="Middle East and North Africa"/>
    <s v="P087735"/>
    <s v="C1"/>
    <s v="S5"/>
    <s v="P087735C1S5"/>
    <s v="Ratio"/>
    <s v="2014 / 2014"/>
    <s v="Strengthening"/>
    <n v="1"/>
    <n v="1"/>
    <m/>
    <m/>
    <n v="1"/>
    <n v="1"/>
    <s v=""/>
    <n v="0"/>
    <n v="0"/>
    <x v="1"/>
    <x v="0"/>
    <s v=""/>
    <s v=""/>
    <s v=""/>
    <s v=""/>
    <s v=""/>
    <s v=""/>
    <s v=""/>
    <s v=""/>
    <s v=""/>
    <s v=""/>
  </r>
  <r>
    <s v="Iraq"/>
    <s v="Middle East and North Africa"/>
    <s v="P087735"/>
    <s v="C1"/>
    <s v="S6"/>
    <s v="P087735C1S6"/>
    <s v="Ratio"/>
    <s v="2014 / 2014"/>
    <s v="Strengthening"/>
    <s v=""/>
    <n v="1"/>
    <m/>
    <m/>
    <n v="0.8928571428571429"/>
    <n v="0.8928571428571429"/>
    <s v=""/>
    <n v="0"/>
    <n v="0"/>
    <x v="1"/>
    <x v="0"/>
    <s v=""/>
    <s v=""/>
    <s v=""/>
    <s v=""/>
    <s v=""/>
    <s v=""/>
    <s v=""/>
    <s v=""/>
    <s v=""/>
    <s v=""/>
  </r>
  <r>
    <s v="Iraq"/>
    <s v="Middle East and North Africa"/>
    <s v="P087735"/>
    <s v="C1"/>
    <s v="S7"/>
    <s v="P087735C1S7"/>
    <s v="Ratio"/>
    <s v="2014 / 2014"/>
    <s v="Strengthening"/>
    <n v="0.9"/>
    <n v="1"/>
    <m/>
    <m/>
    <n v="0.97142857142857142"/>
    <n v="0.97142857142857131"/>
    <s v=""/>
    <n v="0"/>
    <n v="0"/>
    <x v="1"/>
    <x v="0"/>
    <s v=""/>
    <s v=""/>
    <s v=""/>
    <s v=""/>
    <s v=""/>
    <s v=""/>
    <s v=""/>
    <s v=""/>
    <s v=""/>
    <s v=""/>
  </r>
  <r>
    <s v="Iraq"/>
    <s v="Middle East and North Africa"/>
    <s v="P087735"/>
    <s v="C1"/>
    <s v="S8"/>
    <s v="P087735C1S8"/>
    <s v="Ratio"/>
    <s v="2014 / 2014"/>
    <s v="Strengthening"/>
    <s v=""/>
    <n v="1"/>
    <m/>
    <m/>
    <n v="1.1428571428571428"/>
    <n v="1.1428571428571428"/>
    <s v=""/>
    <n v="0"/>
    <n v="0"/>
    <x v="1"/>
    <x v="0"/>
    <s v=""/>
    <s v=""/>
    <s v=""/>
    <s v=""/>
    <s v=""/>
    <s v=""/>
    <s v=""/>
    <s v=""/>
    <s v=""/>
    <s v=""/>
  </r>
  <r>
    <s v="Iraq"/>
    <s v="Middle East and North Africa"/>
    <s v="P087735"/>
    <s v="C1"/>
    <s v="S9"/>
    <s v="P087735C1S9"/>
    <s v="Ratio"/>
    <s v="2014 / 2014"/>
    <s v="Reconstruction"/>
    <s v=""/>
    <n v="1"/>
    <m/>
    <m/>
    <n v="0.99456521739130443"/>
    <n v="0.99456521739130443"/>
    <s v=""/>
    <n v="0"/>
    <n v="0"/>
    <x v="1"/>
    <x v="0"/>
    <s v=""/>
    <s v=""/>
    <s v=""/>
    <s v=""/>
    <s v=""/>
    <s v=""/>
    <s v=""/>
    <s v=""/>
    <s v=""/>
    <s v=""/>
  </r>
  <r>
    <s v="Iraq"/>
    <s v="Middle East and North Africa"/>
    <s v="P087735"/>
    <s v="C2"/>
    <s v=""/>
    <s v="P087735C2"/>
    <s v="Ratio"/>
    <s v="2014 / 2014"/>
    <s v="Widening"/>
    <s v=""/>
    <n v="1.0581497797356827"/>
    <m/>
    <m/>
    <n v="1.173571953910272"/>
    <n v="1.1090792403731546"/>
    <s v=""/>
    <n v="0"/>
    <n v="0"/>
    <x v="1"/>
    <x v="0"/>
    <s v=""/>
    <s v=""/>
    <s v=""/>
    <s v=""/>
    <s v=""/>
    <s v=""/>
    <s v=""/>
    <s v=""/>
    <s v=""/>
    <s v=""/>
  </r>
  <r>
    <s v="Iraq"/>
    <s v="Middle East and North Africa"/>
    <s v="P087735"/>
    <s v="C2"/>
    <s v="S1"/>
    <s v="P087735C2S1"/>
    <s v="Ratio"/>
    <s v="2014 / 2014"/>
    <s v="Widening"/>
    <s v=""/>
    <n v="1"/>
    <m/>
    <m/>
    <n v="1.1661891117478511"/>
    <n v="1.1661891117478511"/>
    <s v=""/>
    <n v="0"/>
    <n v="0"/>
    <x v="1"/>
    <x v="0"/>
    <s v=""/>
    <s v=""/>
    <s v=""/>
    <s v=""/>
    <s v=""/>
    <s v=""/>
    <s v=""/>
    <s v=""/>
    <s v=""/>
    <s v=""/>
  </r>
  <r>
    <s v="Iraq"/>
    <s v="Middle East and North Africa"/>
    <s v="P087735"/>
    <s v="C2"/>
    <s v="S2"/>
    <s v="P087735C2S2"/>
    <s v="Ratio"/>
    <s v="2014 / 2014"/>
    <s v="Reconstruction"/>
    <s v=""/>
    <n v="1"/>
    <m/>
    <m/>
    <n v="1"/>
    <n v="1"/>
    <s v=""/>
    <n v="0"/>
    <n v="0"/>
    <x v="1"/>
    <x v="0"/>
    <s v=""/>
    <s v=""/>
    <s v=""/>
    <s v=""/>
    <s v=""/>
    <s v=""/>
    <s v=""/>
    <s v=""/>
    <s v=""/>
    <s v=""/>
  </r>
  <r>
    <s v="Iraq"/>
    <s v="Middle East and North Africa"/>
    <s v="P087735"/>
    <s v="C2"/>
    <s v="S3"/>
    <s v="P087735C2S3"/>
    <s v="Ratio"/>
    <s v="2014 / 2014"/>
    <s v="Surface Treatment Resurfacing"/>
    <s v=""/>
    <n v="1"/>
    <m/>
    <m/>
    <n v="1"/>
    <n v="1"/>
    <s v=""/>
    <n v="0"/>
    <n v="0"/>
    <x v="1"/>
    <x v="0"/>
    <s v=""/>
    <s v=""/>
    <s v=""/>
    <s v=""/>
    <s v=""/>
    <s v=""/>
    <s v=""/>
    <s v=""/>
    <s v=""/>
    <s v=""/>
  </r>
  <r>
    <s v="Iraq"/>
    <s v="Middle East and North Africa"/>
    <s v="P087735"/>
    <s v="C2"/>
    <s v="S4"/>
    <s v="P087735C2S4"/>
    <s v="Ratio"/>
    <s v="2014 / 2014"/>
    <s v="Surface Treatment Resurfacing"/>
    <s v=""/>
    <n v="1"/>
    <m/>
    <m/>
    <n v="0.95652173913043492"/>
    <n v="0.95652173913043492"/>
    <s v=""/>
    <n v="0"/>
    <n v="0"/>
    <x v="1"/>
    <x v="0"/>
    <s v=""/>
    <s v=""/>
    <s v=""/>
    <s v=""/>
    <s v=""/>
    <s v=""/>
    <s v=""/>
    <s v=""/>
    <s v=""/>
    <s v=""/>
  </r>
  <r>
    <s v="Argentina"/>
    <s v="Latin America and Caribbean"/>
    <s v="P088153"/>
    <s v="C1"/>
    <s v=""/>
    <s v="P088153C1"/>
    <s v="Ratio"/>
    <s v="2004 / 2011"/>
    <s v="Strengthening"/>
    <s v=""/>
    <n v="0.60184393118524859"/>
    <m/>
    <m/>
    <n v="2.6362582141476616"/>
    <n v="4.3803020642841988"/>
    <s v="x"/>
    <n v="0"/>
    <n v="0"/>
    <x v="0"/>
    <x v="0"/>
    <n v="1"/>
    <s v=""/>
    <s v=""/>
    <s v=""/>
    <s v=""/>
    <s v=""/>
    <s v=""/>
    <n v="1"/>
    <n v="1"/>
    <s v=""/>
  </r>
  <r>
    <s v="Ethiopia"/>
    <s v="Sub-Saharan Africa"/>
    <s v="P091077"/>
    <s v="C1"/>
    <s v=""/>
    <s v="P091077C1"/>
    <s v="Ratio"/>
    <s v="2007 / 2015"/>
    <s v="Upgrading"/>
    <s v=""/>
    <n v="0.98159135559921418"/>
    <m/>
    <m/>
    <n v="1.4986962676003874"/>
    <n v="1.5268026343666257"/>
    <s v="x"/>
    <n v="0"/>
    <n v="0"/>
    <x v="0"/>
    <x v="0"/>
    <s v=""/>
    <s v=""/>
    <s v=""/>
    <n v="1"/>
    <s v=""/>
    <s v=""/>
    <s v=""/>
    <n v="1"/>
    <s v=""/>
    <s v=""/>
  </r>
  <r>
    <s v="Ethiopia"/>
    <s v="Sub-Saharan Africa"/>
    <s v="P091077"/>
    <s v="C1"/>
    <s v="S1"/>
    <s v="P091077C1S1"/>
    <s v="Ratio"/>
    <s v="2007 / 2015"/>
    <s v="Upgrading"/>
    <n v="1.7242009132420091"/>
    <n v="1"/>
    <m/>
    <m/>
    <n v="1.615072463768116"/>
    <n v="1.615072463768116"/>
    <s v="x"/>
    <n v="0"/>
    <n v="0"/>
    <x v="0"/>
    <x v="0"/>
    <s v=""/>
    <s v=""/>
    <s v=""/>
    <n v="1"/>
    <s v=""/>
    <s v=""/>
    <s v=""/>
    <n v="1"/>
    <s v=""/>
    <s v=""/>
  </r>
  <r>
    <s v="Ethiopia"/>
    <s v="Sub-Saharan Africa"/>
    <s v="P091077"/>
    <s v="C1"/>
    <s v="S2"/>
    <s v="P091077C1S2"/>
    <s v="Ratio"/>
    <s v="2007 / 2015"/>
    <s v="Reconstruction"/>
    <n v="2.0328587075575029"/>
    <n v="1"/>
    <m/>
    <m/>
    <n v="1.4831251660908848"/>
    <n v="1.4831251660908851"/>
    <s v=""/>
    <n v="0"/>
    <n v="0"/>
    <x v="1"/>
    <x v="0"/>
    <s v=""/>
    <s v=""/>
    <s v=""/>
    <s v=""/>
    <s v=""/>
    <s v=""/>
    <s v=""/>
    <s v=""/>
    <s v=""/>
    <s v=""/>
  </r>
  <r>
    <s v="Ethiopia"/>
    <s v="Sub-Saharan Africa"/>
    <s v="P091077"/>
    <s v="C1"/>
    <s v="S3"/>
    <s v="P091077C1S3"/>
    <s v="Ratio"/>
    <s v="2007 / 2015"/>
    <s v="Reconstruction"/>
    <n v="1.1846994535519126"/>
    <n v="1"/>
    <m/>
    <m/>
    <n v="1.233502538071066"/>
    <n v="1.233502538071066"/>
    <s v=""/>
    <n v="0"/>
    <n v="0"/>
    <x v="1"/>
    <x v="0"/>
    <s v=""/>
    <s v=""/>
    <s v=""/>
    <s v=""/>
    <s v=""/>
    <s v=""/>
    <s v=""/>
    <s v=""/>
    <s v=""/>
    <s v=""/>
  </r>
  <r>
    <s v="Ethiopia"/>
    <s v="Sub-Saharan Africa"/>
    <s v="P091077"/>
    <s v="C1"/>
    <s v="S4"/>
    <s v="P091077C1S4"/>
    <s v="Ratio"/>
    <s v="2007 / 2015"/>
    <s v="Upgrading"/>
    <n v="0.9214611872146119"/>
    <n v="1"/>
    <m/>
    <m/>
    <n v="1.6840785624738821"/>
    <n v="1.6840785624738823"/>
    <s v="x"/>
    <n v="0"/>
    <n v="0"/>
    <x v="0"/>
    <x v="0"/>
    <s v=""/>
    <s v=""/>
    <s v=""/>
    <n v="1"/>
    <s v=""/>
    <s v=""/>
    <s v=""/>
    <n v="1"/>
    <s v=""/>
    <s v=""/>
  </r>
  <r>
    <s v="Ethiopia"/>
    <s v="Sub-Saharan Africa"/>
    <s v="P091077"/>
    <s v="C1"/>
    <s v="S5"/>
    <s v="P091077C1S5"/>
    <s v="Ratio"/>
    <s v="2007 / 2015"/>
    <s v="Upgrading"/>
    <n v="1.5525114155251141"/>
    <n v="1"/>
    <m/>
    <m/>
    <n v="1.5177656303382301"/>
    <n v="1.5177656303382303"/>
    <s v="x"/>
    <n v="0"/>
    <n v="0"/>
    <x v="0"/>
    <x v="0"/>
    <s v=""/>
    <s v=""/>
    <s v=""/>
    <n v="1"/>
    <s v=""/>
    <s v=""/>
    <s v=""/>
    <n v="1"/>
    <s v=""/>
    <s v=""/>
  </r>
  <r>
    <s v="Ethiopia"/>
    <s v="Sub-Saharan Africa"/>
    <s v="P091077"/>
    <s v="C1"/>
    <s v="S6"/>
    <s v="P091077C1S6"/>
    <s v="Ratio"/>
    <s v="2007 / 2015"/>
    <s v="Upgrading"/>
    <n v="1.6703296703296704"/>
    <n v="1"/>
    <m/>
    <m/>
    <n v="0.99041342121030551"/>
    <n v="0.99041342121030562"/>
    <s v=""/>
    <n v="0"/>
    <n v="0"/>
    <x v="1"/>
    <x v="0"/>
    <s v=""/>
    <s v=""/>
    <s v=""/>
    <s v=""/>
    <s v=""/>
    <s v=""/>
    <s v=""/>
    <s v=""/>
    <s v=""/>
    <s v=""/>
  </r>
  <r>
    <s v="Mauritius"/>
    <s v="Sub-Saharan Africa"/>
    <s v="P091828"/>
    <s v="C1"/>
    <s v="S1"/>
    <s v="P091828C1S1"/>
    <s v="Ratio"/>
    <s v="2009 / 2015"/>
    <s v="Partial Widening and Reconstruction"/>
    <s v=""/>
    <n v="1"/>
    <m/>
    <m/>
    <n v="1.5685185185185184"/>
    <n v="1.5685185185185184"/>
    <s v="x"/>
    <n v="0"/>
    <n v="0"/>
    <x v="0"/>
    <x v="0"/>
    <n v="1"/>
    <s v=""/>
    <s v=""/>
    <s v=""/>
    <s v=""/>
    <s v=""/>
    <s v=""/>
    <s v=""/>
    <n v="1"/>
    <s v=""/>
  </r>
  <r>
    <s v="Mauritius"/>
    <s v="Sub-Saharan Africa"/>
    <s v="P091828"/>
    <s v="C1"/>
    <s v="S2"/>
    <s v="P091828C1S2"/>
    <s v="Ratio"/>
    <s v="2009 / 2015"/>
    <s v="Reconstruction"/>
    <s v=""/>
    <n v="1"/>
    <m/>
    <m/>
    <n v="0.80862920370621794"/>
    <n v="0.80862920370621794"/>
    <s v=""/>
    <n v="0"/>
    <n v="0"/>
    <x v="1"/>
    <x v="0"/>
    <s v=""/>
    <s v=""/>
    <s v=""/>
    <s v=""/>
    <s v=""/>
    <s v=""/>
    <s v=""/>
    <s v=""/>
    <s v=""/>
    <s v=""/>
  </r>
  <r>
    <s v="Mauritius"/>
    <s v="Sub-Saharan Africa"/>
    <s v="P091828"/>
    <s v="C1"/>
    <s v="S3"/>
    <s v="P091828C1S3"/>
    <s v="Ratio"/>
    <s v="2009 / 2015"/>
    <s v="Reconstruction"/>
    <s v=""/>
    <n v="1"/>
    <m/>
    <m/>
    <n v="1.917416478588825"/>
    <n v="1.917416478588825"/>
    <s v="x"/>
    <n v="0"/>
    <n v="0"/>
    <x v="0"/>
    <x v="0"/>
    <n v="1"/>
    <s v=""/>
    <s v=""/>
    <s v=""/>
    <s v=""/>
    <s v=""/>
    <s v=""/>
    <s v=""/>
    <s v=""/>
    <n v="1"/>
  </r>
  <r>
    <s v="Mauritius"/>
    <s v="Sub-Saharan Africa"/>
    <s v="P091828"/>
    <s v="C1"/>
    <s v="S4"/>
    <s v="P091828C1S4"/>
    <s v="Ratio"/>
    <s v="2009 / 2015"/>
    <s v="Reconstruction"/>
    <s v=""/>
    <n v="1"/>
    <m/>
    <m/>
    <n v="0.91823932691746857"/>
    <n v="0.91823932691746857"/>
    <s v=""/>
    <n v="0"/>
    <n v="0"/>
    <x v="1"/>
    <x v="0"/>
    <s v=""/>
    <s v=""/>
    <s v=""/>
    <s v=""/>
    <s v=""/>
    <s v=""/>
    <s v=""/>
    <s v=""/>
    <s v=""/>
    <s v=""/>
  </r>
  <r>
    <s v="Romania"/>
    <s v="Europe and Central Asia"/>
    <s v="P093812"/>
    <s v="C1"/>
    <s v=""/>
    <s v="P093812C1"/>
    <s v="Ratio"/>
    <s v="2006 / 2010"/>
    <s v="Surface Treatment Resurfacing"/>
    <s v=""/>
    <n v="0.75524235132347883"/>
    <m/>
    <m/>
    <n v="1.1146666666666667"/>
    <n v="1.4759059323319681"/>
    <s v=""/>
    <n v="0"/>
    <n v="0"/>
    <x v="1"/>
    <x v="0"/>
    <s v=""/>
    <s v=""/>
    <s v=""/>
    <s v=""/>
    <s v=""/>
    <s v=""/>
    <s v=""/>
    <s v=""/>
    <s v=""/>
    <s v=""/>
  </r>
  <r>
    <s v="China"/>
    <s v="East Asia and Pacific"/>
    <s v="P093906"/>
    <s v="C1"/>
    <s v=""/>
    <s v="P093906C1"/>
    <s v="Ratio"/>
    <s v="2006 / 2011"/>
    <s v="New 4L Highway"/>
    <s v=""/>
    <n v="1"/>
    <m/>
    <m/>
    <n v="1.1404465709728866"/>
    <n v="1.1404465709728868"/>
    <s v=""/>
    <n v="0"/>
    <n v="0"/>
    <x v="1"/>
    <x v="0"/>
    <s v=""/>
    <s v=""/>
    <s v=""/>
    <s v=""/>
    <s v=""/>
    <s v=""/>
    <s v=""/>
    <s v=""/>
    <s v=""/>
    <s v=""/>
  </r>
  <r>
    <s v="China"/>
    <s v="East Asia and Pacific"/>
    <s v="P093906"/>
    <s v="C2"/>
    <s v=""/>
    <s v="P093906C2"/>
    <s v="Ratio"/>
    <s v="2006 / 2011"/>
    <s v="Upgrading"/>
    <s v=""/>
    <n v="0.46818727490996398"/>
    <m/>
    <m/>
    <n v="0.22567567567567567"/>
    <n v="0.48202009702009702"/>
    <s v="x"/>
    <n v="0"/>
    <n v="1"/>
    <x v="1"/>
    <x v="1"/>
    <s v=""/>
    <n v="1"/>
    <s v=""/>
    <n v="1"/>
    <s v=""/>
    <s v=""/>
    <s v=""/>
    <s v=""/>
    <s v=""/>
    <n v="1"/>
  </r>
  <r>
    <s v="Georgia"/>
    <s v="Europe and Central Asia"/>
    <s v="P094044"/>
    <s v="C1"/>
    <s v="S1"/>
    <s v="P094044C1S1"/>
    <s v="Ratio"/>
    <s v="2007 / 2012"/>
    <s v="Widening"/>
    <n v="1.4"/>
    <n v="1"/>
    <m/>
    <m/>
    <n v="1.6495828367103695"/>
    <n v="1.6495828367103693"/>
    <s v="x"/>
    <n v="0"/>
    <n v="0"/>
    <x v="0"/>
    <x v="0"/>
    <s v=""/>
    <n v="1"/>
    <n v="1"/>
    <s v=""/>
    <s v=""/>
    <s v=""/>
    <s v=""/>
    <s v=""/>
    <n v="1"/>
    <s v=""/>
  </r>
  <r>
    <s v="Azerbaijan"/>
    <s v="Europe and Central Asia"/>
    <s v="P094488"/>
    <s v="C1"/>
    <s v="S1"/>
    <s v="P094488C1S1"/>
    <s v="Ratio"/>
    <s v="2005 / 2005"/>
    <s v="Widening"/>
    <s v=""/>
    <n v="0.38750000000000001"/>
    <m/>
    <m/>
    <n v="0.69519152404237972"/>
    <n v="1.7940426426900122"/>
    <s v="x"/>
    <n v="0"/>
    <n v="1"/>
    <x v="0"/>
    <x v="0"/>
    <n v="1"/>
    <s v=""/>
    <s v=""/>
    <s v=""/>
    <n v="1"/>
    <s v=""/>
    <s v=""/>
    <n v="1"/>
    <s v=""/>
    <s v=""/>
  </r>
  <r>
    <s v="Azerbaijan"/>
    <s v="Europe and Central Asia"/>
    <s v="P094488"/>
    <s v="C1"/>
    <s v="S2"/>
    <s v="P094488C1S2"/>
    <s v="Ratio"/>
    <s v="2005 / 2005"/>
    <s v="Reconstruction"/>
    <s v=""/>
    <n v="1"/>
    <m/>
    <m/>
    <n v="1.78125"/>
    <n v="1.78125"/>
    <s v="x"/>
    <n v="0"/>
    <n v="0"/>
    <x v="0"/>
    <x v="0"/>
    <n v="1"/>
    <s v=""/>
    <s v=""/>
    <s v=""/>
    <n v="1"/>
    <s v=""/>
    <s v=""/>
    <n v="1"/>
    <s v=""/>
    <s v=""/>
  </r>
  <r>
    <s v="Angola"/>
    <s v="Sub-Saharan Africa"/>
    <s v="P095229"/>
    <s v="C1"/>
    <s v="S1"/>
    <s v="P095229C1S1"/>
    <s v="Ratio"/>
    <s v="2014 / 2014"/>
    <s v="Reconstruction"/>
    <s v=""/>
    <n v="0.33333333333333331"/>
    <m/>
    <m/>
    <n v="1.5384615384615385"/>
    <n v="4.6153846153846159"/>
    <s v="x"/>
    <n v="0"/>
    <n v="1"/>
    <x v="0"/>
    <x v="0"/>
    <s v=""/>
    <n v="1"/>
    <s v=""/>
    <s v=""/>
    <n v="1"/>
    <s v=""/>
    <s v=""/>
    <s v=""/>
    <s v=""/>
    <s v=""/>
  </r>
  <r>
    <s v="Haiti"/>
    <s v="Latin America and Caribbean"/>
    <s v="P095523"/>
    <s v="C1"/>
    <s v="S1"/>
    <s v="P095523C1S1"/>
    <s v="Ratio"/>
    <s v="2006 / 2014"/>
    <s v="Upgrading"/>
    <s v=""/>
    <n v="0.2061855670103093"/>
    <m/>
    <m/>
    <n v="1.1882352941176471"/>
    <n v="5.762941176470588"/>
    <s v="x"/>
    <n v="0"/>
    <n v="1"/>
    <x v="0"/>
    <x v="0"/>
    <s v=""/>
    <s v=""/>
    <n v="1"/>
    <s v=""/>
    <s v=""/>
    <n v="1"/>
    <s v=""/>
    <s v=""/>
    <s v=""/>
    <s v=""/>
  </r>
  <r>
    <s v="Haiti"/>
    <s v="Latin America and Caribbean"/>
    <s v="P095523"/>
    <s v="C1"/>
    <s v="S2"/>
    <s v="P095523C1S2"/>
    <s v="Ratio"/>
    <s v="2006 / 2014"/>
    <s v="Upgrading"/>
    <s v=""/>
    <n v="0.63492063492063489"/>
    <m/>
    <m/>
    <n v="3.4041666666666668"/>
    <n v="5.3615624999999998"/>
    <s v="x"/>
    <n v="0"/>
    <n v="0"/>
    <x v="0"/>
    <x v="0"/>
    <s v=""/>
    <s v=""/>
    <n v="1"/>
    <s v=""/>
    <s v=""/>
    <n v="1"/>
    <s v=""/>
    <s v=""/>
    <s v=""/>
    <s v=""/>
  </r>
  <r>
    <s v="Argentina"/>
    <s v="Latin America and Caribbean"/>
    <s v="P095569"/>
    <s v="C1"/>
    <s v=""/>
    <s v="P095569C1"/>
    <s v="Ratio"/>
    <s v="2007 / 2014"/>
    <s v="Asphalt Mix Resurfacing"/>
    <s v=""/>
    <n v="1.0112462006079028"/>
    <m/>
    <m/>
    <n v="1.0140478668054111"/>
    <n v="1.0027705085030967"/>
    <s v=""/>
    <n v="0"/>
    <n v="0"/>
    <x v="1"/>
    <x v="0"/>
    <s v=""/>
    <s v=""/>
    <s v=""/>
    <s v=""/>
    <s v=""/>
    <s v=""/>
    <s v=""/>
    <s v=""/>
    <s v=""/>
    <s v=""/>
  </r>
  <r>
    <s v="Peru"/>
    <s v="Latin America and Caribbean"/>
    <s v="P095570"/>
    <s v="C1"/>
    <s v=""/>
    <s v="P095570C1"/>
    <s v="Ratio"/>
    <s v="2006 / 2014"/>
    <s v="Gravel Resurfacing"/>
    <s v=""/>
    <n v="0.79756676557863504"/>
    <m/>
    <m/>
    <n v="1.3032128514056227"/>
    <n v="1.6339859026850763"/>
    <s v="x"/>
    <n v="0"/>
    <n v="0"/>
    <x v="0"/>
    <x v="0"/>
    <n v="1"/>
    <s v=""/>
    <s v=""/>
    <s v=""/>
    <s v=""/>
    <s v=""/>
    <s v=""/>
    <s v=""/>
    <s v=""/>
    <s v=""/>
  </r>
  <r>
    <s v="Peru"/>
    <s v="Latin America and Caribbean"/>
    <s v="P095570"/>
    <s v="C1"/>
    <s v="S1"/>
    <s v="P095570C1S1"/>
    <s v="Ratio"/>
    <s v="2006 / 2014"/>
    <s v="Reconstruction"/>
    <s v=""/>
    <n v="1.0923333333333334"/>
    <m/>
    <m/>
    <n v="1.7059548427672957"/>
    <n v="1.5617529839187936"/>
    <s v="x"/>
    <n v="0"/>
    <n v="0"/>
    <x v="0"/>
    <x v="0"/>
    <n v="1"/>
    <s v=""/>
    <s v=""/>
    <s v=""/>
    <s v=""/>
    <s v=""/>
    <s v=""/>
    <s v=""/>
    <s v=""/>
    <s v=""/>
  </r>
  <r>
    <s v="Peru"/>
    <s v="Latin America and Caribbean"/>
    <s v="P095570"/>
    <s v="C1"/>
    <s v="S2"/>
    <s v="P095570C1S2"/>
    <s v="Ratio"/>
    <s v="2006 / 2014"/>
    <s v="Gravel Resurfacing"/>
    <s v=""/>
    <n v="0.6969642857142857"/>
    <m/>
    <m/>
    <n v="1.2739611464968155"/>
    <n v="1.82787148869643"/>
    <s v="x"/>
    <n v="0"/>
    <n v="0"/>
    <x v="0"/>
    <x v="0"/>
    <n v="1"/>
    <s v=""/>
    <s v=""/>
    <s v=""/>
    <s v=""/>
    <s v=""/>
    <s v=""/>
    <s v=""/>
    <s v=""/>
    <s v=""/>
  </r>
  <r>
    <s v="Peru"/>
    <s v="Latin America and Caribbean"/>
    <s v="P095570"/>
    <s v="C1"/>
    <s v="S3"/>
    <s v="P095570C1S3"/>
    <s v="Ratio"/>
    <s v="2006 / 2014"/>
    <s v="Reconstruction"/>
    <s v=""/>
    <n v="0.88905660377358486"/>
    <m/>
    <m/>
    <n v="1.2798240000000001"/>
    <n v="1.43953039049236"/>
    <s v=""/>
    <n v="0"/>
    <n v="0"/>
    <x v="1"/>
    <x v="0"/>
    <s v=""/>
    <s v=""/>
    <s v=""/>
    <s v=""/>
    <s v=""/>
    <s v=""/>
    <s v=""/>
    <s v=""/>
    <s v=""/>
    <s v=""/>
  </r>
  <r>
    <s v="India"/>
    <s v="South Asia"/>
    <s v="P096023"/>
    <s v="C1"/>
    <s v="S1"/>
    <s v="P096023C1S1"/>
    <s v="Ratio"/>
    <s v="2008 / 2017"/>
    <s v="Partial Widening and Reconstruction"/>
    <s v=""/>
    <n v="1"/>
    <m/>
    <m/>
    <n v="0.85423565514273192"/>
    <n v="0.85423565514273192"/>
    <s v=""/>
    <n v="0"/>
    <n v="0"/>
    <x v="1"/>
    <x v="0"/>
    <s v=""/>
    <s v=""/>
    <s v=""/>
    <s v=""/>
    <s v=""/>
    <s v=""/>
    <s v=""/>
    <s v=""/>
    <s v=""/>
    <s v=""/>
  </r>
  <r>
    <s v="India"/>
    <s v="South Asia"/>
    <s v="P096023"/>
    <s v="C1"/>
    <s v="S2"/>
    <s v="P096023C1S2"/>
    <s v="Ratio"/>
    <s v="2008 / 2017"/>
    <s v="Partial Widening and Reconstruction"/>
    <s v=""/>
    <n v="0.95121951219512191"/>
    <m/>
    <m/>
    <n v="1.0446415151059671"/>
    <n v="1.0982128748549911"/>
    <s v=""/>
    <n v="0"/>
    <n v="0"/>
    <x v="1"/>
    <x v="0"/>
    <s v=""/>
    <s v=""/>
    <s v=""/>
    <s v=""/>
    <s v=""/>
    <s v=""/>
    <s v=""/>
    <s v=""/>
    <s v=""/>
    <s v=""/>
  </r>
  <r>
    <s v="Sudan"/>
    <s v="Sub-Saharan Africa"/>
    <s v="P098837"/>
    <s v="C1"/>
    <s v=""/>
    <s v="P098837C1"/>
    <s v="Ratio"/>
    <s v="2011 / 2013"/>
    <s v="Upgrading"/>
    <s v=""/>
    <n v="0.43959731543624159"/>
    <m/>
    <m/>
    <n v="1.1415929203539823"/>
    <n v="2.596906032560967"/>
    <s v="x"/>
    <n v="0"/>
    <n v="1"/>
    <x v="0"/>
    <x v="0"/>
    <s v=""/>
    <n v="1"/>
    <s v=""/>
    <s v=""/>
    <s v=""/>
    <n v="1"/>
    <s v=""/>
    <s v=""/>
    <s v=""/>
    <n v="1"/>
  </r>
  <r>
    <s v="Bulgaria"/>
    <s v="Europe and Central Asia"/>
    <s v="P099894"/>
    <s v="C1"/>
    <s v=""/>
    <s v="P099894C1"/>
    <s v="Ratio"/>
    <s v="2007 / 2013"/>
    <s v="Strengthening"/>
    <s v=""/>
    <n v="0.68222222222222217"/>
    <m/>
    <m/>
    <n v="0.67988626207157454"/>
    <n v="0.99657595417657496"/>
    <s v=""/>
    <n v="0"/>
    <n v="0"/>
    <x v="1"/>
    <x v="0"/>
    <s v=""/>
    <s v=""/>
    <s v=""/>
    <s v=""/>
    <s v=""/>
    <s v=""/>
    <s v=""/>
    <s v=""/>
    <s v=""/>
    <s v=""/>
  </r>
  <r>
    <s v="Bulgaria"/>
    <s v="Europe and Central Asia"/>
    <s v="P099894"/>
    <s v="C1"/>
    <s v="S1"/>
    <s v="P099894C1S1"/>
    <s v="Ratio"/>
    <s v="2007 / 2013"/>
    <s v="Strengthening"/>
    <s v=""/>
    <n v="0.98546042003231016"/>
    <m/>
    <m/>
    <n v="1.1824324324324322"/>
    <n v="1.1998781568453698"/>
    <s v=""/>
    <n v="0"/>
    <n v="0"/>
    <x v="1"/>
    <x v="0"/>
    <s v=""/>
    <s v=""/>
    <s v=""/>
    <s v=""/>
    <s v=""/>
    <s v=""/>
    <s v=""/>
    <s v=""/>
    <s v=""/>
    <s v=""/>
  </r>
  <r>
    <s v="Bulgaria"/>
    <s v="Europe and Central Asia"/>
    <s v="P099894"/>
    <s v="C1"/>
    <s v="S2"/>
    <s v="P099894C1S2"/>
    <s v="Ratio"/>
    <s v="2007 / 2013"/>
    <s v="Strengthening"/>
    <s v=""/>
    <n v="1.0629213483146067"/>
    <m/>
    <m/>
    <n v="0.88955162484574235"/>
    <n v="0.83689317770899652"/>
    <s v=""/>
    <n v="0"/>
    <n v="0"/>
    <x v="1"/>
    <x v="0"/>
    <s v=""/>
    <s v=""/>
    <s v=""/>
    <s v=""/>
    <s v=""/>
    <s v=""/>
    <s v=""/>
    <s v=""/>
    <s v=""/>
    <s v=""/>
  </r>
  <r>
    <s v="Bulgaria"/>
    <s v="Europe and Central Asia"/>
    <s v="P099894"/>
    <s v="C1"/>
    <s v="S3"/>
    <s v="P099894C1S3"/>
    <s v="Ratio"/>
    <s v="2007 / 2013"/>
    <s v="Strengthening"/>
    <s v=""/>
    <n v="0.75573770491803283"/>
    <m/>
    <m/>
    <n v="0.70315011250401793"/>
    <n v="0.93041555016800637"/>
    <s v=""/>
    <n v="0"/>
    <n v="0"/>
    <x v="1"/>
    <x v="0"/>
    <s v=""/>
    <s v=""/>
    <s v=""/>
    <s v=""/>
    <s v=""/>
    <s v=""/>
    <s v=""/>
    <s v=""/>
    <s v=""/>
    <s v=""/>
  </r>
  <r>
    <s v="Bulgaria"/>
    <s v="Europe and Central Asia"/>
    <s v="P099894"/>
    <s v="C1"/>
    <s v="S4"/>
    <s v="P099894C1S4"/>
    <s v="Ratio"/>
    <s v="2007 / 2013"/>
    <s v="Strengthening"/>
    <s v=""/>
    <n v="0.99105545617173529"/>
    <m/>
    <m/>
    <n v="0.58760683760683752"/>
    <n v="0.59291014841556355"/>
    <s v=""/>
    <n v="0"/>
    <n v="0"/>
    <x v="1"/>
    <x v="0"/>
    <s v=""/>
    <s v=""/>
    <s v=""/>
    <s v=""/>
    <s v=""/>
    <s v=""/>
    <s v=""/>
    <s v=""/>
    <s v=""/>
    <s v=""/>
  </r>
  <r>
    <s v="Bulgaria"/>
    <s v="Europe and Central Asia"/>
    <s v="P099894"/>
    <s v="C1"/>
    <s v="S5"/>
    <s v="P099894C1S5"/>
    <s v="Ratio"/>
    <s v="2007 / 2013"/>
    <s v="Strengthening"/>
    <s v=""/>
    <n v="0.96769230769230763"/>
    <m/>
    <m/>
    <n v="0.90729274165806661"/>
    <n v="0.937583914273042"/>
    <s v=""/>
    <n v="0"/>
    <n v="0"/>
    <x v="1"/>
    <x v="0"/>
    <s v=""/>
    <s v=""/>
    <s v=""/>
    <s v=""/>
    <s v=""/>
    <s v=""/>
    <s v=""/>
    <s v=""/>
    <s v=""/>
    <s v=""/>
  </r>
  <r>
    <s v="Bulgaria"/>
    <s v="Europe and Central Asia"/>
    <s v="P099894"/>
    <s v="C1"/>
    <s v="S6"/>
    <s v="P099894C1S6"/>
    <s v="Ratio"/>
    <s v="2007 / 2013"/>
    <s v="Strengthening"/>
    <s v=""/>
    <n v="0.9507692307692307"/>
    <m/>
    <m/>
    <n v="0.65261044176706828"/>
    <n v="0.68640256820160894"/>
    <s v=""/>
    <n v="0"/>
    <n v="0"/>
    <x v="1"/>
    <x v="0"/>
    <s v=""/>
    <s v=""/>
    <s v=""/>
    <s v=""/>
    <s v=""/>
    <s v=""/>
    <s v=""/>
    <s v=""/>
    <s v=""/>
    <s v=""/>
  </r>
  <r>
    <s v="Bhutan"/>
    <s v="South Asia"/>
    <s v="P100332"/>
    <s v="C1"/>
    <s v=""/>
    <s v="P100332C1"/>
    <s v="Ratio"/>
    <s v="2007 / 2013"/>
    <s v="New 1L Road"/>
    <s v=""/>
    <n v="1.0112359550561798"/>
    <m/>
    <m/>
    <n v="1.245977011494253"/>
    <n v="1.23213282247765"/>
    <s v=""/>
    <n v="0"/>
    <n v="0"/>
    <x v="1"/>
    <x v="0"/>
    <s v=""/>
    <s v=""/>
    <s v=""/>
    <s v=""/>
    <s v=""/>
    <s v=""/>
    <s v=""/>
    <s v=""/>
    <s v=""/>
    <s v=""/>
  </r>
  <r>
    <s v="Bhutan"/>
    <s v="South Asia"/>
    <s v="P100332"/>
    <s v="C1"/>
    <s v="S1"/>
    <s v="P100332C1S1"/>
    <s v="Ratio"/>
    <s v="2007 / 2013"/>
    <s v="New 1L Road"/>
    <s v=""/>
    <n v="0.86350364963503656"/>
    <m/>
    <m/>
    <n v="0.83"/>
    <n v="0.96120033812341499"/>
    <s v=""/>
    <n v="0"/>
    <n v="0"/>
    <x v="1"/>
    <x v="0"/>
    <s v=""/>
    <s v=""/>
    <s v=""/>
    <s v=""/>
    <s v=""/>
    <s v=""/>
    <s v=""/>
    <s v=""/>
    <s v=""/>
    <s v=""/>
  </r>
  <r>
    <s v="Bhutan"/>
    <s v="South Asia"/>
    <s v="P100332"/>
    <s v="C1"/>
    <s v="S2"/>
    <s v="P100332C1S2"/>
    <s v="Ratio"/>
    <s v="2007 / 2013"/>
    <s v="New 1L Road"/>
    <s v=""/>
    <n v="1.1863636363636365"/>
    <m/>
    <m/>
    <n v="1.276"/>
    <n v="1.0755555555555556"/>
    <s v=""/>
    <n v="0"/>
    <n v="0"/>
    <x v="1"/>
    <x v="0"/>
    <s v=""/>
    <s v=""/>
    <s v=""/>
    <s v=""/>
    <s v=""/>
    <s v=""/>
    <s v=""/>
    <s v=""/>
    <s v=""/>
    <s v=""/>
  </r>
  <r>
    <s v="Bhutan"/>
    <s v="South Asia"/>
    <s v="P100332"/>
    <s v="C1"/>
    <s v="S3"/>
    <s v="P100332C1S3"/>
    <s v="Ratio"/>
    <s v="2007 / 2013"/>
    <s v="New 1L Road"/>
    <s v=""/>
    <n v="1"/>
    <m/>
    <m/>
    <n v="1.2242424242424244"/>
    <n v="1.2242424242424244"/>
    <s v=""/>
    <n v="0"/>
    <n v="0"/>
    <x v="1"/>
    <x v="0"/>
    <s v=""/>
    <s v=""/>
    <s v=""/>
    <s v=""/>
    <s v=""/>
    <s v=""/>
    <s v=""/>
    <s v=""/>
    <s v=""/>
    <s v=""/>
  </r>
  <r>
    <s v="China"/>
    <s v="East Asia and Pacific"/>
    <s v="P101258"/>
    <s v="C1"/>
    <s v=""/>
    <s v="P101258C1"/>
    <s v="Ratio"/>
    <s v="2009 / 2016"/>
    <s v="New 4L Highway"/>
    <s v=""/>
    <n v="1"/>
    <m/>
    <m/>
    <n v="1.1853444955949355"/>
    <n v="1.1853444955949353"/>
    <s v=""/>
    <n v="0"/>
    <n v="0"/>
    <x v="1"/>
    <x v="0"/>
    <s v=""/>
    <s v=""/>
    <s v=""/>
    <s v=""/>
    <s v=""/>
    <s v=""/>
    <s v=""/>
    <s v=""/>
    <s v=""/>
    <s v=""/>
  </r>
  <r>
    <s v="Afghanistan"/>
    <s v="South Asia"/>
    <s v="P107101"/>
    <s v="C1"/>
    <s v="S1"/>
    <s v="P107101C1S1"/>
    <s v="Ratio"/>
    <s v="2010 / 2012"/>
    <s v="Strengthening"/>
    <n v="8.25"/>
    <n v="1"/>
    <m/>
    <m/>
    <n v="0.99789156626506037"/>
    <n v="0.99789156626506026"/>
    <s v=""/>
    <n v="0"/>
    <n v="0"/>
    <x v="1"/>
    <x v="0"/>
    <s v=""/>
    <s v=""/>
    <s v=""/>
    <s v=""/>
    <s v=""/>
    <s v=""/>
    <s v=""/>
    <s v=""/>
    <s v=""/>
    <s v=""/>
  </r>
  <r>
    <s v="Afghanistan"/>
    <s v="South Asia"/>
    <s v="P107101"/>
    <s v="C1"/>
    <s v="S2"/>
    <s v="P107101C1S2"/>
    <s v="Ratio"/>
    <s v="2010 / 2012"/>
    <s v="Strengthening"/>
    <n v="8.25"/>
    <n v="1"/>
    <m/>
    <m/>
    <n v="0.98597402597402595"/>
    <n v="0.98597402597402584"/>
    <s v=""/>
    <n v="0"/>
    <n v="0"/>
    <x v="1"/>
    <x v="0"/>
    <s v=""/>
    <s v=""/>
    <s v=""/>
    <s v=""/>
    <s v=""/>
    <s v=""/>
    <s v=""/>
    <s v=""/>
    <s v=""/>
    <s v=""/>
  </r>
  <r>
    <s v="Afghanistan"/>
    <s v="South Asia"/>
    <s v="P107101"/>
    <s v="C1"/>
    <s v="S3"/>
    <s v="P107101C1S3"/>
    <s v="Ratio"/>
    <s v="2010 / 2012"/>
    <s v="Strengthening"/>
    <n v="7.5"/>
    <n v="1"/>
    <m/>
    <m/>
    <n v="0.74125874125874136"/>
    <n v="0.74125874125874147"/>
    <s v=""/>
    <n v="0"/>
    <n v="0"/>
    <x v="1"/>
    <x v="0"/>
    <s v=""/>
    <s v=""/>
    <s v=""/>
    <s v=""/>
    <s v=""/>
    <s v=""/>
    <s v=""/>
    <s v=""/>
    <s v=""/>
    <s v=""/>
  </r>
  <r>
    <s v="Afghanistan"/>
    <s v="South Asia"/>
    <s v="P107101"/>
    <s v="C1"/>
    <s v="S4"/>
    <s v="P107101C1S4"/>
    <s v="Ratio"/>
    <s v="2010 / 2012"/>
    <s v="Strengthening"/>
    <n v="7.5"/>
    <n v="1"/>
    <m/>
    <m/>
    <n v="0.66279069767441867"/>
    <n v="0.66279069767441856"/>
    <s v=""/>
    <n v="0"/>
    <n v="0"/>
    <x v="1"/>
    <x v="0"/>
    <s v=""/>
    <s v=""/>
    <s v=""/>
    <s v=""/>
    <s v=""/>
    <s v=""/>
    <s v=""/>
    <s v=""/>
    <s v=""/>
    <s v=""/>
  </r>
  <r>
    <s v="Macedonia, FYR"/>
    <s v="Europe and Central Asia"/>
    <s v="P107840"/>
    <s v="C1"/>
    <s v="S1"/>
    <s v="P107840C1S1"/>
    <s v="Ratio"/>
    <s v="2008 / 2016"/>
    <s v="Reconstruction"/>
    <s v=""/>
    <n v="1.2565789473684212"/>
    <m/>
    <m/>
    <n v="1.2003254658385092"/>
    <n v="0.95523283145263549"/>
    <s v=""/>
    <n v="0"/>
    <n v="0"/>
    <x v="1"/>
    <x v="0"/>
    <s v=""/>
    <s v=""/>
    <s v=""/>
    <s v=""/>
    <s v=""/>
    <n v="1"/>
    <s v=""/>
    <s v=""/>
    <s v=""/>
    <s v=""/>
  </r>
  <r>
    <s v="Macedonia, FYR"/>
    <s v="Europe and Central Asia"/>
    <s v="P107840"/>
    <s v="C1"/>
    <s v="S10"/>
    <s v="P107840C1S10"/>
    <s v="Ratio"/>
    <s v="2008 / 2016"/>
    <s v="Reconstruction"/>
    <s v=""/>
    <n v="0.72928176795580102"/>
    <m/>
    <m/>
    <n v="0.88368000000000013"/>
    <n v="1.2117127272727277"/>
    <s v=""/>
    <n v="0"/>
    <n v="0"/>
    <x v="1"/>
    <x v="0"/>
    <s v=""/>
    <s v=""/>
    <s v=""/>
    <s v=""/>
    <s v=""/>
    <s v=""/>
    <s v=""/>
    <s v=""/>
    <n v="1"/>
    <s v=""/>
  </r>
  <r>
    <s v="Macedonia, FYR"/>
    <s v="Europe and Central Asia"/>
    <s v="P107840"/>
    <s v="C1"/>
    <s v="S11"/>
    <s v="P107840C1S11"/>
    <s v="Ratio"/>
    <s v="2008 / 2016"/>
    <s v="Reconstruction"/>
    <s v=""/>
    <n v="0.86832740213523119"/>
    <m/>
    <m/>
    <n v="0.78554452554744525"/>
    <n v="0.90466398229029565"/>
    <s v=""/>
    <n v="0"/>
    <n v="0"/>
    <x v="1"/>
    <x v="0"/>
    <s v=""/>
    <s v=""/>
    <s v=""/>
    <s v=""/>
    <s v=""/>
    <n v="1"/>
    <s v=""/>
    <s v=""/>
    <n v="1"/>
    <s v=""/>
  </r>
  <r>
    <s v="Macedonia, FYR"/>
    <s v="Europe and Central Asia"/>
    <s v="P107840"/>
    <s v="C1"/>
    <s v="S2"/>
    <s v="P107840C1S2"/>
    <s v="Ratio"/>
    <s v="2008 / 2016"/>
    <s v="Reconstruction"/>
    <s v=""/>
    <n v="0.93157894736842106"/>
    <m/>
    <m/>
    <n v="0.7023468208092486"/>
    <n v="0.75393161555795041"/>
    <s v=""/>
    <n v="0"/>
    <n v="0"/>
    <x v="1"/>
    <x v="0"/>
    <s v=""/>
    <s v=""/>
    <s v=""/>
    <s v=""/>
    <s v=""/>
    <n v="1"/>
    <s v=""/>
    <s v=""/>
    <s v=""/>
    <s v=""/>
  </r>
  <r>
    <s v="Macedonia, FYR"/>
    <s v="Europe and Central Asia"/>
    <s v="P107840"/>
    <s v="C1"/>
    <s v="S3"/>
    <s v="P107840C1S3"/>
    <s v="Ratio"/>
    <s v="2008 / 2016"/>
    <s v="Reconstruction"/>
    <s v=""/>
    <n v="1.2324723247232472"/>
    <m/>
    <m/>
    <n v="1.2288138808559859"/>
    <n v="0.99703162189213235"/>
    <s v=""/>
    <n v="0"/>
    <n v="0"/>
    <x v="1"/>
    <x v="0"/>
    <s v=""/>
    <s v=""/>
    <s v=""/>
    <s v=""/>
    <s v=""/>
    <s v=""/>
    <s v=""/>
    <s v=""/>
    <n v="1"/>
    <s v=""/>
  </r>
  <r>
    <s v="Macedonia, FYR"/>
    <s v="Europe and Central Asia"/>
    <s v="P107840"/>
    <s v="C1"/>
    <s v="S4"/>
    <s v="P107840C1S4"/>
    <s v="Ratio"/>
    <s v="2008 / 2016"/>
    <s v="Reconstruction"/>
    <s v=""/>
    <n v="1.2434782608695654"/>
    <m/>
    <m/>
    <n v="0.72738285714285711"/>
    <n v="0.58495824175824163"/>
    <s v=""/>
    <n v="0"/>
    <n v="0"/>
    <x v="1"/>
    <x v="0"/>
    <s v=""/>
    <s v=""/>
    <s v=""/>
    <s v=""/>
    <s v=""/>
    <n v="1"/>
    <s v=""/>
    <s v=""/>
    <n v="1"/>
    <s v=""/>
  </r>
  <r>
    <s v="Macedonia, FYR"/>
    <s v="Europe and Central Asia"/>
    <s v="P107840"/>
    <s v="C1"/>
    <s v="S5"/>
    <s v="P107840C1S5"/>
    <s v="Ratio"/>
    <s v="2008 / 2016"/>
    <s v="Reconstruction"/>
    <s v=""/>
    <n v="1.0079051383399209"/>
    <m/>
    <m/>
    <n v="1.2851388819875778"/>
    <n v="1.275059361344538"/>
    <s v=""/>
    <n v="0"/>
    <n v="0"/>
    <x v="1"/>
    <x v="0"/>
    <s v=""/>
    <s v=""/>
    <s v=""/>
    <s v=""/>
    <s v=""/>
    <n v="1"/>
    <s v=""/>
    <s v=""/>
    <s v=""/>
    <s v=""/>
  </r>
  <r>
    <s v="Macedonia, FYR"/>
    <s v="Europe and Central Asia"/>
    <s v="P107840"/>
    <s v="C1"/>
    <s v="S6"/>
    <s v="P107840C1S6"/>
    <s v="Ratio"/>
    <s v="2008 / 2016"/>
    <s v="Reconstruction"/>
    <s v=""/>
    <n v="1.0999999999999999"/>
    <m/>
    <m/>
    <n v="2.2069457142857143"/>
    <n v="2.0063142857142857"/>
    <s v="x"/>
    <n v="0"/>
    <n v="0"/>
    <x v="0"/>
    <x v="0"/>
    <s v=""/>
    <s v=""/>
    <n v="1"/>
    <s v=""/>
    <s v=""/>
    <n v="1"/>
    <s v=""/>
    <s v=""/>
    <n v="1"/>
    <s v=""/>
  </r>
  <r>
    <s v="Macedonia, FYR"/>
    <s v="Europe and Central Asia"/>
    <s v="P107840"/>
    <s v="C1"/>
    <s v="S7"/>
    <s v="P107840C1S7"/>
    <s v="Ratio"/>
    <s v="2008 / 2016"/>
    <s v="Reconstruction"/>
    <s v=""/>
    <n v="1.3741007194244605"/>
    <m/>
    <m/>
    <n v="1.0935471309853582"/>
    <n v="0.79582749323018209"/>
    <s v=""/>
    <n v="0"/>
    <n v="0"/>
    <x v="1"/>
    <x v="0"/>
    <s v=""/>
    <s v=""/>
    <s v=""/>
    <s v=""/>
    <s v=""/>
    <s v=""/>
    <s v=""/>
    <s v=""/>
    <s v=""/>
    <s v=""/>
  </r>
  <r>
    <s v="Macedonia, FYR"/>
    <s v="Europe and Central Asia"/>
    <s v="P107840"/>
    <s v="C1"/>
    <s v="S8"/>
    <s v="P107840C1S8"/>
    <s v="Ratio"/>
    <s v="2008 / 2016"/>
    <s v="Reconstruction"/>
    <s v=""/>
    <n v="1.0277777777777777"/>
    <m/>
    <m/>
    <n v="1.1672801393728223"/>
    <n v="1.135732027497881"/>
    <s v=""/>
    <n v="0"/>
    <n v="0"/>
    <x v="1"/>
    <x v="0"/>
    <s v=""/>
    <s v=""/>
    <s v=""/>
    <s v=""/>
    <s v=""/>
    <s v=""/>
    <s v=""/>
    <s v=""/>
    <s v=""/>
    <s v=""/>
  </r>
  <r>
    <s v="Macedonia, FYR"/>
    <s v="Europe and Central Asia"/>
    <s v="P107840"/>
    <s v="C1"/>
    <s v="S9"/>
    <s v="P107840C1S9"/>
    <s v="Ratio"/>
    <s v="2008 / 2016"/>
    <s v="Reconstruction"/>
    <s v=""/>
    <n v="0.72868217054263562"/>
    <m/>
    <m/>
    <n v="0.4500496375266525"/>
    <n v="0.61762131107381035"/>
    <s v=""/>
    <n v="0"/>
    <n v="0"/>
    <x v="1"/>
    <x v="0"/>
    <s v=""/>
    <s v=""/>
    <s v=""/>
    <s v=""/>
    <s v=""/>
    <s v=""/>
    <s v=""/>
    <s v=""/>
    <s v=""/>
    <s v=""/>
  </r>
  <r>
    <s v="Sri Lanka"/>
    <s v="South Asia"/>
    <s v="P107847"/>
    <s v="C1"/>
    <s v="S1"/>
    <s v="P107847C1S1"/>
    <s v="Ratio"/>
    <s v="2009 / 2015"/>
    <s v="Partial Widening and Reconstruction"/>
    <n v="0.98333333333333328"/>
    <n v="0.78193333333333337"/>
    <m/>
    <m/>
    <n v="1.41643059490085"/>
    <n v="1.8114467493829609"/>
    <s v="x"/>
    <n v="0"/>
    <n v="0"/>
    <x v="0"/>
    <x v="0"/>
    <n v="1"/>
    <s v=""/>
    <n v="1"/>
    <s v=""/>
    <s v=""/>
    <s v=""/>
    <s v=""/>
    <s v=""/>
    <n v="1"/>
    <s v=""/>
  </r>
  <r>
    <s v="Sri Lanka"/>
    <s v="South Asia"/>
    <s v="P107847"/>
    <s v="C1"/>
    <s v="S2"/>
    <s v="P107847C1S2"/>
    <s v="Ratio"/>
    <s v="2009 / 2015"/>
    <s v="Partial Widening and Reconstruction"/>
    <n v="0.98333333333333328"/>
    <n v="0.59150000000000003"/>
    <m/>
    <m/>
    <n v="1.4285714285714286"/>
    <n v="2.4151672503320851"/>
    <s v="x"/>
    <n v="0"/>
    <n v="0"/>
    <x v="0"/>
    <x v="0"/>
    <n v="1"/>
    <s v=""/>
    <s v=""/>
    <s v=""/>
    <s v=""/>
    <n v="1"/>
    <s v=""/>
    <s v=""/>
    <s v=""/>
    <s v=""/>
  </r>
  <r>
    <s v="Sri Lanka"/>
    <s v="South Asia"/>
    <s v="P107847"/>
    <s v="C1"/>
    <s v="S3"/>
    <s v="P107847C1S3"/>
    <s v="Ratio"/>
    <s v="2009 / 2015"/>
    <s v="Partial Widening and Reconstruction"/>
    <n v="0.98333333333333328"/>
    <n v="0.55720000000000003"/>
    <m/>
    <m/>
    <n v="1.4285714285714286"/>
    <n v="2.5638396061942363"/>
    <s v="x"/>
    <n v="0"/>
    <n v="0"/>
    <x v="0"/>
    <x v="0"/>
    <n v="1"/>
    <s v=""/>
    <s v=""/>
    <s v=""/>
    <s v=""/>
    <s v=""/>
    <n v="1"/>
    <s v=""/>
    <s v=""/>
    <s v=""/>
  </r>
  <r>
    <s v="Honduras"/>
    <s v="Latin America and Caribbean"/>
    <s v="P109058"/>
    <s v="C1"/>
    <s v="S1"/>
    <s v="P109058C1S1"/>
    <s v="Ratio"/>
    <s v="2008 / 2015"/>
    <s v="Upgrading"/>
    <s v=""/>
    <n v="1"/>
    <m/>
    <m/>
    <n v="1.0847658565500888"/>
    <n v="1.0847658565500891"/>
    <s v=""/>
    <n v="0"/>
    <n v="0"/>
    <x v="1"/>
    <x v="0"/>
    <s v=""/>
    <s v=""/>
    <s v=""/>
    <s v=""/>
    <s v=""/>
    <s v=""/>
    <s v=""/>
    <s v=""/>
    <s v=""/>
    <s v=""/>
  </r>
  <r>
    <s v="Honduras"/>
    <s v="Latin America and Caribbean"/>
    <s v="P109058"/>
    <s v="C1"/>
    <s v="S2"/>
    <s v="P109058C1S2"/>
    <s v="Ratio"/>
    <s v="2008 / 2015"/>
    <s v="Upgrading"/>
    <s v=""/>
    <n v="1"/>
    <m/>
    <m/>
    <n v="1.2946690099589924"/>
    <n v="1.2946690099589926"/>
    <s v=""/>
    <n v="0"/>
    <n v="0"/>
    <x v="1"/>
    <x v="0"/>
    <s v=""/>
    <s v=""/>
    <s v=""/>
    <s v=""/>
    <s v=""/>
    <s v=""/>
    <s v=""/>
    <s v=""/>
    <s v=""/>
    <s v=""/>
  </r>
  <r>
    <s v="Honduras"/>
    <s v="Latin America and Caribbean"/>
    <s v="P109058"/>
    <s v="C1"/>
    <s v="S3"/>
    <s v="P109058C1S3"/>
    <s v="Ratio"/>
    <s v="2008 / 2015"/>
    <s v="Upgrading"/>
    <s v=""/>
    <n v="0.36363636363636365"/>
    <m/>
    <m/>
    <n v="1.1426959954878737"/>
    <n v="3.1424139875916528"/>
    <s v="x"/>
    <n v="0"/>
    <n v="1"/>
    <x v="0"/>
    <x v="0"/>
    <s v=""/>
    <n v="1"/>
    <n v="1"/>
    <s v=""/>
    <s v=""/>
    <s v=""/>
    <s v=""/>
    <s v=""/>
    <s v=""/>
    <s v=""/>
  </r>
  <r>
    <s v="Belarus"/>
    <s v="Europe and Central Asia"/>
    <s v="P118375"/>
    <s v="C1"/>
    <s v="S1"/>
    <s v="P118375C1S1"/>
    <s v="Ratio"/>
    <s v="2010 / 2016"/>
    <s v="Widening and Reconstruction"/>
    <n v="0.77419354838709675"/>
    <n v="1"/>
    <m/>
    <m/>
    <n v="0.83851508120649654"/>
    <n v="0.83851508120649654"/>
    <s v=""/>
    <n v="0"/>
    <n v="0"/>
    <x v="1"/>
    <x v="0"/>
    <s v=""/>
    <s v=""/>
    <s v=""/>
    <s v=""/>
    <s v=""/>
    <s v=""/>
    <s v=""/>
    <s v=""/>
    <s v=""/>
    <s v=""/>
  </r>
  <r>
    <s v="Belarus"/>
    <s v="Europe and Central Asia"/>
    <s v="P118375"/>
    <s v="C1"/>
    <s v="S2"/>
    <s v="P118375C1S2"/>
    <s v="Ratio"/>
    <s v="2010 / 2016"/>
    <s v="Widening and Reconstruction"/>
    <n v="0.77419354838709675"/>
    <n v="1"/>
    <m/>
    <m/>
    <n v="1.3287937743190661"/>
    <n v="1.3287937743190661"/>
    <s v=""/>
    <n v="0"/>
    <n v="0"/>
    <x v="1"/>
    <x v="0"/>
    <s v=""/>
    <s v=""/>
    <s v=""/>
    <s v=""/>
    <s v=""/>
    <s v=""/>
    <s v=""/>
    <s v=""/>
    <s v=""/>
    <s v=""/>
  </r>
  <r>
    <s v="Belarus"/>
    <s v="Europe and Central Asia"/>
    <s v="P118375"/>
    <s v="C1"/>
    <s v="S3"/>
    <s v="P118375C1S3"/>
    <s v="Ratio"/>
    <s v="2010 / 2016"/>
    <s v="Widening and Reconstruction"/>
    <n v="0.77419354838709675"/>
    <n v="1"/>
    <m/>
    <m/>
    <n v="0.81219512195121946"/>
    <n v="0.81219512195121946"/>
    <s v=""/>
    <n v="0"/>
    <n v="0"/>
    <x v="1"/>
    <x v="0"/>
    <s v=""/>
    <s v=""/>
    <s v=""/>
    <s v=""/>
    <s v=""/>
    <s v=""/>
    <s v=""/>
    <s v=""/>
    <s v=""/>
    <s v=""/>
  </r>
  <r>
    <s v="Belarus"/>
    <s v="Europe and Central Asia"/>
    <s v="P118375"/>
    <s v="C1"/>
    <s v="S4"/>
    <s v="P118375C1S4"/>
    <s v="Ratio"/>
    <s v="2010 / 2016"/>
    <s v="Widening and Reconstruction"/>
    <n v="0.77419354838709675"/>
    <n v="1"/>
    <m/>
    <m/>
    <n v="1.4740384615384614"/>
    <n v="1.4740384615384614"/>
    <s v=""/>
    <n v="0"/>
    <n v="0"/>
    <x v="1"/>
    <x v="0"/>
    <s v=""/>
    <s v=""/>
    <s v=""/>
    <s v=""/>
    <s v=""/>
    <s v=""/>
    <s v=""/>
    <s v=""/>
    <s v=""/>
    <s v=""/>
  </r>
  <r>
    <s v="South Sudan"/>
    <s v="Sub-Saharan Africa"/>
    <s v="P118579"/>
    <s v="C1"/>
    <s v="S1"/>
    <s v="P118579C1S1"/>
    <s v="Ratio"/>
    <s v="2010 / 2013"/>
    <s v="Routine Maintenance"/>
    <s v=""/>
    <n v="0.84848484848484851"/>
    <m/>
    <m/>
    <n v="0.98406244458762893"/>
    <n v="1.1597878811211342"/>
    <s v=""/>
    <n v="0"/>
    <n v="0"/>
    <x v="1"/>
    <x v="0"/>
    <s v=""/>
    <s v=""/>
    <s v=""/>
    <s v=""/>
    <s v=""/>
    <s v=""/>
    <s v=""/>
    <s v=""/>
    <s v=""/>
    <s v=""/>
  </r>
  <r>
    <s v="South Sudan"/>
    <s v="Sub-Saharan Africa"/>
    <s v="P118579"/>
    <s v="C1"/>
    <s v="S2"/>
    <s v="P118579C1S2"/>
    <s v="Ratio"/>
    <s v="2010 / 2013"/>
    <s v="Routine Maintenance"/>
    <s v=""/>
    <n v="0.70625000000000004"/>
    <m/>
    <m/>
    <n v="1.0144039270588237"/>
    <n v="1.4363241445080688"/>
    <s v=""/>
    <n v="0"/>
    <n v="0"/>
    <x v="1"/>
    <x v="0"/>
    <s v=""/>
    <s v=""/>
    <s v=""/>
    <s v=""/>
    <s v=""/>
    <s v=""/>
    <s v=""/>
    <s v=""/>
    <s v=""/>
    <s v=""/>
  </r>
  <r>
    <s v="South Sudan"/>
    <s v="Sub-Saharan Africa"/>
    <s v="P118579"/>
    <s v="C1"/>
    <s v="S3"/>
    <s v="P118579C1S3"/>
    <s v="Ratio"/>
    <s v="2010 / 2013"/>
    <s v="Routine Maintenance"/>
    <s v=""/>
    <n v="0.79473684210526319"/>
    <m/>
    <m/>
    <n v="1.1176118740740741"/>
    <n v="1.4062665965170469"/>
    <s v=""/>
    <n v="0"/>
    <n v="0"/>
    <x v="1"/>
    <x v="0"/>
    <s v=""/>
    <s v=""/>
    <s v=""/>
    <s v=""/>
    <s v=""/>
    <s v=""/>
    <s v=""/>
    <s v=""/>
    <s v=""/>
    <s v=""/>
  </r>
  <r>
    <s v="South Sudan"/>
    <s v="Sub-Saharan Africa"/>
    <s v="P118579"/>
    <s v="C1"/>
    <s v="S4"/>
    <s v="P118579C1S4"/>
    <s v="Ratio"/>
    <s v="2010 / 2013"/>
    <s v="Routine Maintenance"/>
    <s v=""/>
    <n v="0.95102040816326527"/>
    <m/>
    <m/>
    <n v="0.95798102592592582"/>
    <n v="1.0073191045143857"/>
    <s v=""/>
    <n v="0"/>
    <n v="0"/>
    <x v="1"/>
    <x v="0"/>
    <s v=""/>
    <s v=""/>
    <s v=""/>
    <s v=""/>
    <s v=""/>
    <s v=""/>
    <s v=""/>
    <s v=""/>
    <s v=""/>
    <s v=""/>
  </r>
  <r>
    <s v="South Sudan"/>
    <s v="Sub-Saharan Africa"/>
    <s v="P118579"/>
    <s v="C1"/>
    <s v="S5"/>
    <s v="P118579C1S5"/>
    <s v="Ratio"/>
    <s v="2010 / 2013"/>
    <s v="Routine Maintenance"/>
    <s v=""/>
    <n v="0.44791666666666669"/>
    <m/>
    <m/>
    <n v="0.76475004608294939"/>
    <n v="1.7073489400921662"/>
    <s v="x"/>
    <n v="0"/>
    <n v="1"/>
    <x v="0"/>
    <x v="0"/>
    <s v=""/>
    <n v="1"/>
    <s v=""/>
    <s v=""/>
    <s v=""/>
    <n v="1"/>
    <s v=""/>
    <s v=""/>
    <s v=""/>
    <s v=""/>
  </r>
  <r>
    <s v="South Sudan"/>
    <s v="Sub-Saharan Africa"/>
    <s v="P118579"/>
    <s v="C1"/>
    <s v="S6"/>
    <s v="P118579C1S6"/>
    <s v="Ratio"/>
    <s v="2010 / 2013"/>
    <s v="Routine Maintenance"/>
    <s v=""/>
    <n v="1"/>
    <m/>
    <m/>
    <n v="0.95409011727416804"/>
    <n v="0.95409011727416804"/>
    <s v=""/>
    <n v="0"/>
    <n v="0"/>
    <x v="1"/>
    <x v="0"/>
    <s v=""/>
    <s v=""/>
    <s v=""/>
    <s v=""/>
    <s v=""/>
    <s v=""/>
    <s v=""/>
    <s v=""/>
    <s v=""/>
    <s v=""/>
  </r>
  <r>
    <s v="South Sudan"/>
    <s v="Sub-Saharan Africa"/>
    <s v="P118579"/>
    <s v="C1"/>
    <s v="S7"/>
    <s v="P118579C1S7"/>
    <s v="Ratio"/>
    <s v="2010 / 2013"/>
    <s v="Routine Maintenance"/>
    <s v=""/>
    <n v="0.93333333333333335"/>
    <m/>
    <m/>
    <n v="1.1493094748427672"/>
    <n v="1.2314030087601078"/>
    <s v=""/>
    <n v="0"/>
    <n v="0"/>
    <x v="1"/>
    <x v="0"/>
    <s v=""/>
    <s v=""/>
    <s v=""/>
    <s v=""/>
    <s v=""/>
    <s v=""/>
    <s v=""/>
    <s v=""/>
    <s v=""/>
    <s v=""/>
  </r>
  <r>
    <s v="South Sudan"/>
    <s v="Sub-Saharan Africa"/>
    <s v="P118579"/>
    <s v="C1"/>
    <s v="S8"/>
    <s v="P118579C1S8"/>
    <s v="Ratio"/>
    <s v="2010 / 2013"/>
    <s v="Routine Maintenance"/>
    <s v=""/>
    <n v="0.49615384615384617"/>
    <m/>
    <m/>
    <n v="1.1423927173913044"/>
    <n v="2.3024969497809238"/>
    <s v="x"/>
    <n v="0"/>
    <n v="1"/>
    <x v="0"/>
    <x v="0"/>
    <s v=""/>
    <n v="1"/>
    <s v=""/>
    <s v=""/>
    <s v=""/>
    <n v="1"/>
    <s v=""/>
    <s v=""/>
    <n v="1"/>
    <s v=""/>
  </r>
  <r>
    <s v="Pakistan"/>
    <s v="South Asia"/>
    <s v="P125584"/>
    <s v="C1"/>
    <s v="S1"/>
    <s v="P125584C1S1"/>
    <s v="Ratio"/>
    <s v="2011 / 2016"/>
    <s v="Partial Widening and Reconstruction"/>
    <n v="1"/>
    <n v="1.4761904761904763"/>
    <m/>
    <m/>
    <n v="1.4396887159533076"/>
    <n v="0.97527300112965998"/>
    <s v=""/>
    <n v="0"/>
    <n v="0"/>
    <x v="1"/>
    <x v="0"/>
    <s v=""/>
    <s v=""/>
    <s v=""/>
    <s v=""/>
    <s v=""/>
    <s v=""/>
    <s v=""/>
    <s v=""/>
    <s v=""/>
    <s v=""/>
  </r>
  <r>
    <s v="Pakistan"/>
    <s v="South Asia"/>
    <s v="P128966"/>
    <s v="C1"/>
    <s v=""/>
    <s v="P128966C1"/>
    <s v="Ratio"/>
    <s v="2012 / 2016"/>
    <s v="Upgrading"/>
    <s v=""/>
    <n v="1"/>
    <m/>
    <m/>
    <n v="0.99555555555555553"/>
    <n v="0.99555555555555542"/>
    <s v=""/>
    <n v="0"/>
    <n v="0"/>
    <x v="1"/>
    <x v="0"/>
    <s v=""/>
    <s v=""/>
    <s v=""/>
    <s v=""/>
    <s v=""/>
    <s v=""/>
    <s v=""/>
    <s v=""/>
    <s v=""/>
    <s v=""/>
  </r>
  <r>
    <s v="Chad"/>
    <s v="Sub-Saharan Africa"/>
    <s v="AfDB project - P-TD-DB0-008"/>
    <s v="C1"/>
    <s v=""/>
    <s v="AfDB project - P-TD-DB0-008C1"/>
    <s v="Ratio"/>
    <s v="2009 / 2017"/>
    <s v="Asphalt Mix Resurfacing"/>
    <n v="1"/>
    <n v="1"/>
    <n v="1.683027639178504"/>
    <m/>
    <n v="1.7447877214006935"/>
    <n v="1.7447877214006935"/>
    <s v="x"/>
    <n v="0"/>
    <n v="0"/>
    <x v="0"/>
    <x v="0"/>
    <s v=""/>
    <s v=""/>
    <s v=""/>
    <s v=""/>
    <s v=""/>
    <s v=""/>
    <s v=""/>
    <s v=""/>
    <s v=""/>
    <n v="1"/>
  </r>
  <r>
    <s v="Swaziland"/>
    <s v="Sub-Saharan Africa"/>
    <s v="Loan numbers: ADB loan: B/SWA/ROD/89/15 and ADF loan: F/SWA/ROD/89/6"/>
    <s v="C1"/>
    <s v=""/>
    <s v="Loan numbers: ADB loan: B/SWA/ROD/89/15 and ADF loan: F/SWA/ROD/89/6C1"/>
    <s v="Ratio"/>
    <s v="1988 / 1994"/>
    <s v="Strengthening"/>
    <n v="1"/>
    <n v="1"/>
    <n v="6.0425838282608426"/>
    <m/>
    <n v="3.8689557863765907"/>
    <n v="3.8689557863765902"/>
    <s v="x"/>
    <n v="0"/>
    <n v="0"/>
    <x v="0"/>
    <x v="0"/>
    <s v=""/>
    <s v=""/>
    <s v=""/>
    <s v=""/>
    <s v=""/>
    <n v="1"/>
    <s v=""/>
    <s v=""/>
    <s v=""/>
    <n v="1"/>
  </r>
  <r>
    <s v="Niger"/>
    <s v="Sub-Saharan Africa"/>
    <n v="0"/>
    <s v="C1"/>
    <s v=""/>
    <s v="0C1"/>
    <s v="Ratio"/>
    <s v="1989 / 1999"/>
    <s v="Partial Widening"/>
    <s v=""/>
    <n v="0.89114266396213682"/>
    <n v="2.2549884031391891"/>
    <m/>
    <n v="0.85590803626214118"/>
    <n v="1.3110693350540821"/>
    <s v=""/>
    <n v="0"/>
    <n v="0"/>
    <x v="1"/>
    <x v="0"/>
    <s v=""/>
    <s v=""/>
    <s v=""/>
    <s v=""/>
    <s v=""/>
    <s v=""/>
    <s v=""/>
    <s v=""/>
    <s v=""/>
    <s v=""/>
  </r>
  <r>
    <s v="Zambia"/>
    <s v="Sub-Saharan Africa"/>
    <s v="AfDB project - P –Z1-DB0 -063 "/>
    <s v="C1"/>
    <s v=""/>
    <s v="AfDB project - P –Z1-DB0 -063 C1"/>
    <s v="Ratio"/>
    <s v="2010 / 2017"/>
    <s v="Reconstruction"/>
    <n v="1.0833333333333333"/>
    <n v="1"/>
    <n v="0.939306358381503"/>
    <m/>
    <n v="0.939306358381503"/>
    <n v="0.939306358381503"/>
    <s v=""/>
    <n v="0"/>
    <n v="0"/>
    <x v="1"/>
    <x v="0"/>
    <s v=""/>
    <s v=""/>
    <s v=""/>
    <s v=""/>
    <s v=""/>
    <s v=""/>
    <s v=""/>
    <s v=""/>
    <s v=""/>
    <s v=""/>
  </r>
  <r>
    <s v="Kenya"/>
    <s v="Sub-Saharan Africa"/>
    <s v="AfDB project P-KE-DB0-019"/>
    <s v="C1"/>
    <s v=""/>
    <s v="AfDB project P-KE-DB0-019C1"/>
    <s v="Ratio"/>
    <s v="2010 / 2017"/>
    <s v="Reconstruction"/>
    <n v="1.4166666666666667"/>
    <n v="1"/>
    <n v="1.3051760233667675"/>
    <m/>
    <n v="1.0004160961538076"/>
    <n v="1.0004160961538076"/>
    <s v=""/>
    <n v="0"/>
    <n v="0"/>
    <x v="1"/>
    <x v="0"/>
    <s v=""/>
    <s v=""/>
    <s v=""/>
    <s v=""/>
    <s v=""/>
    <s v=""/>
    <s v=""/>
    <s v=""/>
    <s v=""/>
    <s v=""/>
  </r>
  <r>
    <s v="Guinea"/>
    <s v="Sub-Saharan Africa"/>
    <s v="AfDB P-GN-AB0-005_x000a_"/>
    <s v="C1"/>
    <s v=""/>
    <s v="AfDB P-GN-AB0-005_x000a_C1"/>
    <s v="Ratio"/>
    <s v="2012 / 2011"/>
    <s v="Asphalt Mix Resurfacing"/>
    <s v=""/>
    <n v="0.25740740740740742"/>
    <n v="0.40072289156626506"/>
    <m/>
    <n v="0.39306576624971218"/>
    <n v="1.5270180847111121"/>
    <s v="x"/>
    <n v="0"/>
    <n v="1"/>
    <x v="0"/>
    <x v="0"/>
    <s v=""/>
    <s v=""/>
    <s v=""/>
    <n v="1"/>
    <s v=""/>
    <s v=""/>
    <n v="1"/>
    <s v=""/>
    <s v=""/>
    <s v=""/>
  </r>
  <r>
    <s v="Benin"/>
    <s v="Sub-Saharan Africa"/>
    <s v="AfDB-P-BJ-DB0-010 "/>
    <s v="C1"/>
    <s v=""/>
    <s v="AfDB-P-BJ-DB0-010 C1"/>
    <s v="Ratio"/>
    <s v="2002 / 2011"/>
    <s v="New 2L Highway"/>
    <s v=""/>
    <n v="1"/>
    <n v="1.0560310173402154"/>
    <m/>
    <n v="1.5598535550073822"/>
    <n v="1.5598535550073824"/>
    <s v="x"/>
    <n v="0"/>
    <n v="0"/>
    <x v="0"/>
    <x v="0"/>
    <n v="1"/>
    <s v=""/>
    <s v=""/>
    <s v=""/>
    <s v=""/>
    <s v=""/>
    <s v=""/>
    <s v=""/>
    <s v=""/>
    <n v="1"/>
  </r>
  <r>
    <s v="Cameroon"/>
    <s v="Sub-Saharan Africa"/>
    <s v="AfDB loan number: B/CAM/RTE/89/16"/>
    <s v="C1"/>
    <s v="S1"/>
    <s v="AfDB loan number: B/CAM/RTE/89/16C1S1"/>
    <s v="Ratio"/>
    <s v="1988 / 1998"/>
    <s v="Upgrading"/>
    <n v="2"/>
    <n v="1"/>
    <n v="1.0206057259366239"/>
    <m/>
    <n v="0.51525927521478776"/>
    <n v="0.51525927521478776"/>
    <s v=""/>
    <n v="0"/>
    <n v="0"/>
    <x v="1"/>
    <x v="0"/>
    <s v=""/>
    <s v=""/>
    <s v=""/>
    <s v=""/>
    <s v=""/>
    <s v=""/>
    <s v=""/>
    <s v=""/>
    <s v=""/>
    <s v=""/>
  </r>
  <r>
    <s v="Cameroon"/>
    <s v="Sub-Saharan Africa"/>
    <s v="AfDB loan number: B/CAM/RTE/89/16"/>
    <s v="C1"/>
    <s v="S2"/>
    <s v="AfDB loan number: B/CAM/RTE/89/16C1S2"/>
    <s v="Ratio"/>
    <s v="1988 / 1998"/>
    <s v="Strengthening"/>
    <n v="2"/>
    <n v="0.99596774193548376"/>
    <n v="0.94175406155065389"/>
    <m/>
    <n v="0.47545051223365831"/>
    <n v="0.47737541309290393"/>
    <s v="x"/>
    <n v="0"/>
    <n v="0"/>
    <x v="1"/>
    <x v="1"/>
    <s v=""/>
    <s v=""/>
    <s v=""/>
    <s v=""/>
    <s v=""/>
    <s v=""/>
    <s v=""/>
    <s v=""/>
    <s v=""/>
    <n v="1"/>
  </r>
  <r>
    <s v="Burkina Faso"/>
    <s v="Sub-Saharan Africa"/>
    <s v="AfDB loan number: F/BUF/RTE/92/19"/>
    <s v="C1"/>
    <s v=""/>
    <s v="AfDB loan number: F/BUF/RTE/92/19C1"/>
    <s v="Ratio"/>
    <s v="1990 / 1999"/>
    <s v="Upgrading"/>
    <n v="2.2000000000000002"/>
    <n v="1.7591623036649213"/>
    <n v="1.2002132764596107"/>
    <m/>
    <n v="0.53073797958208446"/>
    <n v="0.30169926815529213"/>
    <s v="x"/>
    <n v="1"/>
    <n v="0"/>
    <x v="1"/>
    <x v="1"/>
    <s v=""/>
    <s v=""/>
    <s v=""/>
    <s v=""/>
    <s v=""/>
    <s v=""/>
    <s v=""/>
    <s v=""/>
    <n v="1"/>
    <s v=""/>
  </r>
  <r>
    <s v="Lesotho"/>
    <s v="Sub-Saharan Africa"/>
    <s v="AfDB loan number: CS/LES/TR/86/18_x000a_"/>
    <s v="C1"/>
    <s v=""/>
    <s v="AfDB loan number: CS/LES/TR/86/18_x000a_C1"/>
    <s v="Ratio"/>
    <s v="1985 / 1991"/>
    <s v="Upgrading"/>
    <n v="1.4583333333333333"/>
    <n v="1"/>
    <n v="2.3029832569756454"/>
    <m/>
    <n v="1.8584015561541973"/>
    <n v="1.8584015561541973"/>
    <s v="x"/>
    <n v="0"/>
    <n v="0"/>
    <x v="0"/>
    <x v="0"/>
    <s v=""/>
    <s v=""/>
    <s v=""/>
    <s v=""/>
    <s v=""/>
    <s v=""/>
    <s v=""/>
    <s v=""/>
    <s v=""/>
    <s v=""/>
  </r>
  <r>
    <s v="Morocco"/>
    <s v="Middle East and North Africa"/>
    <s v="AfDB loan number B/MRC/RTE/90/35"/>
    <s v="C1"/>
    <s v=""/>
    <s v="AfDB loan number B/MRC/RTE/90/35C1"/>
    <s v="Ratio"/>
    <s v="1989 / 1998"/>
    <s v="Strengthening"/>
    <s v=""/>
    <n v="1.3698034682080926"/>
    <n v="0.97047046176863261"/>
    <m/>
    <n v="0.85770025817286066"/>
    <n v="0.62614840601539767"/>
    <s v=""/>
    <n v="0"/>
    <n v="0"/>
    <x v="1"/>
    <x v="0"/>
    <s v=""/>
    <s v=""/>
    <s v=""/>
    <s v=""/>
    <s v=""/>
    <s v=""/>
    <s v=""/>
    <s v=""/>
    <s v=""/>
    <s v=""/>
  </r>
  <r>
    <s v="Namibia"/>
    <s v="Sub-Saharan Africa"/>
    <s v="AfDB loan number: F/NAM/ROD/92/1_x000a_"/>
    <s v="C1"/>
    <s v=""/>
    <s v="AfDB loan number: F/NAM/ROD/92/1_x000a_C1"/>
    <s v="Ratio"/>
    <s v="1991 / 1995"/>
    <s v="Upgrading"/>
    <s v=""/>
    <n v="1"/>
    <n v="1.5053558411093844"/>
    <m/>
    <n v="1.1459298255591426"/>
    <n v="1.1459298255591424"/>
    <s v=""/>
    <n v="0"/>
    <n v="0"/>
    <x v="1"/>
    <x v="0"/>
    <s v=""/>
    <s v=""/>
    <s v=""/>
    <s v=""/>
    <s v=""/>
    <s v=""/>
    <s v=""/>
    <s v=""/>
    <s v=""/>
    <s v=""/>
  </r>
  <r>
    <s v="Lesotho"/>
    <s v="Sub-Saharan Africa"/>
    <s v="AfDB loan numbers: F/LES/TRA-ROD/87/20 &amp; F/LES/ROD/93/SUP/8_x000a_"/>
    <s v="C1"/>
    <s v=""/>
    <s v="AfDB loan numbers: F/LES/TRA-ROD/87/20 &amp; F/LES/ROD/93/SUP/8_x000a_C1"/>
    <s v="Ratio"/>
    <s v="1987 / 1997"/>
    <s v="Upgrading"/>
    <n v="3.5"/>
    <n v="1"/>
    <n v="5.8584874016811224"/>
    <m/>
    <n v="2.5890775667077852"/>
    <n v="2.5890775667077852"/>
    <s v="x"/>
    <n v="0"/>
    <n v="0"/>
    <x v="0"/>
    <x v="0"/>
    <s v=""/>
    <s v=""/>
    <s v=""/>
    <s v=""/>
    <s v=""/>
    <s v=""/>
    <s v=""/>
    <s v=""/>
    <s v=""/>
    <n v="1"/>
  </r>
  <r>
    <s v="Benin"/>
    <s v="Sub-Saharan Africa"/>
    <s v="AfDB loan number: F/BEN/ROD/92/27_x000a_"/>
    <s v="C1"/>
    <s v=""/>
    <s v="AfDB loan number: F/BEN/ROD/92/27_x000a_C1"/>
    <s v="Ratio"/>
    <s v="1992 / 1999"/>
    <s v="New 2L Highway"/>
    <s v=""/>
    <n v="1"/>
    <n v="1.3157443157443158"/>
    <m/>
    <n v="1"/>
    <n v="0.56564888650840994"/>
    <s v=""/>
    <n v="0"/>
    <n v="0"/>
    <x v="1"/>
    <x v="0"/>
    <s v=""/>
    <s v=""/>
    <s v=""/>
    <s v=""/>
    <s v=""/>
    <s v=""/>
    <s v=""/>
    <s v=""/>
    <s v=""/>
    <s v=""/>
  </r>
  <r>
    <s v="Benin"/>
    <s v="Sub-Saharan Africa"/>
    <s v="AfDB loan number: F/BEN/ROD/92/27_x000a_"/>
    <s v="C2"/>
    <s v=""/>
    <s v="AfDB loan number: F/BEN/ROD/92/27_x000a_C2"/>
    <s v="Ratio"/>
    <s v="1992 / 1999"/>
    <s v="Partial Widening and Reconstruction"/>
    <s v=""/>
    <n v="1"/>
    <n v="2.8122489959839356"/>
    <m/>
    <n v="1.209008083202566"/>
    <n v="1.209008083202566"/>
    <s v=""/>
    <n v="0"/>
    <n v="0"/>
    <x v="1"/>
    <x v="0"/>
    <s v=""/>
    <s v=""/>
    <s v=""/>
    <s v=""/>
    <s v=""/>
    <s v=""/>
    <s v=""/>
    <s v=""/>
    <s v=""/>
    <s v=""/>
  </r>
  <r>
    <s v="Malawi"/>
    <s v="Sub-Saharan Africa"/>
    <s v="AfDB loan F/MLW/AGR(RD)/87/15"/>
    <s v="C1"/>
    <s v=""/>
    <s v="AfDB loan F/MLW/AGR(RD)/87/15C1"/>
    <s v="Ratio"/>
    <s v="1987 / 1999"/>
    <s v="Upgrading"/>
    <s v=""/>
    <n v="1.0483870967741935"/>
    <n v="1.8660098522167488"/>
    <m/>
    <n v="9.313116322315898E-2"/>
    <n v="8.8832801843628573E-2"/>
    <s v="x"/>
    <n v="0"/>
    <n v="0"/>
    <x v="1"/>
    <x v="1"/>
    <n v="1"/>
    <s v=""/>
    <s v=""/>
    <s v=""/>
    <s v=""/>
    <s v=""/>
    <s v=""/>
    <s v=""/>
    <s v=""/>
    <s v=""/>
  </r>
  <r>
    <s v="Burkina Faso"/>
    <s v="Sub-Saharan Africa"/>
    <s v="AfDB P-BF-DB0-012"/>
    <s v="C1"/>
    <s v=""/>
    <s v="AfDB P-BF-DB0-012C1"/>
    <s v="Ratio"/>
    <s v="2004 / 2011"/>
    <s v="Strengthening"/>
    <s v=""/>
    <n v="0.94256410256410261"/>
    <n v="0.92980259223227979"/>
    <m/>
    <n v="1.040978496639827"/>
    <n v="1.1044113538888263"/>
    <s v=""/>
    <n v="0"/>
    <n v="0"/>
    <x v="1"/>
    <x v="0"/>
    <s v=""/>
    <s v=""/>
    <s v=""/>
    <s v=""/>
    <s v=""/>
    <s v=""/>
    <s v=""/>
    <s v=""/>
    <s v=""/>
    <s v=""/>
  </r>
  <r>
    <s v="China"/>
    <s v="East Asia and Pacific"/>
    <s v="Project number: 42017-013"/>
    <s v="C1"/>
    <s v="S1"/>
    <s v="Project number: 42017-013C1S1"/>
    <s v="Ratio"/>
    <s v="2010 / 2016"/>
    <s v="New 4L Highway"/>
    <s v=""/>
    <n v="1"/>
    <n v="1.2183760957194958"/>
    <m/>
    <n v="1.2422298445814739"/>
    <n v="1.2422298445814739"/>
    <s v=""/>
    <n v="0"/>
    <n v="0"/>
    <x v="1"/>
    <x v="0"/>
    <s v=""/>
    <s v=""/>
    <s v=""/>
    <s v=""/>
    <s v=""/>
    <s v=""/>
    <s v=""/>
    <s v=""/>
    <s v=""/>
    <s v=""/>
  </r>
  <r>
    <s v="China"/>
    <s v="East Asia and Pacific"/>
    <s v="Project number: 42017-013"/>
    <s v="C1"/>
    <s v="S2"/>
    <s v="Project number: 42017-013C1S2"/>
    <s v="Ratio"/>
    <s v="2010 / 2016"/>
    <s v="Upgrading"/>
    <s v=""/>
    <n v="1"/>
    <n v="1.1482381530984205"/>
    <m/>
    <n v="1.1707187193488413"/>
    <n v="1.1707187193488413"/>
    <s v=""/>
    <n v="0"/>
    <n v="0"/>
    <x v="1"/>
    <x v="0"/>
    <s v=""/>
    <s v=""/>
    <s v=""/>
    <s v=""/>
    <s v=""/>
    <s v=""/>
    <s v=""/>
    <s v=""/>
    <s v=""/>
    <s v=""/>
  </r>
  <r>
    <s v="China"/>
    <s v="East Asia and Pacific"/>
    <s v="Project number: 42017-013"/>
    <s v="C1"/>
    <s v="S3"/>
    <s v="Project number: 42017-013C1S3"/>
    <s v="Ratio"/>
    <s v="2010 / 2016"/>
    <s v="New 2L Highway"/>
    <s v=""/>
    <n v="1"/>
    <n v="1.2559878342415411"/>
    <m/>
    <n v="1.280577957502294"/>
    <n v="1.280577957502294"/>
    <s v=""/>
    <n v="0"/>
    <n v="0"/>
    <x v="1"/>
    <x v="0"/>
    <s v=""/>
    <s v=""/>
    <s v=""/>
    <s v=""/>
    <s v=""/>
    <s v=""/>
    <s v=""/>
    <s v=""/>
    <s v=""/>
    <s v=""/>
  </r>
  <r>
    <s v="Kazakhstan"/>
    <s v="Europe and Central Asia"/>
    <s v="Project numbers 29568 &amp; 32463 "/>
    <s v="C1"/>
    <s v=""/>
    <s v="Project numbers 29568 &amp; 32463 C1"/>
    <s v="Ratio"/>
    <s v="2000 / 2007"/>
    <s v="Surface Treatment Resurfacing"/>
    <s v=""/>
    <n v="0.90204081632653066"/>
    <n v="1.5145340939961967"/>
    <m/>
    <n v="1.7565135110540957"/>
    <n v="1.947266109539608"/>
    <s v="x"/>
    <n v="0"/>
    <n v="0"/>
    <x v="0"/>
    <x v="0"/>
    <n v="1"/>
    <s v=""/>
    <s v=""/>
    <s v=""/>
    <s v=""/>
    <s v=""/>
    <s v=""/>
    <s v=""/>
    <s v=""/>
    <s v=""/>
  </r>
  <r>
    <s v="Cambodia"/>
    <s v="East Asia and Pacific"/>
    <s v="Project Number: 42358-013"/>
    <s v="C1"/>
    <s v=""/>
    <s v="Project Number: 42358-013C1"/>
    <s v="Ratio"/>
    <s v="2009 / 2014"/>
    <s v="Upgrading"/>
    <m/>
    <n v="1"/>
    <n v="1.510933557611438"/>
    <m/>
    <n v="1.570977963634659"/>
    <n v="1.5709779636346592"/>
    <s v="x"/>
    <n v="0"/>
    <n v="0"/>
    <x v="0"/>
    <x v="0"/>
    <n v="1"/>
    <s v=""/>
    <s v=""/>
    <s v=""/>
    <s v=""/>
    <s v=""/>
    <s v=""/>
    <s v=""/>
    <s v=""/>
    <s v=""/>
  </r>
  <r>
    <s v="Kazakhstan"/>
    <s v="Europe and Central Asia"/>
    <s v="Project Number: 43439-023 "/>
    <s v="C1"/>
    <s v=""/>
    <s v="Project Number: 43439-023 C1"/>
    <s v="Ratio"/>
    <s v="2010 / 2016"/>
    <s v="Asphalt Mix Resurfacing"/>
    <m/>
    <n v="1"/>
    <n v="0.60246868091378036"/>
    <m/>
    <n v="0.60246868091378036"/>
    <n v="0.60246868091378036"/>
    <s v=""/>
    <n v="0"/>
    <n v="0"/>
    <x v="1"/>
    <x v="0"/>
    <s v=""/>
    <s v=""/>
    <s v=""/>
    <s v=""/>
    <s v=""/>
    <s v=""/>
    <s v=""/>
    <s v=""/>
    <s v=""/>
    <s v=""/>
  </r>
  <r>
    <m/>
    <m/>
    <m/>
    <m/>
    <m/>
    <m/>
    <m/>
    <m/>
    <m/>
    <m/>
    <m/>
    <m/>
    <m/>
    <m/>
    <m/>
    <m/>
    <m/>
    <m/>
    <x v="2"/>
    <x v="2"/>
    <m/>
    <m/>
    <m/>
    <m/>
    <m/>
    <m/>
    <m/>
    <m/>
    <m/>
    <m/>
  </r>
</pivotCacheRecords>
</file>

<file path=xl/pivotCache/pivotCacheRecords3.xml><?xml version="1.0" encoding="utf-8"?>
<pivotCacheRecords xmlns="http://schemas.openxmlformats.org/spreadsheetml/2006/main" xmlns:r="http://schemas.openxmlformats.org/officeDocument/2006/relationships" count="1685">
  <r>
    <s v="Afghanistan"/>
    <s v="South Asia"/>
    <s v="P078284"/>
    <s v="C1"/>
    <s v=""/>
    <s v="P078284C1"/>
    <x v="0"/>
    <n v="2003"/>
    <x v="0"/>
    <s v=""/>
    <n v="346.8"/>
    <n v="69.900000000000006"/>
    <s v="USD"/>
    <n v="69.900000000000006"/>
    <n v="0.20155709342560554"/>
    <s v=""/>
    <s v=""/>
    <s v=""/>
    <s v=""/>
    <s v=""/>
    <m/>
  </r>
  <r>
    <s v="Afghanistan"/>
    <s v="South Asia"/>
    <s v="P078284"/>
    <s v="C1"/>
    <s v=""/>
    <s v="P078284C1"/>
    <x v="1"/>
    <n v="2008"/>
    <x v="0"/>
    <s v=""/>
    <n v="345"/>
    <n v="98.51"/>
    <s v="USD"/>
    <n v="98.51"/>
    <n v="0.28553623188405797"/>
    <s v=""/>
    <s v=""/>
    <s v=""/>
    <s v=""/>
    <s v=""/>
    <m/>
  </r>
  <r>
    <s v="Afghanistan"/>
    <s v="South Asia"/>
    <s v="P078284"/>
    <s v="C1"/>
    <s v=""/>
    <s v="P078284C1"/>
    <x v="2"/>
    <s v="2003 / 2008"/>
    <x v="0"/>
    <s v=""/>
    <n v="0.9948096885813148"/>
    <m/>
    <m/>
    <n v="1.4092989985693849"/>
    <n v="1.4166518629097469"/>
    <s v=""/>
    <s v=""/>
    <s v=""/>
    <s v=""/>
    <s v=""/>
    <s v=""/>
  </r>
  <r>
    <s v="Afghanistan"/>
    <s v="South Asia"/>
    <s v="P078284"/>
    <s v="C1"/>
    <s v="S1"/>
    <s v="P078284C1S1"/>
    <x v="0"/>
    <n v="2003"/>
    <x v="0"/>
    <n v="6"/>
    <n v="175"/>
    <n v="44.9"/>
    <s v="USD"/>
    <n v="44.9"/>
    <n v="0.25657142857142856"/>
    <s v=""/>
    <s v=""/>
    <s v=""/>
    <s v=""/>
    <s v=""/>
    <m/>
  </r>
  <r>
    <s v="Afghanistan"/>
    <s v="South Asia"/>
    <s v="P078284"/>
    <s v="C1"/>
    <s v="S1"/>
    <s v="P078284C1S1"/>
    <x v="1"/>
    <n v="2008"/>
    <x v="0"/>
    <n v="30"/>
    <n v="175"/>
    <n v="67.34"/>
    <s v="USD"/>
    <n v="67.34"/>
    <n v="0.38480000000000003"/>
    <s v=""/>
    <s v=""/>
    <s v=""/>
    <s v=""/>
    <s v=""/>
    <m/>
  </r>
  <r>
    <s v="Afghanistan"/>
    <s v="South Asia"/>
    <s v="P078284"/>
    <s v="C1"/>
    <s v="S1"/>
    <s v="P078284C1S1"/>
    <x v="2"/>
    <s v="2003 / 2008"/>
    <x v="0"/>
    <n v="5"/>
    <n v="1"/>
    <m/>
    <m/>
    <n v="1.4997772828507796"/>
    <n v="1.4997772828507796"/>
    <s v=""/>
    <s v=""/>
    <s v=""/>
    <s v=""/>
    <s v=""/>
    <s v=""/>
  </r>
  <r>
    <s v="Afghanistan"/>
    <s v="South Asia"/>
    <s v="P078284"/>
    <s v="C1"/>
    <s v="S2"/>
    <s v="P078284C1S2"/>
    <x v="0"/>
    <n v="2003"/>
    <x v="0"/>
    <n v="21"/>
    <n v="171.8"/>
    <n v="25"/>
    <s v="USD"/>
    <n v="25"/>
    <n v="0.14551804423748543"/>
    <s v=""/>
    <s v=""/>
    <s v=""/>
    <s v=""/>
    <s v=""/>
    <m/>
  </r>
  <r>
    <s v="Afghanistan"/>
    <s v="South Asia"/>
    <s v="P078284"/>
    <s v="C1"/>
    <s v="S2"/>
    <s v="P078284C1S2"/>
    <x v="1"/>
    <n v="2008"/>
    <x v="0"/>
    <n v="33"/>
    <n v="170"/>
    <n v="31.17"/>
    <s v="USD"/>
    <n v="31.17"/>
    <n v="0.18335294117647061"/>
    <s v=""/>
    <s v=""/>
    <s v=""/>
    <s v=""/>
    <s v=""/>
    <m/>
  </r>
  <r>
    <s v="Afghanistan"/>
    <s v="South Asia"/>
    <s v="P078284"/>
    <s v="C1"/>
    <s v="S2"/>
    <s v="P078284C1S2"/>
    <x v="2"/>
    <s v="2003 / 2008"/>
    <x v="0"/>
    <n v="1.5714285714285714"/>
    <n v="0.98952270081490101"/>
    <m/>
    <m/>
    <n v="1.2468000000000001"/>
    <n v="1.260001411764706"/>
    <s v=""/>
    <s v=""/>
    <s v=""/>
    <s v=""/>
    <s v=""/>
    <s v=""/>
  </r>
  <r>
    <s v="Afghanistan"/>
    <s v="South Asia"/>
    <s v="P078284"/>
    <s v="C2"/>
    <s v=""/>
    <s v="P078284C2"/>
    <x v="0"/>
    <n v="2003"/>
    <x v="1"/>
    <s v=""/>
    <n v="250"/>
    <n v="38.299999999999997"/>
    <s v="USD"/>
    <n v="38.299999999999997"/>
    <n v="0.15319999999999998"/>
    <s v="x"/>
    <s v=""/>
    <s v=""/>
    <s v="x"/>
    <s v="x"/>
    <m/>
  </r>
  <r>
    <s v="Afghanistan"/>
    <s v="South Asia"/>
    <s v="P078284"/>
    <s v="C2"/>
    <s v=""/>
    <s v="P078284C2"/>
    <x v="1"/>
    <n v="2008"/>
    <x v="1"/>
    <s v=""/>
    <n v="61"/>
    <n v="28.03"/>
    <s v="USD"/>
    <n v="28.03"/>
    <n v="0.45950819672131149"/>
    <s v="x"/>
    <s v=""/>
    <s v=""/>
    <s v="x"/>
    <s v="x"/>
    <m/>
  </r>
  <r>
    <s v="Afghanistan"/>
    <s v="South Asia"/>
    <s v="P078284"/>
    <s v="C2"/>
    <s v=""/>
    <s v="P078284C2"/>
    <x v="2"/>
    <s v="2003 / 2008"/>
    <x v="1"/>
    <s v=""/>
    <n v="0.24399999999999999"/>
    <m/>
    <m/>
    <n v="0.73185378590078343"/>
    <n v="2.9994007618884568"/>
    <s v="x"/>
    <s v=""/>
    <s v=""/>
    <s v="x"/>
    <s v="x"/>
    <s v="Political events; Competition; Change of project scope"/>
  </r>
  <r>
    <s v="Afghanistan"/>
    <s v="South Asia"/>
    <s v="P082472"/>
    <s v="C1"/>
    <s v=""/>
    <s v="P082472C1"/>
    <x v="0"/>
    <n v="2008"/>
    <x v="2"/>
    <s v=""/>
    <n v="2000"/>
    <n v="34.200000000000003"/>
    <s v="USD"/>
    <n v="34.200000000000003"/>
    <n v="1.7100000000000001E-2"/>
    <s v=""/>
    <s v=""/>
    <s v=""/>
    <s v=""/>
    <s v=""/>
    <m/>
  </r>
  <r>
    <s v="Afghanistan"/>
    <s v="South Asia"/>
    <s v="P082472"/>
    <s v="C1"/>
    <s v=""/>
    <s v="P082472C1"/>
    <x v="1"/>
    <n v="2008"/>
    <x v="2"/>
    <s v=""/>
    <n v="1516.7"/>
    <n v="37.61"/>
    <s v="USD"/>
    <n v="37.61"/>
    <n v="2.4797257203138391E-2"/>
    <s v=""/>
    <s v=""/>
    <s v=""/>
    <s v=""/>
    <s v=""/>
    <m/>
  </r>
  <r>
    <s v="Afghanistan"/>
    <s v="South Asia"/>
    <s v="P082472"/>
    <s v="C1"/>
    <s v=""/>
    <s v="P082472C1"/>
    <x v="2"/>
    <s v="2008 / 2008"/>
    <x v="2"/>
    <s v=""/>
    <n v="0.75834999999999997"/>
    <m/>
    <m/>
    <n v="1.0997076023391812"/>
    <n v="1.4501320001835316"/>
    <s v=""/>
    <s v=""/>
    <s v=""/>
    <s v=""/>
    <s v=""/>
    <s v=""/>
  </r>
  <r>
    <s v="Afghanistan"/>
    <s v="South Asia"/>
    <s v="P107101"/>
    <s v="C1"/>
    <s v="S1"/>
    <s v="P107101C1S1"/>
    <x v="0"/>
    <n v="2010"/>
    <x v="0"/>
    <n v="4"/>
    <n v="3.14"/>
    <n v="3.32"/>
    <s v="USD"/>
    <n v="3.32"/>
    <n v="1.0573248407643312"/>
    <s v=""/>
    <s v=""/>
    <s v=""/>
    <s v=""/>
    <s v=""/>
    <m/>
  </r>
  <r>
    <s v="Afghanistan"/>
    <s v="South Asia"/>
    <s v="P107101"/>
    <s v="C1"/>
    <s v="S1"/>
    <s v="P107101C1S1"/>
    <x v="1"/>
    <n v="2012"/>
    <x v="0"/>
    <n v="33"/>
    <n v="3.14"/>
    <n v="3.3130000000000002"/>
    <s v="USD"/>
    <n v="3.3130000000000002"/>
    <n v="1.0550955414012739"/>
    <s v=""/>
    <s v=""/>
    <s v=""/>
    <s v=""/>
    <s v=""/>
    <m/>
  </r>
  <r>
    <s v="Afghanistan"/>
    <s v="South Asia"/>
    <s v="P107101"/>
    <s v="C1"/>
    <s v="S1"/>
    <s v="P107101C1S1"/>
    <x v="2"/>
    <s v="2010 / 2012"/>
    <x v="0"/>
    <n v="8.25"/>
    <n v="1"/>
    <m/>
    <m/>
    <n v="0.99789156626506037"/>
    <n v="0.99789156626506026"/>
    <s v=""/>
    <s v=""/>
    <s v=""/>
    <s v=""/>
    <s v=""/>
    <s v=""/>
  </r>
  <r>
    <s v="Afghanistan"/>
    <s v="South Asia"/>
    <s v="P107101"/>
    <s v="C1"/>
    <s v="S2"/>
    <s v="P107101C1S2"/>
    <x v="0"/>
    <n v="2010"/>
    <x v="0"/>
    <n v="4"/>
    <n v="3.28"/>
    <n v="3.85"/>
    <s v="USD"/>
    <n v="3.85"/>
    <n v="1.1737804878048781"/>
    <s v=""/>
    <s v=""/>
    <s v=""/>
    <s v=""/>
    <s v=""/>
    <m/>
  </r>
  <r>
    <s v="Afghanistan"/>
    <s v="South Asia"/>
    <s v="P107101"/>
    <s v="C1"/>
    <s v="S2"/>
    <s v="P107101C1S2"/>
    <x v="1"/>
    <n v="2012"/>
    <x v="0"/>
    <n v="33"/>
    <n v="3.28"/>
    <n v="3.7959999999999998"/>
    <s v="USD"/>
    <n v="3.7959999999999998"/>
    <n v="1.1573170731707316"/>
    <s v=""/>
    <s v=""/>
    <s v=""/>
    <s v=""/>
    <s v=""/>
    <m/>
  </r>
  <r>
    <s v="Afghanistan"/>
    <s v="South Asia"/>
    <s v="P107101"/>
    <s v="C1"/>
    <s v="S2"/>
    <s v="P107101C1S2"/>
    <x v="2"/>
    <s v="2010 / 2012"/>
    <x v="0"/>
    <n v="8.25"/>
    <n v="1"/>
    <m/>
    <m/>
    <n v="0.98597402597402595"/>
    <n v="0.98597402597402584"/>
    <s v=""/>
    <s v=""/>
    <s v=""/>
    <s v=""/>
    <s v=""/>
    <s v=""/>
  </r>
  <r>
    <s v="Afghanistan"/>
    <s v="South Asia"/>
    <s v="P107101"/>
    <s v="C1"/>
    <s v="S3"/>
    <s v="P107101C1S3"/>
    <x v="0"/>
    <n v="2010"/>
    <x v="0"/>
    <n v="4"/>
    <n v="2.2200000000000002"/>
    <n v="2.86"/>
    <s v="USD"/>
    <n v="2.86"/>
    <n v="1.288288288288288"/>
    <s v=""/>
    <s v=""/>
    <s v=""/>
    <s v=""/>
    <s v=""/>
    <m/>
  </r>
  <r>
    <s v="Afghanistan"/>
    <s v="South Asia"/>
    <s v="P107101"/>
    <s v="C1"/>
    <s v="S3"/>
    <s v="P107101C1S3"/>
    <x v="1"/>
    <n v="2012"/>
    <x v="0"/>
    <n v="30"/>
    <n v="2.2200000000000002"/>
    <n v="2.12"/>
    <s v="USD"/>
    <n v="2.12"/>
    <n v="0.95495495495495497"/>
    <s v=""/>
    <s v=""/>
    <s v=""/>
    <s v=""/>
    <s v=""/>
    <m/>
  </r>
  <r>
    <s v="Afghanistan"/>
    <s v="South Asia"/>
    <s v="P107101"/>
    <s v="C1"/>
    <s v="S3"/>
    <s v="P107101C1S3"/>
    <x v="2"/>
    <s v="2010 / 2012"/>
    <x v="0"/>
    <n v="7.5"/>
    <n v="1"/>
    <m/>
    <m/>
    <n v="0.74125874125874136"/>
    <n v="0.74125874125874147"/>
    <s v=""/>
    <s v=""/>
    <s v=""/>
    <s v=""/>
    <s v=""/>
    <s v=""/>
  </r>
  <r>
    <s v="Afghanistan"/>
    <s v="South Asia"/>
    <s v="P107101"/>
    <s v="C1"/>
    <s v="S4"/>
    <s v="P107101C1S4"/>
    <x v="0"/>
    <n v="2010"/>
    <x v="0"/>
    <n v="4"/>
    <n v="3.27"/>
    <n v="4.3"/>
    <s v="USD"/>
    <n v="4.3"/>
    <n v="1.3149847094801224"/>
    <s v=""/>
    <s v=""/>
    <s v=""/>
    <s v=""/>
    <s v=""/>
    <m/>
  </r>
  <r>
    <s v="Afghanistan"/>
    <s v="South Asia"/>
    <s v="P107101"/>
    <s v="C1"/>
    <s v="S4"/>
    <s v="P107101C1S4"/>
    <x v="1"/>
    <n v="2012"/>
    <x v="0"/>
    <n v="30"/>
    <n v="3.27"/>
    <n v="2.85"/>
    <s v="USD"/>
    <n v="2.85"/>
    <n v="0.87155963302752293"/>
    <s v=""/>
    <s v=""/>
    <s v=""/>
    <s v=""/>
    <s v=""/>
    <m/>
  </r>
  <r>
    <s v="Afghanistan"/>
    <s v="South Asia"/>
    <s v="P107101"/>
    <s v="C1"/>
    <s v="S4"/>
    <s v="P107101C1S4"/>
    <x v="2"/>
    <s v="2010 / 2012"/>
    <x v="0"/>
    <n v="7.5"/>
    <n v="1"/>
    <m/>
    <m/>
    <n v="0.66279069767441867"/>
    <n v="0.66279069767441856"/>
    <s v=""/>
    <s v=""/>
    <s v=""/>
    <s v=""/>
    <s v=""/>
    <s v=""/>
  </r>
  <r>
    <s v="Albania"/>
    <s v="Europe and Central Asia"/>
    <s v="P068853"/>
    <s v="C1"/>
    <s v="S1"/>
    <s v="P068853C1S1"/>
    <x v="0"/>
    <n v="1999"/>
    <x v="3"/>
    <n v="15"/>
    <n v="22"/>
    <n v="0.73"/>
    <s v="USD"/>
    <n v="0.73"/>
    <n v="3.318181818181818E-2"/>
    <s v=""/>
    <s v=""/>
    <s v=""/>
    <s v="x"/>
    <s v="x"/>
    <m/>
  </r>
  <r>
    <s v="Albania"/>
    <s v="Europe and Central Asia"/>
    <s v="P068853"/>
    <s v="C1"/>
    <s v="S1"/>
    <s v="P068853C1S1"/>
    <x v="1"/>
    <n v="2004"/>
    <x v="4"/>
    <s v=""/>
    <n v="12.3"/>
    <n v="0.99990000000000001"/>
    <s v="USD"/>
    <n v="0.99990000000000001"/>
    <n v="8.1292682926829271E-2"/>
    <s v=""/>
    <s v=""/>
    <s v=""/>
    <s v="x"/>
    <s v="x"/>
    <m/>
  </r>
  <r>
    <s v="Albania"/>
    <s v="Europe and Central Asia"/>
    <s v="P068853"/>
    <s v="C1"/>
    <s v="S1"/>
    <s v="P068853C1S1"/>
    <x v="2"/>
    <s v="1999 / 2004"/>
    <x v="4"/>
    <s v=""/>
    <n v="0.55909090909090908"/>
    <n v="1.3697260273972602"/>
    <m/>
    <n v="1.3697260273972602"/>
    <n v="2.4499164717674575"/>
    <s v=""/>
    <s v=""/>
    <s v=""/>
    <s v="x"/>
    <s v="x"/>
    <s v="Capacity of counterpart ; Weather shocks; Macroeconomic conditions "/>
  </r>
  <r>
    <s v="Albania"/>
    <s v="Europe and Central Asia"/>
    <s v="P068853"/>
    <s v="C1"/>
    <s v="S2"/>
    <s v="P068853C1S2"/>
    <x v="0"/>
    <n v="1999"/>
    <x v="3"/>
    <n v="15"/>
    <n v="26"/>
    <n v="0.87"/>
    <s v="USD"/>
    <n v="0.87"/>
    <n v="3.3461538461538459E-2"/>
    <s v=""/>
    <s v=""/>
    <s v=""/>
    <s v="x"/>
    <s v="x"/>
    <m/>
  </r>
  <r>
    <s v="Albania"/>
    <s v="Europe and Central Asia"/>
    <s v="P068853"/>
    <s v="C1"/>
    <s v="S2"/>
    <s v="P068853C1S2"/>
    <x v="1"/>
    <n v="2004"/>
    <x v="4"/>
    <s v=""/>
    <n v="14.9"/>
    <n v="1.0980000000000001"/>
    <s v="USD"/>
    <n v="1.0980000000000001"/>
    <n v="7.3691275167785245E-2"/>
    <s v=""/>
    <s v=""/>
    <s v=""/>
    <s v="x"/>
    <s v="x"/>
    <m/>
  </r>
  <r>
    <s v="Albania"/>
    <s v="Europe and Central Asia"/>
    <s v="P068853"/>
    <s v="C1"/>
    <s v="S2"/>
    <s v="P068853C1S2"/>
    <x v="2"/>
    <s v="1999 / 2004"/>
    <x v="4"/>
    <s v=""/>
    <n v="0.57307692307692304"/>
    <n v="1.2620689655172415"/>
    <m/>
    <n v="1.2620689655172415"/>
    <n v="2.2022679935200191"/>
    <s v=""/>
    <s v=""/>
    <s v=""/>
    <s v="x"/>
    <s v="x"/>
    <s v="Capacity of counterpart ; Weather shocks; Macroeconomic conditions "/>
  </r>
  <r>
    <s v="Albania"/>
    <s v="Europe and Central Asia"/>
    <s v="P068853"/>
    <s v="C1"/>
    <s v="S3"/>
    <s v="P068853C1S3"/>
    <x v="0"/>
    <n v="1999"/>
    <x v="5"/>
    <n v="15"/>
    <n v="30"/>
    <n v="1.9"/>
    <s v="USD"/>
    <n v="1.9"/>
    <n v="6.3333333333333325E-2"/>
    <s v=""/>
    <s v=""/>
    <s v="x"/>
    <s v=""/>
    <s v="x"/>
    <m/>
  </r>
  <r>
    <s v="Albania"/>
    <s v="Europe and Central Asia"/>
    <s v="P068853"/>
    <s v="C1"/>
    <s v="S3"/>
    <s v="P068853C1S3"/>
    <x v="1"/>
    <n v="2004"/>
    <x v="5"/>
    <n v="4"/>
    <n v="29"/>
    <n v="0.188"/>
    <s v="USD"/>
    <n v="0.188"/>
    <n v="6.482758620689655E-3"/>
    <s v=""/>
    <s v=""/>
    <s v="x"/>
    <s v=""/>
    <s v="x"/>
    <m/>
  </r>
  <r>
    <s v="Albania"/>
    <s v="Europe and Central Asia"/>
    <s v="P068853"/>
    <s v="C1"/>
    <s v="S3"/>
    <s v="P068853C1S3"/>
    <x v="2"/>
    <s v="1999 / 2004"/>
    <x v="5"/>
    <n v="0.26666666666666666"/>
    <n v="0.96666666666666667"/>
    <n v="9.8947368421052631E-2"/>
    <m/>
    <n v="9.8947368421052631E-2"/>
    <n v="0.10235934664246825"/>
    <s v=""/>
    <s v=""/>
    <s v="x"/>
    <s v=""/>
    <s v="x"/>
    <s v="Capacity of counterpart ; Weather shocks; Macroeconomic conditions "/>
  </r>
  <r>
    <s v="Albania"/>
    <s v="Europe and Central Asia"/>
    <s v="P068853"/>
    <s v="C1"/>
    <s v="S4"/>
    <s v="P068853C1S4"/>
    <x v="0"/>
    <n v="1999"/>
    <x v="4"/>
    <n v="15"/>
    <n v="49"/>
    <n v="1.43"/>
    <s v="USD"/>
    <n v="1.43"/>
    <n v="2.9183673469387755E-2"/>
    <s v=""/>
    <s v=""/>
    <s v=""/>
    <s v=""/>
    <s v=""/>
    <m/>
  </r>
  <r>
    <s v="Albania"/>
    <s v="Europe and Central Asia"/>
    <s v="P068853"/>
    <s v="C1"/>
    <s v="S4"/>
    <s v="P068853C1S4"/>
    <x v="1"/>
    <n v="2004"/>
    <x v="4"/>
    <n v="8"/>
    <n v="42.7"/>
    <n v="1.591"/>
    <s v="USD"/>
    <n v="1.591"/>
    <n v="3.7259953161592502E-2"/>
    <s v=""/>
    <s v=""/>
    <s v=""/>
    <s v=""/>
    <s v=""/>
    <m/>
  </r>
  <r>
    <s v="Albania"/>
    <s v="Europe and Central Asia"/>
    <s v="P068853"/>
    <s v="C1"/>
    <s v="S4"/>
    <s v="P068853C1S4"/>
    <x v="2"/>
    <s v="1999 / 2004"/>
    <x v="4"/>
    <n v="0.53333333333333333"/>
    <n v="0.87142857142857144"/>
    <n v="1.1125874125874127"/>
    <m/>
    <n v="1.1125874125874127"/>
    <n v="1.276739653788834"/>
    <s v=""/>
    <s v=""/>
    <s v=""/>
    <s v=""/>
    <s v=""/>
    <s v=""/>
  </r>
  <r>
    <s v="Albania"/>
    <s v="Europe and Central Asia"/>
    <s v="P068853"/>
    <s v="C1"/>
    <s v="S5"/>
    <s v="P068853C1S5"/>
    <x v="0"/>
    <n v="1999"/>
    <x v="5"/>
    <n v="15"/>
    <n v="70"/>
    <n v="5.4"/>
    <s v="USD"/>
    <n v="5.4"/>
    <n v="7.7142857142857152E-2"/>
    <s v=""/>
    <s v=""/>
    <s v=""/>
    <s v=""/>
    <s v=""/>
    <m/>
  </r>
  <r>
    <s v="Albania"/>
    <s v="Europe and Central Asia"/>
    <s v="P068853"/>
    <s v="C1"/>
    <s v="S5"/>
    <s v="P068853C1S5"/>
    <x v="1"/>
    <n v="2004"/>
    <x v="5"/>
    <n v="44"/>
    <n v="55.3"/>
    <n v="6.3699999999999992"/>
    <s v="USD"/>
    <n v="6.3699999999999992"/>
    <n v="0.11518987341772151"/>
    <s v=""/>
    <s v=""/>
    <s v=""/>
    <s v=""/>
    <s v=""/>
    <m/>
  </r>
  <r>
    <s v="Albania"/>
    <s v="Europe and Central Asia"/>
    <s v="P068853"/>
    <s v="C1"/>
    <s v="S5"/>
    <s v="P068853C1S5"/>
    <x v="2"/>
    <s v="1999 / 2004"/>
    <x v="5"/>
    <n v="2.9333333333333331"/>
    <n v="0.78999999999999992"/>
    <n v="1.1796296296296294"/>
    <m/>
    <n v="1.1796296296296294"/>
    <n v="1.4932020628223157"/>
    <s v=""/>
    <s v=""/>
    <s v=""/>
    <s v=""/>
    <s v=""/>
    <s v=""/>
  </r>
  <r>
    <s v="Albania"/>
    <s v="Europe and Central Asia"/>
    <s v="P068853"/>
    <s v="C1"/>
    <s v="S6"/>
    <s v="P068853C1S6"/>
    <x v="0"/>
    <n v="1999"/>
    <x v="6"/>
    <n v="15"/>
    <n v="24"/>
    <n v="1.2"/>
    <s v="USD"/>
    <n v="1.2"/>
    <n v="4.9999999999999996E-2"/>
    <s v="x"/>
    <s v=""/>
    <s v=""/>
    <s v="x"/>
    <s v="x"/>
    <m/>
  </r>
  <r>
    <s v="Albania"/>
    <s v="Europe and Central Asia"/>
    <s v="P068853"/>
    <s v="C1"/>
    <s v="S6"/>
    <s v="P068853C1S6"/>
    <x v="1"/>
    <n v="2004"/>
    <x v="4"/>
    <n v="4"/>
    <n v="1.5"/>
    <n v="0.14599999999999999"/>
    <s v="USD"/>
    <n v="0.14599999999999999"/>
    <n v="9.7333333333333327E-2"/>
    <s v="x"/>
    <s v=""/>
    <s v=""/>
    <s v="x"/>
    <s v="x"/>
    <m/>
  </r>
  <r>
    <s v="Albania"/>
    <s v="Europe and Central Asia"/>
    <s v="P068853"/>
    <s v="C1"/>
    <s v="S6"/>
    <s v="P068853C1S6"/>
    <x v="2"/>
    <s v="1999 / 2004"/>
    <x v="4"/>
    <n v="0.26666666666666666"/>
    <n v="6.25E-2"/>
    <n v="0.12166666666666666"/>
    <m/>
    <n v="0.12166666666666666"/>
    <n v="1.9466666666666668"/>
    <s v="x"/>
    <s v=""/>
    <s v=""/>
    <s v="x"/>
    <s v="x"/>
    <s v="Capacity of counterpart ; Capacity of counterpart ; Macroeconomic conditions "/>
  </r>
  <r>
    <s v="Albania"/>
    <s v="Europe and Central Asia"/>
    <s v="P078949"/>
    <s v="C1"/>
    <s v="S1"/>
    <s v="P078949C1S1"/>
    <x v="0"/>
    <n v="2007"/>
    <x v="7"/>
    <n v="22"/>
    <n v="9"/>
    <n v="12.32"/>
    <s v="USD"/>
    <n v="12.32"/>
    <n v="1.3688888888888888"/>
    <s v=""/>
    <s v=""/>
    <s v=""/>
    <s v=""/>
    <s v=""/>
    <m/>
  </r>
  <r>
    <s v="Albania"/>
    <s v="Europe and Central Asia"/>
    <s v="P078949"/>
    <s v="C1"/>
    <s v="S1"/>
    <s v="P078949C1S1"/>
    <x v="1"/>
    <n v="2011"/>
    <x v="8"/>
    <n v="49"/>
    <n v="9"/>
    <n v="14.48"/>
    <s v="USD"/>
    <n v="14.48"/>
    <n v="1.608888888888889"/>
    <s v=""/>
    <s v=""/>
    <s v=""/>
    <s v=""/>
    <s v=""/>
    <m/>
  </r>
  <r>
    <s v="Albania"/>
    <s v="Europe and Central Asia"/>
    <s v="P078949"/>
    <s v="C1"/>
    <s v="S1"/>
    <s v="P078949C1S1"/>
    <x v="2"/>
    <s v="2007 / 2011"/>
    <x v="8"/>
    <n v="2.2272727272727271"/>
    <n v="1"/>
    <n v="1.1753246753246753"/>
    <m/>
    <n v="1.1753246753246753"/>
    <n v="1.1753246753246755"/>
    <s v=""/>
    <s v=""/>
    <s v=""/>
    <s v=""/>
    <s v=""/>
    <s v=""/>
  </r>
  <r>
    <s v="Albania"/>
    <s v="Europe and Central Asia"/>
    <s v="P078949"/>
    <s v="C1"/>
    <s v="S2"/>
    <s v="P078949C1S2"/>
    <x v="0"/>
    <n v="2007"/>
    <x v="7"/>
    <n v="11"/>
    <n v="9"/>
    <n v="10.68"/>
    <s v="USD"/>
    <n v="10.68"/>
    <n v="1.1866666666666665"/>
    <s v=""/>
    <s v=""/>
    <s v=""/>
    <s v=""/>
    <s v=""/>
    <m/>
  </r>
  <r>
    <s v="Albania"/>
    <s v="Europe and Central Asia"/>
    <s v="P078949"/>
    <s v="C1"/>
    <s v="S2"/>
    <s v="P078949C1S2"/>
    <x v="1"/>
    <n v="2011"/>
    <x v="8"/>
    <n v="41"/>
    <n v="9"/>
    <n v="10.32"/>
    <s v="USD"/>
    <n v="10.32"/>
    <n v="1.1466666666666667"/>
    <s v=""/>
    <s v=""/>
    <s v=""/>
    <s v=""/>
    <s v=""/>
    <m/>
  </r>
  <r>
    <s v="Albania"/>
    <s v="Europe and Central Asia"/>
    <s v="P078949"/>
    <s v="C1"/>
    <s v="S2"/>
    <s v="P078949C1S2"/>
    <x v="2"/>
    <s v="2007 / 2011"/>
    <x v="8"/>
    <n v="3.7272727272727271"/>
    <n v="1"/>
    <n v="0.9662921348314607"/>
    <m/>
    <n v="0.9662921348314607"/>
    <n v="0.96629213483146081"/>
    <s v=""/>
    <s v=""/>
    <s v=""/>
    <s v=""/>
    <s v=""/>
    <s v=""/>
  </r>
  <r>
    <s v="Albania"/>
    <s v="Europe and Central Asia"/>
    <s v="P078949"/>
    <s v="C1"/>
    <s v="S3"/>
    <s v="P078949C1S3"/>
    <x v="0"/>
    <n v="2007"/>
    <x v="7"/>
    <n v="16"/>
    <n v="8"/>
    <n v="13.2"/>
    <s v="USD"/>
    <n v="13.2"/>
    <n v="1.65"/>
    <s v=""/>
    <s v=""/>
    <s v=""/>
    <s v=""/>
    <s v=""/>
    <m/>
  </r>
  <r>
    <s v="Albania"/>
    <s v="Europe and Central Asia"/>
    <s v="P078949"/>
    <s v="C1"/>
    <s v="S3"/>
    <s v="P078949C1S3"/>
    <x v="1"/>
    <n v="2011"/>
    <x v="8"/>
    <n v="35"/>
    <n v="8"/>
    <n v="13.64"/>
    <s v="USD"/>
    <n v="13.64"/>
    <n v="1.7050000000000001"/>
    <s v=""/>
    <s v=""/>
    <s v=""/>
    <s v=""/>
    <s v=""/>
    <m/>
  </r>
  <r>
    <s v="Albania"/>
    <s v="Europe and Central Asia"/>
    <s v="P078949"/>
    <s v="C1"/>
    <s v="S3"/>
    <s v="P078949C1S3"/>
    <x v="2"/>
    <s v="2007 / 2011"/>
    <x v="8"/>
    <n v="2.1875"/>
    <n v="1"/>
    <n v="1.0333333333333334"/>
    <m/>
    <n v="1.0333333333333334"/>
    <n v="1.0333333333333334"/>
    <s v=""/>
    <s v=""/>
    <s v=""/>
    <s v=""/>
    <s v=""/>
    <s v=""/>
  </r>
  <r>
    <s v="Albania"/>
    <s v="Europe and Central Asia"/>
    <s v="P107833"/>
    <s v="C1"/>
    <s v="S1"/>
    <s v="P107833C1S1"/>
    <x v="0"/>
    <n v="2008"/>
    <x v="2"/>
    <n v="5"/>
    <n v="10.9"/>
    <n v="2.42"/>
    <s v="USD"/>
    <n v="2.42"/>
    <n v="0.2220183486238532"/>
    <s v=""/>
    <s v=""/>
    <s v=""/>
    <s v=""/>
    <s v=""/>
    <m/>
  </r>
  <r>
    <s v="Albania"/>
    <s v="Europe and Central Asia"/>
    <s v="P107833"/>
    <s v="C1"/>
    <s v="S1"/>
    <s v="P107833C1S1"/>
    <x v="1"/>
    <n v="2013"/>
    <x v="2"/>
    <n v="12"/>
    <n v="10.9"/>
    <n v="1.79"/>
    <s v="USD"/>
    <n v="1.79"/>
    <n v="0.16422018348623854"/>
    <s v=""/>
    <s v=""/>
    <s v=""/>
    <s v=""/>
    <s v=""/>
    <m/>
  </r>
  <r>
    <s v="Albania"/>
    <s v="Europe and Central Asia"/>
    <s v="P107833"/>
    <s v="C1"/>
    <s v="S1"/>
    <s v="P107833C1S1"/>
    <x v="2"/>
    <s v="2008 / 2013"/>
    <x v="2"/>
    <n v="2.4"/>
    <n v="1"/>
    <n v="0.7396694214876034"/>
    <m/>
    <n v="0.7396694214876034"/>
    <n v="0.7396694214876034"/>
    <s v=""/>
    <s v=""/>
    <s v=""/>
    <s v=""/>
    <s v=""/>
    <s v=""/>
  </r>
  <r>
    <s v="Albania"/>
    <s v="Europe and Central Asia"/>
    <s v="P107833"/>
    <s v="C1"/>
    <s v="S2"/>
    <s v="P107833C1S2"/>
    <x v="0"/>
    <n v="2008"/>
    <x v="2"/>
    <n v="8"/>
    <n v="6.6"/>
    <n v="2.06"/>
    <s v="USD"/>
    <n v="2.06"/>
    <n v="0.31212121212121213"/>
    <s v=""/>
    <s v=""/>
    <s v=""/>
    <s v=""/>
    <s v=""/>
    <m/>
  </r>
  <r>
    <s v="Albania"/>
    <s v="Europe and Central Asia"/>
    <s v="P107833"/>
    <s v="C1"/>
    <s v="S2"/>
    <s v="P107833C1S2"/>
    <x v="1"/>
    <n v="2013"/>
    <x v="2"/>
    <n v="12"/>
    <n v="6.6"/>
    <n v="2.0099999999999998"/>
    <s v="USD"/>
    <n v="2.0099999999999998"/>
    <n v="0.30454545454545451"/>
    <s v=""/>
    <s v=""/>
    <s v=""/>
    <s v=""/>
    <s v=""/>
    <m/>
  </r>
  <r>
    <s v="Albania"/>
    <s v="Europe and Central Asia"/>
    <s v="P107833"/>
    <s v="C1"/>
    <s v="S2"/>
    <s v="P107833C1S2"/>
    <x v="2"/>
    <s v="2008 / 2013"/>
    <x v="2"/>
    <n v="1.5"/>
    <n v="1"/>
    <n v="0.97572815533980572"/>
    <m/>
    <n v="0.97572815533980572"/>
    <n v="0.97572815533980572"/>
    <s v=""/>
    <s v=""/>
    <s v=""/>
    <s v=""/>
    <s v=""/>
    <s v=""/>
  </r>
  <r>
    <s v="Albania"/>
    <s v="Europe and Central Asia"/>
    <s v="P107833"/>
    <s v="C1"/>
    <s v="S3"/>
    <s v="P107833C1S3"/>
    <x v="0"/>
    <n v="2008"/>
    <x v="2"/>
    <n v="10"/>
    <n v="10.5"/>
    <n v="2.57"/>
    <s v="USD"/>
    <n v="2.57"/>
    <n v="0.24476190476190474"/>
    <s v=""/>
    <s v=""/>
    <s v=""/>
    <s v=""/>
    <s v=""/>
    <m/>
  </r>
  <r>
    <s v="Albania"/>
    <s v="Europe and Central Asia"/>
    <s v="P107833"/>
    <s v="C1"/>
    <s v="S3"/>
    <s v="P107833C1S3"/>
    <x v="1"/>
    <n v="2013"/>
    <x v="2"/>
    <n v="12"/>
    <n v="10.5"/>
    <n v="2.14"/>
    <s v="USD"/>
    <n v="2.14"/>
    <n v="0.20380952380952383"/>
    <s v=""/>
    <s v=""/>
    <s v=""/>
    <s v=""/>
    <s v=""/>
    <m/>
  </r>
  <r>
    <s v="Albania"/>
    <s v="Europe and Central Asia"/>
    <s v="P107833"/>
    <s v="C1"/>
    <s v="S3"/>
    <s v="P107833C1S3"/>
    <x v="2"/>
    <s v="2008 / 2013"/>
    <x v="2"/>
    <n v="1.2"/>
    <n v="1"/>
    <n v="0.83268482490272389"/>
    <m/>
    <n v="0.83268482490272389"/>
    <n v="0.83268482490272389"/>
    <s v=""/>
    <s v=""/>
    <s v=""/>
    <s v=""/>
    <s v=""/>
    <s v=""/>
  </r>
  <r>
    <s v="Albania"/>
    <s v="Europe and Central Asia"/>
    <s v="P107833"/>
    <s v="C2"/>
    <s v="S1"/>
    <s v="P107833C2S1"/>
    <x v="0"/>
    <n v="2008"/>
    <x v="2"/>
    <n v="11"/>
    <n v="12.6"/>
    <n v="2.4700000000000002"/>
    <s v="USD"/>
    <n v="2.4700000000000002"/>
    <n v="0.19603174603174606"/>
    <s v=""/>
    <s v=""/>
    <s v=""/>
    <s v=""/>
    <s v=""/>
    <m/>
  </r>
  <r>
    <s v="Albania"/>
    <s v="Europe and Central Asia"/>
    <s v="P107833"/>
    <s v="C2"/>
    <s v="S1"/>
    <s v="P107833C2S1"/>
    <x v="1"/>
    <n v="2013"/>
    <x v="2"/>
    <n v="12"/>
    <n v="12.6"/>
    <n v="1.45"/>
    <s v="USD"/>
    <n v="1.45"/>
    <n v="0.11507936507936507"/>
    <s v=""/>
    <s v=""/>
    <s v=""/>
    <s v=""/>
    <s v=""/>
    <m/>
  </r>
  <r>
    <s v="Albania"/>
    <s v="Europe and Central Asia"/>
    <s v="P107833"/>
    <s v="C2"/>
    <s v="S1"/>
    <s v="P107833C2S1"/>
    <x v="2"/>
    <s v="2008 / 2013"/>
    <x v="2"/>
    <n v="1.0909090909090908"/>
    <n v="1"/>
    <n v="0.58704453441295545"/>
    <m/>
    <n v="0.58704453441295545"/>
    <n v="0.58704453441295534"/>
    <s v=""/>
    <s v=""/>
    <s v=""/>
    <s v=""/>
    <s v=""/>
    <s v=""/>
  </r>
  <r>
    <s v="Albania"/>
    <s v="Europe and Central Asia"/>
    <s v="P107833"/>
    <s v="C2"/>
    <s v="S2"/>
    <s v="P107833C2S2"/>
    <x v="0"/>
    <n v="2008"/>
    <x v="2"/>
    <n v="12"/>
    <n v="9.8000000000000007"/>
    <n v="2.19"/>
    <s v="USD"/>
    <n v="2.19"/>
    <n v="0.22346938775510203"/>
    <s v=""/>
    <s v=""/>
    <s v=""/>
    <s v=""/>
    <s v=""/>
    <m/>
  </r>
  <r>
    <s v="Albania"/>
    <s v="Europe and Central Asia"/>
    <s v="P107833"/>
    <s v="C2"/>
    <s v="S2"/>
    <s v="P107833C2S2"/>
    <x v="1"/>
    <n v="2013"/>
    <x v="2"/>
    <n v="24"/>
    <n v="9.8000000000000007"/>
    <n v="1.93"/>
    <s v="USD"/>
    <n v="1.93"/>
    <n v="0.19693877551020406"/>
    <s v=""/>
    <s v=""/>
    <s v=""/>
    <s v=""/>
    <s v=""/>
    <m/>
  </r>
  <r>
    <s v="Albania"/>
    <s v="Europe and Central Asia"/>
    <s v="P107833"/>
    <s v="C2"/>
    <s v="S2"/>
    <s v="P107833C2S2"/>
    <x v="2"/>
    <s v="2008 / 2013"/>
    <x v="2"/>
    <n v="2"/>
    <n v="1"/>
    <n v="0.88127853881278539"/>
    <m/>
    <n v="0.88127853881278539"/>
    <n v="0.88127853881278528"/>
    <s v=""/>
    <s v=""/>
    <s v=""/>
    <s v=""/>
    <s v=""/>
    <s v=""/>
  </r>
  <r>
    <s v="Albania"/>
    <s v="Europe and Central Asia"/>
    <s v="P107833"/>
    <s v="C2"/>
    <s v="S3"/>
    <s v="P107833C2S3"/>
    <x v="0"/>
    <n v="2008"/>
    <x v="2"/>
    <n v="13"/>
    <n v="12.8"/>
    <n v="3.15"/>
    <s v="USD"/>
    <n v="3.15"/>
    <n v="0.24609374999999997"/>
    <s v=""/>
    <s v=""/>
    <s v=""/>
    <s v=""/>
    <s v=""/>
    <m/>
  </r>
  <r>
    <s v="Albania"/>
    <s v="Europe and Central Asia"/>
    <s v="P107833"/>
    <s v="C2"/>
    <s v="S3"/>
    <s v="P107833C2S3"/>
    <x v="1"/>
    <n v="2013"/>
    <x v="2"/>
    <n v="12"/>
    <n v="12.8"/>
    <n v="2.81"/>
    <s v="USD"/>
    <n v="2.81"/>
    <n v="0.21953124999999998"/>
    <s v=""/>
    <s v=""/>
    <s v=""/>
    <s v=""/>
    <s v=""/>
    <m/>
  </r>
  <r>
    <s v="Albania"/>
    <s v="Europe and Central Asia"/>
    <s v="P107833"/>
    <s v="C2"/>
    <s v="S3"/>
    <s v="P107833C2S3"/>
    <x v="2"/>
    <s v="2008 / 2013"/>
    <x v="2"/>
    <n v="0.92307692307692313"/>
    <n v="1"/>
    <n v="0.89206349206349211"/>
    <m/>
    <n v="0.89206349206349211"/>
    <n v="0.89206349206349211"/>
    <s v=""/>
    <s v=""/>
    <s v=""/>
    <s v=""/>
    <s v=""/>
    <s v=""/>
  </r>
  <r>
    <s v="Albania"/>
    <s v="Europe and Central Asia"/>
    <s v="P107833"/>
    <s v="C2"/>
    <s v="S4"/>
    <s v="P107833C2S4"/>
    <x v="0"/>
    <n v="2008"/>
    <x v="2"/>
    <n v="21"/>
    <n v="11.5"/>
    <n v="2.09"/>
    <s v="USD"/>
    <n v="2.09"/>
    <n v="0.1817391304347826"/>
    <s v=""/>
    <s v=""/>
    <s v=""/>
    <s v=""/>
    <s v=""/>
    <m/>
  </r>
  <r>
    <s v="Albania"/>
    <s v="Europe and Central Asia"/>
    <s v="P107833"/>
    <s v="C2"/>
    <s v="S4"/>
    <s v="P107833C2S4"/>
    <x v="1"/>
    <n v="2013"/>
    <x v="2"/>
    <n v="36"/>
    <n v="11.5"/>
    <n v="2.92"/>
    <s v="USD"/>
    <n v="2.92"/>
    <n v="0.25391304347826088"/>
    <s v=""/>
    <s v=""/>
    <s v=""/>
    <s v=""/>
    <s v=""/>
    <m/>
  </r>
  <r>
    <s v="Albania"/>
    <s v="Europe and Central Asia"/>
    <s v="P107833"/>
    <s v="C2"/>
    <s v="S4"/>
    <s v="P107833C2S4"/>
    <x v="2"/>
    <s v="2008 / 2013"/>
    <x v="2"/>
    <n v="1.7142857142857142"/>
    <n v="1"/>
    <n v="1.3971291866028708"/>
    <m/>
    <n v="1.3971291866028708"/>
    <n v="1.397129186602871"/>
    <s v=""/>
    <s v=""/>
    <s v=""/>
    <s v=""/>
    <s v=""/>
    <s v=""/>
  </r>
  <r>
    <s v="Albania"/>
    <s v="Europe and Central Asia"/>
    <s v="P107833"/>
    <s v="C2"/>
    <s v="S5"/>
    <s v="P107833C2S5"/>
    <x v="0"/>
    <n v="2008"/>
    <x v="2"/>
    <n v="12"/>
    <n v="11.8"/>
    <n v="2.0099999999999998"/>
    <s v="USD"/>
    <n v="2.0099999999999998"/>
    <n v="0.17033898305084744"/>
    <s v=""/>
    <s v=""/>
    <s v=""/>
    <s v=""/>
    <s v=""/>
    <m/>
  </r>
  <r>
    <s v="Albania"/>
    <s v="Europe and Central Asia"/>
    <s v="P107833"/>
    <s v="C2"/>
    <s v="S5"/>
    <s v="P107833C2S5"/>
    <x v="1"/>
    <n v="2013"/>
    <x v="2"/>
    <n v="12"/>
    <n v="11.8"/>
    <n v="2.19"/>
    <s v="USD"/>
    <n v="2.19"/>
    <n v="0.18559322033898304"/>
    <s v=""/>
    <s v=""/>
    <s v=""/>
    <s v=""/>
    <s v=""/>
    <m/>
  </r>
  <r>
    <s v="Albania"/>
    <s v="Europe and Central Asia"/>
    <s v="P107833"/>
    <s v="C2"/>
    <s v="S5"/>
    <s v="P107833C2S5"/>
    <x v="2"/>
    <s v="2008 / 2013"/>
    <x v="2"/>
    <n v="1"/>
    <n v="1"/>
    <n v="1.0895522388059702"/>
    <m/>
    <n v="1.0895522388059702"/>
    <n v="1.0895522388059702"/>
    <s v=""/>
    <s v=""/>
    <s v=""/>
    <s v=""/>
    <s v=""/>
    <s v=""/>
  </r>
  <r>
    <s v="Albania"/>
    <s v="Europe and Central Asia"/>
    <s v="P107833"/>
    <s v="C2"/>
    <s v="S6"/>
    <s v="P107833C2S6"/>
    <x v="0"/>
    <n v="2008"/>
    <x v="2"/>
    <n v="10"/>
    <n v="9"/>
    <n v="2.5499999999999998"/>
    <s v="USD"/>
    <n v="2.5499999999999998"/>
    <n v="0.28333333333333333"/>
    <s v=""/>
    <s v=""/>
    <s v=""/>
    <s v=""/>
    <s v=""/>
    <m/>
  </r>
  <r>
    <s v="Albania"/>
    <s v="Europe and Central Asia"/>
    <s v="P107833"/>
    <s v="C2"/>
    <s v="S6"/>
    <s v="P107833C2S6"/>
    <x v="1"/>
    <n v="2013"/>
    <x v="2"/>
    <n v="12"/>
    <n v="9"/>
    <n v="1.64"/>
    <s v="USD"/>
    <n v="1.64"/>
    <n v="0.1822222222222222"/>
    <s v=""/>
    <s v=""/>
    <s v=""/>
    <s v=""/>
    <s v=""/>
    <m/>
  </r>
  <r>
    <s v="Albania"/>
    <s v="Europe and Central Asia"/>
    <s v="P107833"/>
    <s v="C2"/>
    <s v="S6"/>
    <s v="P107833C2S6"/>
    <x v="2"/>
    <s v="2008 / 2013"/>
    <x v="2"/>
    <n v="1.2"/>
    <n v="1"/>
    <n v="0.64313725490196083"/>
    <m/>
    <n v="0.64313725490196083"/>
    <n v="0.64313725490196072"/>
    <s v=""/>
    <s v=""/>
    <s v=""/>
    <s v=""/>
    <s v=""/>
    <s v=""/>
  </r>
  <r>
    <s v="Albania"/>
    <s v="Europe and Central Asia"/>
    <s v="P107833"/>
    <s v="C2"/>
    <s v="S7"/>
    <s v="P107833C2S7"/>
    <x v="0"/>
    <n v="2008"/>
    <x v="2"/>
    <n v="8"/>
    <n v="7.8"/>
    <n v="2.06"/>
    <s v="USD"/>
    <n v="2.06"/>
    <n v="0.26410256410256411"/>
    <s v=""/>
    <s v=""/>
    <s v=""/>
    <s v=""/>
    <s v=""/>
    <m/>
  </r>
  <r>
    <s v="Albania"/>
    <s v="Europe and Central Asia"/>
    <s v="P107833"/>
    <s v="C2"/>
    <s v="S7"/>
    <s v="P107833C2S7"/>
    <x v="1"/>
    <n v="2013"/>
    <x v="2"/>
    <n v="12"/>
    <n v="7.8"/>
    <n v="1.97"/>
    <s v="USD"/>
    <n v="1.97"/>
    <n v="0.25256410256410255"/>
    <s v=""/>
    <s v=""/>
    <s v=""/>
    <s v=""/>
    <s v=""/>
    <m/>
  </r>
  <r>
    <s v="Albania"/>
    <s v="Europe and Central Asia"/>
    <s v="P107833"/>
    <s v="C2"/>
    <s v="S7"/>
    <s v="P107833C2S7"/>
    <x v="2"/>
    <s v="2008 / 2013"/>
    <x v="2"/>
    <n v="1.5"/>
    <n v="1"/>
    <n v="0.95631067961165039"/>
    <m/>
    <n v="0.95631067961165039"/>
    <n v="0.95631067961165039"/>
    <s v=""/>
    <s v=""/>
    <s v=""/>
    <s v=""/>
    <s v=""/>
    <s v=""/>
  </r>
  <r>
    <s v="Albania"/>
    <s v="Europe and Central Asia"/>
    <s v="P107833"/>
    <s v="C2"/>
    <s v="S8"/>
    <s v="P107833C2S8"/>
    <x v="0"/>
    <n v="2008"/>
    <x v="2"/>
    <n v="6"/>
    <n v="5.4"/>
    <n v="1.24"/>
    <s v="USD"/>
    <n v="1.24"/>
    <n v="0.2296296296296296"/>
    <s v=""/>
    <s v=""/>
    <s v=""/>
    <s v=""/>
    <s v=""/>
    <m/>
  </r>
  <r>
    <s v="Albania"/>
    <s v="Europe and Central Asia"/>
    <s v="P107833"/>
    <s v="C2"/>
    <s v="S8"/>
    <s v="P107833C2S8"/>
    <x v="1"/>
    <n v="2013"/>
    <x v="2"/>
    <n v="12"/>
    <n v="5.4"/>
    <n v="0.86"/>
    <s v="USD"/>
    <n v="0.86"/>
    <n v="0.15925925925925924"/>
    <s v=""/>
    <s v=""/>
    <s v=""/>
    <s v=""/>
    <s v=""/>
    <m/>
  </r>
  <r>
    <s v="Albania"/>
    <s v="Europe and Central Asia"/>
    <s v="P107833"/>
    <s v="C2"/>
    <s v="S8"/>
    <s v="P107833C2S8"/>
    <x v="2"/>
    <s v="2008 / 2013"/>
    <x v="2"/>
    <n v="2"/>
    <n v="1"/>
    <n v="0.69354838709677413"/>
    <m/>
    <n v="0.69354838709677413"/>
    <n v="0.69354838709677424"/>
    <s v=""/>
    <s v=""/>
    <s v=""/>
    <s v=""/>
    <s v=""/>
    <s v=""/>
  </r>
  <r>
    <s v="Angola"/>
    <s v="Sub-Saharan Africa"/>
    <s v="P095229"/>
    <s v="C1"/>
    <s v="S1"/>
    <s v="P095229C1S1"/>
    <x v="0"/>
    <n v="2014"/>
    <x v="2"/>
    <s v=""/>
    <n v="600"/>
    <n v="13"/>
    <s v="USD"/>
    <n v="13"/>
    <n v="2.1666666666666667E-2"/>
    <s v="x"/>
    <s v=""/>
    <s v=""/>
    <s v="x"/>
    <s v="x"/>
    <m/>
  </r>
  <r>
    <s v="Angola"/>
    <s v="Sub-Saharan Africa"/>
    <s v="P095229"/>
    <s v="C1"/>
    <s v="S1"/>
    <s v="P095229C1S1"/>
    <x v="1"/>
    <n v="2014"/>
    <x v="2"/>
    <s v=""/>
    <n v="200"/>
    <n v="20"/>
    <s v="USD"/>
    <n v="20"/>
    <n v="0.1"/>
    <s v="x"/>
    <s v=""/>
    <s v=""/>
    <s v="x"/>
    <s v="x"/>
    <m/>
  </r>
  <r>
    <s v="Angola"/>
    <s v="Sub-Saharan Africa"/>
    <s v="P095229"/>
    <s v="C1"/>
    <s v="S1"/>
    <s v="P095229C1S1"/>
    <x v="2"/>
    <s v="2014 / 2014"/>
    <x v="2"/>
    <s v=""/>
    <n v="0.33333333333333331"/>
    <m/>
    <m/>
    <n v="1.5384615384615385"/>
    <n v="4.6153846153846159"/>
    <s v="x"/>
    <s v=""/>
    <s v=""/>
    <s v="x"/>
    <s v="x"/>
    <s v="Political events; Administrative processes; "/>
  </r>
  <r>
    <s v="Argentina"/>
    <s v="Latin America and Caribbean"/>
    <s v="P099585"/>
    <s v="C1"/>
    <s v=""/>
    <s v="P099585C1"/>
    <x v="0"/>
    <n v="2006"/>
    <x v="0"/>
    <s v=""/>
    <n v="174.26"/>
    <n v="42.21"/>
    <s v="USD"/>
    <n v="42.21"/>
    <n v="0.24222426259612076"/>
    <s v=""/>
    <s v=""/>
    <s v=""/>
    <s v="x"/>
    <s v="x"/>
    <m/>
  </r>
  <r>
    <s v="Argentina"/>
    <s v="Latin America and Caribbean"/>
    <s v="P099585"/>
    <s v="C1"/>
    <s v=""/>
    <s v="P099585C1"/>
    <x v="1"/>
    <n v="2014"/>
    <x v="0"/>
    <s v=""/>
    <n v="125"/>
    <n v="50.53"/>
    <s v="USD"/>
    <n v="50.53"/>
    <n v="0.40423999999999999"/>
    <s v=""/>
    <s v=""/>
    <s v=""/>
    <s v="x"/>
    <s v="x"/>
    <m/>
  </r>
  <r>
    <s v="Argentina"/>
    <s v="Latin America and Caribbean"/>
    <s v="P099585"/>
    <s v="C1"/>
    <s v=""/>
    <s v="P099585C1"/>
    <x v="2"/>
    <s v="2006 / 2014"/>
    <x v="0"/>
    <s v=""/>
    <n v="0.7173189486973488"/>
    <n v="1.197109689647003"/>
    <m/>
    <n v="1.197109689647003"/>
    <n v="1.6688666761430939"/>
    <s v=""/>
    <s v=""/>
    <s v=""/>
    <s v="x"/>
    <s v="x"/>
    <s v="Quality of estimates; Macroeconomic conditions; "/>
  </r>
  <r>
    <s v="Argentina"/>
    <s v="Latin America and Caribbean"/>
    <s v="P099585"/>
    <s v="C2"/>
    <s v=""/>
    <s v="P099585C2"/>
    <x v="0"/>
    <n v="2006"/>
    <x v="0"/>
    <s v=""/>
    <n v="424"/>
    <n v="34.5"/>
    <s v="USD"/>
    <n v="34.5"/>
    <n v="8.1367924528301883E-2"/>
    <s v="x"/>
    <s v=""/>
    <s v=""/>
    <s v="x"/>
    <s v="x"/>
    <m/>
  </r>
  <r>
    <s v="Argentina"/>
    <s v="Latin America and Caribbean"/>
    <s v="P099585"/>
    <s v="C2"/>
    <s v=""/>
    <s v="P099585C2"/>
    <x v="1"/>
    <n v="2014"/>
    <x v="0"/>
    <s v=""/>
    <n v="136.93"/>
    <n v="42.4"/>
    <s v="USD"/>
    <n v="42.4"/>
    <n v="0.30964726502592566"/>
    <s v="x"/>
    <s v=""/>
    <s v=""/>
    <s v="x"/>
    <s v="x"/>
    <m/>
  </r>
  <r>
    <s v="Argentina"/>
    <s v="Latin America and Caribbean"/>
    <s v="P099585"/>
    <s v="C2"/>
    <s v=""/>
    <s v="P099585C2"/>
    <x v="2"/>
    <s v="2006 / 2014"/>
    <x v="0"/>
    <s v=""/>
    <n v="0.32294811320754718"/>
    <n v="1.2289855072463767"/>
    <m/>
    <n v="1.2289855072463767"/>
    <n v="3.8055200107534053"/>
    <s v="x"/>
    <s v=""/>
    <s v=""/>
    <s v="x"/>
    <s v="x"/>
    <s v="Quality of estimates; Macroeconomic conditions; Political events"/>
  </r>
  <r>
    <s v="Argentina"/>
    <s v="Latin America and Caribbean"/>
    <s v="P088153"/>
    <s v="C1"/>
    <s v=""/>
    <s v="P088153C1"/>
    <x v="0"/>
    <n v="2004"/>
    <x v="0"/>
    <n v="72"/>
    <n v="21042"/>
    <n v="258.7"/>
    <s v="USD"/>
    <n v="258.7"/>
    <n v="1.2294458701644331E-2"/>
    <s v=""/>
    <s v=""/>
    <s v=""/>
    <s v="x"/>
    <s v="x"/>
    <m/>
  </r>
  <r>
    <s v="Argentina"/>
    <s v="Latin America and Caribbean"/>
    <s v="P088153"/>
    <s v="C1"/>
    <s v=""/>
    <s v="P088153C1"/>
    <x v="1"/>
    <n v="2011"/>
    <x v="0"/>
    <s v=""/>
    <n v="12664"/>
    <n v="682"/>
    <s v="USD"/>
    <n v="682"/>
    <n v="5.3853442830069487E-2"/>
    <s v=""/>
    <s v=""/>
    <s v=""/>
    <s v="x"/>
    <s v="x"/>
    <m/>
  </r>
  <r>
    <s v="Argentina"/>
    <s v="Latin America and Caribbean"/>
    <s v="P088153"/>
    <s v="C1"/>
    <s v=""/>
    <s v="P088153C1"/>
    <x v="2"/>
    <s v="2004 / 2011"/>
    <x v="0"/>
    <s v=""/>
    <n v="0.60184393118524859"/>
    <m/>
    <m/>
    <n v="2.6362582141476616"/>
    <n v="4.3803020642841988"/>
    <s v=""/>
    <s v=""/>
    <s v=""/>
    <s v="x"/>
    <s v="x"/>
    <s v="Macroeconomic conditions; Competition; Quality of estimates"/>
  </r>
  <r>
    <s v="Argentina"/>
    <s v="Latin America and Caribbean"/>
    <s v="P095569"/>
    <s v="C1"/>
    <s v=""/>
    <s v="P095569C1"/>
    <x v="0"/>
    <n v="2007"/>
    <x v="5"/>
    <s v=""/>
    <n v="3290"/>
    <n v="384.4"/>
    <s v="USD"/>
    <n v="384.4"/>
    <n v="0.11683890577507598"/>
    <s v=""/>
    <s v=""/>
    <s v=""/>
    <s v=""/>
    <s v=""/>
    <m/>
  </r>
  <r>
    <s v="Argentina"/>
    <s v="Latin America and Caribbean"/>
    <s v="P095569"/>
    <s v="C1"/>
    <s v=""/>
    <s v="P095569C1"/>
    <x v="1"/>
    <n v="2014"/>
    <x v="5"/>
    <s v=""/>
    <n v="3327"/>
    <n v="389.8"/>
    <s v="USD"/>
    <n v="389.8"/>
    <n v="0.11716260895701834"/>
    <s v=""/>
    <s v=""/>
    <s v=""/>
    <s v=""/>
    <s v=""/>
    <m/>
  </r>
  <r>
    <s v="Argentina"/>
    <s v="Latin America and Caribbean"/>
    <s v="P095569"/>
    <s v="C1"/>
    <s v=""/>
    <s v="P095569C1"/>
    <x v="2"/>
    <s v="2007 / 2014"/>
    <x v="5"/>
    <s v=""/>
    <n v="1.0112462006079028"/>
    <m/>
    <m/>
    <n v="1.0140478668054111"/>
    <n v="1.0027705085030967"/>
    <s v=""/>
    <s v=""/>
    <s v=""/>
    <s v=""/>
    <s v=""/>
    <s v=""/>
  </r>
  <r>
    <s v="Armenia"/>
    <s v="Europe and Central Asia"/>
    <s v="P115486"/>
    <s v="C1"/>
    <s v=""/>
    <s v="P115486C1"/>
    <x v="0"/>
    <n v="2009"/>
    <x v="2"/>
    <n v="7"/>
    <n v="99.8"/>
    <n v="27.1"/>
    <s v="USD"/>
    <n v="27.1"/>
    <n v="0.27154308617234474"/>
    <s v=""/>
    <s v="x"/>
    <s v=""/>
    <s v=""/>
    <s v="x"/>
    <m/>
  </r>
  <r>
    <s v="Armenia"/>
    <s v="Europe and Central Asia"/>
    <s v="P115486"/>
    <s v="C1"/>
    <s v=""/>
    <s v="P115486C1"/>
    <x v="1"/>
    <n v="2014"/>
    <x v="2"/>
    <n v="43"/>
    <n v="446"/>
    <n v="116.598226"/>
    <s v="USD"/>
    <n v="116.598226"/>
    <n v="0.26143099999999997"/>
    <s v=""/>
    <s v="x"/>
    <s v=""/>
    <s v=""/>
    <s v="x"/>
    <m/>
  </r>
  <r>
    <s v="Armenia"/>
    <s v="Europe and Central Asia"/>
    <s v="P115486"/>
    <s v="C1"/>
    <s v=""/>
    <s v="P115486C1"/>
    <x v="2"/>
    <s v="2009 / 2014"/>
    <x v="2"/>
    <n v="6.1428571428571432"/>
    <n v="4.4689378757515028"/>
    <n v="4.3025175645756457"/>
    <m/>
    <n v="4.3025175645756457"/>
    <n v="0.96276065682656797"/>
    <s v=""/>
    <s v="x"/>
    <s v=""/>
    <s v=""/>
    <s v="x"/>
    <s v="Capacity of contractors; Change of project scope; "/>
  </r>
  <r>
    <s v="Armenia"/>
    <s v="Europe and Central Asia"/>
    <s v="P044829"/>
    <s v="C1"/>
    <s v=""/>
    <s v="P044829C1"/>
    <x v="0"/>
    <n v="2000"/>
    <x v="5"/>
    <s v=""/>
    <n v="350.7"/>
    <n v="26.8"/>
    <s v="USD"/>
    <n v="26.8"/>
    <n v="7.6418591388651272E-2"/>
    <s v=""/>
    <s v=""/>
    <s v=""/>
    <s v="x"/>
    <s v="x"/>
    <m/>
  </r>
  <r>
    <s v="Armenia"/>
    <s v="Europe and Central Asia"/>
    <s v="P044829"/>
    <s v="C1"/>
    <s v=""/>
    <s v="P044829C1"/>
    <x v="1"/>
    <n v="2005"/>
    <x v="5"/>
    <s v=""/>
    <n v="227"/>
    <n v="33.299999999999997"/>
    <s v="USD"/>
    <n v="33.299999999999997"/>
    <n v="0.14669603524229075"/>
    <s v=""/>
    <s v=""/>
    <s v=""/>
    <s v="x"/>
    <s v="x"/>
    <m/>
  </r>
  <r>
    <s v="Armenia"/>
    <s v="Europe and Central Asia"/>
    <s v="P044829"/>
    <s v="C1"/>
    <s v=""/>
    <s v="P044829C1"/>
    <x v="2"/>
    <s v="2000 / 2005"/>
    <x v="5"/>
    <s v=""/>
    <n v="0.64727687482178498"/>
    <m/>
    <m/>
    <n v="1.2425373134328357"/>
    <n v="1.9196380432638569"/>
    <s v=""/>
    <s v=""/>
    <s v=""/>
    <s v="x"/>
    <s v="x"/>
    <s v="Political events ; ; "/>
  </r>
  <r>
    <s v="Armenia"/>
    <s v="Europe and Central Asia"/>
    <s v="P044829"/>
    <s v="C1"/>
    <s v="S1"/>
    <s v="P044829C1S1"/>
    <x v="0"/>
    <n v="2000"/>
    <x v="6"/>
    <n v="15"/>
    <n v="18.7"/>
    <n v="1.19"/>
    <s v="USD"/>
    <n v="1.19"/>
    <n v="6.363636363636363E-2"/>
    <s v=""/>
    <s v=""/>
    <s v=""/>
    <s v=""/>
    <s v=""/>
    <m/>
  </r>
  <r>
    <s v="Armenia"/>
    <s v="Europe and Central Asia"/>
    <s v="P044829"/>
    <s v="C1"/>
    <s v="S1"/>
    <s v="P044829C1S1"/>
    <x v="1"/>
    <n v="2005"/>
    <x v="6"/>
    <s v=""/>
    <n v="18.7"/>
    <n v="1.2000000000000002"/>
    <s v="USD"/>
    <n v="1.2000000000000002"/>
    <n v="6.4171122994652413E-2"/>
    <s v=""/>
    <s v=""/>
    <s v=""/>
    <s v=""/>
    <s v=""/>
    <m/>
  </r>
  <r>
    <s v="Armenia"/>
    <s v="Europe and Central Asia"/>
    <s v="P044829"/>
    <s v="C1"/>
    <s v="S1"/>
    <s v="P044829C1S1"/>
    <x v="2"/>
    <s v="2000 / 2005"/>
    <x v="6"/>
    <s v=""/>
    <n v="1"/>
    <m/>
    <m/>
    <n v="1.008403361344538"/>
    <n v="1.008403361344538"/>
    <s v=""/>
    <s v=""/>
    <s v=""/>
    <s v=""/>
    <s v=""/>
    <s v=""/>
  </r>
  <r>
    <s v="Armenia"/>
    <s v="Europe and Central Asia"/>
    <s v="P044829"/>
    <s v="C1"/>
    <s v="S2"/>
    <s v="P044829C1S2"/>
    <x v="0"/>
    <n v="2000"/>
    <x v="5"/>
    <n v="15"/>
    <n v="8.5"/>
    <n v="1.42"/>
    <s v="USD"/>
    <n v="1.42"/>
    <n v="0.16705882352941176"/>
    <s v=""/>
    <s v=""/>
    <s v=""/>
    <s v=""/>
    <s v=""/>
    <m/>
  </r>
  <r>
    <s v="Armenia"/>
    <s v="Europe and Central Asia"/>
    <s v="P044829"/>
    <s v="C1"/>
    <s v="S2"/>
    <s v="P044829C1S2"/>
    <x v="1"/>
    <n v="2005"/>
    <x v="5"/>
    <s v=""/>
    <n v="8.5"/>
    <n v="1.671"/>
    <s v="USD"/>
    <n v="1.671"/>
    <n v="0.19658823529411765"/>
    <s v=""/>
    <s v=""/>
    <s v=""/>
    <s v=""/>
    <s v=""/>
    <m/>
  </r>
  <r>
    <s v="Armenia"/>
    <s v="Europe and Central Asia"/>
    <s v="P044829"/>
    <s v="C1"/>
    <s v="S2"/>
    <s v="P044829C1S2"/>
    <x v="2"/>
    <s v="2000 / 2005"/>
    <x v="5"/>
    <s v=""/>
    <n v="1"/>
    <m/>
    <m/>
    <n v="1.1767605633802818"/>
    <n v="1.1767605633802818"/>
    <s v=""/>
    <s v=""/>
    <s v=""/>
    <s v=""/>
    <s v=""/>
    <s v=""/>
  </r>
  <r>
    <s v="Armenia"/>
    <s v="Europe and Central Asia"/>
    <s v="P044829"/>
    <s v="C1"/>
    <s v="S3"/>
    <s v="P044829C1S3"/>
    <x v="0"/>
    <n v="2000"/>
    <x v="5"/>
    <n v="15"/>
    <n v="11.6"/>
    <n v="1.03"/>
    <s v="USD"/>
    <n v="1.03"/>
    <n v="8.8793103448275873E-2"/>
    <s v=""/>
    <s v=""/>
    <s v=""/>
    <s v=""/>
    <s v=""/>
    <m/>
  </r>
  <r>
    <s v="Armenia"/>
    <s v="Europe and Central Asia"/>
    <s v="P044829"/>
    <s v="C1"/>
    <s v="S3"/>
    <s v="P044829C1S3"/>
    <x v="1"/>
    <n v="2005"/>
    <x v="5"/>
    <s v=""/>
    <n v="11.6"/>
    <n v="1.17"/>
    <s v="USD"/>
    <n v="1.17"/>
    <n v="0.10086206896551723"/>
    <s v=""/>
    <s v=""/>
    <s v=""/>
    <s v=""/>
    <s v=""/>
    <m/>
  </r>
  <r>
    <s v="Armenia"/>
    <s v="Europe and Central Asia"/>
    <s v="P044829"/>
    <s v="C1"/>
    <s v="S3"/>
    <s v="P044829C1S3"/>
    <x v="2"/>
    <s v="2000 / 2005"/>
    <x v="5"/>
    <s v=""/>
    <n v="1"/>
    <m/>
    <m/>
    <n v="1.1359223300970873"/>
    <n v="1.1359223300970871"/>
    <s v=""/>
    <s v=""/>
    <s v=""/>
    <s v=""/>
    <s v=""/>
    <s v=""/>
  </r>
  <r>
    <s v="Armenia"/>
    <s v="Europe and Central Asia"/>
    <s v="P044829"/>
    <s v="C1"/>
    <s v="S4"/>
    <s v="P044829C1S4"/>
    <x v="0"/>
    <n v="2000"/>
    <x v="5"/>
    <n v="14"/>
    <n v="2.6"/>
    <n v="0.6"/>
    <s v="USD"/>
    <n v="0.6"/>
    <n v="0.23076923076923075"/>
    <s v=""/>
    <s v=""/>
    <s v=""/>
    <s v=""/>
    <s v=""/>
    <m/>
  </r>
  <r>
    <s v="Armenia"/>
    <s v="Europe and Central Asia"/>
    <s v="P044829"/>
    <s v="C1"/>
    <s v="S4"/>
    <s v="P044829C1S4"/>
    <x v="1"/>
    <n v="2005"/>
    <x v="5"/>
    <s v=""/>
    <n v="2.6"/>
    <n v="0.55600000000000005"/>
    <s v="USD"/>
    <n v="0.55600000000000005"/>
    <n v="0.21384615384615385"/>
    <s v=""/>
    <s v=""/>
    <s v=""/>
    <s v=""/>
    <s v=""/>
    <m/>
  </r>
  <r>
    <s v="Armenia"/>
    <s v="Europe and Central Asia"/>
    <s v="P044829"/>
    <s v="C1"/>
    <s v="S4"/>
    <s v="P044829C1S4"/>
    <x v="2"/>
    <s v="2000 / 2005"/>
    <x v="5"/>
    <s v=""/>
    <n v="1"/>
    <m/>
    <m/>
    <n v="0.92666666666666675"/>
    <n v="0.92666666666666675"/>
    <s v=""/>
    <s v=""/>
    <s v=""/>
    <s v=""/>
    <s v=""/>
    <s v=""/>
  </r>
  <r>
    <s v="Armenia"/>
    <s v="Europe and Central Asia"/>
    <s v="P044829"/>
    <s v="C1"/>
    <s v="S5"/>
    <s v="P044829C1S5"/>
    <x v="0"/>
    <n v="2000"/>
    <x v="5"/>
    <n v="14"/>
    <n v="16"/>
    <n v="1.75"/>
    <s v="USD"/>
    <n v="1.75"/>
    <n v="0.109375"/>
    <s v=""/>
    <s v=""/>
    <s v=""/>
    <s v=""/>
    <s v=""/>
    <m/>
  </r>
  <r>
    <s v="Armenia"/>
    <s v="Europe and Central Asia"/>
    <s v="P044829"/>
    <s v="C1"/>
    <s v="S5"/>
    <s v="P044829C1S5"/>
    <x v="1"/>
    <n v="2005"/>
    <x v="5"/>
    <s v=""/>
    <n v="16"/>
    <n v="1.9020000000000001"/>
    <s v="USD"/>
    <n v="1.9020000000000001"/>
    <n v="0.11887500000000001"/>
    <s v=""/>
    <s v=""/>
    <s v=""/>
    <s v=""/>
    <s v=""/>
    <m/>
  </r>
  <r>
    <s v="Armenia"/>
    <s v="Europe and Central Asia"/>
    <s v="P044829"/>
    <s v="C1"/>
    <s v="S5"/>
    <s v="P044829C1S5"/>
    <x v="2"/>
    <s v="2000 / 2005"/>
    <x v="5"/>
    <s v=""/>
    <n v="1"/>
    <m/>
    <m/>
    <n v="1.086857142857143"/>
    <n v="1.086857142857143"/>
    <s v=""/>
    <s v=""/>
    <s v=""/>
    <s v=""/>
    <s v=""/>
    <s v=""/>
  </r>
  <r>
    <s v="Armenia"/>
    <s v="Europe and Central Asia"/>
    <s v="P044829"/>
    <s v="C1"/>
    <s v="S6"/>
    <s v="P044829C1S6"/>
    <x v="0"/>
    <n v="2000"/>
    <x v="5"/>
    <n v="14"/>
    <n v="10.4"/>
    <n v="1.24"/>
    <s v="USD"/>
    <n v="1.24"/>
    <n v="0.11923076923076922"/>
    <s v=""/>
    <s v=""/>
    <s v=""/>
    <s v=""/>
    <s v=""/>
    <m/>
  </r>
  <r>
    <s v="Armenia"/>
    <s v="Europe and Central Asia"/>
    <s v="P044829"/>
    <s v="C1"/>
    <s v="S6"/>
    <s v="P044829C1S6"/>
    <x v="1"/>
    <n v="2005"/>
    <x v="5"/>
    <s v=""/>
    <n v="10.4"/>
    <n v="1.1200000000000001"/>
    <s v="USD"/>
    <n v="1.1200000000000001"/>
    <n v="0.1076923076923077"/>
    <s v=""/>
    <s v=""/>
    <s v=""/>
    <s v=""/>
    <s v=""/>
    <m/>
  </r>
  <r>
    <s v="Armenia"/>
    <s v="Europe and Central Asia"/>
    <s v="P044829"/>
    <s v="C1"/>
    <s v="S6"/>
    <s v="P044829C1S6"/>
    <x v="2"/>
    <s v="2000 / 2005"/>
    <x v="5"/>
    <s v=""/>
    <n v="1"/>
    <m/>
    <m/>
    <n v="0.90322580645161299"/>
    <n v="0.90322580645161299"/>
    <s v=""/>
    <s v=""/>
    <s v=""/>
    <s v=""/>
    <s v=""/>
    <s v=""/>
  </r>
  <r>
    <s v="Azerbaijan"/>
    <s v="Europe and Central Asia"/>
    <s v="P040716"/>
    <s v="C1"/>
    <s v="S1"/>
    <s v="P040716C1S1"/>
    <x v="0"/>
    <n v="2001"/>
    <x v="2"/>
    <s v=""/>
    <n v="21.3"/>
    <n v="9.01"/>
    <s v="USD"/>
    <n v="9.01"/>
    <n v="0.42300469483568071"/>
    <s v=""/>
    <s v=""/>
    <s v=""/>
    <s v=""/>
    <s v=""/>
    <m/>
  </r>
  <r>
    <s v="Azerbaijan"/>
    <s v="Europe and Central Asia"/>
    <s v="P040716"/>
    <s v="C1"/>
    <s v="S1"/>
    <s v="P040716C1S1"/>
    <x v="1"/>
    <n v="2009"/>
    <x v="2"/>
    <s v=""/>
    <n v="21.3"/>
    <n v="7.5"/>
    <s v="USD"/>
    <n v="7.5"/>
    <n v="0.352112676056338"/>
    <s v=""/>
    <s v=""/>
    <s v=""/>
    <s v=""/>
    <s v=""/>
    <m/>
  </r>
  <r>
    <s v="Azerbaijan"/>
    <s v="Europe and Central Asia"/>
    <s v="P040716"/>
    <s v="C1"/>
    <s v="S1"/>
    <s v="P040716C1S1"/>
    <x v="2"/>
    <s v="2001 / 2009"/>
    <x v="2"/>
    <s v=""/>
    <n v="1"/>
    <m/>
    <m/>
    <n v="0.83240843507214213"/>
    <n v="0.83240843507214213"/>
    <s v=""/>
    <s v=""/>
    <s v=""/>
    <s v=""/>
    <s v=""/>
    <s v=""/>
  </r>
  <r>
    <s v="Azerbaijan"/>
    <s v="Europe and Central Asia"/>
    <s v="P040716"/>
    <s v="C1"/>
    <s v="S2"/>
    <s v="P040716C1S2"/>
    <x v="0"/>
    <n v="2001"/>
    <x v="2"/>
    <s v=""/>
    <n v="72.7"/>
    <n v="34.43"/>
    <s v="USD"/>
    <n v="34.43"/>
    <n v="0.47359009628610726"/>
    <s v=""/>
    <s v=""/>
    <s v=""/>
    <s v=""/>
    <s v=""/>
    <m/>
  </r>
  <r>
    <s v="Azerbaijan"/>
    <s v="Europe and Central Asia"/>
    <s v="P040716"/>
    <s v="C1"/>
    <s v="S2"/>
    <s v="P040716C1S2"/>
    <x v="1"/>
    <n v="2009"/>
    <x v="2"/>
    <s v=""/>
    <n v="72.7"/>
    <n v="30.8"/>
    <s v="USD"/>
    <n v="30.8"/>
    <n v="0.4236588720770289"/>
    <s v=""/>
    <s v=""/>
    <s v=""/>
    <s v=""/>
    <s v=""/>
    <m/>
  </r>
  <r>
    <s v="Azerbaijan"/>
    <s v="Europe and Central Asia"/>
    <s v="P040716"/>
    <s v="C1"/>
    <s v="S2"/>
    <s v="P040716C1S2"/>
    <x v="2"/>
    <s v="2001 / 2009"/>
    <x v="2"/>
    <s v=""/>
    <n v="1"/>
    <m/>
    <m/>
    <n v="0.89456869009584672"/>
    <n v="0.89456869009584672"/>
    <s v=""/>
    <s v=""/>
    <s v=""/>
    <s v=""/>
    <s v=""/>
    <s v=""/>
  </r>
  <r>
    <s v="Azerbaijan"/>
    <s v="Europe and Central Asia"/>
    <s v="P094488"/>
    <s v="C1"/>
    <s v="S1"/>
    <s v="P094488C1S1"/>
    <x v="0"/>
    <n v="2005"/>
    <x v="9"/>
    <s v=""/>
    <n v="80"/>
    <n v="122.7"/>
    <s v="USD"/>
    <n v="122.7"/>
    <n v="1.5337499999999999"/>
    <s v="x"/>
    <s v=""/>
    <s v=""/>
    <s v="x"/>
    <s v="x"/>
    <m/>
  </r>
  <r>
    <s v="Azerbaijan"/>
    <s v="Europe and Central Asia"/>
    <s v="P094488"/>
    <s v="C1"/>
    <s v="S1"/>
    <s v="P094488C1S1"/>
    <x v="1"/>
    <n v="2005"/>
    <x v="9"/>
    <s v=""/>
    <n v="31"/>
    <n v="85.3"/>
    <s v="USD"/>
    <n v="85.3"/>
    <n v="2.7516129032258063"/>
    <s v="x"/>
    <s v=""/>
    <s v=""/>
    <s v="x"/>
    <s v="x"/>
    <m/>
  </r>
  <r>
    <s v="Azerbaijan"/>
    <s v="Europe and Central Asia"/>
    <s v="P094488"/>
    <s v="C1"/>
    <s v="S1"/>
    <s v="P094488C1S1"/>
    <x v="2"/>
    <s v="2005 / 2005"/>
    <x v="9"/>
    <s v=""/>
    <n v="0.38750000000000001"/>
    <m/>
    <m/>
    <n v="0.69519152404237972"/>
    <n v="1.7940426426900122"/>
    <s v="x"/>
    <s v=""/>
    <s v=""/>
    <s v="x"/>
    <s v="x"/>
    <s v="Administrative processes; Macroeconomic conditions; Competition"/>
  </r>
  <r>
    <s v="Azerbaijan"/>
    <s v="Europe and Central Asia"/>
    <s v="P094488"/>
    <s v="C1"/>
    <s v="S2"/>
    <s v="P094488C1S2"/>
    <x v="0"/>
    <n v="2005"/>
    <x v="2"/>
    <s v=""/>
    <n v="124"/>
    <n v="80"/>
    <s v="USD"/>
    <n v="80"/>
    <n v="0.64516129032258063"/>
    <s v=""/>
    <s v=""/>
    <s v=""/>
    <s v="x"/>
    <s v="x"/>
    <m/>
  </r>
  <r>
    <s v="Azerbaijan"/>
    <s v="Europe and Central Asia"/>
    <s v="P094488"/>
    <s v="C1"/>
    <s v="S2"/>
    <s v="P094488C1S2"/>
    <x v="1"/>
    <n v="2005"/>
    <x v="2"/>
    <s v=""/>
    <n v="124"/>
    <n v="142.5"/>
    <s v="USD"/>
    <n v="142.5"/>
    <n v="1.1491935483870968"/>
    <s v=""/>
    <s v=""/>
    <s v=""/>
    <s v="x"/>
    <s v="x"/>
    <m/>
  </r>
  <r>
    <s v="Azerbaijan"/>
    <s v="Europe and Central Asia"/>
    <s v="P094488"/>
    <s v="C1"/>
    <s v="S2"/>
    <s v="P094488C1S2"/>
    <x v="2"/>
    <s v="2005 / 2005"/>
    <x v="2"/>
    <s v=""/>
    <n v="1"/>
    <m/>
    <m/>
    <n v="1.78125"/>
    <n v="1.78125"/>
    <s v=""/>
    <s v=""/>
    <s v=""/>
    <s v="x"/>
    <s v="x"/>
    <s v="Administrative processes; Macroeconomic conditions; Competition"/>
  </r>
  <r>
    <s v="Bangladesh"/>
    <s v="South Asia"/>
    <s v="P071435"/>
    <s v="C1"/>
    <s v=""/>
    <s v="P071435C1"/>
    <x v="0"/>
    <n v="2003"/>
    <x v="10"/>
    <s v=""/>
    <n v="1100"/>
    <n v="6353.75"/>
    <s v="BDT"/>
    <n v="110.5"/>
    <n v="0.10045454545454545"/>
    <s v=""/>
    <s v=""/>
    <s v=""/>
    <s v=""/>
    <s v=""/>
    <m/>
  </r>
  <r>
    <s v="Bangladesh"/>
    <s v="South Asia"/>
    <s v="P071435"/>
    <s v="C1"/>
    <s v=""/>
    <s v="P071435C1"/>
    <x v="1"/>
    <n v="2013"/>
    <x v="10"/>
    <s v=""/>
    <n v="1115"/>
    <n v="8638.09"/>
    <s v="BDT"/>
    <n v="105.63886510945335"/>
    <n v="9.4743376779778787E-2"/>
    <s v=""/>
    <s v=""/>
    <s v=""/>
    <s v=""/>
    <s v=""/>
    <m/>
  </r>
  <r>
    <s v="Bangladesh"/>
    <s v="South Asia"/>
    <s v="P071435"/>
    <s v="C1"/>
    <s v=""/>
    <s v="P071435C1"/>
    <x v="2"/>
    <s v="2003 / 2013"/>
    <x v="10"/>
    <s v=""/>
    <n v="1.0136363636363637"/>
    <n v="1.3595262640173127"/>
    <m/>
    <n v="0.95600782904482673"/>
    <n v="0.94314673717426856"/>
    <s v=""/>
    <s v=""/>
    <s v=""/>
    <s v=""/>
    <s v=""/>
    <s v=""/>
  </r>
  <r>
    <s v="Bangladesh"/>
    <s v="South Asia"/>
    <s v="P071435"/>
    <s v="C2"/>
    <s v=""/>
    <s v="P071435C2"/>
    <x v="0"/>
    <n v="2003"/>
    <x v="1"/>
    <s v=""/>
    <n v="500"/>
    <n v="1351.25"/>
    <s v="BDT"/>
    <n v="23.5"/>
    <n v="4.7E-2"/>
    <s v=""/>
    <s v=""/>
    <s v=""/>
    <s v=""/>
    <s v=""/>
    <m/>
  </r>
  <r>
    <s v="Bangladesh"/>
    <s v="South Asia"/>
    <s v="P071435"/>
    <s v="C2"/>
    <s v=""/>
    <s v="P071435C2"/>
    <x v="1"/>
    <n v="2013"/>
    <x v="1"/>
    <s v=""/>
    <n v="515"/>
    <n v="2085.7800000000002"/>
    <s v="BDT"/>
    <n v="25.507887978476216"/>
    <n v="4.952987956985673E-2"/>
    <s v=""/>
    <s v=""/>
    <s v=""/>
    <s v=""/>
    <s v=""/>
    <m/>
  </r>
  <r>
    <s v="Bangladesh"/>
    <s v="South Asia"/>
    <s v="P071435"/>
    <s v="C2"/>
    <s v=""/>
    <s v="P071435C2"/>
    <x v="2"/>
    <s v="2003 / 2013"/>
    <x v="1"/>
    <s v=""/>
    <n v="1.03"/>
    <n v="1.5435929694727106"/>
    <m/>
    <n v="1.0854420416372859"/>
    <n v="1.0538272248905687"/>
    <s v=""/>
    <s v=""/>
    <s v=""/>
    <s v=""/>
    <s v=""/>
    <s v=""/>
  </r>
  <r>
    <s v="Bangladesh"/>
    <s v="South Asia"/>
    <s v="P071435"/>
    <s v="C3"/>
    <s v=""/>
    <s v="P071435C3"/>
    <x v="0"/>
    <n v="2003"/>
    <x v="5"/>
    <s v=""/>
    <n v="1500"/>
    <n v="2242.5"/>
    <s v="BDT"/>
    <n v="39"/>
    <n v="2.5999999999999999E-2"/>
    <s v=""/>
    <s v=""/>
    <s v=""/>
    <s v=""/>
    <s v=""/>
    <m/>
  </r>
  <r>
    <s v="Bangladesh"/>
    <s v="South Asia"/>
    <s v="P071435"/>
    <s v="C3"/>
    <s v=""/>
    <s v="P071435C3"/>
    <x v="1"/>
    <n v="2013"/>
    <x v="5"/>
    <s v=""/>
    <n v="2120"/>
    <n v="3425.22"/>
    <s v="BDT"/>
    <n v="41.888467653173535"/>
    <n v="1.9758711157157327E-2"/>
    <s v=""/>
    <s v=""/>
    <s v=""/>
    <s v=""/>
    <s v=""/>
    <m/>
  </r>
  <r>
    <s v="Bangladesh"/>
    <s v="South Asia"/>
    <s v="P071435"/>
    <s v="C3"/>
    <s v=""/>
    <s v="P071435C3"/>
    <x v="2"/>
    <s v="2003 / 2013"/>
    <x v="5"/>
    <s v=""/>
    <n v="1.4133333333333333"/>
    <n v="1.5274113712374582"/>
    <m/>
    <n v="1.0740632731582958"/>
    <n v="0.75995042912143573"/>
    <s v=""/>
    <s v=""/>
    <s v=""/>
    <s v=""/>
    <s v=""/>
    <s v=""/>
  </r>
  <r>
    <s v="Belarus"/>
    <s v="Europe and Central Asia"/>
    <s v="P118375"/>
    <s v="C1"/>
    <s v="S1"/>
    <s v="P118375C1S1"/>
    <x v="0"/>
    <n v="2010"/>
    <x v="11"/>
    <n v="31"/>
    <n v="17.420000000000002"/>
    <n v="43.1"/>
    <s v="USD"/>
    <n v="43.1"/>
    <n v="2.4741676234213545"/>
    <s v=""/>
    <s v=""/>
    <s v=""/>
    <s v=""/>
    <s v=""/>
    <m/>
  </r>
  <r>
    <s v="Belarus"/>
    <s v="Europe and Central Asia"/>
    <s v="P118375"/>
    <s v="C1"/>
    <s v="S1"/>
    <s v="P118375C1S1"/>
    <x v="1"/>
    <n v="2016"/>
    <x v="11"/>
    <n v="24"/>
    <n v="17.420000000000002"/>
    <n v="36.14"/>
    <s v="USD"/>
    <n v="36.14"/>
    <n v="2.0746268656716418"/>
    <s v=""/>
    <s v=""/>
    <s v=""/>
    <s v=""/>
    <s v=""/>
    <m/>
  </r>
  <r>
    <s v="Belarus"/>
    <s v="Europe and Central Asia"/>
    <s v="P118375"/>
    <s v="C1"/>
    <s v="S1"/>
    <s v="P118375C1S1"/>
    <x v="2"/>
    <s v="2010 / 2016"/>
    <x v="11"/>
    <n v="0.77419354838709675"/>
    <n v="1"/>
    <m/>
    <m/>
    <n v="0.83851508120649654"/>
    <n v="0.83851508120649654"/>
    <s v=""/>
    <s v=""/>
    <s v=""/>
    <s v=""/>
    <s v=""/>
    <s v=""/>
  </r>
  <r>
    <s v="Belarus"/>
    <s v="Europe and Central Asia"/>
    <s v="P118375"/>
    <s v="C1"/>
    <s v="S2"/>
    <s v="P118375C1S2"/>
    <x v="0"/>
    <n v="2010"/>
    <x v="11"/>
    <n v="31"/>
    <n v="10.4"/>
    <n v="25.7"/>
    <s v="USD"/>
    <n v="25.7"/>
    <n v="2.4711538461538458"/>
    <s v=""/>
    <s v=""/>
    <s v=""/>
    <s v=""/>
    <s v=""/>
    <m/>
  </r>
  <r>
    <s v="Belarus"/>
    <s v="Europe and Central Asia"/>
    <s v="P118375"/>
    <s v="C1"/>
    <s v="S2"/>
    <s v="P118375C1S2"/>
    <x v="1"/>
    <n v="2016"/>
    <x v="11"/>
    <n v="24"/>
    <n v="10.4"/>
    <n v="34.15"/>
    <s v="USD"/>
    <n v="34.15"/>
    <n v="3.2836538461538458"/>
    <s v=""/>
    <s v=""/>
    <s v=""/>
    <s v=""/>
    <s v=""/>
    <m/>
  </r>
  <r>
    <s v="Belarus"/>
    <s v="Europe and Central Asia"/>
    <s v="P118375"/>
    <s v="C1"/>
    <s v="S2"/>
    <s v="P118375C1S2"/>
    <x v="2"/>
    <s v="2010 / 2016"/>
    <x v="11"/>
    <n v="0.77419354838709675"/>
    <n v="1"/>
    <m/>
    <m/>
    <n v="1.3287937743190661"/>
    <n v="1.3287937743190661"/>
    <s v=""/>
    <s v=""/>
    <s v=""/>
    <s v=""/>
    <s v=""/>
    <s v=""/>
  </r>
  <r>
    <s v="Belarus"/>
    <s v="Europe and Central Asia"/>
    <s v="P118375"/>
    <s v="C1"/>
    <s v="S3"/>
    <s v="P118375C1S3"/>
    <x v="0"/>
    <n v="2010"/>
    <x v="11"/>
    <n v="31"/>
    <n v="16.5"/>
    <n v="41"/>
    <s v="USD"/>
    <n v="41"/>
    <n v="2.4848484848484849"/>
    <s v=""/>
    <s v=""/>
    <s v=""/>
    <s v=""/>
    <s v=""/>
    <m/>
  </r>
  <r>
    <s v="Belarus"/>
    <s v="Europe and Central Asia"/>
    <s v="P118375"/>
    <s v="C1"/>
    <s v="S3"/>
    <s v="P118375C1S3"/>
    <x v="1"/>
    <n v="2016"/>
    <x v="11"/>
    <n v="24"/>
    <n v="16.5"/>
    <n v="33.299999999999997"/>
    <s v="USD"/>
    <n v="33.299999999999997"/>
    <n v="2.0181818181818181"/>
    <s v=""/>
    <s v=""/>
    <s v=""/>
    <s v=""/>
    <s v=""/>
    <m/>
  </r>
  <r>
    <s v="Belarus"/>
    <s v="Europe and Central Asia"/>
    <s v="P118375"/>
    <s v="C1"/>
    <s v="S3"/>
    <s v="P118375C1S3"/>
    <x v="2"/>
    <s v="2010 / 2016"/>
    <x v="11"/>
    <n v="0.77419354838709675"/>
    <n v="1"/>
    <m/>
    <m/>
    <n v="0.81219512195121946"/>
    <n v="0.81219512195121946"/>
    <s v=""/>
    <s v=""/>
    <s v=""/>
    <s v=""/>
    <s v=""/>
    <s v=""/>
  </r>
  <r>
    <s v="Belarus"/>
    <s v="Europe and Central Asia"/>
    <s v="P118375"/>
    <s v="C1"/>
    <s v="S4"/>
    <s v="P118375C1S4"/>
    <x v="0"/>
    <n v="2010"/>
    <x v="11"/>
    <n v="31"/>
    <n v="8.4"/>
    <n v="20.8"/>
    <s v="USD"/>
    <n v="20.8"/>
    <n v="2.4761904761904763"/>
    <s v=""/>
    <s v=""/>
    <s v=""/>
    <s v=""/>
    <s v=""/>
    <m/>
  </r>
  <r>
    <s v="Belarus"/>
    <s v="Europe and Central Asia"/>
    <s v="P118375"/>
    <s v="C1"/>
    <s v="S4"/>
    <s v="P118375C1S4"/>
    <x v="1"/>
    <n v="2016"/>
    <x v="11"/>
    <n v="24"/>
    <n v="8.4"/>
    <n v="30.66"/>
    <s v="USD"/>
    <n v="30.66"/>
    <n v="3.65"/>
    <s v=""/>
    <s v=""/>
    <s v=""/>
    <s v=""/>
    <s v=""/>
    <m/>
  </r>
  <r>
    <s v="Belarus"/>
    <s v="Europe and Central Asia"/>
    <s v="P118375"/>
    <s v="C1"/>
    <s v="S4"/>
    <s v="P118375C1S4"/>
    <x v="2"/>
    <s v="2010 / 2016"/>
    <x v="11"/>
    <n v="0.77419354838709675"/>
    <n v="1"/>
    <m/>
    <m/>
    <n v="1.4740384615384614"/>
    <n v="1.4740384615384614"/>
    <s v=""/>
    <s v=""/>
    <s v=""/>
    <s v=""/>
    <s v=""/>
    <s v=""/>
  </r>
  <r>
    <s v="Belize"/>
    <s v="Latin America and Caribbean"/>
    <s v="P040150"/>
    <s v="C1"/>
    <s v="S1"/>
    <s v="P040150C1S1"/>
    <x v="0"/>
    <n v="2000"/>
    <x v="1"/>
    <s v=""/>
    <n v="20"/>
    <n v="6.8"/>
    <s v="USD"/>
    <n v="6.8"/>
    <n v="0.33999999999999997"/>
    <s v=""/>
    <s v=""/>
    <s v=""/>
    <s v=""/>
    <s v=""/>
    <m/>
  </r>
  <r>
    <s v="Belize"/>
    <s v="Latin America and Caribbean"/>
    <s v="P040150"/>
    <s v="C1"/>
    <s v="S1"/>
    <s v="P040150C1S1"/>
    <x v="1"/>
    <n v="2006"/>
    <x v="1"/>
    <s v=""/>
    <n v="20"/>
    <n v="8.68"/>
    <s v="USD"/>
    <n v="8.68"/>
    <n v="0.434"/>
    <s v=""/>
    <s v=""/>
    <s v=""/>
    <s v=""/>
    <s v=""/>
    <m/>
  </r>
  <r>
    <s v="Belize"/>
    <s v="Latin America and Caribbean"/>
    <s v="P040150"/>
    <s v="C1"/>
    <s v="S1"/>
    <s v="P040150C1S1"/>
    <x v="2"/>
    <s v="2000 / 2006"/>
    <x v="1"/>
    <s v=""/>
    <n v="1"/>
    <m/>
    <m/>
    <n v="1.276470588235294"/>
    <n v="1.2764705882352942"/>
    <s v=""/>
    <s v=""/>
    <s v=""/>
    <s v=""/>
    <s v=""/>
    <s v=""/>
  </r>
  <r>
    <s v="Bhutan"/>
    <s v="South Asia"/>
    <s v="P059481"/>
    <s v="C1"/>
    <s v=""/>
    <s v="P059481C1"/>
    <x v="0"/>
    <n v="1999"/>
    <x v="12"/>
    <n v="60"/>
    <n v="122"/>
    <n v="12.5"/>
    <s v="USD"/>
    <n v="12.5"/>
    <n v="0.10245901639344263"/>
    <s v=""/>
    <s v=""/>
    <s v=""/>
    <s v=""/>
    <s v=""/>
    <m/>
  </r>
  <r>
    <s v="Bhutan"/>
    <s v="South Asia"/>
    <s v="P059481"/>
    <s v="C1"/>
    <s v=""/>
    <s v="P059481C1"/>
    <x v="1"/>
    <n v="2006"/>
    <x v="12"/>
    <n v="74"/>
    <n v="128.76"/>
    <n v="12.6"/>
    <s v="USD"/>
    <n v="12.6"/>
    <n v="9.7856477166821998E-2"/>
    <s v=""/>
    <s v=""/>
    <s v=""/>
    <s v=""/>
    <s v=""/>
    <m/>
  </r>
  <r>
    <s v="Bhutan"/>
    <s v="South Asia"/>
    <s v="P059481"/>
    <s v="C1"/>
    <s v=""/>
    <s v="P059481C1"/>
    <x v="2"/>
    <s v="1999 / 2006"/>
    <x v="12"/>
    <n v="1.2333333333333334"/>
    <n v="1.0554098360655737"/>
    <n v="1.008"/>
    <m/>
    <n v="1.008"/>
    <n v="0.95507921714818267"/>
    <s v=""/>
    <s v=""/>
    <s v=""/>
    <s v=""/>
    <s v=""/>
    <s v=""/>
  </r>
  <r>
    <s v="Bhutan"/>
    <s v="South Asia"/>
    <s v="P100332"/>
    <s v="C1"/>
    <s v=""/>
    <s v="P100332C1"/>
    <x v="0"/>
    <n v="2007"/>
    <x v="12"/>
    <s v=""/>
    <n v="89"/>
    <n v="8.6999999999999993"/>
    <s v="USD"/>
    <n v="8.6999999999999993"/>
    <n v="9.7752808988764039E-2"/>
    <s v=""/>
    <s v=""/>
    <s v=""/>
    <s v=""/>
    <s v=""/>
    <m/>
  </r>
  <r>
    <s v="Bhutan"/>
    <s v="South Asia"/>
    <s v="P100332"/>
    <s v="C1"/>
    <s v=""/>
    <s v="P100332C1"/>
    <x v="1"/>
    <n v="2013"/>
    <x v="12"/>
    <s v=""/>
    <n v="90"/>
    <n v="10.84"/>
    <s v="USD"/>
    <n v="10.84"/>
    <n v="0.12044444444444444"/>
    <s v=""/>
    <s v=""/>
    <s v=""/>
    <s v=""/>
    <s v=""/>
    <m/>
  </r>
  <r>
    <s v="Bhutan"/>
    <s v="South Asia"/>
    <s v="P100332"/>
    <s v="C1"/>
    <s v=""/>
    <s v="P100332C1"/>
    <x v="2"/>
    <s v="2007 / 2013"/>
    <x v="12"/>
    <s v=""/>
    <n v="1.0112359550561798"/>
    <m/>
    <m/>
    <n v="1.245977011494253"/>
    <n v="1.23213282247765"/>
    <s v=""/>
    <s v=""/>
    <s v=""/>
    <s v=""/>
    <s v=""/>
    <s v=""/>
  </r>
  <r>
    <s v="Bhutan"/>
    <s v="South Asia"/>
    <s v="P100332"/>
    <s v="C1"/>
    <s v="S1"/>
    <s v="P100332C1S1"/>
    <x v="0"/>
    <n v="2007"/>
    <x v="12"/>
    <n v="10"/>
    <n v="13.7"/>
    <n v="2"/>
    <s v="USD"/>
    <n v="2"/>
    <n v="0.14598540145985403"/>
    <s v=""/>
    <s v=""/>
    <s v=""/>
    <s v=""/>
    <s v=""/>
    <m/>
  </r>
  <r>
    <s v="Bhutan"/>
    <s v="South Asia"/>
    <s v="P100332"/>
    <s v="C1"/>
    <s v="S1"/>
    <s v="P100332C1S1"/>
    <x v="1"/>
    <n v="2013"/>
    <x v="12"/>
    <s v=""/>
    <n v="11.83"/>
    <n v="1.66"/>
    <s v="USD"/>
    <n v="1.66"/>
    <n v="0.14032121724429417"/>
    <s v=""/>
    <s v=""/>
    <s v=""/>
    <s v=""/>
    <s v=""/>
    <m/>
  </r>
  <r>
    <s v="Bhutan"/>
    <s v="South Asia"/>
    <s v="P100332"/>
    <s v="C1"/>
    <s v="S1"/>
    <s v="P100332C1S1"/>
    <x v="2"/>
    <s v="2007 / 2013"/>
    <x v="12"/>
    <s v=""/>
    <n v="0.86350364963503656"/>
    <m/>
    <m/>
    <n v="0.83"/>
    <n v="0.96120033812341499"/>
    <s v=""/>
    <s v=""/>
    <s v=""/>
    <s v=""/>
    <s v=""/>
    <s v=""/>
  </r>
  <r>
    <s v="Bhutan"/>
    <s v="South Asia"/>
    <s v="P100332"/>
    <s v="C1"/>
    <s v="S2"/>
    <s v="P100332C1S2"/>
    <x v="0"/>
    <n v="2007"/>
    <x v="12"/>
    <n v="10"/>
    <n v="22"/>
    <n v="2.5"/>
    <s v="USD"/>
    <n v="2.5"/>
    <n v="0.11363636363636363"/>
    <s v=""/>
    <s v=""/>
    <s v=""/>
    <s v=""/>
    <s v=""/>
    <m/>
  </r>
  <r>
    <s v="Bhutan"/>
    <s v="South Asia"/>
    <s v="P100332"/>
    <s v="C1"/>
    <s v="S2"/>
    <s v="P100332C1S2"/>
    <x v="1"/>
    <n v="2013"/>
    <x v="12"/>
    <s v=""/>
    <n v="26.1"/>
    <n v="3.19"/>
    <s v="USD"/>
    <n v="3.19"/>
    <n v="0.12222222222222222"/>
    <s v=""/>
    <s v=""/>
    <s v=""/>
    <s v=""/>
    <s v=""/>
    <m/>
  </r>
  <r>
    <s v="Bhutan"/>
    <s v="South Asia"/>
    <s v="P100332"/>
    <s v="C1"/>
    <s v="S2"/>
    <s v="P100332C1S2"/>
    <x v="2"/>
    <s v="2007 / 2013"/>
    <x v="12"/>
    <s v=""/>
    <n v="1.1863636363636365"/>
    <m/>
    <m/>
    <n v="1.276"/>
    <n v="1.0755555555555556"/>
    <s v=""/>
    <s v=""/>
    <s v=""/>
    <s v=""/>
    <s v=""/>
    <s v=""/>
  </r>
  <r>
    <s v="Bhutan"/>
    <s v="South Asia"/>
    <s v="P100332"/>
    <s v="C1"/>
    <s v="S3"/>
    <s v="P100332C1S3"/>
    <x v="0"/>
    <n v="2007"/>
    <x v="12"/>
    <n v="16"/>
    <n v="29"/>
    <n v="3.3"/>
    <s v="USD"/>
    <n v="3.3"/>
    <n v="0.11379310344827585"/>
    <s v=""/>
    <s v=""/>
    <s v=""/>
    <s v=""/>
    <s v=""/>
    <m/>
  </r>
  <r>
    <s v="Bhutan"/>
    <s v="South Asia"/>
    <s v="P100332"/>
    <s v="C1"/>
    <s v="S3"/>
    <s v="P100332C1S3"/>
    <x v="1"/>
    <n v="2013"/>
    <x v="12"/>
    <s v=""/>
    <n v="29"/>
    <n v="4.04"/>
    <s v="USD"/>
    <n v="4.04"/>
    <n v="0.1393103448275862"/>
    <s v=""/>
    <s v=""/>
    <s v=""/>
    <s v=""/>
    <s v=""/>
    <m/>
  </r>
  <r>
    <s v="Bhutan"/>
    <s v="South Asia"/>
    <s v="P100332"/>
    <s v="C1"/>
    <s v="S3"/>
    <s v="P100332C1S3"/>
    <x v="2"/>
    <s v="2007 / 2013"/>
    <x v="12"/>
    <s v=""/>
    <n v="1"/>
    <m/>
    <m/>
    <n v="1.2242424242424244"/>
    <n v="1.2242424242424244"/>
    <s v=""/>
    <s v=""/>
    <s v=""/>
    <s v=""/>
    <s v=""/>
    <s v=""/>
  </r>
  <r>
    <s v="Bolivia"/>
    <s v="Latin America and Caribbean"/>
    <s v="P068968"/>
    <s v="C1"/>
    <s v=""/>
    <s v="P068968C1"/>
    <x v="0"/>
    <n v="2002"/>
    <x v="2"/>
    <s v=""/>
    <n v="353"/>
    <n v="36.39"/>
    <s v="USD"/>
    <n v="36.39"/>
    <n v="0.10308781869688385"/>
    <s v=""/>
    <s v=""/>
    <s v=""/>
    <s v=""/>
    <s v=""/>
    <m/>
  </r>
  <r>
    <s v="Bolivia"/>
    <s v="Latin America and Caribbean"/>
    <s v="P068968"/>
    <s v="C1"/>
    <s v=""/>
    <s v="P068968C1"/>
    <x v="1"/>
    <n v="2011"/>
    <x v="2"/>
    <s v=""/>
    <n v="353"/>
    <n v="42.5"/>
    <s v="USD"/>
    <n v="42.5"/>
    <n v="0.12039660056657224"/>
    <s v=""/>
    <s v=""/>
    <s v=""/>
    <s v=""/>
    <s v=""/>
    <m/>
  </r>
  <r>
    <s v="Bolivia"/>
    <s v="Latin America and Caribbean"/>
    <s v="P068968"/>
    <s v="C1"/>
    <s v=""/>
    <s v="P068968C1"/>
    <x v="2"/>
    <s v="2002 / 2011"/>
    <x v="2"/>
    <s v=""/>
    <n v="1"/>
    <m/>
    <m/>
    <n v="1.1679032701291563"/>
    <n v="1.1679032701291563"/>
    <s v=""/>
    <s v=""/>
    <s v=""/>
    <s v=""/>
    <s v=""/>
    <s v=""/>
  </r>
  <r>
    <s v="Bolivia"/>
    <s v="Latin America and Caribbean"/>
    <s v="P068968"/>
    <s v="C2"/>
    <s v=""/>
    <s v="P068968C2"/>
    <x v="0"/>
    <n v="2002"/>
    <x v="5"/>
    <s v=""/>
    <n v="3000"/>
    <n v="108"/>
    <s v="USD"/>
    <n v="108"/>
    <n v="3.5999999999999997E-2"/>
    <s v="x"/>
    <s v=""/>
    <s v=""/>
    <s v=""/>
    <s v="x"/>
    <m/>
  </r>
  <r>
    <s v="Bolivia"/>
    <s v="Latin America and Caribbean"/>
    <s v="P068968"/>
    <s v="C2"/>
    <s v=""/>
    <s v="P068968C2"/>
    <x v="1"/>
    <n v="2011"/>
    <x v="5"/>
    <s v=""/>
    <n v="1330"/>
    <n v="61"/>
    <s v="USD"/>
    <n v="61"/>
    <n v="4.5864661654135337E-2"/>
    <s v="x"/>
    <s v=""/>
    <s v=""/>
    <s v=""/>
    <s v="x"/>
    <m/>
  </r>
  <r>
    <s v="Bolivia"/>
    <s v="Latin America and Caribbean"/>
    <s v="P068968"/>
    <s v="C2"/>
    <s v=""/>
    <s v="P068968C2"/>
    <x v="2"/>
    <s v="2002 / 2011"/>
    <x v="5"/>
    <s v=""/>
    <n v="0.44333333333333336"/>
    <m/>
    <m/>
    <n v="0.56481481481481477"/>
    <n v="1.2740183792815372"/>
    <s v="x"/>
    <s v=""/>
    <s v=""/>
    <s v=""/>
    <s v="x"/>
    <s v="Macroeconomic conditions; Weather shocks ; Change of project scope"/>
  </r>
  <r>
    <s v="Brazil"/>
    <s v="Latin America and Caribbean"/>
    <s v="P055954"/>
    <s v="C1"/>
    <s v=""/>
    <s v="P055954C1"/>
    <x v="0"/>
    <n v="2001"/>
    <x v="6"/>
    <s v=""/>
    <n v="1500"/>
    <n v="62.2"/>
    <s v="USD"/>
    <n v="62.2"/>
    <n v="4.1466666666666666E-2"/>
    <s v=""/>
    <s v=""/>
    <s v=""/>
    <s v=""/>
    <s v=""/>
    <m/>
  </r>
  <r>
    <s v="Brazil"/>
    <s v="Latin America and Caribbean"/>
    <s v="P055954"/>
    <s v="C1"/>
    <s v=""/>
    <s v="P055954C1"/>
    <x v="1"/>
    <n v="2006"/>
    <x v="6"/>
    <s v=""/>
    <n v="1250"/>
    <n v="77.2"/>
    <s v="USD"/>
    <n v="77.2"/>
    <n v="6.1760000000000002E-2"/>
    <s v=""/>
    <s v=""/>
    <s v=""/>
    <s v=""/>
    <s v=""/>
    <m/>
  </r>
  <r>
    <s v="Brazil"/>
    <s v="Latin America and Caribbean"/>
    <s v="P055954"/>
    <s v="C1"/>
    <s v=""/>
    <s v="P055954C1"/>
    <x v="2"/>
    <s v="2001 / 2006"/>
    <x v="6"/>
    <s v=""/>
    <n v="0.83333333333333337"/>
    <n v="1.2411575562700965"/>
    <m/>
    <n v="1.2411575562700965"/>
    <n v="1.4893890675241159"/>
    <s v=""/>
    <s v=""/>
    <s v=""/>
    <s v=""/>
    <s v=""/>
    <s v=""/>
  </r>
  <r>
    <s v="Brazil"/>
    <s v="Latin America and Caribbean"/>
    <s v="P055954"/>
    <s v="C2"/>
    <s v=""/>
    <s v="P055954C2"/>
    <x v="0"/>
    <n v="2001"/>
    <x v="5"/>
    <s v=""/>
    <n v="300"/>
    <n v="40.1"/>
    <s v="USD"/>
    <n v="40.1"/>
    <n v="0.13366666666666668"/>
    <s v=""/>
    <s v=""/>
    <s v=""/>
    <s v=""/>
    <s v=""/>
    <m/>
  </r>
  <r>
    <s v="Brazil"/>
    <s v="Latin America and Caribbean"/>
    <s v="P055954"/>
    <s v="C2"/>
    <s v=""/>
    <s v="P055954C2"/>
    <x v="1"/>
    <n v="2006"/>
    <x v="5"/>
    <s v=""/>
    <n v="270"/>
    <n v="37.6"/>
    <s v="USD"/>
    <n v="37.6"/>
    <n v="0.13925925925925928"/>
    <s v=""/>
    <s v=""/>
    <s v=""/>
    <s v=""/>
    <s v=""/>
    <m/>
  </r>
  <r>
    <s v="Brazil"/>
    <s v="Latin America and Caribbean"/>
    <s v="P055954"/>
    <s v="C2"/>
    <s v=""/>
    <s v="P055954C2"/>
    <x v="2"/>
    <s v="2001 / 2006"/>
    <x v="5"/>
    <s v=""/>
    <n v="0.9"/>
    <n v="0.93765586034912718"/>
    <m/>
    <n v="0.93765586034912718"/>
    <n v="1.0418398448323636"/>
    <s v=""/>
    <s v=""/>
    <s v=""/>
    <s v=""/>
    <s v=""/>
    <s v=""/>
  </r>
  <r>
    <s v="Brazil"/>
    <s v="Latin America and Caribbean"/>
    <s v="P095460"/>
    <s v="C1"/>
    <s v=""/>
    <s v="P095460C1"/>
    <x v="0"/>
    <n v="2006"/>
    <x v="5"/>
    <s v=""/>
    <n v="2000"/>
    <n v="140.6"/>
    <s v="USD"/>
    <n v="140.6"/>
    <n v="7.0300000000000001E-2"/>
    <s v=""/>
    <s v=""/>
    <s v=""/>
    <s v="x"/>
    <s v="x"/>
    <m/>
  </r>
  <r>
    <s v="Brazil"/>
    <s v="Latin America and Caribbean"/>
    <s v="P095460"/>
    <s v="C1"/>
    <s v=""/>
    <s v="P095460C1"/>
    <x v="1"/>
    <n v="2014"/>
    <x v="5"/>
    <s v=""/>
    <n v="1196"/>
    <n v="194.07"/>
    <s v="USD"/>
    <n v="194.07"/>
    <n v="0.16226588628762542"/>
    <s v=""/>
    <s v=""/>
    <s v=""/>
    <s v="x"/>
    <s v="x"/>
    <m/>
  </r>
  <r>
    <s v="Brazil"/>
    <s v="Latin America and Caribbean"/>
    <s v="P095460"/>
    <s v="C1"/>
    <s v=""/>
    <s v="P095460C1"/>
    <x v="2"/>
    <s v="2006 / 2014"/>
    <x v="5"/>
    <s v=""/>
    <n v="0.59799999999999998"/>
    <n v="1.3802987197724039"/>
    <m/>
    <n v="1.3802987197724039"/>
    <n v="2.3081918390842877"/>
    <s v=""/>
    <s v=""/>
    <s v=""/>
    <s v="x"/>
    <s v="x"/>
    <s v="Macroeconomic conditions; Quality of estimates; Capacity of Counterpart "/>
  </r>
  <r>
    <s v="Brazil"/>
    <s v="Latin America and Caribbean"/>
    <s v="P106663"/>
    <s v="C1"/>
    <s v=""/>
    <s v="P106663C1"/>
    <x v="0"/>
    <n v="2009"/>
    <x v="2"/>
    <s v=""/>
    <n v="3100"/>
    <n v="477.04"/>
    <s v="USD"/>
    <n v="477.04"/>
    <n v="0.15388387096774195"/>
    <s v=""/>
    <s v="x"/>
    <s v=""/>
    <s v=""/>
    <s v="x"/>
    <m/>
  </r>
  <r>
    <s v="Brazil"/>
    <s v="Latin America and Caribbean"/>
    <s v="P106663"/>
    <s v="C1"/>
    <s v=""/>
    <s v="P106663C1"/>
    <x v="1"/>
    <n v="2015"/>
    <x v="2"/>
    <s v=""/>
    <n v="6409"/>
    <n v="1010.25"/>
    <s v="USD"/>
    <n v="1010.25"/>
    <n v="0.15762989545951006"/>
    <s v=""/>
    <s v="x"/>
    <s v=""/>
    <s v=""/>
    <s v="x"/>
    <m/>
  </r>
  <r>
    <s v="Brazil"/>
    <s v="Latin America and Caribbean"/>
    <s v="P106663"/>
    <s v="C1"/>
    <s v=""/>
    <s v="P106663C1"/>
    <x v="2"/>
    <s v="2009 / 2015"/>
    <x v="2"/>
    <s v=""/>
    <n v="2.0674193548387096"/>
    <n v="2.1177469394600035"/>
    <m/>
    <n v="2.1177469394600035"/>
    <n v="1.0243431911883305"/>
    <s v=""/>
    <s v="x"/>
    <s v=""/>
    <s v=""/>
    <s v="x"/>
    <s v="; Change of project scope; "/>
  </r>
  <r>
    <s v="Bulgaria"/>
    <s v="Europe and Central Asia"/>
    <s v="P094018"/>
    <s v="C1"/>
    <s v=""/>
    <s v="P094018C1"/>
    <x v="0"/>
    <n v="2007"/>
    <x v="8"/>
    <n v="19"/>
    <n v="3.4"/>
    <n v="12.9"/>
    <s v="USD"/>
    <n v="12.9"/>
    <n v="3.7941176470588238"/>
    <s v=""/>
    <s v=""/>
    <s v=""/>
    <s v=""/>
    <s v=""/>
    <m/>
  </r>
  <r>
    <s v="Bulgaria"/>
    <s v="Europe and Central Asia"/>
    <s v="P094018"/>
    <s v="C1"/>
    <s v=""/>
    <s v="P094018C1"/>
    <x v="1"/>
    <n v="2014"/>
    <x v="8"/>
    <n v="26"/>
    <n v="3.4"/>
    <n v="14.71"/>
    <s v="USD"/>
    <n v="14.71"/>
    <n v="4.3264705882352947"/>
    <s v=""/>
    <s v=""/>
    <s v=""/>
    <s v=""/>
    <s v=""/>
    <m/>
  </r>
  <r>
    <s v="Bulgaria"/>
    <s v="Europe and Central Asia"/>
    <s v="P094018"/>
    <s v="C1"/>
    <s v=""/>
    <s v="P094018C1"/>
    <x v="2"/>
    <s v="2007 / 2014"/>
    <x v="8"/>
    <n v="1.368421052631579"/>
    <n v="1"/>
    <n v="1.14031007751938"/>
    <m/>
    <n v="1.14031007751938"/>
    <n v="1.14031007751938"/>
    <s v=""/>
    <s v=""/>
    <s v=""/>
    <s v=""/>
    <s v=""/>
    <s v=""/>
  </r>
  <r>
    <s v="Bulgaria"/>
    <s v="Europe and Central Asia"/>
    <s v="P099894"/>
    <s v="C1"/>
    <s v=""/>
    <s v="P099894C1"/>
    <x v="0"/>
    <n v="2007"/>
    <x v="0"/>
    <s v=""/>
    <n v="450"/>
    <n v="140.15"/>
    <s v="EUR"/>
    <n v="190.60400000000001"/>
    <n v="0.42356444444444447"/>
    <s v=""/>
    <s v=""/>
    <s v=""/>
    <s v=""/>
    <s v=""/>
    <m/>
  </r>
  <r>
    <s v="Bulgaria"/>
    <s v="Europe and Central Asia"/>
    <s v="P099894"/>
    <s v="C1"/>
    <s v=""/>
    <s v="P099894C1"/>
    <x v="1"/>
    <n v="2013"/>
    <x v="0"/>
    <s v=""/>
    <n v="307"/>
    <n v="94.6"/>
    <s v="EUR"/>
    <n v="129.58904109589039"/>
    <n v="0.42211414037749312"/>
    <s v=""/>
    <s v=""/>
    <s v=""/>
    <s v=""/>
    <s v=""/>
    <m/>
  </r>
  <r>
    <s v="Bulgaria"/>
    <s v="Europe and Central Asia"/>
    <s v="P099894"/>
    <s v="C1"/>
    <s v=""/>
    <s v="P099894C1"/>
    <x v="2"/>
    <s v="2007 / 2013"/>
    <x v="0"/>
    <s v=""/>
    <n v="0.68222222222222217"/>
    <m/>
    <m/>
    <n v="0.67988626207157454"/>
    <n v="0.99657595417657496"/>
    <s v=""/>
    <s v=""/>
    <s v=""/>
    <s v=""/>
    <s v=""/>
    <s v=""/>
  </r>
  <r>
    <s v="Bulgaria"/>
    <s v="Europe and Central Asia"/>
    <s v="P099894"/>
    <s v="C1"/>
    <s v="S1"/>
    <s v="P099894C1S1"/>
    <x v="0"/>
    <n v="2007"/>
    <x v="0"/>
    <n v="15"/>
    <n v="37.14"/>
    <n v="7.4"/>
    <s v="EUR"/>
    <n v="10.064000000000002"/>
    <n v="0.27097469036079702"/>
    <s v=""/>
    <s v=""/>
    <s v=""/>
    <s v=""/>
    <s v=""/>
    <m/>
  </r>
  <r>
    <s v="Bulgaria"/>
    <s v="Europe and Central Asia"/>
    <s v="P099894"/>
    <s v="C1"/>
    <s v="S1"/>
    <s v="P099894C1S1"/>
    <x v="1"/>
    <n v="2013"/>
    <x v="0"/>
    <s v=""/>
    <n v="36.6"/>
    <n v="11.9"/>
    <s v="USD"/>
    <n v="11.9"/>
    <n v="0.3251366120218579"/>
    <s v=""/>
    <s v=""/>
    <s v=""/>
    <s v=""/>
    <s v=""/>
    <m/>
  </r>
  <r>
    <s v="Bulgaria"/>
    <s v="Europe and Central Asia"/>
    <s v="P099894"/>
    <s v="C1"/>
    <s v="S1"/>
    <s v="P099894C1S1"/>
    <x v="2"/>
    <s v="2007 / 2013"/>
    <x v="0"/>
    <s v=""/>
    <n v="0.98546042003231016"/>
    <m/>
    <m/>
    <n v="1.1824324324324322"/>
    <n v="1.1998781568453698"/>
    <s v=""/>
    <s v=""/>
    <s v=""/>
    <s v=""/>
    <s v=""/>
    <s v=""/>
  </r>
  <r>
    <s v="Bulgaria"/>
    <s v="Europe and Central Asia"/>
    <s v="P099894"/>
    <s v="C1"/>
    <s v="S2"/>
    <s v="P099894C1S2"/>
    <x v="0"/>
    <n v="2007"/>
    <x v="0"/>
    <n v="15"/>
    <n v="44.5"/>
    <n v="14.3"/>
    <s v="EUR"/>
    <n v="19.448000000000004"/>
    <n v="0.43703370786516865"/>
    <s v=""/>
    <s v=""/>
    <s v=""/>
    <s v=""/>
    <s v=""/>
    <m/>
  </r>
  <r>
    <s v="Bulgaria"/>
    <s v="Europe and Central Asia"/>
    <s v="P099894"/>
    <s v="C1"/>
    <s v="S2"/>
    <s v="P099894C1S2"/>
    <x v="1"/>
    <n v="2013"/>
    <x v="0"/>
    <s v=""/>
    <n v="47.3"/>
    <n v="17.3"/>
    <s v="USD"/>
    <n v="17.3"/>
    <n v="0.36575052854122625"/>
    <s v=""/>
    <s v=""/>
    <s v=""/>
    <s v=""/>
    <s v=""/>
    <m/>
  </r>
  <r>
    <s v="Bulgaria"/>
    <s v="Europe and Central Asia"/>
    <s v="P099894"/>
    <s v="C1"/>
    <s v="S2"/>
    <s v="P099894C1S2"/>
    <x v="2"/>
    <s v="2007 / 2013"/>
    <x v="0"/>
    <s v=""/>
    <n v="1.0629213483146067"/>
    <m/>
    <m/>
    <n v="0.88955162484574235"/>
    <n v="0.83689317770899652"/>
    <s v=""/>
    <s v=""/>
    <s v=""/>
    <s v=""/>
    <s v=""/>
    <s v=""/>
  </r>
  <r>
    <s v="Bulgaria"/>
    <s v="Europe and Central Asia"/>
    <s v="P099894"/>
    <s v="C1"/>
    <s v="S3"/>
    <s v="P099894C1S3"/>
    <x v="0"/>
    <n v="2007"/>
    <x v="0"/>
    <n v="19"/>
    <n v="61"/>
    <n v="18.3"/>
    <s v="EUR"/>
    <n v="24.888000000000002"/>
    <n v="0.40800000000000003"/>
    <s v=""/>
    <s v=""/>
    <s v=""/>
    <s v=""/>
    <s v=""/>
    <m/>
  </r>
  <r>
    <s v="Bulgaria"/>
    <s v="Europe and Central Asia"/>
    <s v="P099894"/>
    <s v="C1"/>
    <s v="S3"/>
    <s v="P099894C1S3"/>
    <x v="1"/>
    <n v="2013"/>
    <x v="0"/>
    <s v=""/>
    <n v="46.1"/>
    <n v="17.5"/>
    <s v="USD"/>
    <n v="17.5"/>
    <n v="0.37960954446854661"/>
    <s v=""/>
    <s v=""/>
    <s v=""/>
    <s v=""/>
    <s v=""/>
    <m/>
  </r>
  <r>
    <s v="Bulgaria"/>
    <s v="Europe and Central Asia"/>
    <s v="P099894"/>
    <s v="C1"/>
    <s v="S3"/>
    <s v="P099894C1S3"/>
    <x v="2"/>
    <s v="2007 / 2013"/>
    <x v="0"/>
    <s v=""/>
    <n v="0.75573770491803283"/>
    <m/>
    <m/>
    <n v="0.70315011250401793"/>
    <n v="0.93041555016800637"/>
    <s v=""/>
    <s v=""/>
    <s v=""/>
    <s v=""/>
    <s v=""/>
    <s v=""/>
  </r>
  <r>
    <s v="Bulgaria"/>
    <s v="Europe and Central Asia"/>
    <s v="P099894"/>
    <s v="C1"/>
    <s v="S4"/>
    <s v="P099894C1S4"/>
    <x v="0"/>
    <n v="2007"/>
    <x v="0"/>
    <n v="26"/>
    <n v="55.9"/>
    <n v="23.4"/>
    <s v="EUR"/>
    <n v="31.824000000000002"/>
    <n v="0.56930232558139537"/>
    <s v=""/>
    <s v=""/>
    <s v=""/>
    <s v=""/>
    <s v=""/>
    <m/>
  </r>
  <r>
    <s v="Bulgaria"/>
    <s v="Europe and Central Asia"/>
    <s v="P099894"/>
    <s v="C1"/>
    <s v="S4"/>
    <s v="P099894C1S4"/>
    <x v="1"/>
    <n v="2013"/>
    <x v="0"/>
    <s v=""/>
    <n v="55.4"/>
    <n v="18.7"/>
    <s v="USD"/>
    <n v="18.7"/>
    <n v="0.33754512635379064"/>
    <s v=""/>
    <s v=""/>
    <s v=""/>
    <s v=""/>
    <s v=""/>
    <m/>
  </r>
  <r>
    <s v="Bulgaria"/>
    <s v="Europe and Central Asia"/>
    <s v="P099894"/>
    <s v="C1"/>
    <s v="S4"/>
    <s v="P099894C1S4"/>
    <x v="2"/>
    <s v="2007 / 2013"/>
    <x v="0"/>
    <s v=""/>
    <n v="0.99105545617173529"/>
    <m/>
    <m/>
    <n v="0.58760683760683752"/>
    <n v="0.59291014841556355"/>
    <s v=""/>
    <s v=""/>
    <s v=""/>
    <s v=""/>
    <s v=""/>
    <s v=""/>
  </r>
  <r>
    <s v="Bulgaria"/>
    <s v="Europe and Central Asia"/>
    <s v="P099894"/>
    <s v="C1"/>
    <s v="S5"/>
    <s v="P099894C1S5"/>
    <x v="0"/>
    <n v="2007"/>
    <x v="0"/>
    <n v="24"/>
    <n v="65"/>
    <n v="17.100000000000001"/>
    <s v="EUR"/>
    <n v="23.256000000000004"/>
    <n v="0.35778461538461542"/>
    <s v=""/>
    <s v=""/>
    <s v=""/>
    <s v=""/>
    <s v=""/>
    <m/>
  </r>
  <r>
    <s v="Bulgaria"/>
    <s v="Europe and Central Asia"/>
    <s v="P099894"/>
    <s v="C1"/>
    <s v="S5"/>
    <s v="P099894C1S5"/>
    <x v="1"/>
    <n v="2013"/>
    <x v="0"/>
    <s v=""/>
    <n v="62.9"/>
    <n v="21.1"/>
    <s v="USD"/>
    <n v="21.1"/>
    <n v="0.33545310015898255"/>
    <s v=""/>
    <s v=""/>
    <s v=""/>
    <s v=""/>
    <s v=""/>
    <m/>
  </r>
  <r>
    <s v="Bulgaria"/>
    <s v="Europe and Central Asia"/>
    <s v="P099894"/>
    <s v="C1"/>
    <s v="S5"/>
    <s v="P099894C1S5"/>
    <x v="2"/>
    <s v="2007 / 2013"/>
    <x v="0"/>
    <s v=""/>
    <n v="0.96769230769230763"/>
    <m/>
    <m/>
    <n v="0.90729274165806661"/>
    <n v="0.937583914273042"/>
    <s v=""/>
    <s v=""/>
    <s v=""/>
    <s v=""/>
    <s v=""/>
    <s v=""/>
  </r>
  <r>
    <s v="Bulgaria"/>
    <s v="Europe and Central Asia"/>
    <s v="P099894"/>
    <s v="C1"/>
    <s v="S6"/>
    <s v="P099894C1S6"/>
    <x v="0"/>
    <n v="2007"/>
    <x v="0"/>
    <n v="25"/>
    <n v="65"/>
    <n v="24.9"/>
    <s v="EUR"/>
    <n v="33.864000000000004"/>
    <n v="0.52098461538461549"/>
    <s v=""/>
    <s v=""/>
    <s v=""/>
    <s v=""/>
    <s v=""/>
    <m/>
  </r>
  <r>
    <s v="Bulgaria"/>
    <s v="Europe and Central Asia"/>
    <s v="P099894"/>
    <s v="C1"/>
    <s v="S6"/>
    <s v="P099894C1S6"/>
    <x v="1"/>
    <n v="2013"/>
    <x v="0"/>
    <s v=""/>
    <n v="61.8"/>
    <n v="22.1"/>
    <s v="USD"/>
    <n v="22.1"/>
    <n v="0.35760517799352753"/>
    <s v=""/>
    <s v=""/>
    <s v=""/>
    <s v=""/>
    <s v=""/>
    <m/>
  </r>
  <r>
    <s v="Bulgaria"/>
    <s v="Europe and Central Asia"/>
    <s v="P099894"/>
    <s v="C1"/>
    <s v="S6"/>
    <s v="P099894C1S6"/>
    <x v="2"/>
    <s v="2007 / 2013"/>
    <x v="0"/>
    <s v=""/>
    <n v="0.9507692307692307"/>
    <m/>
    <m/>
    <n v="0.65261044176706828"/>
    <n v="0.68640256820160894"/>
    <s v=""/>
    <s v=""/>
    <s v=""/>
    <s v=""/>
    <s v=""/>
    <s v=""/>
  </r>
  <r>
    <s v="Burkina Faso"/>
    <s v="Sub-Saharan Africa"/>
    <s v="P074030"/>
    <s v="C1"/>
    <s v=""/>
    <s v="P074030C1"/>
    <x v="0"/>
    <n v="2003"/>
    <x v="2"/>
    <s v=""/>
    <n v="7057"/>
    <n v="129.26"/>
    <s v="USD"/>
    <n v="129.26"/>
    <n v="1.8316565112654101E-2"/>
    <s v="x"/>
    <s v=""/>
    <s v=""/>
    <s v="x"/>
    <s v="x"/>
    <m/>
  </r>
  <r>
    <s v="Burkina Faso"/>
    <s v="Sub-Saharan Africa"/>
    <s v="P074030"/>
    <s v="C1"/>
    <s v=""/>
    <s v="P074030C1"/>
    <x v="1"/>
    <n v="2014"/>
    <x v="2"/>
    <s v=""/>
    <n v="2678"/>
    <n v="130.1"/>
    <s v="USD"/>
    <n v="130.1"/>
    <n v="4.8581030619865566E-2"/>
    <s v="x"/>
    <s v=""/>
    <s v=""/>
    <s v="x"/>
    <s v="x"/>
    <m/>
  </r>
  <r>
    <s v="Burkina Faso"/>
    <s v="Sub-Saharan Africa"/>
    <s v="P074030"/>
    <s v="C1"/>
    <s v=""/>
    <s v="P074030C1"/>
    <x v="2"/>
    <s v="2003 / 2014"/>
    <x v="2"/>
    <s v=""/>
    <n v="0.37948136601955507"/>
    <m/>
    <m/>
    <n v="1.0064985300943834"/>
    <n v="2.6523002714249677"/>
    <s v="x"/>
    <s v=""/>
    <s v=""/>
    <s v="x"/>
    <s v="x"/>
    <s v="Macroeconomic conditions; Weather shocks ; Change of project scope"/>
  </r>
  <r>
    <s v="Burundi"/>
    <s v="Sub-Saharan Africa"/>
    <s v="P064876"/>
    <s v="C1"/>
    <s v=""/>
    <s v="P064876C1"/>
    <x v="0"/>
    <n v="2004"/>
    <x v="2"/>
    <n v="9"/>
    <n v="161.80000000000001"/>
    <n v="29.167000000000002"/>
    <s v="USD"/>
    <n v="29.167000000000002"/>
    <n v="0.18026576019777502"/>
    <s v=""/>
    <s v=""/>
    <s v=""/>
    <s v=""/>
    <s v=""/>
    <m/>
  </r>
  <r>
    <s v="Burundi"/>
    <s v="Sub-Saharan Africa"/>
    <s v="P064876"/>
    <s v="C1"/>
    <s v=""/>
    <s v="P064876C1"/>
    <x v="1"/>
    <n v="2016"/>
    <x v="2"/>
    <s v=""/>
    <n v="161.80000000000001"/>
    <n v="42.387999999999998"/>
    <s v="USD"/>
    <n v="42.387999999999998"/>
    <n v="0.26197775030902348"/>
    <s v=""/>
    <s v=""/>
    <s v=""/>
    <s v=""/>
    <s v=""/>
    <m/>
  </r>
  <r>
    <s v="Burundi"/>
    <s v="Sub-Saharan Africa"/>
    <s v="P064876"/>
    <s v="C1"/>
    <s v=""/>
    <s v="P064876C1"/>
    <x v="2"/>
    <s v="2004 / 2016"/>
    <x v="2"/>
    <s v=""/>
    <n v="1"/>
    <n v="1.4532862481571638"/>
    <m/>
    <n v="1.4532862481571638"/>
    <n v="1.453286248157164"/>
    <s v=""/>
    <s v=""/>
    <s v=""/>
    <s v=""/>
    <s v=""/>
    <s v=""/>
  </r>
  <r>
    <s v="Burundi"/>
    <s v="Sub-Saharan Africa"/>
    <s v="P064876"/>
    <s v="C2"/>
    <s v=""/>
    <s v="P064876C2"/>
    <x v="0"/>
    <n v="2004"/>
    <x v="13"/>
    <n v="5"/>
    <n v="350"/>
    <n v="9.5229999999999997"/>
    <s v="USD"/>
    <n v="9.5229999999999997"/>
    <n v="2.7208571428571429E-2"/>
    <s v=""/>
    <s v=""/>
    <s v=""/>
    <s v=""/>
    <s v=""/>
    <m/>
  </r>
  <r>
    <s v="Burundi"/>
    <s v="Sub-Saharan Africa"/>
    <s v="P064876"/>
    <s v="C2"/>
    <s v=""/>
    <s v="P064876C2"/>
    <x v="1"/>
    <n v="2016"/>
    <x v="13"/>
    <s v=""/>
    <n v="355"/>
    <n v="8.1189999999999998"/>
    <s v="USD"/>
    <n v="8.1189999999999998"/>
    <n v="2.2870422535211266E-2"/>
    <s v=""/>
    <s v=""/>
    <s v=""/>
    <s v=""/>
    <s v=""/>
    <m/>
  </r>
  <r>
    <s v="Burundi"/>
    <s v="Sub-Saharan Africa"/>
    <s v="P064876"/>
    <s v="C2"/>
    <s v=""/>
    <s v="P064876C2"/>
    <x v="2"/>
    <s v="2004 / 2016"/>
    <x v="13"/>
    <s v=""/>
    <n v="1.0142857142857142"/>
    <n v="0.85256746823480001"/>
    <m/>
    <n v="0.85256746823480001"/>
    <n v="0.84055947572445056"/>
    <s v=""/>
    <s v=""/>
    <s v=""/>
    <s v=""/>
    <s v=""/>
    <s v=""/>
  </r>
  <r>
    <s v="Cambodia"/>
    <s v="East Asia and Pacific"/>
    <s v="P071207"/>
    <s v="C1"/>
    <s v="S1"/>
    <s v="P071207C1S1"/>
    <x v="0"/>
    <n v="2003"/>
    <x v="1"/>
    <n v="12"/>
    <n v="21.8"/>
    <n v="1.78"/>
    <s v="USD"/>
    <n v="1.78"/>
    <n v="8.1651376146788995E-2"/>
    <s v=""/>
    <s v=""/>
    <s v=""/>
    <s v=""/>
    <s v=""/>
    <m/>
  </r>
  <r>
    <s v="Cambodia"/>
    <s v="East Asia and Pacific"/>
    <s v="P071207"/>
    <s v="C1"/>
    <s v="S1"/>
    <s v="P071207C1S1"/>
    <x v="1"/>
    <n v="2012"/>
    <x v="1"/>
    <s v=""/>
    <n v="19.8"/>
    <n v="1.61"/>
    <s v="USD"/>
    <n v="1.61"/>
    <n v="8.1313131313131309E-2"/>
    <s v=""/>
    <s v=""/>
    <s v=""/>
    <s v=""/>
    <s v=""/>
    <m/>
  </r>
  <r>
    <s v="Cambodia"/>
    <s v="East Asia and Pacific"/>
    <s v="P071207"/>
    <s v="C1"/>
    <s v="S1"/>
    <s v="P071207C1S1"/>
    <x v="2"/>
    <s v="2003 / 2012"/>
    <x v="1"/>
    <s v=""/>
    <n v="0.90825688073394495"/>
    <m/>
    <m/>
    <n v="0.9044943820224719"/>
    <n v="0.99585745091363054"/>
    <s v=""/>
    <s v=""/>
    <s v=""/>
    <s v=""/>
    <s v=""/>
    <s v=""/>
  </r>
  <r>
    <s v="Cambodia"/>
    <s v="East Asia and Pacific"/>
    <s v="P071207"/>
    <s v="C1"/>
    <s v="S10"/>
    <s v="P071207C1S10"/>
    <x v="0"/>
    <n v="2003"/>
    <x v="1"/>
    <n v="12"/>
    <n v="10.8"/>
    <n v="0.39"/>
    <s v="USD"/>
    <n v="0.39"/>
    <n v="3.6111111111111108E-2"/>
    <s v=""/>
    <s v=""/>
    <s v=""/>
    <s v=""/>
    <s v=""/>
    <m/>
  </r>
  <r>
    <s v="Cambodia"/>
    <s v="East Asia and Pacific"/>
    <s v="P071207"/>
    <s v="C1"/>
    <s v="S10"/>
    <s v="P071207C1S10"/>
    <x v="1"/>
    <n v="2012"/>
    <x v="1"/>
    <s v=""/>
    <n v="8"/>
    <n v="0.42"/>
    <s v="USD"/>
    <n v="0.42"/>
    <n v="5.2499999999999998E-2"/>
    <s v=""/>
    <s v=""/>
    <s v=""/>
    <s v=""/>
    <s v=""/>
    <m/>
  </r>
  <r>
    <s v="Cambodia"/>
    <s v="East Asia and Pacific"/>
    <s v="P071207"/>
    <s v="C1"/>
    <s v="S10"/>
    <s v="P071207C1S10"/>
    <x v="2"/>
    <s v="2003 / 2012"/>
    <x v="1"/>
    <s v=""/>
    <n v="0.7407407407407407"/>
    <m/>
    <m/>
    <n v="1.0769230769230769"/>
    <n v="1.453846153846154"/>
    <s v=""/>
    <s v=""/>
    <s v=""/>
    <s v=""/>
    <s v=""/>
    <s v=""/>
  </r>
  <r>
    <s v="Cambodia"/>
    <s v="East Asia and Pacific"/>
    <s v="P071207"/>
    <s v="C1"/>
    <s v="S2"/>
    <s v="P071207C1S2"/>
    <x v="0"/>
    <n v="2003"/>
    <x v="1"/>
    <n v="12"/>
    <n v="11.8"/>
    <n v="0.92"/>
    <s v="USD"/>
    <n v="0.92"/>
    <n v="7.7966101694915246E-2"/>
    <s v=""/>
    <s v=""/>
    <s v=""/>
    <s v=""/>
    <s v=""/>
    <m/>
  </r>
  <r>
    <s v="Cambodia"/>
    <s v="East Asia and Pacific"/>
    <s v="P071207"/>
    <s v="C1"/>
    <s v="S2"/>
    <s v="P071207C1S2"/>
    <x v="1"/>
    <n v="2012"/>
    <x v="1"/>
    <s v=""/>
    <n v="12"/>
    <n v="1.29"/>
    <s v="USD"/>
    <n v="1.29"/>
    <n v="0.1075"/>
    <s v=""/>
    <s v=""/>
    <s v=""/>
    <s v=""/>
    <s v=""/>
    <m/>
  </r>
  <r>
    <s v="Cambodia"/>
    <s v="East Asia and Pacific"/>
    <s v="P071207"/>
    <s v="C1"/>
    <s v="S2"/>
    <s v="P071207C1S2"/>
    <x v="2"/>
    <s v="2003 / 2012"/>
    <x v="1"/>
    <s v=""/>
    <n v="1.0169491525423728"/>
    <m/>
    <m/>
    <n v="1.4021739130434783"/>
    <n v="1.3788043478260872"/>
    <s v=""/>
    <s v=""/>
    <s v=""/>
    <s v=""/>
    <s v=""/>
    <s v=""/>
  </r>
  <r>
    <s v="Cambodia"/>
    <s v="East Asia and Pacific"/>
    <s v="P071207"/>
    <s v="C1"/>
    <s v="S3"/>
    <s v="P071207C1S3"/>
    <x v="0"/>
    <n v="2003"/>
    <x v="1"/>
    <n v="12"/>
    <n v="8.9"/>
    <n v="0.59"/>
    <s v="USD"/>
    <n v="0.59"/>
    <n v="6.6292134831460667E-2"/>
    <s v=""/>
    <s v="x"/>
    <s v=""/>
    <s v=""/>
    <s v="x"/>
    <m/>
  </r>
  <r>
    <s v="Cambodia"/>
    <s v="East Asia and Pacific"/>
    <s v="P071207"/>
    <s v="C1"/>
    <s v="S3"/>
    <s v="P071207C1S3"/>
    <x v="1"/>
    <n v="2012"/>
    <x v="1"/>
    <s v=""/>
    <n v="13.5"/>
    <n v="0.95"/>
    <s v="USD"/>
    <n v="0.95"/>
    <n v="7.0370370370370361E-2"/>
    <s v=""/>
    <s v="x"/>
    <s v=""/>
    <s v=""/>
    <s v="x"/>
    <m/>
  </r>
  <r>
    <s v="Cambodia"/>
    <s v="East Asia and Pacific"/>
    <s v="P071207"/>
    <s v="C1"/>
    <s v="S3"/>
    <s v="P071207C1S3"/>
    <x v="2"/>
    <s v="2003 / 2012"/>
    <x v="1"/>
    <s v=""/>
    <n v="1.5168539325842696"/>
    <m/>
    <m/>
    <n v="1.6101694915254237"/>
    <n v="1.061519146264909"/>
    <s v=""/>
    <s v="x"/>
    <s v=""/>
    <s v=""/>
    <s v="x"/>
    <s v="Change of project scope; Capacity of counterpart; "/>
  </r>
  <r>
    <s v="Cambodia"/>
    <s v="East Asia and Pacific"/>
    <s v="P071207"/>
    <s v="C1"/>
    <s v="S4"/>
    <s v="P071207C1S4"/>
    <x v="0"/>
    <n v="2003"/>
    <x v="1"/>
    <n v="12"/>
    <n v="18.2"/>
    <n v="1.3"/>
    <s v="USD"/>
    <n v="1.3"/>
    <n v="7.1428571428571438E-2"/>
    <s v=""/>
    <s v=""/>
    <s v=""/>
    <s v=""/>
    <s v=""/>
    <m/>
  </r>
  <r>
    <s v="Cambodia"/>
    <s v="East Asia and Pacific"/>
    <s v="P071207"/>
    <s v="C1"/>
    <s v="S4"/>
    <s v="P071207C1S4"/>
    <x v="1"/>
    <n v="2012"/>
    <x v="1"/>
    <s v=""/>
    <n v="15.2"/>
    <n v="1.06"/>
    <s v="USD"/>
    <n v="1.06"/>
    <n v="6.9736842105263167E-2"/>
    <s v=""/>
    <s v=""/>
    <s v=""/>
    <s v=""/>
    <s v=""/>
    <m/>
  </r>
  <r>
    <s v="Cambodia"/>
    <s v="East Asia and Pacific"/>
    <s v="P071207"/>
    <s v="C1"/>
    <s v="S4"/>
    <s v="P071207C1S4"/>
    <x v="2"/>
    <s v="2003 / 2012"/>
    <x v="1"/>
    <s v=""/>
    <n v="0.8351648351648352"/>
    <m/>
    <m/>
    <n v="0.81538461538461537"/>
    <n v="0.97631578947368425"/>
    <s v=""/>
    <s v=""/>
    <s v=""/>
    <s v=""/>
    <s v=""/>
    <s v=""/>
  </r>
  <r>
    <s v="Cambodia"/>
    <s v="East Asia and Pacific"/>
    <s v="P071207"/>
    <s v="C1"/>
    <s v="S5"/>
    <s v="P071207C1S5"/>
    <x v="0"/>
    <n v="2003"/>
    <x v="1"/>
    <n v="12"/>
    <n v="15.3"/>
    <n v="1.23"/>
    <s v="USD"/>
    <n v="1.23"/>
    <n v="8.039215686274509E-2"/>
    <s v=""/>
    <s v=""/>
    <s v=""/>
    <s v=""/>
    <s v=""/>
    <m/>
  </r>
  <r>
    <s v="Cambodia"/>
    <s v="East Asia and Pacific"/>
    <s v="P071207"/>
    <s v="C1"/>
    <s v="S5"/>
    <s v="P071207C1S5"/>
    <x v="1"/>
    <n v="2012"/>
    <x v="1"/>
    <s v=""/>
    <n v="15.5"/>
    <n v="1.31"/>
    <s v="USD"/>
    <n v="1.31"/>
    <n v="8.4516129032258067E-2"/>
    <s v=""/>
    <s v=""/>
    <s v=""/>
    <s v=""/>
    <s v=""/>
    <m/>
  </r>
  <r>
    <s v="Cambodia"/>
    <s v="East Asia and Pacific"/>
    <s v="P071207"/>
    <s v="C1"/>
    <s v="S5"/>
    <s v="P071207C1S5"/>
    <x v="2"/>
    <s v="2003 / 2012"/>
    <x v="1"/>
    <s v=""/>
    <n v="1.0130718954248366"/>
    <m/>
    <m/>
    <n v="1.0650406504065042"/>
    <n v="1.051298190401259"/>
    <s v=""/>
    <s v=""/>
    <s v=""/>
    <s v=""/>
    <s v=""/>
    <s v=""/>
  </r>
  <r>
    <s v="Cambodia"/>
    <s v="East Asia and Pacific"/>
    <s v="P071207"/>
    <s v="C1"/>
    <s v="S6"/>
    <s v="P071207C1S6"/>
    <x v="0"/>
    <n v="2003"/>
    <x v="1"/>
    <n v="12"/>
    <n v="18.399999999999999"/>
    <n v="1.0900000000000001"/>
    <s v="USD"/>
    <n v="1.0900000000000001"/>
    <n v="5.9239130434782621E-2"/>
    <s v=""/>
    <s v=""/>
    <s v=""/>
    <s v=""/>
    <s v=""/>
    <m/>
  </r>
  <r>
    <s v="Cambodia"/>
    <s v="East Asia and Pacific"/>
    <s v="P071207"/>
    <s v="C1"/>
    <s v="S6"/>
    <s v="P071207C1S6"/>
    <x v="1"/>
    <n v="2012"/>
    <x v="1"/>
    <s v=""/>
    <n v="18.5"/>
    <n v="1.49"/>
    <s v="USD"/>
    <n v="1.49"/>
    <n v="8.0540540540540537E-2"/>
    <s v=""/>
    <s v=""/>
    <s v=""/>
    <s v=""/>
    <s v=""/>
    <m/>
  </r>
  <r>
    <s v="Cambodia"/>
    <s v="East Asia and Pacific"/>
    <s v="P071207"/>
    <s v="C1"/>
    <s v="S6"/>
    <s v="P071207C1S6"/>
    <x v="2"/>
    <s v="2003 / 2012"/>
    <x v="1"/>
    <s v=""/>
    <n v="1.0054347826086958"/>
    <m/>
    <m/>
    <n v="1.36697247706422"/>
    <n v="1.3595834366476565"/>
    <s v=""/>
    <s v=""/>
    <s v=""/>
    <s v=""/>
    <s v=""/>
    <s v=""/>
  </r>
  <r>
    <s v="Cambodia"/>
    <s v="East Asia and Pacific"/>
    <s v="P071207"/>
    <s v="C1"/>
    <s v="S7"/>
    <s v="P071207C1S7"/>
    <x v="0"/>
    <n v="2003"/>
    <x v="1"/>
    <n v="12"/>
    <n v="17.8"/>
    <n v="0.57999999999999996"/>
    <s v="USD"/>
    <n v="0.57999999999999996"/>
    <n v="3.2584269662921342E-2"/>
    <s v=""/>
    <s v="x"/>
    <s v=""/>
    <s v=""/>
    <s v="x"/>
    <m/>
  </r>
  <r>
    <s v="Cambodia"/>
    <s v="East Asia and Pacific"/>
    <s v="P071207"/>
    <s v="C1"/>
    <s v="S7"/>
    <s v="P071207C1S7"/>
    <x v="1"/>
    <n v="2012"/>
    <x v="1"/>
    <s v=""/>
    <n v="29"/>
    <n v="1.1000000000000001"/>
    <s v="USD"/>
    <n v="1.1000000000000001"/>
    <n v="3.7931034482758627E-2"/>
    <s v=""/>
    <s v="x"/>
    <s v=""/>
    <s v=""/>
    <s v="x"/>
    <m/>
  </r>
  <r>
    <s v="Cambodia"/>
    <s v="East Asia and Pacific"/>
    <s v="P071207"/>
    <s v="C1"/>
    <s v="S7"/>
    <s v="P071207C1S7"/>
    <x v="2"/>
    <s v="2003 / 2012"/>
    <x v="1"/>
    <s v=""/>
    <n v="1.6292134831460674"/>
    <m/>
    <m/>
    <n v="1.8965517241379313"/>
    <n v="1.1640903686087996"/>
    <s v=""/>
    <s v="x"/>
    <s v=""/>
    <s v=""/>
    <s v="x"/>
    <s v="Change of project scope; Capacity of counterpart; "/>
  </r>
  <r>
    <s v="Cambodia"/>
    <s v="East Asia and Pacific"/>
    <s v="P071207"/>
    <s v="C1"/>
    <s v="S8"/>
    <s v="P071207C1S8"/>
    <x v="0"/>
    <n v="2003"/>
    <x v="1"/>
    <n v="12"/>
    <n v="12.7"/>
    <n v="0.42"/>
    <s v="USD"/>
    <n v="0.42"/>
    <n v="3.3070866141732283E-2"/>
    <s v=""/>
    <s v=""/>
    <s v=""/>
    <s v="x"/>
    <s v="x"/>
    <m/>
  </r>
  <r>
    <s v="Cambodia"/>
    <s v="East Asia and Pacific"/>
    <s v="P071207"/>
    <s v="C1"/>
    <s v="S8"/>
    <s v="P071207C1S8"/>
    <x v="1"/>
    <n v="2012"/>
    <x v="1"/>
    <s v=""/>
    <n v="12.6"/>
    <n v="0.71"/>
    <s v="USD"/>
    <n v="0.71"/>
    <n v="5.634920634920635E-2"/>
    <s v=""/>
    <s v=""/>
    <s v=""/>
    <s v="x"/>
    <s v="x"/>
    <m/>
  </r>
  <r>
    <s v="Cambodia"/>
    <s v="East Asia and Pacific"/>
    <s v="P071207"/>
    <s v="C1"/>
    <s v="S8"/>
    <s v="P071207C1S8"/>
    <x v="2"/>
    <s v="2003 / 2012"/>
    <x v="1"/>
    <s v=""/>
    <n v="0.99212598425196852"/>
    <m/>
    <m/>
    <n v="1.6904761904761905"/>
    <n v="1.7038926681783826"/>
    <s v=""/>
    <s v=""/>
    <s v=""/>
    <s v="x"/>
    <s v="x"/>
    <s v="Change of project scope; Procurement system; "/>
  </r>
  <r>
    <s v="Cambodia"/>
    <s v="East Asia and Pacific"/>
    <s v="P071207"/>
    <s v="C1"/>
    <s v="S9"/>
    <s v="P071207C1S9"/>
    <x v="0"/>
    <n v="2003"/>
    <x v="2"/>
    <n v="12"/>
    <n v="16.7"/>
    <n v="0.36"/>
    <s v="USD"/>
    <n v="0.36"/>
    <n v="2.1556886227544911E-2"/>
    <s v=""/>
    <s v=""/>
    <s v=""/>
    <s v="x"/>
    <s v="x"/>
    <m/>
  </r>
  <r>
    <s v="Cambodia"/>
    <s v="East Asia and Pacific"/>
    <s v="P071207"/>
    <s v="C1"/>
    <s v="S9"/>
    <s v="P071207C1S9"/>
    <x v="1"/>
    <n v="2012"/>
    <x v="2"/>
    <s v=""/>
    <n v="17"/>
    <n v="0.63"/>
    <s v="USD"/>
    <n v="0.63"/>
    <n v="3.7058823529411762E-2"/>
    <s v=""/>
    <s v=""/>
    <s v=""/>
    <s v="x"/>
    <s v="x"/>
    <m/>
  </r>
  <r>
    <s v="Cambodia"/>
    <s v="East Asia and Pacific"/>
    <s v="P071207"/>
    <s v="C1"/>
    <s v="S9"/>
    <s v="P071207C1S9"/>
    <x v="2"/>
    <s v="2003 / 2012"/>
    <x v="2"/>
    <s v=""/>
    <n v="1.0179640718562875"/>
    <m/>
    <m/>
    <n v="1.75"/>
    <n v="1.7191176470588234"/>
    <s v=""/>
    <s v=""/>
    <s v=""/>
    <s v="x"/>
    <s v="x"/>
    <s v="Change of project scope; Procurement system; "/>
  </r>
  <r>
    <s v="Cameroon"/>
    <s v="Sub-Saharan Africa"/>
    <s v="P074490"/>
    <s v="C1"/>
    <s v=""/>
    <s v="P074490C1"/>
    <x v="0"/>
    <n v="2002"/>
    <x v="11"/>
    <s v=""/>
    <n v="23"/>
    <n v="58.13"/>
    <s v="USD"/>
    <n v="58.13"/>
    <n v="2.5273913043478262"/>
    <s v=""/>
    <s v=""/>
    <s v=""/>
    <s v=""/>
    <s v=""/>
    <m/>
  </r>
  <r>
    <s v="Cameroon"/>
    <s v="Sub-Saharan Africa"/>
    <s v="P074490"/>
    <s v="C1"/>
    <s v=""/>
    <s v="P074490C1"/>
    <x v="1"/>
    <n v="2010"/>
    <x v="11"/>
    <n v="48"/>
    <n v="27"/>
    <n v="67.88"/>
    <s v="USD"/>
    <n v="67.88"/>
    <n v="2.5140740740740739"/>
    <s v=""/>
    <s v=""/>
    <s v=""/>
    <s v=""/>
    <s v=""/>
    <m/>
  </r>
  <r>
    <s v="Cameroon"/>
    <s v="Sub-Saharan Africa"/>
    <s v="P074490"/>
    <s v="C1"/>
    <s v=""/>
    <s v="P074490C1"/>
    <x v="2"/>
    <s v="2002 / 2010"/>
    <x v="11"/>
    <s v=""/>
    <n v="1.173913043478261"/>
    <n v="1.167727507311199"/>
    <m/>
    <n v="1.167727507311199"/>
    <n v="0.99473083956139163"/>
    <s v=""/>
    <s v=""/>
    <s v=""/>
    <s v=""/>
    <s v=""/>
    <s v=""/>
  </r>
  <r>
    <s v="Cape Verde"/>
    <s v="Sub-Saharan Africa"/>
    <s v="P087004"/>
    <s v="C1"/>
    <s v="S1"/>
    <s v="P087004C1S1"/>
    <x v="0"/>
    <n v="2005"/>
    <x v="1"/>
    <s v=""/>
    <n v="3"/>
    <n v="0.62"/>
    <s v="USD"/>
    <n v="0.62"/>
    <n v="0.20666666666666667"/>
    <s v=""/>
    <s v=""/>
    <s v=""/>
    <s v=""/>
    <s v=""/>
    <m/>
  </r>
  <r>
    <s v="Cape Verde"/>
    <s v="Sub-Saharan Africa"/>
    <s v="P087004"/>
    <s v="C1"/>
    <s v="S1"/>
    <s v="P087004C1S1"/>
    <x v="1"/>
    <n v="2014"/>
    <x v="1"/>
    <s v=""/>
    <n v="3"/>
    <n v="0.75"/>
    <s v="USD"/>
    <n v="0.75"/>
    <n v="0.25"/>
    <s v=""/>
    <s v=""/>
    <s v=""/>
    <s v=""/>
    <s v=""/>
    <m/>
  </r>
  <r>
    <s v="Cape Verde"/>
    <s v="Sub-Saharan Africa"/>
    <s v="P087004"/>
    <s v="C1"/>
    <s v="S1"/>
    <s v="P087004C1S1"/>
    <x v="2"/>
    <s v="2005 / 2014"/>
    <x v="1"/>
    <s v=""/>
    <n v="1"/>
    <m/>
    <m/>
    <n v="1.2096774193548387"/>
    <n v="1.2096774193548387"/>
    <s v=""/>
    <s v=""/>
    <s v=""/>
    <s v=""/>
    <s v=""/>
    <s v=""/>
  </r>
  <r>
    <s v="Cape Verde"/>
    <s v="Sub-Saharan Africa"/>
    <s v="P087004"/>
    <s v="C1"/>
    <s v="S2"/>
    <s v="P087004C1S2"/>
    <x v="0"/>
    <n v="2005"/>
    <x v="1"/>
    <s v=""/>
    <n v="11"/>
    <n v="3.62"/>
    <s v="USD"/>
    <n v="3.62"/>
    <n v="0.3290909090909091"/>
    <s v=""/>
    <s v=""/>
    <s v=""/>
    <s v=""/>
    <s v=""/>
    <m/>
  </r>
  <r>
    <s v="Cape Verde"/>
    <s v="Sub-Saharan Africa"/>
    <s v="P087004"/>
    <s v="C1"/>
    <s v="S2"/>
    <s v="P087004C1S2"/>
    <x v="1"/>
    <n v="2014"/>
    <x v="1"/>
    <s v=""/>
    <n v="11"/>
    <n v="4.18"/>
    <s v="USD"/>
    <n v="4.18"/>
    <n v="0.37999999999999995"/>
    <s v=""/>
    <s v=""/>
    <s v=""/>
    <s v=""/>
    <s v=""/>
    <m/>
  </r>
  <r>
    <s v="Cape Verde"/>
    <s v="Sub-Saharan Africa"/>
    <s v="P087004"/>
    <s v="C1"/>
    <s v="S2"/>
    <s v="P087004C1S2"/>
    <x v="2"/>
    <s v="2005 / 2014"/>
    <x v="1"/>
    <s v=""/>
    <n v="1"/>
    <m/>
    <m/>
    <n v="1.1546961325966849"/>
    <n v="1.1546961325966849"/>
    <s v=""/>
    <s v=""/>
    <s v=""/>
    <s v=""/>
    <s v=""/>
    <s v=""/>
  </r>
  <r>
    <s v="Cape Verde"/>
    <s v="Sub-Saharan Africa"/>
    <s v="P087004"/>
    <s v="C1"/>
    <s v="S3"/>
    <s v="P087004C1S3"/>
    <x v="0"/>
    <n v="2005"/>
    <x v="1"/>
    <s v=""/>
    <n v="27"/>
    <n v="8.1300000000000008"/>
    <s v="USD"/>
    <n v="8.1300000000000008"/>
    <n v="0.30111111111111116"/>
    <s v=""/>
    <s v=""/>
    <s v=""/>
    <s v=""/>
    <s v=""/>
    <m/>
  </r>
  <r>
    <s v="Cape Verde"/>
    <s v="Sub-Saharan Africa"/>
    <s v="P087004"/>
    <s v="C1"/>
    <s v="S3"/>
    <s v="P087004C1S3"/>
    <x v="1"/>
    <n v="2014"/>
    <x v="1"/>
    <s v=""/>
    <n v="27"/>
    <n v="12.06"/>
    <s v="USD"/>
    <n v="12.06"/>
    <n v="0.44666666666666671"/>
    <s v=""/>
    <s v=""/>
    <s v=""/>
    <s v=""/>
    <s v=""/>
    <m/>
  </r>
  <r>
    <s v="Cape Verde"/>
    <s v="Sub-Saharan Africa"/>
    <s v="P087004"/>
    <s v="C1"/>
    <s v="S3"/>
    <s v="P087004C1S3"/>
    <x v="2"/>
    <s v="2005 / 2014"/>
    <x v="1"/>
    <s v=""/>
    <n v="1"/>
    <m/>
    <m/>
    <n v="1.4833948339483394"/>
    <n v="1.4833948339483394"/>
    <s v=""/>
    <s v=""/>
    <s v=""/>
    <s v=""/>
    <s v=""/>
    <s v=""/>
  </r>
  <r>
    <s v="Chad"/>
    <s v="Sub-Saharan Africa"/>
    <s v="P035672"/>
    <s v="C1"/>
    <s v="S1"/>
    <s v="P035672C1S1"/>
    <x v="0"/>
    <n v="2000"/>
    <x v="0"/>
    <s v=""/>
    <n v="104"/>
    <n v="35.54"/>
    <s v="USD"/>
    <n v="35.54"/>
    <n v="0.34173076923076923"/>
    <s v=""/>
    <s v=""/>
    <s v=""/>
    <s v=""/>
    <s v=""/>
    <m/>
  </r>
  <r>
    <s v="Chad"/>
    <s v="Sub-Saharan Africa"/>
    <s v="P035672"/>
    <s v="C1"/>
    <s v="S1"/>
    <s v="P035672C1S1"/>
    <x v="1"/>
    <n v="2009"/>
    <x v="0"/>
    <s v=""/>
    <n v="104"/>
    <n v="39"/>
    <s v="USD"/>
    <n v="39"/>
    <n v="0.375"/>
    <s v=""/>
    <s v=""/>
    <s v=""/>
    <s v=""/>
    <s v=""/>
    <m/>
  </r>
  <r>
    <s v="Chad"/>
    <s v="Sub-Saharan Africa"/>
    <s v="P035672"/>
    <s v="C1"/>
    <s v="S1"/>
    <s v="P035672C1S1"/>
    <x v="2"/>
    <s v="2000 / 2009"/>
    <x v="0"/>
    <s v=""/>
    <n v="1"/>
    <n v="1.0973550928531233"/>
    <m/>
    <n v="1.0973550928531233"/>
    <n v="1.0973550928531233"/>
    <s v=""/>
    <s v=""/>
    <s v=""/>
    <s v=""/>
    <s v=""/>
    <s v=""/>
  </r>
  <r>
    <s v="Chad"/>
    <s v="Sub-Saharan Africa"/>
    <s v="P035672"/>
    <s v="C1"/>
    <s v="S2"/>
    <s v="P035672C1S2"/>
    <x v="0"/>
    <n v="2000"/>
    <x v="1"/>
    <s v=""/>
    <n v="286"/>
    <n v="25.36"/>
    <s v="USD"/>
    <n v="25.36"/>
    <n v="8.8671328671328667E-2"/>
    <s v=""/>
    <s v=""/>
    <s v=""/>
    <s v="x"/>
    <s v="x"/>
    <m/>
  </r>
  <r>
    <s v="Chad"/>
    <s v="Sub-Saharan Africa"/>
    <s v="P035672"/>
    <s v="C1"/>
    <s v="S2"/>
    <s v="P035672C1S2"/>
    <x v="1"/>
    <n v="2009"/>
    <x v="1"/>
    <s v=""/>
    <n v="286"/>
    <n v="44"/>
    <s v="USD"/>
    <n v="44"/>
    <n v="0.15384615384615385"/>
    <s v=""/>
    <s v=""/>
    <s v=""/>
    <s v="x"/>
    <s v="x"/>
    <m/>
  </r>
  <r>
    <s v="Chad"/>
    <s v="Sub-Saharan Africa"/>
    <s v="P035672"/>
    <s v="C1"/>
    <s v="S2"/>
    <s v="P035672C1S2"/>
    <x v="2"/>
    <s v="2000 / 2009"/>
    <x v="1"/>
    <s v=""/>
    <n v="1"/>
    <n v="1.7350157728706626"/>
    <m/>
    <n v="1.7350157728706626"/>
    <n v="1.7350157728706626"/>
    <s v=""/>
    <s v=""/>
    <s v=""/>
    <s v="x"/>
    <s v="x"/>
    <s v="Change of project scope  ; Capacity of contractors; Macroeconomic conditions "/>
  </r>
  <r>
    <s v="Chad"/>
    <s v="Sub-Saharan Africa"/>
    <s v="P035672"/>
    <s v="C2"/>
    <s v=""/>
    <s v="P035672C2"/>
    <x v="0"/>
    <n v="2000"/>
    <x v="4"/>
    <n v="48"/>
    <n v="441"/>
    <n v="19.57"/>
    <s v="USD"/>
    <n v="19.57"/>
    <n v="4.4376417233560089E-2"/>
    <s v=""/>
    <s v=""/>
    <s v=""/>
    <s v=""/>
    <s v=""/>
    <m/>
  </r>
  <r>
    <s v="Chad"/>
    <s v="Sub-Saharan Africa"/>
    <s v="P035672"/>
    <s v="C2"/>
    <s v=""/>
    <s v="P035672C2"/>
    <x v="1"/>
    <n v="2009"/>
    <x v="4"/>
    <n v="57"/>
    <n v="441"/>
    <n v="28"/>
    <s v="USD"/>
    <n v="28"/>
    <n v="6.3492063492063489E-2"/>
    <s v=""/>
    <s v=""/>
    <s v=""/>
    <s v=""/>
    <s v=""/>
    <m/>
  </r>
  <r>
    <s v="Chad"/>
    <s v="Sub-Saharan Africa"/>
    <s v="P035672"/>
    <s v="C2"/>
    <s v=""/>
    <s v="P035672C2"/>
    <x v="2"/>
    <s v="2000 / 2009"/>
    <x v="4"/>
    <n v="1.1875"/>
    <n v="1"/>
    <n v="1.430761369443025"/>
    <m/>
    <n v="1.430761369443025"/>
    <n v="1.430761369443025"/>
    <s v=""/>
    <s v=""/>
    <s v=""/>
    <s v=""/>
    <s v=""/>
    <s v=""/>
  </r>
  <r>
    <s v="China"/>
    <s v="East Asia and Pacific"/>
    <s v="P045915"/>
    <s v="C1"/>
    <s v=""/>
    <s v="P045915C1"/>
    <x v="0"/>
    <n v="2000"/>
    <x v="14"/>
    <n v="54"/>
    <n v="31.25"/>
    <n v="194.8"/>
    <s v="USD"/>
    <n v="194.8"/>
    <n v="6.2336"/>
    <s v=""/>
    <s v=""/>
    <s v=""/>
    <s v=""/>
    <s v=""/>
    <m/>
  </r>
  <r>
    <s v="China"/>
    <s v="East Asia and Pacific"/>
    <s v="P045915"/>
    <s v="C1"/>
    <s v=""/>
    <s v="P045915C1"/>
    <x v="1"/>
    <n v="2008"/>
    <x v="14"/>
    <n v="54"/>
    <n v="31.25"/>
    <n v="216.4"/>
    <s v="USD"/>
    <n v="216.4"/>
    <n v="6.9248000000000003"/>
    <s v=""/>
    <s v=""/>
    <s v=""/>
    <s v=""/>
    <s v=""/>
    <m/>
  </r>
  <r>
    <s v="China"/>
    <s v="East Asia and Pacific"/>
    <s v="P045915"/>
    <s v="C1"/>
    <s v=""/>
    <s v="P045915C1"/>
    <x v="2"/>
    <s v="2000 / 2008"/>
    <x v="14"/>
    <n v="1"/>
    <n v="1"/>
    <n v="1.1108829568788501"/>
    <m/>
    <n v="1.1108829568788501"/>
    <n v="1.1108829568788501"/>
    <s v=""/>
    <s v=""/>
    <s v=""/>
    <s v=""/>
    <s v=""/>
    <s v=""/>
  </r>
  <r>
    <s v="China"/>
    <s v="East Asia and Pacific"/>
    <s v="P056596 "/>
    <s v="C1"/>
    <s v=""/>
    <s v="P056596 C1"/>
    <x v="0"/>
    <n v="2001"/>
    <x v="9"/>
    <s v=""/>
    <n v="32.9"/>
    <n v="170.3"/>
    <s v="USD"/>
    <n v="170.3"/>
    <n v="5.1762917933130703"/>
    <s v=""/>
    <s v=""/>
    <s v=""/>
    <s v=""/>
    <s v=""/>
    <m/>
  </r>
  <r>
    <s v="China"/>
    <s v="East Asia and Pacific"/>
    <s v="P056596 "/>
    <s v="C1"/>
    <s v=""/>
    <s v="P056596 C1"/>
    <x v="1"/>
    <n v="2009"/>
    <x v="9"/>
    <s v=""/>
    <n v="43.4"/>
    <n v="204.5"/>
    <s v="USD"/>
    <n v="204.5"/>
    <n v="4.7119815668202767"/>
    <s v=""/>
    <s v=""/>
    <s v=""/>
    <s v=""/>
    <s v=""/>
    <m/>
  </r>
  <r>
    <s v="China"/>
    <s v="East Asia and Pacific"/>
    <s v="P056596 "/>
    <s v="C1"/>
    <s v=""/>
    <s v="P056596 C1"/>
    <x v="2"/>
    <s v="2001 / 2009"/>
    <x v="9"/>
    <s v=""/>
    <n v="1.3191489361702127"/>
    <n v="1.2008220786846739"/>
    <m/>
    <n v="1.2008220786846739"/>
    <n v="0.91030060803515611"/>
    <s v=""/>
    <s v=""/>
    <s v=""/>
    <s v=""/>
    <s v=""/>
    <s v=""/>
  </r>
  <r>
    <s v="China"/>
    <s v="East Asia and Pacific"/>
    <s v="P058843"/>
    <s v="C1"/>
    <s v=""/>
    <s v="P058843C1"/>
    <x v="0"/>
    <n v="2000"/>
    <x v="5"/>
    <n v="48"/>
    <n v="236"/>
    <n v="56.72"/>
    <s v="USD"/>
    <n v="56.72"/>
    <n v="0.24033898305084744"/>
    <s v=""/>
    <s v=""/>
    <s v=""/>
    <s v=""/>
    <s v=""/>
    <m/>
  </r>
  <r>
    <s v="China"/>
    <s v="East Asia and Pacific"/>
    <s v="P058843"/>
    <s v="C1"/>
    <s v=""/>
    <s v="P058843C1"/>
    <x v="1"/>
    <n v="2007"/>
    <x v="5"/>
    <n v="60"/>
    <n v="231.1"/>
    <n v="48.61"/>
    <s v="USD"/>
    <n v="48.61"/>
    <n v="0.21034184335785375"/>
    <s v=""/>
    <s v=""/>
    <s v=""/>
    <s v=""/>
    <s v=""/>
    <m/>
  </r>
  <r>
    <s v="China"/>
    <s v="East Asia and Pacific"/>
    <s v="P058843"/>
    <s v="C1"/>
    <s v=""/>
    <s v="P058843C1"/>
    <x v="2"/>
    <s v="2000 / 2007"/>
    <x v="5"/>
    <n v="1.25"/>
    <n v="0.97923728813559319"/>
    <n v="0.85701692524682649"/>
    <m/>
    <n v="0.85701692524682649"/>
    <n v="0.87518820579078782"/>
    <s v=""/>
    <s v=""/>
    <s v=""/>
    <s v=""/>
    <s v=""/>
    <s v=""/>
  </r>
  <r>
    <s v="China"/>
    <s v="East Asia and Pacific"/>
    <s v="P058845"/>
    <s v="C1"/>
    <s v="S1"/>
    <s v="P058845C1S1"/>
    <x v="0"/>
    <n v="2001"/>
    <x v="8"/>
    <s v=""/>
    <n v="130"/>
    <n v="397"/>
    <s v="USD"/>
    <n v="397"/>
    <n v="3.0538461538461537"/>
    <s v=""/>
    <s v=""/>
    <s v=""/>
    <s v=""/>
    <s v=""/>
    <m/>
  </r>
  <r>
    <s v="China"/>
    <s v="East Asia and Pacific"/>
    <s v="P058845"/>
    <s v="C1"/>
    <s v="S1"/>
    <s v="P058845C1S1"/>
    <x v="1"/>
    <n v="2007"/>
    <x v="8"/>
    <n v="25"/>
    <n v="128"/>
    <n v="271"/>
    <s v="USD"/>
    <n v="271"/>
    <n v="2.1171875"/>
    <s v=""/>
    <s v=""/>
    <s v=""/>
    <s v=""/>
    <s v=""/>
    <m/>
  </r>
  <r>
    <s v="China"/>
    <s v="East Asia and Pacific"/>
    <s v="P058845"/>
    <s v="C1"/>
    <s v="S1"/>
    <s v="P058845C1S1"/>
    <x v="2"/>
    <s v="2001 / 2007"/>
    <x v="8"/>
    <s v=""/>
    <n v="0.98461538461538467"/>
    <n v="0.68261964735516378"/>
    <m/>
    <n v="0.68261964735516378"/>
    <n v="0.69328557934508817"/>
    <s v=""/>
    <s v=""/>
    <s v=""/>
    <s v=""/>
    <s v=""/>
    <s v=""/>
  </r>
  <r>
    <s v="China"/>
    <s v="East Asia and Pacific"/>
    <s v="P058845"/>
    <s v="C2"/>
    <s v=""/>
    <s v="P058845C2"/>
    <x v="0"/>
    <n v="2001"/>
    <x v="1"/>
    <s v=""/>
    <n v="180"/>
    <n v="33.85"/>
    <s v="USD"/>
    <n v="33.85"/>
    <n v="0.18805555555555556"/>
    <s v=""/>
    <s v=""/>
    <s v=""/>
    <s v=""/>
    <s v=""/>
    <m/>
  </r>
  <r>
    <s v="China"/>
    <s v="East Asia and Pacific"/>
    <s v="P058845"/>
    <s v="C2"/>
    <s v=""/>
    <s v="P058845C2"/>
    <x v="1"/>
    <n v="2007"/>
    <x v="1"/>
    <n v="15"/>
    <n v="182"/>
    <n v="26.8"/>
    <s v="USD"/>
    <n v="26.8"/>
    <n v="0.14725274725274726"/>
    <s v=""/>
    <s v=""/>
    <s v=""/>
    <s v=""/>
    <s v=""/>
    <m/>
  </r>
  <r>
    <s v="China"/>
    <s v="East Asia and Pacific"/>
    <s v="P058845"/>
    <s v="C2"/>
    <s v=""/>
    <s v="P058845C2"/>
    <x v="2"/>
    <s v="2001 / 2007"/>
    <x v="1"/>
    <s v=""/>
    <n v="1.0111111111111111"/>
    <n v="0.7917282127031019"/>
    <m/>
    <n v="0.7917282127031019"/>
    <n v="0.7830279026733975"/>
    <s v=""/>
    <s v=""/>
    <s v=""/>
    <s v=""/>
    <s v=""/>
    <s v=""/>
  </r>
  <r>
    <s v="China"/>
    <s v="East Asia and Pacific"/>
    <s v="P070519"/>
    <s v="C1"/>
    <s v="S1"/>
    <s v="P070519C1S1"/>
    <x v="0"/>
    <n v="2005"/>
    <x v="14"/>
    <s v=""/>
    <n v="11.6"/>
    <n v="158.57"/>
    <s v="USD"/>
    <n v="158.57"/>
    <n v="13.669827586206896"/>
    <s v=""/>
    <s v=""/>
    <s v=""/>
    <s v="x"/>
    <s v="x"/>
    <m/>
  </r>
  <r>
    <s v="China"/>
    <s v="East Asia and Pacific"/>
    <s v="P070519"/>
    <s v="C1"/>
    <s v="S1"/>
    <s v="P070519C1S1"/>
    <x v="1"/>
    <n v="2013"/>
    <x v="14"/>
    <n v="39"/>
    <n v="11.6"/>
    <n v="326.25"/>
    <s v="USD"/>
    <n v="326.25"/>
    <n v="28.125"/>
    <s v=""/>
    <s v=""/>
    <s v=""/>
    <s v="x"/>
    <s v="x"/>
    <m/>
  </r>
  <r>
    <s v="China"/>
    <s v="East Asia and Pacific"/>
    <s v="P070519"/>
    <s v="C1"/>
    <s v="S1"/>
    <s v="P070519C1S1"/>
    <x v="2"/>
    <s v="2005 / 2013"/>
    <x v="14"/>
    <s v=""/>
    <n v="1"/>
    <n v="2.057450968026739"/>
    <m/>
    <n v="2.057450968026739"/>
    <n v="2.057450968026739"/>
    <s v=""/>
    <s v=""/>
    <s v=""/>
    <s v="x"/>
    <s v="x"/>
    <s v="Macroeconomic conditions ; Quality of estimates; "/>
  </r>
  <r>
    <s v="China"/>
    <s v="East Asia and Pacific"/>
    <s v="P070519"/>
    <s v="C1"/>
    <s v="S2"/>
    <s v="P070519C1S2"/>
    <x v="0"/>
    <n v="2005"/>
    <x v="8"/>
    <s v=""/>
    <n v="4.0999999999999996"/>
    <n v="31.13"/>
    <s v="USD"/>
    <n v="31.13"/>
    <n v="7.5926829268292684"/>
    <s v=""/>
    <s v=""/>
    <s v=""/>
    <s v=""/>
    <s v=""/>
    <m/>
  </r>
  <r>
    <s v="China"/>
    <s v="East Asia and Pacific"/>
    <s v="P070519"/>
    <s v="C1"/>
    <s v="S2"/>
    <s v="P070519C1S2"/>
    <x v="1"/>
    <n v="2013"/>
    <x v="8"/>
    <s v=""/>
    <n v="4.0999999999999996"/>
    <n v="32.68"/>
    <s v="USD"/>
    <n v="32.68"/>
    <n v="7.970731707317074"/>
    <s v=""/>
    <s v=""/>
    <s v=""/>
    <s v=""/>
    <s v=""/>
    <m/>
  </r>
  <r>
    <s v="China"/>
    <s v="East Asia and Pacific"/>
    <s v="P070519"/>
    <s v="C1"/>
    <s v="S2"/>
    <s v="P070519C1S2"/>
    <x v="2"/>
    <s v="2005 / 2013"/>
    <x v="8"/>
    <s v=""/>
    <n v="1"/>
    <n v="1.0497911982010921"/>
    <m/>
    <n v="1.0497911982010921"/>
    <n v="1.0497911982010923"/>
    <s v=""/>
    <s v=""/>
    <s v=""/>
    <s v=""/>
    <s v=""/>
    <s v=""/>
  </r>
  <r>
    <s v="China"/>
    <s v="East Asia and Pacific"/>
    <s v="P076714"/>
    <s v="C1"/>
    <s v=""/>
    <s v="P076714C1"/>
    <x v="0"/>
    <n v="2003"/>
    <x v="8"/>
    <n v="42"/>
    <n v="116.15"/>
    <n v="4109"/>
    <s v="RMB"/>
    <n v="497.4576271186441"/>
    <n v="4.2828896006770902"/>
    <s v=""/>
    <s v=""/>
    <s v=""/>
    <s v=""/>
    <s v=""/>
    <m/>
  </r>
  <r>
    <s v="China"/>
    <s v="East Asia and Pacific"/>
    <s v="P076714"/>
    <s v="C1"/>
    <s v=""/>
    <s v="P076714C1"/>
    <x v="1"/>
    <n v="2009"/>
    <x v="8"/>
    <n v="39"/>
    <n v="116.12"/>
    <n v="3485"/>
    <s v="RMB"/>
    <n v="510.24890190336748"/>
    <n v="4.3941517559711283"/>
    <s v=""/>
    <s v=""/>
    <s v=""/>
    <s v=""/>
    <s v=""/>
    <m/>
  </r>
  <r>
    <s v="China"/>
    <s v="East Asia and Pacific"/>
    <s v="P076714"/>
    <s v="C1"/>
    <s v=""/>
    <s v="P076714C1"/>
    <x v="2"/>
    <s v="2003 / 2009"/>
    <x v="8"/>
    <n v="0.9285714285714286"/>
    <n v="0.99974171330176498"/>
    <n v="0.84813823314675107"/>
    <m/>
    <n v="1.0257132951379448"/>
    <n v="1.0259782916833646"/>
    <s v=""/>
    <s v=""/>
    <s v=""/>
    <s v=""/>
    <s v=""/>
    <s v=""/>
  </r>
  <r>
    <s v="China"/>
    <s v="East Asia and Pacific"/>
    <s v="P076714"/>
    <s v="C1"/>
    <s v="S1"/>
    <s v="P076714C1S1"/>
    <x v="0"/>
    <n v="2003"/>
    <x v="8"/>
    <s v=""/>
    <n v="57.02"/>
    <n v="1426"/>
    <s v="RMB"/>
    <n v="172.63922518159808"/>
    <n v="3.0276959870501239"/>
    <s v=""/>
    <s v=""/>
    <s v=""/>
    <s v=""/>
    <s v=""/>
    <m/>
  </r>
  <r>
    <s v="China"/>
    <s v="East Asia and Pacific"/>
    <s v="P076714"/>
    <s v="C1"/>
    <s v="S1"/>
    <s v="P076714C1S1"/>
    <x v="1"/>
    <n v="2009"/>
    <x v="8"/>
    <s v=""/>
    <n v="65.09"/>
    <n v="1618"/>
    <s v="RMB"/>
    <n v="236.89604685212299"/>
    <n v="3.6395152381644333"/>
    <s v=""/>
    <s v=""/>
    <s v=""/>
    <s v=""/>
    <s v=""/>
    <m/>
  </r>
  <r>
    <s v="China"/>
    <s v="East Asia and Pacific"/>
    <s v="P076714"/>
    <s v="C1"/>
    <s v="S1"/>
    <s v="P076714C1S1"/>
    <x v="2"/>
    <s v="2003 / 2009"/>
    <x v="8"/>
    <s v=""/>
    <n v="1.1415292879691337"/>
    <n v="1.1346423562412342"/>
    <m/>
    <n v="1.3722029081336156"/>
    <n v="1.2020742022089224"/>
    <s v=""/>
    <s v=""/>
    <s v=""/>
    <s v=""/>
    <s v=""/>
    <s v=""/>
  </r>
  <r>
    <s v="China"/>
    <s v="East Asia and Pacific"/>
    <s v="P076714"/>
    <s v="C1"/>
    <s v="S2"/>
    <s v="P076714C1S2"/>
    <x v="0"/>
    <n v="2003"/>
    <x v="8"/>
    <s v=""/>
    <n v="48.95"/>
    <n v="1371"/>
    <s v="RMB"/>
    <n v="165.98062953995156"/>
    <n v="3.3908198067405833"/>
    <s v=""/>
    <s v=""/>
    <s v=""/>
    <s v="x"/>
    <s v="x"/>
    <m/>
  </r>
  <r>
    <s v="China"/>
    <s v="East Asia and Pacific"/>
    <s v="P076714"/>
    <s v="C1"/>
    <s v="S2"/>
    <s v="P076714C1S2"/>
    <x v="1"/>
    <n v="2009"/>
    <x v="8"/>
    <s v=""/>
    <n v="41.3"/>
    <n v="1479"/>
    <s v="RMB"/>
    <n v="216.54465592972181"/>
    <n v="5.2432120079835798"/>
    <s v=""/>
    <s v=""/>
    <s v=""/>
    <s v="x"/>
    <s v="x"/>
    <m/>
  </r>
  <r>
    <s v="China"/>
    <s v="East Asia and Pacific"/>
    <s v="P076714"/>
    <s v="C1"/>
    <s v="S2"/>
    <s v="P076714C1S2"/>
    <x v="2"/>
    <s v="2003 / 2009"/>
    <x v="8"/>
    <s v=""/>
    <n v="0.84371807967313572"/>
    <n v="1.0787746170678336"/>
    <m/>
    <n v="1.3046381166881855"/>
    <n v="1.5462962666316391"/>
    <s v=""/>
    <s v=""/>
    <s v=""/>
    <s v="x"/>
    <s v="x"/>
    <s v="Macroeconomic conditions ; Competition; "/>
  </r>
  <r>
    <s v="China"/>
    <s v="East Asia and Pacific"/>
    <s v="P076714"/>
    <s v="C1"/>
    <s v="S3"/>
    <s v="P076714C1S3"/>
    <x v="0"/>
    <n v="2003"/>
    <x v="8"/>
    <s v=""/>
    <n v="10.18"/>
    <n v="1313"/>
    <s v="RMB"/>
    <n v="158.95883777239709"/>
    <n v="15.614817069980068"/>
    <s v=""/>
    <s v=""/>
    <s v="x"/>
    <s v=""/>
    <s v="x"/>
    <m/>
  </r>
  <r>
    <s v="China"/>
    <s v="East Asia and Pacific"/>
    <s v="P076714"/>
    <s v="C1"/>
    <s v="S3"/>
    <s v="P076714C1S3"/>
    <x v="1"/>
    <n v="2009"/>
    <x v="8"/>
    <s v=""/>
    <n v="9.73"/>
    <n v="387"/>
    <s v="RMB"/>
    <n v="56.661786237188871"/>
    <n v="5.8234107129690509"/>
    <s v=""/>
    <s v=""/>
    <s v="x"/>
    <s v=""/>
    <s v="x"/>
    <m/>
  </r>
  <r>
    <s v="China"/>
    <s v="East Asia and Pacific"/>
    <s v="P076714"/>
    <s v="C1"/>
    <s v="S3"/>
    <s v="P076714C1S3"/>
    <x v="2"/>
    <s v="2003 / 2009"/>
    <x v="8"/>
    <s v=""/>
    <n v="0.95579567779960717"/>
    <n v="0.29474485910129472"/>
    <m/>
    <n v="0.35645571539922322"/>
    <n v="0.37294133430257881"/>
    <s v=""/>
    <s v=""/>
    <s v="x"/>
    <s v=""/>
    <s v="x"/>
    <s v="Quality of estimates; ; "/>
  </r>
  <r>
    <s v="China"/>
    <s v="East Asia and Pacific"/>
    <s v="P076714"/>
    <s v="C2"/>
    <s v=""/>
    <s v="P076714C2"/>
    <x v="0"/>
    <n v="2003"/>
    <x v="1"/>
    <s v=""/>
    <n v="243"/>
    <n v="500"/>
    <s v="RMB"/>
    <n v="60.53268765133172"/>
    <n v="0.24910571049930749"/>
    <s v=""/>
    <s v=""/>
    <s v=""/>
    <s v=""/>
    <s v=""/>
    <m/>
  </r>
  <r>
    <s v="China"/>
    <s v="East Asia and Pacific"/>
    <s v="P076714"/>
    <s v="C2"/>
    <s v=""/>
    <s v="P076714C2"/>
    <x v="1"/>
    <n v="2009"/>
    <x v="1"/>
    <n v="28"/>
    <n v="233.5"/>
    <n v="360.5"/>
    <s v="RMB"/>
    <n v="52.781844802342604"/>
    <n v="0.22604644454964712"/>
    <s v=""/>
    <s v=""/>
    <s v=""/>
    <s v=""/>
    <s v=""/>
    <m/>
  </r>
  <r>
    <s v="China"/>
    <s v="East Asia and Pacific"/>
    <s v="P076714"/>
    <s v="C2"/>
    <s v=""/>
    <s v="P076714C2"/>
    <x v="2"/>
    <s v="2003 / 2009"/>
    <x v="1"/>
    <s v=""/>
    <n v="0.96090534979423869"/>
    <n v="0.72099999999999997"/>
    <m/>
    <n v="0.87195607613469983"/>
    <n v="0.90743180514232136"/>
    <s v=""/>
    <s v=""/>
    <s v=""/>
    <s v=""/>
    <s v=""/>
    <s v=""/>
  </r>
  <r>
    <s v="China"/>
    <s v="East Asia and Pacific"/>
    <s v="P076714"/>
    <s v="C2"/>
    <s v="S1"/>
    <s v="P076714C2S1"/>
    <x v="0"/>
    <n v="2003"/>
    <x v="1"/>
    <s v=""/>
    <n v="74"/>
    <n v="148"/>
    <s v="RMB"/>
    <n v="17.917675544794189"/>
    <n v="0.24213075060532688"/>
    <s v=""/>
    <s v=""/>
    <s v=""/>
    <s v=""/>
    <s v=""/>
    <m/>
  </r>
  <r>
    <s v="China"/>
    <s v="East Asia and Pacific"/>
    <s v="P076714"/>
    <s v="C2"/>
    <s v="S1"/>
    <s v="P076714C2S1"/>
    <x v="1"/>
    <n v="2009"/>
    <x v="1"/>
    <n v="28"/>
    <n v="74.099999999999994"/>
    <n v="98.3"/>
    <s v="RMB"/>
    <n v="14.39238653001464"/>
    <n v="0.19422923792192498"/>
    <s v=""/>
    <s v=""/>
    <s v=""/>
    <s v=""/>
    <s v=""/>
    <m/>
  </r>
  <r>
    <s v="China"/>
    <s v="East Asia and Pacific"/>
    <s v="P076714"/>
    <s v="C2"/>
    <s v="S1"/>
    <s v="P076714C2S1"/>
    <x v="2"/>
    <s v="2003 / 2009"/>
    <x v="1"/>
    <s v=""/>
    <n v="1.0013513513513512"/>
    <n v="0.66418918918918912"/>
    <m/>
    <n v="0.80325076174270893"/>
    <n v="0.80216675261755022"/>
    <s v=""/>
    <s v=""/>
    <s v=""/>
    <s v=""/>
    <s v=""/>
    <s v=""/>
  </r>
  <r>
    <s v="China"/>
    <s v="East Asia and Pacific"/>
    <s v="P076714"/>
    <s v="C2"/>
    <s v="S2"/>
    <s v="P076714C2S2"/>
    <x v="0"/>
    <n v="2003"/>
    <x v="1"/>
    <s v=""/>
    <n v="35"/>
    <n v="70"/>
    <s v="RMB"/>
    <n v="8.4745762711864412"/>
    <n v="0.24213075060532688"/>
    <s v=""/>
    <s v=""/>
    <s v=""/>
    <s v=""/>
    <s v=""/>
    <m/>
  </r>
  <r>
    <s v="China"/>
    <s v="East Asia and Pacific"/>
    <s v="P076714"/>
    <s v="C2"/>
    <s v="S2"/>
    <s v="P076714C2S2"/>
    <x v="1"/>
    <n v="2009"/>
    <x v="1"/>
    <n v="11"/>
    <n v="39"/>
    <n v="66.400000000000006"/>
    <s v="RMB"/>
    <n v="9.721815519765741"/>
    <n v="0.24927732101963437"/>
    <s v=""/>
    <s v=""/>
    <s v=""/>
    <s v=""/>
    <s v=""/>
    <m/>
  </r>
  <r>
    <s v="China"/>
    <s v="East Asia and Pacific"/>
    <s v="P076714"/>
    <s v="C2"/>
    <s v="S2"/>
    <s v="P076714C2S2"/>
    <x v="2"/>
    <s v="2003 / 2009"/>
    <x v="1"/>
    <s v=""/>
    <n v="1.1142857142857143"/>
    <n v="0.94857142857142862"/>
    <m/>
    <n v="1.1471742313323574"/>
    <n v="1.02951533581109"/>
    <s v=""/>
    <s v=""/>
    <s v=""/>
    <s v=""/>
    <s v=""/>
    <s v=""/>
  </r>
  <r>
    <s v="China"/>
    <s v="East Asia and Pacific"/>
    <s v="P076714"/>
    <s v="C2"/>
    <s v="S3"/>
    <s v="P076714C2S3"/>
    <x v="0"/>
    <n v="2003"/>
    <x v="1"/>
    <s v=""/>
    <n v="44"/>
    <n v="88"/>
    <s v="RMB"/>
    <n v="10.653753026634384"/>
    <n v="0.24213075060532691"/>
    <s v=""/>
    <s v=""/>
    <s v=""/>
    <s v=""/>
    <s v=""/>
    <m/>
  </r>
  <r>
    <s v="China"/>
    <s v="East Asia and Pacific"/>
    <s v="P076714"/>
    <s v="C2"/>
    <s v="S3"/>
    <s v="P076714C2S3"/>
    <x v="1"/>
    <n v="2009"/>
    <x v="1"/>
    <n v="13"/>
    <n v="36.4"/>
    <n v="74.400000000000006"/>
    <s v="RMB"/>
    <n v="10.893118594436311"/>
    <n v="0.29926149984715139"/>
    <s v=""/>
    <s v=""/>
    <s v=""/>
    <s v=""/>
    <s v=""/>
    <m/>
  </r>
  <r>
    <s v="China"/>
    <s v="East Asia and Pacific"/>
    <s v="P076714"/>
    <s v="C2"/>
    <s v="S3"/>
    <s v="P076714C2S3"/>
    <x v="2"/>
    <s v="2003 / 2009"/>
    <x v="1"/>
    <s v=""/>
    <n v="0.82727272727272727"/>
    <n v="0.84545454545454557"/>
    <m/>
    <n v="1.0224677226141354"/>
    <n v="1.2359499943687351"/>
    <s v=""/>
    <s v=""/>
    <s v=""/>
    <s v=""/>
    <s v=""/>
    <s v=""/>
  </r>
  <r>
    <s v="China"/>
    <s v="East Asia and Pacific"/>
    <s v="P076714"/>
    <s v="C2"/>
    <s v="S4"/>
    <s v="P076714C2S4"/>
    <x v="0"/>
    <n v="2003"/>
    <x v="1"/>
    <s v=""/>
    <n v="38"/>
    <n v="90"/>
    <s v="RMB"/>
    <n v="10.89588377723971"/>
    <n v="0.28673378361157131"/>
    <s v=""/>
    <s v=""/>
    <s v=""/>
    <s v=""/>
    <s v=""/>
    <m/>
  </r>
  <r>
    <s v="China"/>
    <s v="East Asia and Pacific"/>
    <s v="P076714"/>
    <s v="C2"/>
    <s v="S4"/>
    <s v="P076714C2S4"/>
    <x v="1"/>
    <n v="2009"/>
    <x v="1"/>
    <n v="11"/>
    <n v="32.700000000000003"/>
    <n v="65.400000000000006"/>
    <s v="RMB"/>
    <n v="9.5754026354319191"/>
    <n v="0.29282576866764276"/>
    <s v=""/>
    <s v=""/>
    <s v=""/>
    <s v=""/>
    <s v=""/>
    <m/>
  </r>
  <r>
    <s v="China"/>
    <s v="East Asia and Pacific"/>
    <s v="P076714"/>
    <s v="C2"/>
    <s v="S4"/>
    <s v="P076714C2S4"/>
    <x v="2"/>
    <s v="2003 / 2009"/>
    <x v="1"/>
    <s v=""/>
    <n v="0.86052631578947381"/>
    <n v="0.72666666666666668"/>
    <m/>
    <n v="0.8788091752074183"/>
    <n v="1.0212461363266634"/>
    <s v=""/>
    <s v=""/>
    <s v=""/>
    <s v=""/>
    <s v=""/>
    <s v=""/>
  </r>
  <r>
    <s v="China"/>
    <s v="East Asia and Pacific"/>
    <s v="P076714"/>
    <s v="C2"/>
    <s v="S5"/>
    <s v="P076714C2S5"/>
    <x v="0"/>
    <n v="2003"/>
    <x v="1"/>
    <s v=""/>
    <n v="52"/>
    <n v="104"/>
    <s v="RMB"/>
    <n v="12.590799031476998"/>
    <n v="0.24213075060532688"/>
    <s v=""/>
    <s v=""/>
    <s v=""/>
    <s v=""/>
    <s v=""/>
    <m/>
  </r>
  <r>
    <s v="China"/>
    <s v="East Asia and Pacific"/>
    <s v="P076714"/>
    <s v="C2"/>
    <s v="S5"/>
    <s v="P076714C2S5"/>
    <x v="1"/>
    <n v="2009"/>
    <x v="1"/>
    <n v="25"/>
    <n v="51.3"/>
    <n v="56"/>
    <s v="RMB"/>
    <n v="8.1991215226939964"/>
    <n v="0.1598269302669395"/>
    <s v=""/>
    <s v=""/>
    <s v=""/>
    <s v=""/>
    <s v=""/>
    <m/>
  </r>
  <r>
    <s v="China"/>
    <s v="East Asia and Pacific"/>
    <s v="P076714"/>
    <s v="C2"/>
    <s v="S5"/>
    <s v="P076714C2S5"/>
    <x v="2"/>
    <s v="2003 / 2009"/>
    <x v="1"/>
    <s v=""/>
    <n v="0.98653846153846148"/>
    <n v="0.53846153846153844"/>
    <m/>
    <n v="0.65119945939858093"/>
    <n v="0.66008522200246011"/>
    <s v=""/>
    <s v=""/>
    <s v=""/>
    <s v=""/>
    <s v=""/>
    <s v=""/>
  </r>
  <r>
    <s v="China"/>
    <s v="East Asia and Pacific"/>
    <s v="P081749"/>
    <s v="C1"/>
    <s v=""/>
    <s v="P081749C1"/>
    <x v="0"/>
    <n v="2004"/>
    <x v="8"/>
    <n v="36"/>
    <n v="105.1"/>
    <n v="357.69"/>
    <s v="USD"/>
    <n v="357.69"/>
    <n v="3.4033301617507137"/>
    <s v=""/>
    <s v=""/>
    <s v=""/>
    <s v="x"/>
    <s v="x"/>
    <m/>
  </r>
  <r>
    <s v="China"/>
    <s v="East Asia and Pacific"/>
    <s v="P081749"/>
    <s v="C1"/>
    <s v=""/>
    <s v="P081749C1"/>
    <x v="1"/>
    <n v="2010"/>
    <x v="8"/>
    <n v="36"/>
    <n v="106.4"/>
    <n v="600.14790000000005"/>
    <s v="USD"/>
    <n v="600.14790000000005"/>
    <n v="5.6404877819548878"/>
    <s v=""/>
    <s v=""/>
    <s v=""/>
    <s v="x"/>
    <s v="x"/>
    <m/>
  </r>
  <r>
    <s v="China"/>
    <s v="East Asia and Pacific"/>
    <s v="P081749"/>
    <s v="C1"/>
    <s v=""/>
    <s v="P081749C1"/>
    <x v="2"/>
    <s v="2004 / 2010"/>
    <x v="8"/>
    <n v="1"/>
    <n v="1.0123691722169363"/>
    <n v="1.6778436635075067"/>
    <m/>
    <n v="1.6778436635075067"/>
    <n v="1.6573436939345765"/>
    <s v=""/>
    <s v=""/>
    <s v=""/>
    <s v="x"/>
    <s v="x"/>
    <s v="Weather shocks; Quality of estimates; "/>
  </r>
  <r>
    <s v="China"/>
    <s v="East Asia and Pacific"/>
    <s v="P081749"/>
    <s v="C2"/>
    <s v="S1"/>
    <s v="P081749C2S1"/>
    <x v="0"/>
    <n v="2004"/>
    <x v="1"/>
    <n v="36"/>
    <n v="85.8"/>
    <n v="177.4"/>
    <s v="RMB"/>
    <n v="21.425120772946862"/>
    <n v="0.24971003231872801"/>
    <s v=""/>
    <s v=""/>
    <s v=""/>
    <s v=""/>
    <s v=""/>
    <m/>
  </r>
  <r>
    <s v="China"/>
    <s v="East Asia and Pacific"/>
    <s v="P081749"/>
    <s v="C2"/>
    <s v="S1"/>
    <s v="P081749C2S1"/>
    <x v="1"/>
    <n v="2010"/>
    <x v="1"/>
    <n v="36"/>
    <n v="85.18"/>
    <n v="150"/>
    <s v="RMB"/>
    <n v="21.961932650073205"/>
    <n v="0.25782968596000472"/>
    <s v=""/>
    <s v=""/>
    <s v=""/>
    <s v=""/>
    <s v=""/>
    <m/>
  </r>
  <r>
    <s v="China"/>
    <s v="East Asia and Pacific"/>
    <s v="P081749"/>
    <s v="C2"/>
    <s v="S1"/>
    <s v="P081749C2S1"/>
    <x v="2"/>
    <s v="2004 / 2010"/>
    <x v="1"/>
    <n v="1"/>
    <n v="0.99277389277389294"/>
    <n v="0.84554678692220964"/>
    <m/>
    <n v="1.0250552555952994"/>
    <n v="1.0325163293035533"/>
    <s v=""/>
    <s v=""/>
    <s v=""/>
    <s v=""/>
    <s v=""/>
    <s v=""/>
  </r>
  <r>
    <s v="China"/>
    <s v="East Asia and Pacific"/>
    <s v="P091020"/>
    <s v="C1"/>
    <s v=""/>
    <s v="P091020C1"/>
    <x v="0"/>
    <n v="2006"/>
    <x v="8"/>
    <s v=""/>
    <n v="195"/>
    <n v="733.86"/>
    <s v="USD"/>
    <n v="733.86"/>
    <n v="3.7633846153846156"/>
    <s v=""/>
    <s v=""/>
    <s v=""/>
    <s v="x"/>
    <s v="x"/>
    <m/>
  </r>
  <r>
    <s v="China"/>
    <s v="East Asia and Pacific"/>
    <s v="P091020"/>
    <s v="C1"/>
    <s v=""/>
    <s v="P091020C1"/>
    <x v="1"/>
    <n v="2015"/>
    <x v="8"/>
    <s v=""/>
    <n v="195"/>
    <n v="1164.6500000000001"/>
    <s v="USD"/>
    <n v="1164.6500000000001"/>
    <n v="5.9725641025641032"/>
    <s v=""/>
    <s v=""/>
    <s v=""/>
    <s v="x"/>
    <s v="x"/>
    <m/>
  </r>
  <r>
    <s v="China"/>
    <s v="East Asia and Pacific"/>
    <s v="P091020"/>
    <s v="C1"/>
    <s v=""/>
    <s v="P091020C1"/>
    <x v="2"/>
    <s v="2006 / 2015"/>
    <x v="8"/>
    <s v=""/>
    <n v="1"/>
    <n v="1.5870193224865778"/>
    <m/>
    <n v="1.5870193224865778"/>
    <n v="1.5870193224865778"/>
    <s v=""/>
    <s v=""/>
    <s v=""/>
    <s v="x"/>
    <s v="x"/>
    <s v="Weather shocks; Political events; Capacity"/>
  </r>
  <r>
    <s v="China"/>
    <s v="East Asia and Pacific"/>
    <s v="P091020"/>
    <s v="C2"/>
    <s v=""/>
    <s v="P091020C2"/>
    <x v="0"/>
    <n v="2006"/>
    <x v="0"/>
    <s v=""/>
    <n v="4222.63"/>
    <n v="3297.43"/>
    <s v="RMB"/>
    <n v="409.61863354037263"/>
    <n v="9.7005570826800502E-2"/>
    <s v=""/>
    <s v="x"/>
    <s v=""/>
    <s v=""/>
    <s v="x"/>
    <m/>
  </r>
  <r>
    <s v="China"/>
    <s v="East Asia and Pacific"/>
    <s v="P091020"/>
    <s v="C2"/>
    <s v=""/>
    <s v="P091020C2"/>
    <x v="1"/>
    <n v="2015"/>
    <x v="0"/>
    <s v=""/>
    <n v="10289.94"/>
    <n v="8888.36"/>
    <s v="RMB"/>
    <n v="1454.7234042553191"/>
    <n v="0.14137336119115554"/>
    <s v=""/>
    <s v="x"/>
    <s v=""/>
    <s v=""/>
    <s v="x"/>
    <m/>
  </r>
  <r>
    <s v="China"/>
    <s v="East Asia and Pacific"/>
    <s v="P091020"/>
    <s v="C2"/>
    <s v=""/>
    <s v="P091020C2"/>
    <x v="2"/>
    <s v="2006 / 2015"/>
    <x v="0"/>
    <s v=""/>
    <n v="2.4368557036728293"/>
    <n v="2.6955416794291316"/>
    <m/>
    <n v="3.5514092503117034"/>
    <n v="1.4573736331449656"/>
    <s v=""/>
    <s v="x"/>
    <s v=""/>
    <s v=""/>
    <s v="x"/>
    <s v="Capacity; ; "/>
  </r>
  <r>
    <s v="China"/>
    <s v="East Asia and Pacific"/>
    <s v="P091020"/>
    <s v="C2"/>
    <s v="S1"/>
    <s v="P091020C2S1"/>
    <x v="0"/>
    <n v="2006"/>
    <x v="0"/>
    <s v=""/>
    <n v="489.44"/>
    <n v="307.18"/>
    <s v="RMB"/>
    <n v="38.15900621118012"/>
    <n v="7.7964625308883873E-2"/>
    <s v=""/>
    <s v="x"/>
    <s v=""/>
    <s v="x"/>
    <s v="x"/>
    <m/>
  </r>
  <r>
    <s v="China"/>
    <s v="East Asia and Pacific"/>
    <s v="P091020"/>
    <s v="C2"/>
    <s v="S1"/>
    <s v="P091020C2S1"/>
    <x v="1"/>
    <n v="2015"/>
    <x v="0"/>
    <s v=""/>
    <n v="1757.41"/>
    <n v="1622.89"/>
    <s v="RMB"/>
    <n v="265.61211129296237"/>
    <n v="0.15113838620069442"/>
    <s v=""/>
    <s v="x"/>
    <s v=""/>
    <s v="x"/>
    <s v="x"/>
    <m/>
  </r>
  <r>
    <s v="China"/>
    <s v="East Asia and Pacific"/>
    <s v="P091020"/>
    <s v="C2"/>
    <s v="S1"/>
    <s v="P091020C2S1"/>
    <x v="2"/>
    <s v="2006 / 2015"/>
    <x v="0"/>
    <s v=""/>
    <n v="3.5906546256946719"/>
    <n v="5.2831890097011529"/>
    <m/>
    <n v="6.9606663712101939"/>
    <n v="1.938550792771816"/>
    <s v=""/>
    <s v="x"/>
    <s v=""/>
    <s v="x"/>
    <s v="x"/>
    <s v="Change of project scope; ; "/>
  </r>
  <r>
    <s v="China"/>
    <s v="East Asia and Pacific"/>
    <s v="P091020"/>
    <s v="C2"/>
    <s v="S2"/>
    <s v="P091020C2S2"/>
    <x v="0"/>
    <n v="2006"/>
    <x v="0"/>
    <s v=""/>
    <n v="566.95000000000005"/>
    <n v="656.21"/>
    <s v="RMB"/>
    <n v="81.516770186335407"/>
    <n v="0.14378123324161812"/>
    <s v=""/>
    <s v="x"/>
    <s v=""/>
    <s v=""/>
    <s v="x"/>
    <m/>
  </r>
  <r>
    <s v="China"/>
    <s v="East Asia and Pacific"/>
    <s v="P091020"/>
    <s v="C2"/>
    <s v="S2"/>
    <s v="P091020C2S2"/>
    <x v="1"/>
    <n v="2015"/>
    <x v="0"/>
    <s v=""/>
    <n v="1246.53"/>
    <n v="1328.55"/>
    <s v="RMB"/>
    <n v="217.43862520458262"/>
    <n v="0.17443513209034892"/>
    <s v=""/>
    <s v="x"/>
    <s v=""/>
    <s v=""/>
    <s v="x"/>
    <m/>
  </r>
  <r>
    <s v="China"/>
    <s v="East Asia and Pacific"/>
    <s v="P091020"/>
    <s v="C2"/>
    <s v="S2"/>
    <s v="P091020C2S2"/>
    <x v="2"/>
    <s v="2006 / 2015"/>
    <x v="0"/>
    <s v=""/>
    <n v="2.1986594937825203"/>
    <n v="2.0245805458618427"/>
    <m/>
    <n v="2.6674097208163392"/>
    <n v="1.2131981911520973"/>
    <s v=""/>
    <s v="x"/>
    <s v=""/>
    <s v=""/>
    <s v="x"/>
    <s v="Capacity; ; "/>
  </r>
  <r>
    <s v="China"/>
    <s v="East Asia and Pacific"/>
    <s v="P091020"/>
    <s v="C2"/>
    <s v="S3"/>
    <s v="P091020C2S3"/>
    <x v="0"/>
    <n v="2006"/>
    <x v="0"/>
    <s v=""/>
    <n v="1421.22"/>
    <n v="1046.25"/>
    <s v="RMB"/>
    <n v="129.96894409937886"/>
    <n v="9.1448856686071722E-2"/>
    <s v=""/>
    <s v="x"/>
    <s v=""/>
    <s v=""/>
    <s v="x"/>
    <m/>
  </r>
  <r>
    <s v="China"/>
    <s v="East Asia and Pacific"/>
    <s v="P091020"/>
    <s v="C2"/>
    <s v="S3"/>
    <s v="P091020C2S3"/>
    <x v="1"/>
    <n v="2015"/>
    <x v="0"/>
    <s v=""/>
    <n v="2387.44"/>
    <n v="1872.56"/>
    <s v="RMB"/>
    <n v="306.47463175122749"/>
    <n v="0.12836956394767093"/>
    <s v=""/>
    <s v="x"/>
    <s v=""/>
    <s v=""/>
    <s v="x"/>
    <m/>
  </r>
  <r>
    <s v="China"/>
    <s v="East Asia and Pacific"/>
    <s v="P091020"/>
    <s v="C2"/>
    <s v="S3"/>
    <s v="P091020C2S3"/>
    <x v="2"/>
    <s v="2006 / 2015"/>
    <x v="0"/>
    <s v=""/>
    <n v="1.6798525210734438"/>
    <n v="1.7897825567502987"/>
    <m/>
    <n v="2.3580604880261715"/>
    <n v="1.4037306599506398"/>
    <s v=""/>
    <s v="x"/>
    <s v=""/>
    <s v=""/>
    <s v="x"/>
    <s v="Capacity; ; "/>
  </r>
  <r>
    <s v="China"/>
    <s v="East Asia and Pacific"/>
    <s v="P091020"/>
    <s v="C2"/>
    <s v="S4"/>
    <s v="P091020C2S4"/>
    <x v="0"/>
    <n v="2006"/>
    <x v="0"/>
    <s v=""/>
    <n v="574.08000000000004"/>
    <n v="441.63"/>
    <s v="RMB"/>
    <n v="54.860869565217385"/>
    <n v="9.5563108913770525E-2"/>
    <s v=""/>
    <s v="x"/>
    <s v=""/>
    <s v=""/>
    <s v="x"/>
    <m/>
  </r>
  <r>
    <s v="China"/>
    <s v="East Asia and Pacific"/>
    <s v="P091020"/>
    <s v="C2"/>
    <s v="S4"/>
    <s v="P091020C2S4"/>
    <x v="1"/>
    <n v="2015"/>
    <x v="0"/>
    <s v=""/>
    <n v="1623.34"/>
    <n v="1349.35"/>
    <s v="RMB"/>
    <n v="220.84288052373157"/>
    <n v="0.13604228351653477"/>
    <s v=""/>
    <s v="x"/>
    <s v=""/>
    <s v=""/>
    <s v="x"/>
    <m/>
  </r>
  <r>
    <s v="China"/>
    <s v="East Asia and Pacific"/>
    <s v="P091020"/>
    <s v="C2"/>
    <s v="S4"/>
    <s v="P091020C2S4"/>
    <x v="2"/>
    <s v="2006 / 2015"/>
    <x v="0"/>
    <s v=""/>
    <n v="2.8277243589743586"/>
    <n v="3.0553857301360865"/>
    <m/>
    <n v="4.0255082041891157"/>
    <n v="1.4235857860096393"/>
    <s v=""/>
    <s v="x"/>
    <s v=""/>
    <s v=""/>
    <s v="x"/>
    <s v="Capacity; ; "/>
  </r>
  <r>
    <s v="China"/>
    <s v="East Asia and Pacific"/>
    <s v="P091020"/>
    <s v="C2"/>
    <s v="S5"/>
    <s v="P091020C2S5"/>
    <x v="0"/>
    <n v="2006"/>
    <x v="0"/>
    <s v=""/>
    <n v="671.13"/>
    <n v="458.18"/>
    <s v="RMB"/>
    <n v="56.916770186335398"/>
    <n v="8.480736993776973E-2"/>
    <s v=""/>
    <s v="x"/>
    <s v=""/>
    <s v=""/>
    <s v="x"/>
    <m/>
  </r>
  <r>
    <s v="China"/>
    <s v="East Asia and Pacific"/>
    <s v="P091020"/>
    <s v="C2"/>
    <s v="S5"/>
    <s v="P091020C2S5"/>
    <x v="1"/>
    <n v="2015"/>
    <x v="0"/>
    <s v=""/>
    <n v="1458.57"/>
    <n v="1086.8599999999999"/>
    <s v="RMB"/>
    <n v="177.88216039279865"/>
    <n v="0.12195654674976084"/>
    <s v=""/>
    <s v="x"/>
    <s v=""/>
    <s v=""/>
    <s v="x"/>
    <m/>
  </r>
  <r>
    <s v="China"/>
    <s v="East Asia and Pacific"/>
    <s v="P091020"/>
    <s v="C2"/>
    <s v="S5"/>
    <s v="P091020C2S5"/>
    <x v="2"/>
    <s v="2006 / 2015"/>
    <x v="0"/>
    <s v=""/>
    <n v="2.1733047248670152"/>
    <n v="2.3721244925575098"/>
    <m/>
    <n v="3.1253031366756061"/>
    <n v="1.4380418451751371"/>
    <s v=""/>
    <s v="x"/>
    <s v=""/>
    <s v=""/>
    <s v="x"/>
    <s v="Capacity; ; "/>
  </r>
  <r>
    <s v="China"/>
    <s v="East Asia and Pacific"/>
    <s v="P091020"/>
    <s v="C2"/>
    <s v="S6"/>
    <s v="P091020C2S6"/>
    <x v="0"/>
    <n v="2006"/>
    <x v="0"/>
    <s v=""/>
    <n v="265.63"/>
    <n v="191.21"/>
    <s v="RMB"/>
    <n v="23.7527950310559"/>
    <n v="8.9420603964371126E-2"/>
    <s v=""/>
    <s v="x"/>
    <s v=""/>
    <s v="x"/>
    <s v="x"/>
    <m/>
  </r>
  <r>
    <s v="China"/>
    <s v="East Asia and Pacific"/>
    <s v="P091020"/>
    <s v="C2"/>
    <s v="S6"/>
    <s v="P091020C2S6"/>
    <x v="1"/>
    <n v="2015"/>
    <x v="0"/>
    <s v=""/>
    <n v="1293.6199999999999"/>
    <n v="1125.8"/>
    <s v="RMB"/>
    <n v="184.25531914893617"/>
    <n v="0.14243388255355993"/>
    <s v=""/>
    <s v="x"/>
    <s v=""/>
    <s v="x"/>
    <s v="x"/>
    <m/>
  </r>
  <r>
    <s v="China"/>
    <s v="East Asia and Pacific"/>
    <s v="P091020"/>
    <s v="C2"/>
    <s v="S6"/>
    <s v="P091020C2S6"/>
    <x v="2"/>
    <s v="2006 / 2015"/>
    <x v="0"/>
    <s v=""/>
    <n v="4.8700071528065347"/>
    <n v="5.8877673761832536"/>
    <m/>
    <n v="7.7572057902250728"/>
    <n v="1.5928530589025265"/>
    <s v=""/>
    <s v="x"/>
    <s v=""/>
    <s v="x"/>
    <s v="x"/>
    <s v="Change of project scope; ; "/>
  </r>
  <r>
    <s v="China"/>
    <s v="East Asia and Pacific"/>
    <s v="P091020"/>
    <s v="C2"/>
    <s v="S7"/>
    <s v="P091020C2S7"/>
    <x v="0"/>
    <n v="2006"/>
    <x v="0"/>
    <s v=""/>
    <n v="234.18"/>
    <n v="196.76"/>
    <s v="RMB"/>
    <n v="24.442236024844718"/>
    <n v="0.10437371263491638"/>
    <s v=""/>
    <s v=""/>
    <s v=""/>
    <s v=""/>
    <s v=""/>
    <m/>
  </r>
  <r>
    <s v="China"/>
    <s v="East Asia and Pacific"/>
    <s v="P091020"/>
    <s v="C2"/>
    <s v="S7"/>
    <s v="P091020C2S7"/>
    <x v="1"/>
    <n v="2015"/>
    <x v="0"/>
    <s v=""/>
    <n v="319.14999999999998"/>
    <n v="271.62"/>
    <s v="RMB"/>
    <n v="44.454991816693941"/>
    <n v="0.13929184338616307"/>
    <s v=""/>
    <s v=""/>
    <s v=""/>
    <s v=""/>
    <s v=""/>
    <m/>
  </r>
  <r>
    <s v="China"/>
    <s v="East Asia and Pacific"/>
    <s v="P091020"/>
    <s v="C2"/>
    <s v="S7"/>
    <s v="P091020C2S7"/>
    <x v="2"/>
    <s v="2006 / 2015"/>
    <x v="0"/>
    <s v=""/>
    <n v="1.3628405500042702"/>
    <n v="1.3804635088432609"/>
    <m/>
    <n v="1.8187776180340836"/>
    <n v="1.3345490916221894"/>
    <s v=""/>
    <s v=""/>
    <s v=""/>
    <s v=""/>
    <s v=""/>
    <s v=""/>
  </r>
  <r>
    <s v="China"/>
    <s v="East Asia and Pacific"/>
    <s v="P099112"/>
    <s v="C1"/>
    <s v=""/>
    <s v="P099112C1"/>
    <x v="0"/>
    <n v="2008"/>
    <x v="0"/>
    <n v="36"/>
    <n v="885.6"/>
    <n v="162.83699999999999"/>
    <s v="USD"/>
    <n v="162.83699999999999"/>
    <n v="0.18387195121951219"/>
    <s v=""/>
    <s v=""/>
    <s v=""/>
    <s v=""/>
    <s v=""/>
    <m/>
  </r>
  <r>
    <s v="China"/>
    <s v="East Asia and Pacific"/>
    <s v="P099112"/>
    <s v="C1"/>
    <s v=""/>
    <s v="P099112C1"/>
    <x v="1"/>
    <n v="2012"/>
    <x v="0"/>
    <n v="33"/>
    <n v="840.84500000000003"/>
    <n v="191.21899999999999"/>
    <s v="USD"/>
    <n v="191.21899999999999"/>
    <n v="0.22741290011833332"/>
    <s v=""/>
    <s v=""/>
    <s v=""/>
    <s v=""/>
    <s v=""/>
    <m/>
  </r>
  <r>
    <s v="China"/>
    <s v="East Asia and Pacific"/>
    <s v="P099112"/>
    <s v="C1"/>
    <s v=""/>
    <s v="P099112C1"/>
    <x v="2"/>
    <s v="2008 / 2012"/>
    <x v="0"/>
    <n v="0.91666666666666663"/>
    <n v="0.94946364046973808"/>
    <n v="1.174296996382886"/>
    <m/>
    <n v="1.174296996382886"/>
    <n v="1.2368003853227214"/>
    <s v=""/>
    <s v=""/>
    <s v=""/>
    <s v=""/>
    <s v=""/>
    <s v=""/>
  </r>
  <r>
    <s v="China"/>
    <s v="East Asia and Pacific"/>
    <s v="P099112"/>
    <s v="C2"/>
    <s v=""/>
    <s v="P099112C2"/>
    <x v="0"/>
    <n v="2008"/>
    <x v="1"/>
    <s v=""/>
    <n v="320"/>
    <n v="166.31299999999999"/>
    <s v="USD"/>
    <n v="166.31299999999999"/>
    <n v="0.51972812499999999"/>
    <s v=""/>
    <s v=""/>
    <s v=""/>
    <s v=""/>
    <s v=""/>
    <m/>
  </r>
  <r>
    <s v="China"/>
    <s v="East Asia and Pacific"/>
    <s v="P099112"/>
    <s v="C2"/>
    <s v=""/>
    <s v="P099112C2"/>
    <x v="1"/>
    <n v="2012"/>
    <x v="1"/>
    <n v="34"/>
    <n v="320.60000000000002"/>
    <n v="214.77099999999999"/>
    <s v="USD"/>
    <n v="214.77099999999999"/>
    <n v="0.66990330630068617"/>
    <s v=""/>
    <s v=""/>
    <s v=""/>
    <s v=""/>
    <s v=""/>
    <m/>
  </r>
  <r>
    <s v="China"/>
    <s v="East Asia and Pacific"/>
    <s v="P099112"/>
    <s v="C2"/>
    <s v=""/>
    <s v="P099112C2"/>
    <x v="2"/>
    <s v="2008 / 2012"/>
    <x v="1"/>
    <s v=""/>
    <n v="1.0018750000000001"/>
    <n v="1.291366279244557"/>
    <m/>
    <n v="1.291366279244557"/>
    <n v="1.2889494989340555"/>
    <s v=""/>
    <s v=""/>
    <s v=""/>
    <s v=""/>
    <s v=""/>
    <s v=""/>
  </r>
  <r>
    <s v="China"/>
    <s v="East Asia and Pacific"/>
    <s v="P099992"/>
    <s v="C1"/>
    <s v=""/>
    <s v="P099992C1"/>
    <x v="0"/>
    <n v="2006"/>
    <x v="11"/>
    <s v=""/>
    <n v="179"/>
    <n v="330.93"/>
    <s v="USD"/>
    <n v="330.93"/>
    <n v="1.8487709497206704"/>
    <s v=""/>
    <s v=""/>
    <s v=""/>
    <s v=""/>
    <s v=""/>
    <m/>
  </r>
  <r>
    <s v="China"/>
    <s v="East Asia and Pacific"/>
    <s v="P099992"/>
    <s v="C1"/>
    <s v=""/>
    <s v="P099992C1"/>
    <x v="1"/>
    <n v="2014"/>
    <x v="11"/>
    <s v=""/>
    <n v="107"/>
    <n v="161.66"/>
    <s v="USD"/>
    <n v="161.66"/>
    <n v="1.510841121495327"/>
    <s v=""/>
    <s v=""/>
    <s v=""/>
    <s v=""/>
    <s v=""/>
    <m/>
  </r>
  <r>
    <s v="China"/>
    <s v="East Asia and Pacific"/>
    <s v="P099992"/>
    <s v="C1"/>
    <s v=""/>
    <s v="P099992C1"/>
    <x v="2"/>
    <s v="2006 / 2014"/>
    <x v="11"/>
    <s v=""/>
    <n v="0.5977653631284916"/>
    <n v="0.488502100142024"/>
    <m/>
    <n v="0.488502100142024"/>
    <n v="0.81721379369553548"/>
    <s v=""/>
    <s v=""/>
    <s v=""/>
    <s v=""/>
    <s v=""/>
    <s v=""/>
  </r>
  <r>
    <s v="China"/>
    <s v="East Asia and Pacific"/>
    <s v="P058844"/>
    <s v="C1"/>
    <s v=""/>
    <s v="P058844C1"/>
    <x v="0"/>
    <n v="2000"/>
    <x v="8"/>
    <n v="25"/>
    <n v="95"/>
    <n v="294.8"/>
    <s v="USD"/>
    <n v="294.8"/>
    <n v="3.1031578947368423"/>
    <s v=""/>
    <s v=""/>
    <s v=""/>
    <s v=""/>
    <s v=""/>
    <m/>
  </r>
  <r>
    <s v="China"/>
    <s v="East Asia and Pacific"/>
    <s v="P058844"/>
    <s v="C1"/>
    <s v=""/>
    <s v="P058844C1"/>
    <x v="1"/>
    <n v="2007"/>
    <x v="8"/>
    <n v="37"/>
    <n v="95"/>
    <n v="267.5"/>
    <s v="USD"/>
    <n v="267.5"/>
    <n v="2.8157894736842106"/>
    <s v=""/>
    <s v=""/>
    <s v=""/>
    <s v=""/>
    <s v=""/>
    <m/>
  </r>
  <r>
    <s v="China"/>
    <s v="East Asia and Pacific"/>
    <s v="P058844"/>
    <s v="C1"/>
    <s v=""/>
    <s v="P058844C1"/>
    <x v="2"/>
    <s v="2000 / 2007"/>
    <x v="8"/>
    <n v="1.48"/>
    <n v="1"/>
    <m/>
    <m/>
    <n v="0.90739484396200809"/>
    <n v="0.90739484396200809"/>
    <s v=""/>
    <s v=""/>
    <s v=""/>
    <s v=""/>
    <s v=""/>
    <s v=""/>
  </r>
  <r>
    <s v="China"/>
    <s v="East Asia and Pacific"/>
    <s v="P058844"/>
    <s v="C2"/>
    <s v=""/>
    <s v="P058844C2"/>
    <x v="0"/>
    <n v="2000"/>
    <x v="1"/>
    <s v=""/>
    <n v="400"/>
    <n v="43.9"/>
    <s v="USD"/>
    <n v="43.9"/>
    <n v="0.10975"/>
    <s v=""/>
    <s v=""/>
    <s v=""/>
    <s v=""/>
    <s v=""/>
    <m/>
  </r>
  <r>
    <s v="China"/>
    <s v="East Asia and Pacific"/>
    <s v="P058844"/>
    <s v="C2"/>
    <s v=""/>
    <s v="P058844C2"/>
    <x v="1"/>
    <n v="2007"/>
    <x v="1"/>
    <s v=""/>
    <n v="373"/>
    <n v="38.9"/>
    <s v="USD"/>
    <n v="38.9"/>
    <n v="0.10428954423592493"/>
    <s v=""/>
    <s v=""/>
    <s v=""/>
    <s v=""/>
    <s v=""/>
    <m/>
  </r>
  <r>
    <s v="China"/>
    <s v="East Asia and Pacific"/>
    <s v="P058844"/>
    <s v="C2"/>
    <s v=""/>
    <s v="P058844C2"/>
    <x v="2"/>
    <s v="2000 / 2007"/>
    <x v="1"/>
    <s v=""/>
    <n v="0.9325"/>
    <m/>
    <m/>
    <n v="0.88610478359908884"/>
    <n v="0.95024641672824539"/>
    <s v=""/>
    <s v=""/>
    <s v=""/>
    <s v=""/>
    <s v=""/>
    <s v=""/>
  </r>
  <r>
    <s v="China"/>
    <s v="East Asia and Pacific"/>
    <s v="P058847"/>
    <s v="C1"/>
    <s v=""/>
    <s v="P058847C1"/>
    <x v="0"/>
    <n v="2002"/>
    <x v="11"/>
    <s v=""/>
    <n v="302.60000000000002"/>
    <n v="211.39"/>
    <s v="USD"/>
    <n v="211.39"/>
    <n v="0.69857898215465952"/>
    <s v=""/>
    <s v=""/>
    <s v=""/>
    <s v=""/>
    <s v=""/>
    <m/>
  </r>
  <r>
    <s v="China"/>
    <s v="East Asia and Pacific"/>
    <s v="P058847"/>
    <s v="C1"/>
    <s v=""/>
    <s v="P058847C1"/>
    <x v="1"/>
    <n v="2010"/>
    <x v="11"/>
    <s v=""/>
    <n v="302.60000000000002"/>
    <n v="278.52"/>
    <s v="USD"/>
    <n v="278.52"/>
    <n v="0.92042300066093841"/>
    <s v=""/>
    <s v=""/>
    <s v=""/>
    <s v=""/>
    <s v=""/>
    <m/>
  </r>
  <r>
    <s v="China"/>
    <s v="East Asia and Pacific"/>
    <s v="P058847"/>
    <s v="C1"/>
    <s v=""/>
    <s v="P058847C1"/>
    <x v="2"/>
    <s v="2002 / 2010"/>
    <x v="11"/>
    <s v=""/>
    <n v="1"/>
    <m/>
    <m/>
    <n v="1.3175646908557643"/>
    <n v="1.3175646908557643"/>
    <s v=""/>
    <s v=""/>
    <s v=""/>
    <s v=""/>
    <s v=""/>
    <s v=""/>
  </r>
  <r>
    <s v="China"/>
    <s v="East Asia and Pacific"/>
    <s v="P058847"/>
    <s v="C2"/>
    <s v=""/>
    <s v="P058847C2"/>
    <x v="0"/>
    <n v="2002"/>
    <x v="1"/>
    <s v=""/>
    <n v="600"/>
    <n v="41.8"/>
    <s v="USD"/>
    <n v="41.8"/>
    <n v="6.9666666666666668E-2"/>
    <s v=""/>
    <s v=""/>
    <s v=""/>
    <s v=""/>
    <s v=""/>
    <m/>
  </r>
  <r>
    <s v="China"/>
    <s v="East Asia and Pacific"/>
    <s v="P058847"/>
    <s v="C2"/>
    <s v=""/>
    <s v="P058847C2"/>
    <x v="1"/>
    <n v="2010"/>
    <x v="1"/>
    <s v=""/>
    <n v="620"/>
    <n v="51.84"/>
    <s v="USD"/>
    <n v="51.84"/>
    <n v="8.3612903225806459E-2"/>
    <s v=""/>
    <s v=""/>
    <s v=""/>
    <s v=""/>
    <s v=""/>
    <m/>
  </r>
  <r>
    <s v="China"/>
    <s v="East Asia and Pacific"/>
    <s v="P058847"/>
    <s v="C2"/>
    <s v=""/>
    <s v="P058847C2"/>
    <x v="2"/>
    <s v="2002 / 2010"/>
    <x v="1"/>
    <s v=""/>
    <n v="1.0333333333333334"/>
    <m/>
    <m/>
    <n v="1.2401913875598087"/>
    <n v="1.2001852137675568"/>
    <s v=""/>
    <s v=""/>
    <s v=""/>
    <s v=""/>
    <s v=""/>
    <s v=""/>
  </r>
  <r>
    <s v="China"/>
    <s v="East Asia and Pacific"/>
    <s v="P068752"/>
    <s v="C1"/>
    <s v=""/>
    <s v="P068752C1"/>
    <x v="0"/>
    <n v="2005"/>
    <x v="11"/>
    <n v="36"/>
    <n v="177"/>
    <n v="172.69"/>
    <s v="USD"/>
    <n v="172.69"/>
    <n v="0.97564971751412433"/>
    <s v=""/>
    <s v=""/>
    <s v=""/>
    <s v=""/>
    <s v=""/>
    <m/>
  </r>
  <r>
    <s v="China"/>
    <s v="East Asia and Pacific"/>
    <s v="P068752"/>
    <s v="C1"/>
    <s v=""/>
    <s v="P068752C1"/>
    <x v="1"/>
    <n v="2011"/>
    <x v="11"/>
    <n v="30"/>
    <n v="178.73"/>
    <n v="214.53"/>
    <s v="USD"/>
    <n v="214.53"/>
    <n v="1.2003021317070441"/>
    <s v=""/>
    <s v=""/>
    <s v=""/>
    <s v=""/>
    <s v=""/>
    <m/>
  </r>
  <r>
    <s v="China"/>
    <s v="East Asia and Pacific"/>
    <s v="P068752"/>
    <s v="C1"/>
    <s v=""/>
    <s v="P068752C1"/>
    <x v="2"/>
    <s v="2005 / 2011"/>
    <x v="11"/>
    <n v="0.83333333333333337"/>
    <n v="1.0097740112994349"/>
    <m/>
    <m/>
    <n v="1.2422838612542706"/>
    <n v="1.2302592930230285"/>
    <s v=""/>
    <s v=""/>
    <s v=""/>
    <s v=""/>
    <s v=""/>
    <s v=""/>
  </r>
  <r>
    <s v="China"/>
    <s v="East Asia and Pacific"/>
    <s v="P068752"/>
    <s v="C2"/>
    <s v=""/>
    <s v="P068752C2"/>
    <x v="0"/>
    <n v="2005"/>
    <x v="1"/>
    <s v=""/>
    <n v="431"/>
    <n v="51.3"/>
    <s v="USD"/>
    <n v="51.3"/>
    <n v="0.11902552204176334"/>
    <s v=""/>
    <s v="x"/>
    <s v=""/>
    <s v=""/>
    <s v="x"/>
    <m/>
  </r>
  <r>
    <s v="China"/>
    <s v="East Asia and Pacific"/>
    <s v="P068752"/>
    <s v="C2"/>
    <s v=""/>
    <s v="P068752C2"/>
    <x v="1"/>
    <n v="2011"/>
    <x v="1"/>
    <s v=""/>
    <n v="690"/>
    <n v="117.02"/>
    <s v="USD"/>
    <n v="117.02"/>
    <n v="0.16959420289855071"/>
    <s v=""/>
    <s v="x"/>
    <s v=""/>
    <s v=""/>
    <s v="x"/>
    <m/>
  </r>
  <r>
    <s v="China"/>
    <s v="East Asia and Pacific"/>
    <s v="P068752"/>
    <s v="C2"/>
    <s v=""/>
    <s v="P068752C2"/>
    <x v="2"/>
    <s v="2005 / 2011"/>
    <x v="1"/>
    <s v=""/>
    <n v="1.6009280742459397"/>
    <m/>
    <m/>
    <n v="2.2810916179337233"/>
    <n v="1.4248557787383109"/>
    <s v=""/>
    <s v="x"/>
    <s v=""/>
    <s v=""/>
    <s v="x"/>
    <s v="Change of project scope; ; "/>
  </r>
  <r>
    <s v="China"/>
    <s v="East Asia and Pacific"/>
    <s v="P068752"/>
    <s v="C2"/>
    <s v="S1"/>
    <s v="P068752C2S1"/>
    <x v="0"/>
    <n v="2005"/>
    <x v="1"/>
    <n v="24"/>
    <n v="70.5"/>
    <n v="109.54"/>
    <s v="CNY"/>
    <n v="13.229468599033819"/>
    <n v="0.18765203686572793"/>
    <s v=""/>
    <s v=""/>
    <s v=""/>
    <s v=""/>
    <s v=""/>
    <m/>
  </r>
  <r>
    <s v="China"/>
    <s v="East Asia and Pacific"/>
    <s v="P068752"/>
    <s v="C2"/>
    <s v="S1"/>
    <s v="P068752C2S1"/>
    <x v="1"/>
    <n v="2011"/>
    <x v="1"/>
    <n v="24"/>
    <n v="74.2"/>
    <n v="132.9"/>
    <s v="CNY"/>
    <n v="18.331034482758621"/>
    <n v="0.24704898224742075"/>
    <s v=""/>
    <s v=""/>
    <s v=""/>
    <s v=""/>
    <s v=""/>
    <m/>
  </r>
  <r>
    <s v="China"/>
    <s v="East Asia and Pacific"/>
    <s v="P068752"/>
    <s v="C2"/>
    <s v="S1"/>
    <s v="P068752C2S1"/>
    <x v="2"/>
    <s v="2005 / 2011"/>
    <x v="1"/>
    <n v="1"/>
    <n v="1.0524822695035461"/>
    <m/>
    <m/>
    <n v="1.3856213759105473"/>
    <n v="1.3165270485403446"/>
    <s v=""/>
    <s v=""/>
    <s v=""/>
    <s v=""/>
    <s v=""/>
    <s v=""/>
  </r>
  <r>
    <s v="China"/>
    <s v="East Asia and Pacific"/>
    <s v="P068752"/>
    <s v="C2"/>
    <s v="S2"/>
    <s v="P068752C2S2"/>
    <x v="0"/>
    <n v="2005"/>
    <x v="1"/>
    <n v="18"/>
    <n v="138"/>
    <n v="134.94999999999999"/>
    <s v="CNY"/>
    <n v="16.29830917874396"/>
    <n v="0.11810368970104319"/>
    <s v=""/>
    <s v=""/>
    <s v=""/>
    <s v=""/>
    <s v=""/>
    <m/>
  </r>
  <r>
    <s v="China"/>
    <s v="East Asia and Pacific"/>
    <s v="P068752"/>
    <s v="C2"/>
    <s v="S2"/>
    <s v="P068752C2S2"/>
    <x v="1"/>
    <n v="2011"/>
    <x v="1"/>
    <n v="18"/>
    <n v="135.9"/>
    <n v="128.19999999999999"/>
    <s v="CNY"/>
    <n v="17.682758620689654"/>
    <n v="0.13011595747380172"/>
    <s v=""/>
    <s v=""/>
    <s v=""/>
    <s v=""/>
    <s v=""/>
    <m/>
  </r>
  <r>
    <s v="China"/>
    <s v="East Asia and Pacific"/>
    <s v="P068752"/>
    <s v="C2"/>
    <s v="S2"/>
    <s v="P068752C2S2"/>
    <x v="2"/>
    <s v="2005 / 2011"/>
    <x v="1"/>
    <n v="1"/>
    <n v="0.98478260869565226"/>
    <m/>
    <m/>
    <n v="1.0849443599800692"/>
    <n v="1.1017095046155228"/>
    <s v=""/>
    <s v=""/>
    <s v=""/>
    <s v=""/>
    <s v=""/>
    <s v=""/>
  </r>
  <r>
    <s v="China"/>
    <s v="East Asia and Pacific"/>
    <s v="P068752"/>
    <s v="C2"/>
    <s v="S3"/>
    <s v="P068752C2S3"/>
    <x v="0"/>
    <n v="2005"/>
    <x v="1"/>
    <n v="18"/>
    <n v="103"/>
    <n v="88.43"/>
    <s v="CNY"/>
    <n v="10.679951690821257"/>
    <n v="0.10368885136719667"/>
    <s v=""/>
    <s v=""/>
    <s v=""/>
    <s v="x"/>
    <s v="x"/>
    <m/>
  </r>
  <r>
    <s v="China"/>
    <s v="East Asia and Pacific"/>
    <s v="P068752"/>
    <s v="C2"/>
    <s v="S3"/>
    <s v="P068752C2S3"/>
    <x v="1"/>
    <n v="2011"/>
    <x v="1"/>
    <n v="30"/>
    <n v="118"/>
    <n v="230.4"/>
    <s v="CNY"/>
    <n v="31.779310344827586"/>
    <n v="0.26931618936294566"/>
    <s v=""/>
    <s v=""/>
    <s v=""/>
    <s v="x"/>
    <s v="x"/>
    <m/>
  </r>
  <r>
    <s v="China"/>
    <s v="East Asia and Pacific"/>
    <s v="P068752"/>
    <s v="C2"/>
    <s v="S3"/>
    <s v="P068752C2S3"/>
    <x v="2"/>
    <s v="2005 / 2011"/>
    <x v="1"/>
    <n v="1.6666666666666667"/>
    <n v="1.145631067961165"/>
    <m/>
    <m/>
    <n v="2.9756043159015308"/>
    <n v="2.597349529981845"/>
    <s v=""/>
    <s v=""/>
    <s v=""/>
    <s v="x"/>
    <s v="x"/>
    <s v="Weather shocks ; Quality of estimates; "/>
  </r>
  <r>
    <s v="China"/>
    <s v="East Asia and Pacific"/>
    <s v="P068752"/>
    <s v="C2"/>
    <s v="S4"/>
    <s v="P068752C2S4"/>
    <x v="0"/>
    <n v="2005"/>
    <x v="1"/>
    <n v="18"/>
    <n v="82.5"/>
    <n v="44.01"/>
    <s v="CNY"/>
    <n v="5.3152173913043477"/>
    <n v="6.4426877470355734E-2"/>
    <s v=""/>
    <s v=""/>
    <s v=""/>
    <s v="x"/>
    <s v="x"/>
    <m/>
  </r>
  <r>
    <s v="China"/>
    <s v="East Asia and Pacific"/>
    <s v="P068752"/>
    <s v="C2"/>
    <s v="S4"/>
    <s v="P068752C2S4"/>
    <x v="1"/>
    <n v="2011"/>
    <x v="1"/>
    <n v="18"/>
    <n v="81.7"/>
    <n v="69.8"/>
    <s v="CNY"/>
    <n v="9.6275862068965505"/>
    <n v="0.11784071244671421"/>
    <s v=""/>
    <s v=""/>
    <s v=""/>
    <s v="x"/>
    <s v="x"/>
    <m/>
  </r>
  <r>
    <s v="China"/>
    <s v="East Asia and Pacific"/>
    <s v="P068752"/>
    <s v="C2"/>
    <s v="S4"/>
    <s v="P068752C2S4"/>
    <x v="2"/>
    <s v="2005 / 2011"/>
    <x v="1"/>
    <n v="1"/>
    <n v="0.99030303030303035"/>
    <m/>
    <m/>
    <n v="1.8113250123404554"/>
    <n v="1.8290613649704719"/>
    <s v=""/>
    <s v=""/>
    <s v=""/>
    <s v="x"/>
    <s v="x"/>
    <s v="Weather shocks ; Quality of estimates; "/>
  </r>
  <r>
    <s v="China"/>
    <s v="East Asia and Pacific"/>
    <s v="P068752"/>
    <s v="C2"/>
    <s v="S5"/>
    <s v="P068752C2S5"/>
    <x v="0"/>
    <n v="2005"/>
    <x v="1"/>
    <n v="12"/>
    <n v="19.3"/>
    <n v="16.43"/>
    <s v="CNY"/>
    <n v="1.9842995169082127"/>
    <n v="0.10281344647192811"/>
    <s v=""/>
    <s v=""/>
    <s v=""/>
    <s v=""/>
    <s v=""/>
    <m/>
  </r>
  <r>
    <s v="China"/>
    <s v="East Asia and Pacific"/>
    <s v="P068752"/>
    <s v="C2"/>
    <s v="S5"/>
    <s v="P068752C2S5"/>
    <x v="1"/>
    <n v="2011"/>
    <x v="1"/>
    <n v="12"/>
    <n v="21.5"/>
    <n v="16.899999999999999"/>
    <s v="CNY"/>
    <n v="2.3310344827586205"/>
    <n v="0.10842020850040095"/>
    <s v=""/>
    <s v=""/>
    <s v=""/>
    <s v=""/>
    <s v=""/>
    <m/>
  </r>
  <r>
    <s v="China"/>
    <s v="East Asia and Pacific"/>
    <s v="P068752"/>
    <s v="C2"/>
    <s v="S5"/>
    <s v="P068752C2S5"/>
    <x v="2"/>
    <s v="2005 / 2011"/>
    <x v="1"/>
    <n v="1"/>
    <n v="1.1139896373056994"/>
    <m/>
    <m/>
    <n v="1.1747392280731208"/>
    <n v="1.0545333535726156"/>
    <s v=""/>
    <s v=""/>
    <s v=""/>
    <s v=""/>
    <s v=""/>
    <s v=""/>
  </r>
  <r>
    <s v="China"/>
    <s v="East Asia and Pacific"/>
    <s v="P069852"/>
    <s v="C2"/>
    <s v=""/>
    <s v="P069852C2"/>
    <x v="0"/>
    <n v="2004"/>
    <x v="2"/>
    <s v=""/>
    <n v="74.330000000000013"/>
    <n v="36.200000000000003"/>
    <s v="USD"/>
    <n v="36.200000000000003"/>
    <n v="0.48701735503834248"/>
    <s v=""/>
    <s v=""/>
    <s v=""/>
    <s v=""/>
    <s v=""/>
    <m/>
  </r>
  <r>
    <s v="China"/>
    <s v="East Asia and Pacific"/>
    <s v="P069852"/>
    <s v="C2"/>
    <s v=""/>
    <s v="P069852C2"/>
    <x v="1"/>
    <n v="2010"/>
    <x v="2"/>
    <s v=""/>
    <n v="70.830000000000013"/>
    <n v="51.71"/>
    <s v="USD"/>
    <n v="51.71"/>
    <n v="0.73005788507694469"/>
    <s v=""/>
    <s v=""/>
    <s v=""/>
    <s v=""/>
    <s v=""/>
    <m/>
  </r>
  <r>
    <s v="China"/>
    <s v="East Asia and Pacific"/>
    <s v="P069852"/>
    <s v="C2"/>
    <s v=""/>
    <s v="P069852C2"/>
    <x v="2"/>
    <s v="2004 / 2010"/>
    <x v="2"/>
    <s v=""/>
    <n v="0.95291268666756357"/>
    <m/>
    <m/>
    <n v="1.4284530386740331"/>
    <n v="1.4990387457947321"/>
    <s v=""/>
    <s v=""/>
    <s v=""/>
    <s v=""/>
    <s v=""/>
    <s v=""/>
  </r>
  <r>
    <s v="China"/>
    <s v="East Asia and Pacific"/>
    <s v="P070441"/>
    <s v="C1"/>
    <s v=""/>
    <s v="P070441C1"/>
    <x v="0"/>
    <n v="2002"/>
    <x v="8"/>
    <n v="66"/>
    <n v="243.5"/>
    <n v="505.6"/>
    <s v="USD"/>
    <n v="505.6"/>
    <n v="2.0763860369609857"/>
    <s v=""/>
    <s v=""/>
    <s v=""/>
    <s v="x"/>
    <s v="x"/>
    <m/>
  </r>
  <r>
    <s v="China"/>
    <s v="East Asia and Pacific"/>
    <s v="P070441"/>
    <s v="C1"/>
    <s v=""/>
    <s v="P070441C1"/>
    <x v="1"/>
    <n v="2008"/>
    <x v="8"/>
    <n v="66"/>
    <n v="243.5"/>
    <n v="802.61"/>
    <s v="USD"/>
    <n v="802.61"/>
    <n v="3.2961396303901438"/>
    <s v=""/>
    <s v=""/>
    <s v=""/>
    <s v="x"/>
    <s v="x"/>
    <m/>
  </r>
  <r>
    <s v="China"/>
    <s v="East Asia and Pacific"/>
    <s v="P070441"/>
    <s v="C1"/>
    <s v=""/>
    <s v="P070441C1"/>
    <x v="2"/>
    <s v="2002 / 2008"/>
    <x v="8"/>
    <n v="1"/>
    <n v="1"/>
    <m/>
    <m/>
    <n v="1.5874406645569621"/>
    <n v="1.5874406645569621"/>
    <s v=""/>
    <s v=""/>
    <s v=""/>
    <s v="x"/>
    <s v="x"/>
    <s v="Quality of estimates; Macroeconomic conditions; Capacity of contractor"/>
  </r>
  <r>
    <s v="China"/>
    <s v="East Asia and Pacific"/>
    <s v="P070441"/>
    <s v="C2"/>
    <s v=""/>
    <s v="P070441C2"/>
    <x v="0"/>
    <n v="2002"/>
    <x v="1"/>
    <s v=""/>
    <n v="259"/>
    <n v="66.2"/>
    <s v="USD"/>
    <n v="66.2"/>
    <n v="0.25559845559845562"/>
    <s v=""/>
    <s v=""/>
    <s v=""/>
    <s v=""/>
    <s v=""/>
    <m/>
  </r>
  <r>
    <s v="China"/>
    <s v="East Asia and Pacific"/>
    <s v="P070441"/>
    <s v="C2"/>
    <s v=""/>
    <s v="P070441C2"/>
    <x v="1"/>
    <n v="2008"/>
    <x v="1"/>
    <s v=""/>
    <n v="259"/>
    <n v="42"/>
    <s v="USD"/>
    <n v="42"/>
    <n v="0.16216216216216217"/>
    <s v=""/>
    <s v=""/>
    <s v=""/>
    <s v=""/>
    <s v=""/>
    <m/>
  </r>
  <r>
    <s v="China"/>
    <s v="East Asia and Pacific"/>
    <s v="P070441"/>
    <s v="C2"/>
    <s v=""/>
    <s v="P070441C2"/>
    <x v="2"/>
    <s v="2002 / 2008"/>
    <x v="1"/>
    <s v=""/>
    <n v="1"/>
    <m/>
    <m/>
    <n v="0.63444108761329299"/>
    <n v="0.63444108761329299"/>
    <s v=""/>
    <s v=""/>
    <s v=""/>
    <s v=""/>
    <s v=""/>
    <s v=""/>
  </r>
  <r>
    <s v="China"/>
    <s v="East Asia and Pacific"/>
    <s v="P070459"/>
    <s v="C1"/>
    <s v=""/>
    <s v="P070459C1"/>
    <x v="0"/>
    <n v="2002"/>
    <x v="8"/>
    <s v=""/>
    <n v="90"/>
    <n v="185.79"/>
    <s v="USD"/>
    <n v="185.79"/>
    <n v="2.0643333333333334"/>
    <s v=""/>
    <s v=""/>
    <s v=""/>
    <s v=""/>
    <s v=""/>
    <m/>
  </r>
  <r>
    <s v="China"/>
    <s v="East Asia and Pacific"/>
    <s v="P070459"/>
    <s v="C1"/>
    <s v=""/>
    <s v="P070459C1"/>
    <x v="1"/>
    <n v="2008"/>
    <x v="8"/>
    <s v=""/>
    <n v="90"/>
    <n v="169.05"/>
    <s v="USD"/>
    <n v="169.05"/>
    <n v="1.8783333333333334"/>
    <s v=""/>
    <s v=""/>
    <s v=""/>
    <s v=""/>
    <s v=""/>
    <m/>
  </r>
  <r>
    <s v="China"/>
    <s v="East Asia and Pacific"/>
    <s v="P070459"/>
    <s v="C1"/>
    <s v=""/>
    <s v="P070459C1"/>
    <x v="2"/>
    <s v="2002 / 2008"/>
    <x v="8"/>
    <s v=""/>
    <n v="1"/>
    <m/>
    <m/>
    <n v="0.90989827224285491"/>
    <n v="0.90989827224285491"/>
    <s v=""/>
    <s v=""/>
    <s v=""/>
    <s v=""/>
    <s v=""/>
    <s v=""/>
  </r>
  <r>
    <s v="China"/>
    <s v="East Asia and Pacific"/>
    <s v="P070459"/>
    <s v="C2"/>
    <s v=""/>
    <s v="P070459C2"/>
    <x v="0"/>
    <n v="2002"/>
    <x v="1"/>
    <s v=""/>
    <n v="343"/>
    <n v="61.1"/>
    <s v="USD"/>
    <n v="61.1"/>
    <n v="0.17813411078717201"/>
    <s v=""/>
    <s v="x"/>
    <s v=""/>
    <s v=""/>
    <s v="x"/>
    <m/>
  </r>
  <r>
    <s v="China"/>
    <s v="East Asia and Pacific"/>
    <s v="P070459"/>
    <s v="C2"/>
    <s v=""/>
    <s v="P070459C2"/>
    <x v="1"/>
    <n v="2008"/>
    <x v="1"/>
    <s v=""/>
    <n v="664"/>
    <n v="81.650000000000006"/>
    <s v="USD"/>
    <n v="81.650000000000006"/>
    <n v="0.12296686746987953"/>
    <s v=""/>
    <s v="x"/>
    <s v=""/>
    <s v=""/>
    <s v="x"/>
    <m/>
  </r>
  <r>
    <s v="China"/>
    <s v="East Asia and Pacific"/>
    <s v="P070459"/>
    <s v="C2"/>
    <s v=""/>
    <s v="P070459C2"/>
    <x v="2"/>
    <s v="2002 / 2008"/>
    <x v="1"/>
    <s v=""/>
    <n v="1.935860058309038"/>
    <m/>
    <m/>
    <n v="1.3363338788870704"/>
    <n v="0.69030500069015843"/>
    <s v=""/>
    <s v="x"/>
    <s v=""/>
    <s v=""/>
    <s v="x"/>
    <s v="Change of project scope; ; "/>
  </r>
  <r>
    <s v="China"/>
    <s v="East Asia and Pacific"/>
    <s v="P070459"/>
    <s v="C2"/>
    <s v="S1"/>
    <s v="P070459C2S1"/>
    <x v="0"/>
    <n v="2002"/>
    <x v="1"/>
    <s v=""/>
    <n v="70"/>
    <n v="80"/>
    <s v="CNY"/>
    <n v="9.6385542168674689"/>
    <n v="0.13769363166953527"/>
    <s v=""/>
    <s v=""/>
    <s v=""/>
    <s v=""/>
    <s v=""/>
    <m/>
  </r>
  <r>
    <s v="China"/>
    <s v="East Asia and Pacific"/>
    <s v="P070459"/>
    <s v="C2"/>
    <s v="S1"/>
    <s v="P070459C2S1"/>
    <x v="1"/>
    <n v="2008"/>
    <x v="1"/>
    <s v=""/>
    <n v="70"/>
    <n v="76.400000000000006"/>
    <s v="CNY"/>
    <n v="9.2270531400966203"/>
    <n v="0.13181504485852313"/>
    <s v=""/>
    <s v=""/>
    <s v=""/>
    <s v=""/>
    <s v=""/>
    <m/>
  </r>
  <r>
    <s v="China"/>
    <s v="East Asia and Pacific"/>
    <s v="P070459"/>
    <s v="C2"/>
    <s v="S1"/>
    <s v="P070459C2S1"/>
    <x v="2"/>
    <s v="2002 / 2008"/>
    <x v="1"/>
    <s v=""/>
    <n v="1"/>
    <m/>
    <m/>
    <n v="0.9573067632850244"/>
    <n v="0.9573067632850244"/>
    <s v=""/>
    <s v=""/>
    <s v=""/>
    <s v=""/>
    <s v=""/>
    <s v=""/>
  </r>
  <r>
    <s v="China"/>
    <s v="East Asia and Pacific"/>
    <s v="P070459"/>
    <s v="C2"/>
    <s v="S2"/>
    <s v="P070459C2S2"/>
    <x v="0"/>
    <n v="2002"/>
    <x v="1"/>
    <s v=""/>
    <n v="54"/>
    <n v="55"/>
    <s v="CNY"/>
    <n v="6.6265060240963853"/>
    <n v="0.12271307452030343"/>
    <s v=""/>
    <s v=""/>
    <s v=""/>
    <s v=""/>
    <s v=""/>
    <m/>
  </r>
  <r>
    <s v="China"/>
    <s v="East Asia and Pacific"/>
    <s v="P070459"/>
    <s v="C2"/>
    <s v="S2"/>
    <s v="P070459C2S2"/>
    <x v="1"/>
    <n v="2008"/>
    <x v="1"/>
    <s v=""/>
    <n v="54"/>
    <n v="43.8"/>
    <s v="CNY"/>
    <n v="5.2898550724637685"/>
    <n v="9.7960279119699414E-2"/>
    <s v=""/>
    <s v=""/>
    <s v=""/>
    <s v=""/>
    <s v=""/>
    <m/>
  </r>
  <r>
    <s v="China"/>
    <s v="East Asia and Pacific"/>
    <s v="P070459"/>
    <s v="C2"/>
    <s v="S2"/>
    <s v="P070459C2S2"/>
    <x v="2"/>
    <s v="2002 / 2008"/>
    <x v="1"/>
    <s v=""/>
    <n v="1"/>
    <m/>
    <m/>
    <n v="0.79828722002635055"/>
    <n v="0.79828722002635055"/>
    <s v=""/>
    <s v=""/>
    <s v=""/>
    <s v=""/>
    <s v=""/>
    <s v=""/>
  </r>
  <r>
    <s v="China"/>
    <s v="East Asia and Pacific"/>
    <s v="P070459"/>
    <s v="C2"/>
    <s v="S3"/>
    <s v="P070459C2S3"/>
    <x v="0"/>
    <n v="2002"/>
    <x v="1"/>
    <s v=""/>
    <n v="86"/>
    <n v="100"/>
    <s v="CNY"/>
    <n v="12.048192771084336"/>
    <n v="0.14009526478005041"/>
    <s v=""/>
    <s v=""/>
    <s v=""/>
    <s v=""/>
    <s v=""/>
    <m/>
  </r>
  <r>
    <s v="China"/>
    <s v="East Asia and Pacific"/>
    <s v="P070459"/>
    <s v="C2"/>
    <s v="S3"/>
    <s v="P070459C2S3"/>
    <x v="1"/>
    <n v="2008"/>
    <x v="1"/>
    <s v=""/>
    <n v="86"/>
    <n v="51.199999999999996"/>
    <s v="CNY"/>
    <n v="6.1835748792270531"/>
    <n v="7.1902033479384342E-2"/>
    <s v=""/>
    <s v=""/>
    <s v=""/>
    <s v=""/>
    <s v=""/>
    <m/>
  </r>
  <r>
    <s v="China"/>
    <s v="East Asia and Pacific"/>
    <s v="P070459"/>
    <s v="C2"/>
    <s v="S3"/>
    <s v="P070459C2S3"/>
    <x v="2"/>
    <s v="2002 / 2008"/>
    <x v="1"/>
    <s v=""/>
    <n v="1"/>
    <m/>
    <m/>
    <n v="0.51323671497584544"/>
    <n v="0.51323671497584555"/>
    <s v=""/>
    <s v=""/>
    <s v=""/>
    <s v=""/>
    <s v=""/>
    <s v=""/>
  </r>
  <r>
    <s v="China"/>
    <s v="East Asia and Pacific"/>
    <s v="P070459"/>
    <s v="C2"/>
    <s v="S4"/>
    <s v="P070459C2S4"/>
    <x v="0"/>
    <n v="2002"/>
    <x v="1"/>
    <s v=""/>
    <n v="48"/>
    <n v="70"/>
    <s v="CNY"/>
    <n v="8.4337349397590362"/>
    <n v="0.17570281124497991"/>
    <s v=""/>
    <s v=""/>
    <s v=""/>
    <s v=""/>
    <s v=""/>
    <m/>
  </r>
  <r>
    <s v="China"/>
    <s v="East Asia and Pacific"/>
    <s v="P070459"/>
    <s v="C2"/>
    <s v="S4"/>
    <s v="P070459C2S4"/>
    <x v="1"/>
    <n v="2008"/>
    <x v="1"/>
    <s v=""/>
    <n v="48"/>
    <n v="68.800000000000011"/>
    <s v="CNY"/>
    <n v="8.309178743961354"/>
    <n v="0.17310789049919487"/>
    <s v=""/>
    <s v=""/>
    <s v=""/>
    <s v=""/>
    <s v=""/>
    <m/>
  </r>
  <r>
    <s v="China"/>
    <s v="East Asia and Pacific"/>
    <s v="P070459"/>
    <s v="C2"/>
    <s v="S4"/>
    <s v="P070459C2S4"/>
    <x v="2"/>
    <s v="2002 / 2008"/>
    <x v="1"/>
    <s v=""/>
    <n v="1"/>
    <m/>
    <m/>
    <n v="0.98523119392684622"/>
    <n v="0.98523119392684622"/>
    <s v=""/>
    <s v=""/>
    <s v=""/>
    <s v=""/>
    <s v=""/>
    <s v=""/>
  </r>
  <r>
    <s v="China"/>
    <s v="East Asia and Pacific"/>
    <s v="P075613"/>
    <s v="C1"/>
    <s v=""/>
    <s v="P075613C1"/>
    <x v="0"/>
    <n v="2007"/>
    <x v="8"/>
    <s v=""/>
    <n v="87"/>
    <n v="561.24"/>
    <s v="USD"/>
    <n v="561.24"/>
    <n v="6.4510344827586206"/>
    <s v=""/>
    <s v=""/>
    <s v=""/>
    <s v="x"/>
    <s v="x"/>
    <m/>
  </r>
  <r>
    <s v="China"/>
    <s v="East Asia and Pacific"/>
    <s v="P075613"/>
    <s v="C1"/>
    <s v=""/>
    <s v="P075613C1"/>
    <x v="1"/>
    <n v="2013"/>
    <x v="8"/>
    <s v=""/>
    <n v="87"/>
    <n v="1096.6600000000001"/>
    <s v="USD"/>
    <n v="1096.6600000000001"/>
    <n v="12.60528735632184"/>
    <s v=""/>
    <s v=""/>
    <s v=""/>
    <s v="x"/>
    <s v="x"/>
    <m/>
  </r>
  <r>
    <s v="China"/>
    <s v="East Asia and Pacific"/>
    <s v="P075613"/>
    <s v="C1"/>
    <s v=""/>
    <s v="P075613C1"/>
    <x v="2"/>
    <s v="2007 / 2013"/>
    <x v="8"/>
    <s v=""/>
    <n v="1"/>
    <m/>
    <m/>
    <n v="1.9539947259639372"/>
    <n v="1.9539947259639372"/>
    <s v=""/>
    <s v=""/>
    <s v=""/>
    <s v="x"/>
    <s v="x"/>
    <s v="Macroeconomic conditions; ; "/>
  </r>
  <r>
    <s v="China"/>
    <s v="East Asia and Pacific"/>
    <s v="P075613"/>
    <s v="C2"/>
    <s v=""/>
    <s v="P075613C2"/>
    <x v="0"/>
    <n v="2007"/>
    <x v="1"/>
    <s v=""/>
    <n v="1480"/>
    <n v="47.22"/>
    <s v="USD"/>
    <n v="47.22"/>
    <n v="3.1905405405405401E-2"/>
    <s v=""/>
    <s v=""/>
    <s v=""/>
    <s v="x"/>
    <s v="x"/>
    <m/>
  </r>
  <r>
    <s v="China"/>
    <s v="East Asia and Pacific"/>
    <s v="P075613"/>
    <s v="C2"/>
    <s v=""/>
    <s v="P075613C2"/>
    <x v="1"/>
    <n v="2013"/>
    <x v="1"/>
    <s v=""/>
    <n v="1480"/>
    <n v="77.59"/>
    <s v="USD"/>
    <n v="77.59"/>
    <n v="5.242567567567568E-2"/>
    <s v=""/>
    <s v=""/>
    <s v=""/>
    <s v="x"/>
    <s v="x"/>
    <m/>
  </r>
  <r>
    <s v="China"/>
    <s v="East Asia and Pacific"/>
    <s v="P075613"/>
    <s v="C2"/>
    <s v=""/>
    <s v="P075613C2"/>
    <x v="2"/>
    <s v="2007 / 2013"/>
    <x v="1"/>
    <s v=""/>
    <n v="1"/>
    <m/>
    <m/>
    <n v="1.6431596781024991"/>
    <n v="1.6431596781024993"/>
    <s v=""/>
    <s v=""/>
    <s v=""/>
    <s v="x"/>
    <s v="x"/>
    <s v="Macroeconomic conditions; ; "/>
  </r>
  <r>
    <s v="China"/>
    <s v="East Asia and Pacific"/>
    <s v="P093906"/>
    <s v="C1"/>
    <s v=""/>
    <s v="P093906C1"/>
    <x v="0"/>
    <n v="2006"/>
    <x v="8"/>
    <s v=""/>
    <n v="117.1"/>
    <n v="627"/>
    <s v="USD"/>
    <n v="627"/>
    <n v="5.3543979504696839"/>
    <s v=""/>
    <s v=""/>
    <s v=""/>
    <s v=""/>
    <s v=""/>
    <m/>
  </r>
  <r>
    <s v="China"/>
    <s v="East Asia and Pacific"/>
    <s v="P093906"/>
    <s v="C1"/>
    <s v=""/>
    <s v="P093906C1"/>
    <x v="1"/>
    <n v="2011"/>
    <x v="8"/>
    <s v=""/>
    <n v="117.1"/>
    <n v="715.06"/>
    <s v="USD"/>
    <n v="715.06"/>
    <n v="6.1064047822374041"/>
    <s v=""/>
    <s v=""/>
    <s v=""/>
    <s v=""/>
    <s v=""/>
    <m/>
  </r>
  <r>
    <s v="China"/>
    <s v="East Asia and Pacific"/>
    <s v="P093906"/>
    <s v="C1"/>
    <s v=""/>
    <s v="P093906C1"/>
    <x v="2"/>
    <s v="2006 / 2011"/>
    <x v="8"/>
    <s v=""/>
    <n v="1"/>
    <m/>
    <m/>
    <n v="1.1404465709728866"/>
    <n v="1.1404465709728868"/>
    <s v=""/>
    <s v=""/>
    <s v=""/>
    <s v=""/>
    <s v=""/>
    <s v=""/>
  </r>
  <r>
    <s v="China"/>
    <s v="East Asia and Pacific"/>
    <s v="P093906"/>
    <s v="C2"/>
    <s v=""/>
    <s v="P093906C2"/>
    <x v="0"/>
    <n v="2006"/>
    <x v="1"/>
    <s v=""/>
    <n v="83.3"/>
    <n v="74"/>
    <s v="USD"/>
    <n v="74"/>
    <n v="0.88835534213685474"/>
    <s v="x"/>
    <s v=""/>
    <s v="x"/>
    <s v=""/>
    <s v="x"/>
    <m/>
  </r>
  <r>
    <s v="China"/>
    <s v="East Asia and Pacific"/>
    <s v="P093906"/>
    <s v="C2"/>
    <s v=""/>
    <s v="P093906C2"/>
    <x v="1"/>
    <n v="2011"/>
    <x v="1"/>
    <s v=""/>
    <n v="39"/>
    <n v="16.7"/>
    <s v="USD"/>
    <n v="16.7"/>
    <n v="0.42820512820512818"/>
    <s v="x"/>
    <s v=""/>
    <s v="x"/>
    <s v=""/>
    <s v="x"/>
    <m/>
  </r>
  <r>
    <s v="China"/>
    <s v="East Asia and Pacific"/>
    <s v="P093906"/>
    <s v="C2"/>
    <s v=""/>
    <s v="P093906C2"/>
    <x v="2"/>
    <s v="2006 / 2011"/>
    <x v="1"/>
    <s v=""/>
    <n v="0.46818727490996398"/>
    <m/>
    <m/>
    <n v="0.22567567567567567"/>
    <n v="0.48202009702009702"/>
    <s v="x"/>
    <s v=""/>
    <s v="x"/>
    <s v=""/>
    <s v="x"/>
    <s v="Change of project scope; Political events; Procurement system"/>
  </r>
  <r>
    <s v="China"/>
    <s v="East Asia and Pacific"/>
    <s v="P101258"/>
    <s v="C1"/>
    <s v=""/>
    <s v="P101258C1"/>
    <x v="0"/>
    <n v="2009"/>
    <x v="8"/>
    <n v="40"/>
    <n v="173.6"/>
    <n v="1687.8300000000002"/>
    <s v="USD"/>
    <n v="1687.8300000000002"/>
    <n v="9.7225230414746555"/>
    <s v=""/>
    <s v=""/>
    <s v=""/>
    <s v=""/>
    <s v=""/>
    <m/>
  </r>
  <r>
    <s v="China"/>
    <s v="East Asia and Pacific"/>
    <s v="P101258"/>
    <s v="C1"/>
    <s v=""/>
    <s v="P101258C1"/>
    <x v="1"/>
    <n v="2016"/>
    <x v="8"/>
    <s v=""/>
    <n v="173.6"/>
    <n v="2000.66"/>
    <s v="USD"/>
    <n v="2000.66"/>
    <n v="11.524539170506912"/>
    <s v=""/>
    <s v=""/>
    <s v=""/>
    <s v=""/>
    <s v=""/>
    <m/>
  </r>
  <r>
    <s v="China"/>
    <s v="East Asia and Pacific"/>
    <s v="P101258"/>
    <s v="C1"/>
    <s v=""/>
    <s v="P101258C1"/>
    <x v="2"/>
    <s v="2009 / 2016"/>
    <x v="8"/>
    <s v=""/>
    <n v="1"/>
    <m/>
    <m/>
    <n v="1.1853444955949355"/>
    <n v="1.1853444955949353"/>
    <s v=""/>
    <s v=""/>
    <s v=""/>
    <s v=""/>
    <s v=""/>
    <s v=""/>
  </r>
  <r>
    <s v="Congo, Dem. Rep."/>
    <s v="Sub-Saharan Africa"/>
    <s v="P057296"/>
    <s v="C1"/>
    <s v=""/>
    <s v="P057296C1"/>
    <x v="0"/>
    <n v="2007"/>
    <x v="0"/>
    <n v="21"/>
    <n v="1256"/>
    <n v="144"/>
    <s v="USD"/>
    <n v="144"/>
    <n v="0.11464968152866242"/>
    <s v=""/>
    <s v=""/>
    <s v=""/>
    <s v="x"/>
    <s v="x"/>
    <m/>
  </r>
  <r>
    <s v="Congo, Dem. Rep."/>
    <s v="Sub-Saharan Africa"/>
    <s v="P057296"/>
    <s v="C1"/>
    <s v=""/>
    <s v="P057296C1"/>
    <x v="1"/>
    <n v="2010"/>
    <x v="0"/>
    <n v="72"/>
    <n v="1047"/>
    <n v="207"/>
    <s v="USD"/>
    <n v="207"/>
    <n v="0.19770773638968481"/>
    <s v=""/>
    <s v=""/>
    <s v=""/>
    <s v="x"/>
    <s v="x"/>
    <m/>
  </r>
  <r>
    <s v="Congo, Dem. Rep."/>
    <s v="Sub-Saharan Africa"/>
    <s v="P057296"/>
    <s v="C1"/>
    <s v=""/>
    <s v="P057296C1"/>
    <x v="2"/>
    <s v="2007 / 2010"/>
    <x v="0"/>
    <n v="3.4285714285714284"/>
    <n v="0.83359872611464969"/>
    <n v="1.4375"/>
    <m/>
    <n v="1.4375"/>
    <n v="1.7244508118433619"/>
    <s v=""/>
    <s v=""/>
    <s v=""/>
    <s v="x"/>
    <s v="x"/>
    <s v="Political events ; Quality of estimates ; Capacity of counterpart"/>
  </r>
  <r>
    <s v="Croatia"/>
    <s v="Europe and Central Asia"/>
    <s v="P043195"/>
    <s v="C3"/>
    <s v=""/>
    <s v="P043195C3"/>
    <x v="0"/>
    <n v="2003"/>
    <x v="8"/>
    <n v="30"/>
    <n v="6.5"/>
    <n v="87.8"/>
    <s v="USD"/>
    <n v="87.8"/>
    <n v="13.507692307692308"/>
    <s v=""/>
    <s v=""/>
    <s v=""/>
    <s v=""/>
    <s v=""/>
    <m/>
  </r>
  <r>
    <s v="Croatia"/>
    <s v="Europe and Central Asia"/>
    <s v="P043195"/>
    <s v="C3"/>
    <s v=""/>
    <s v="P043195C3"/>
    <x v="1"/>
    <n v="2013"/>
    <x v="8"/>
    <n v="39"/>
    <n v="6.36"/>
    <n v="117.4"/>
    <s v="USD"/>
    <n v="117.4"/>
    <n v="18.459119496855347"/>
    <s v=""/>
    <s v=""/>
    <s v=""/>
    <s v=""/>
    <s v=""/>
    <m/>
  </r>
  <r>
    <s v="Croatia"/>
    <s v="Europe and Central Asia"/>
    <s v="P043195"/>
    <s v="C3"/>
    <s v=""/>
    <s v="P043195C3"/>
    <x v="2"/>
    <s v="2003 / 2013"/>
    <x v="8"/>
    <n v="1.3"/>
    <n v="0.97846153846153849"/>
    <n v="1.3371298405466971"/>
    <m/>
    <n v="1.3371298405466971"/>
    <n v="1.3665635162820018"/>
    <s v=""/>
    <s v=""/>
    <s v=""/>
    <s v=""/>
    <s v=""/>
    <s v=""/>
  </r>
  <r>
    <s v="Djibouti"/>
    <s v="Middle East and North Africa"/>
    <s v="P069930"/>
    <s v="C1"/>
    <s v=""/>
    <s v="P069930C1"/>
    <x v="0"/>
    <n v="2000"/>
    <x v="2"/>
    <n v="12"/>
    <n v="102"/>
    <n v="12"/>
    <s v="USD"/>
    <n v="12"/>
    <n v="0.11764705882352941"/>
    <s v=""/>
    <s v=""/>
    <s v=""/>
    <s v=""/>
    <s v=""/>
    <m/>
  </r>
  <r>
    <s v="Djibouti"/>
    <s v="Middle East and North Africa"/>
    <s v="P069930"/>
    <s v="C1"/>
    <s v=""/>
    <s v="P069930C1"/>
    <x v="1"/>
    <n v="2006"/>
    <x v="2"/>
    <n v="18"/>
    <n v="98"/>
    <n v="13.7"/>
    <s v="USD"/>
    <n v="13.7"/>
    <n v="0.13979591836734692"/>
    <s v=""/>
    <s v=""/>
    <s v=""/>
    <s v=""/>
    <s v=""/>
    <m/>
  </r>
  <r>
    <s v="Djibouti"/>
    <s v="Middle East and North Africa"/>
    <s v="P069930"/>
    <s v="C1"/>
    <s v=""/>
    <s v="P069930C1"/>
    <x v="2"/>
    <s v="2000 / 2006"/>
    <x v="2"/>
    <n v="1.5"/>
    <n v="0.96078431372549022"/>
    <m/>
    <m/>
    <n v="1.1416666666666666"/>
    <n v="1.1882653061224488"/>
    <s v=""/>
    <s v=""/>
    <s v=""/>
    <s v=""/>
    <s v=""/>
    <s v=""/>
  </r>
  <r>
    <s v="Djibouti"/>
    <s v="Middle East and North Africa"/>
    <s v="P069930"/>
    <s v="C2"/>
    <s v=""/>
    <s v="P069930C2"/>
    <x v="0"/>
    <n v="2000"/>
    <x v="5"/>
    <n v="12"/>
    <n v="86"/>
    <n v="2"/>
    <s v="USD"/>
    <n v="2"/>
    <n v="2.3255813953488372E-2"/>
    <s v=""/>
    <s v=""/>
    <s v=""/>
    <s v=""/>
    <s v=""/>
    <m/>
  </r>
  <r>
    <s v="Djibouti"/>
    <s v="Middle East and North Africa"/>
    <s v="P069930"/>
    <s v="C2"/>
    <s v=""/>
    <s v="P069930C2"/>
    <x v="1"/>
    <n v="2006"/>
    <x v="5"/>
    <n v="12"/>
    <n v="88"/>
    <n v="2.95"/>
    <s v="USD"/>
    <n v="2.95"/>
    <n v="3.3522727272727273E-2"/>
    <s v=""/>
    <s v=""/>
    <s v=""/>
    <s v=""/>
    <s v=""/>
    <m/>
  </r>
  <r>
    <s v="Djibouti"/>
    <s v="Middle East and North Africa"/>
    <s v="P069930"/>
    <s v="C2"/>
    <s v=""/>
    <s v="P069930C2"/>
    <x v="2"/>
    <s v="2000 / 2006"/>
    <x v="5"/>
    <n v="1"/>
    <n v="1.0232558139534884"/>
    <m/>
    <m/>
    <n v="1.4750000000000001"/>
    <n v="1.4414772727272729"/>
    <s v=""/>
    <s v=""/>
    <s v=""/>
    <s v=""/>
    <s v=""/>
    <s v=""/>
  </r>
  <r>
    <s v="Estonia"/>
    <s v="Europe and Central Asia"/>
    <s v="P035775"/>
    <s v="C1"/>
    <s v=""/>
    <s v="P035775C1"/>
    <x v="0"/>
    <n v="2000"/>
    <x v="2"/>
    <s v=""/>
    <n v="176"/>
    <n v="43.3"/>
    <s v="USD"/>
    <n v="43.3"/>
    <n v="0.24602272727272725"/>
    <s v=""/>
    <s v=""/>
    <s v=""/>
    <s v=""/>
    <s v=""/>
    <m/>
  </r>
  <r>
    <s v="Estonia"/>
    <s v="Europe and Central Asia"/>
    <s v="P035775"/>
    <s v="C1"/>
    <s v=""/>
    <s v="P035775C1"/>
    <x v="1"/>
    <n v="2005"/>
    <x v="2"/>
    <s v=""/>
    <n v="240"/>
    <n v="49.29"/>
    <s v="USD"/>
    <n v="49.29"/>
    <n v="0.205375"/>
    <s v=""/>
    <s v=""/>
    <s v=""/>
    <s v=""/>
    <s v=""/>
    <m/>
  </r>
  <r>
    <s v="Estonia"/>
    <s v="Europe and Central Asia"/>
    <s v="P035775"/>
    <s v="C1"/>
    <s v=""/>
    <s v="P035775C1"/>
    <x v="2"/>
    <s v="2000 / 2005"/>
    <x v="2"/>
    <s v=""/>
    <n v="1.3636363636363635"/>
    <n v="1.1383371824480371"/>
    <m/>
    <n v="1.1383371824480371"/>
    <n v="0.83478060046189384"/>
    <s v=""/>
    <s v=""/>
    <s v=""/>
    <s v=""/>
    <s v=""/>
    <s v=""/>
  </r>
  <r>
    <s v="Ethiopia"/>
    <s v="Sub-Saharan Africa"/>
    <s v="P044613"/>
    <s v="C1"/>
    <s v="S1"/>
    <s v="P044613C1S1"/>
    <x v="0"/>
    <n v="2003"/>
    <x v="1"/>
    <n v="36"/>
    <n v="127"/>
    <n v="35.020000000000003"/>
    <s v="USD"/>
    <n v="35.020000000000003"/>
    <n v="0.27574803149606303"/>
    <s v=""/>
    <s v=""/>
    <s v=""/>
    <s v=""/>
    <s v=""/>
    <m/>
  </r>
  <r>
    <s v="Ethiopia"/>
    <s v="Sub-Saharan Africa"/>
    <s v="P044613"/>
    <s v="C1"/>
    <s v="S1"/>
    <s v="P044613C1S1"/>
    <x v="1"/>
    <n v="2010"/>
    <x v="1"/>
    <n v="51"/>
    <n v="127"/>
    <n v="49.72"/>
    <s v="USD"/>
    <n v="49.72"/>
    <n v="0.39149606299212597"/>
    <s v=""/>
    <s v=""/>
    <s v=""/>
    <s v=""/>
    <s v=""/>
    <m/>
  </r>
  <r>
    <s v="Ethiopia"/>
    <s v="Sub-Saharan Africa"/>
    <s v="P044613"/>
    <s v="C1"/>
    <s v="S1"/>
    <s v="P044613C1S1"/>
    <x v="2"/>
    <s v="2003 / 2010"/>
    <x v="1"/>
    <n v="1.4166666666666667"/>
    <n v="1"/>
    <n v="1.4197601370645343"/>
    <m/>
    <n v="1.4197601370645343"/>
    <n v="1.4197601370645343"/>
    <s v=""/>
    <s v=""/>
    <s v=""/>
    <s v=""/>
    <s v=""/>
    <s v=""/>
  </r>
  <r>
    <s v="Ethiopia"/>
    <s v="Sub-Saharan Africa"/>
    <s v="P044613"/>
    <s v="C1"/>
    <s v="S2"/>
    <s v="P044613C1S2"/>
    <x v="0"/>
    <n v="2003"/>
    <x v="5"/>
    <n v="36"/>
    <n v="79"/>
    <n v="19.350000000000001"/>
    <s v="USD"/>
    <n v="19.350000000000001"/>
    <n v="0.24493670886075952"/>
    <s v=""/>
    <s v=""/>
    <s v=""/>
    <s v="x"/>
    <s v="x"/>
    <m/>
  </r>
  <r>
    <s v="Ethiopia"/>
    <s v="Sub-Saharan Africa"/>
    <s v="P044613"/>
    <s v="C1"/>
    <s v="S2"/>
    <s v="P044613C1S2"/>
    <x v="1"/>
    <n v="2010"/>
    <x v="5"/>
    <n v="41"/>
    <n v="79"/>
    <n v="29.13"/>
    <s v="USD"/>
    <n v="29.13"/>
    <n v="0.36873417721518986"/>
    <s v=""/>
    <s v=""/>
    <s v=""/>
    <s v="x"/>
    <s v="x"/>
    <m/>
  </r>
  <r>
    <s v="Ethiopia"/>
    <s v="Sub-Saharan Africa"/>
    <s v="P044613"/>
    <s v="C1"/>
    <s v="S2"/>
    <s v="P044613C1S2"/>
    <x v="2"/>
    <s v="2003 / 2010"/>
    <x v="5"/>
    <n v="1.1388888888888888"/>
    <n v="1"/>
    <n v="1.505426356589147"/>
    <m/>
    <n v="1.505426356589147"/>
    <n v="1.505426356589147"/>
    <s v=""/>
    <s v=""/>
    <s v=""/>
    <s v="x"/>
    <s v="x"/>
    <s v="Macroeconomic conditions ; ; "/>
  </r>
  <r>
    <s v="Ethiopia"/>
    <s v="Sub-Saharan Africa"/>
    <s v="P044613"/>
    <s v="C1"/>
    <s v="S3"/>
    <s v="P044613C1S3"/>
    <x v="0"/>
    <n v="2003"/>
    <x v="1"/>
    <n v="36"/>
    <n v="98.9"/>
    <n v="24.11"/>
    <s v="USD"/>
    <n v="24.11"/>
    <n v="0.24378159757330636"/>
    <s v=""/>
    <s v=""/>
    <s v=""/>
    <s v=""/>
    <s v=""/>
    <m/>
  </r>
  <r>
    <s v="Ethiopia"/>
    <s v="Sub-Saharan Africa"/>
    <s v="P044613"/>
    <s v="C1"/>
    <s v="S3"/>
    <s v="P044613C1S3"/>
    <x v="1"/>
    <n v="2010"/>
    <x v="1"/>
    <n v="42"/>
    <n v="98.9"/>
    <n v="33.33"/>
    <s v="USD"/>
    <n v="33.33"/>
    <n v="0.33700707785642059"/>
    <s v=""/>
    <s v=""/>
    <s v=""/>
    <s v=""/>
    <s v=""/>
    <m/>
  </r>
  <r>
    <s v="Ethiopia"/>
    <s v="Sub-Saharan Africa"/>
    <s v="P044613"/>
    <s v="C1"/>
    <s v="S3"/>
    <s v="P044613C1S3"/>
    <x v="2"/>
    <s v="2003 / 2010"/>
    <x v="1"/>
    <n v="1.1666666666666667"/>
    <n v="1"/>
    <n v="1.3824139361260888"/>
    <m/>
    <n v="1.3824139361260888"/>
    <n v="1.3824139361260885"/>
    <s v=""/>
    <s v=""/>
    <s v=""/>
    <s v=""/>
    <s v=""/>
    <s v=""/>
  </r>
  <r>
    <s v="Ethiopia"/>
    <s v="Sub-Saharan Africa"/>
    <s v="P044613"/>
    <s v="C1"/>
    <s v="S4"/>
    <s v="P044613C1S4"/>
    <x v="0"/>
    <n v="2003"/>
    <x v="1"/>
    <n v="36"/>
    <n v="108"/>
    <n v="24.74"/>
    <s v="USD"/>
    <n v="24.74"/>
    <n v="0.22907407407407407"/>
    <s v=""/>
    <s v=""/>
    <s v=""/>
    <s v="x"/>
    <s v="x"/>
    <m/>
  </r>
  <r>
    <s v="Ethiopia"/>
    <s v="Sub-Saharan Africa"/>
    <s v="P044613"/>
    <s v="C1"/>
    <s v="S4"/>
    <s v="P044613C1S4"/>
    <x v="1"/>
    <n v="2010"/>
    <x v="1"/>
    <n v="56"/>
    <n v="108"/>
    <n v="43.75"/>
    <s v="USD"/>
    <n v="43.75"/>
    <n v="0.40509259259259262"/>
    <s v=""/>
    <s v=""/>
    <s v=""/>
    <s v="x"/>
    <s v="x"/>
    <m/>
  </r>
  <r>
    <s v="Ethiopia"/>
    <s v="Sub-Saharan Africa"/>
    <s v="P044613"/>
    <s v="C1"/>
    <s v="S4"/>
    <s v="P044613C1S4"/>
    <x v="2"/>
    <s v="2003 / 2010"/>
    <x v="1"/>
    <n v="1.5555555555555556"/>
    <n v="1"/>
    <n v="1.7683912691996768"/>
    <m/>
    <n v="1.7683912691996768"/>
    <n v="1.7683912691996768"/>
    <s v=""/>
    <s v=""/>
    <s v=""/>
    <s v="x"/>
    <s v="x"/>
    <s v="Macroeconomic conditions ; ; "/>
  </r>
  <r>
    <s v="Ethiopia"/>
    <s v="Sub-Saharan Africa"/>
    <s v="P044613"/>
    <s v="C2"/>
    <s v=""/>
    <s v="P044613C2"/>
    <x v="0"/>
    <n v="2003"/>
    <x v="12"/>
    <n v="36"/>
    <n v="119.4"/>
    <n v="28.66"/>
    <s v="USD"/>
    <n v="28.66"/>
    <n v="0.24003350083752092"/>
    <s v=""/>
    <s v=""/>
    <s v=""/>
    <s v=""/>
    <s v=""/>
    <m/>
  </r>
  <r>
    <s v="Ethiopia"/>
    <s v="Sub-Saharan Africa"/>
    <s v="P044613"/>
    <s v="C2"/>
    <s v=""/>
    <s v="P044613C2"/>
    <x v="1"/>
    <n v="2010"/>
    <x v="12"/>
    <n v="42"/>
    <n v="99"/>
    <n v="19.43"/>
    <s v="USD"/>
    <n v="19.43"/>
    <n v="0.19626262626262625"/>
    <s v=""/>
    <s v=""/>
    <s v=""/>
    <s v=""/>
    <s v=""/>
    <m/>
  </r>
  <r>
    <s v="Ethiopia"/>
    <s v="Sub-Saharan Africa"/>
    <s v="P044613"/>
    <s v="C2"/>
    <s v=""/>
    <s v="P044613C2"/>
    <x v="2"/>
    <s v="2003 / 2010"/>
    <x v="12"/>
    <n v="1.1666666666666667"/>
    <n v="0.82914572864321601"/>
    <n v="0.67794836008374038"/>
    <m/>
    <n v="0.67794836008374038"/>
    <n v="0.81764681004038997"/>
    <s v=""/>
    <s v=""/>
    <s v=""/>
    <s v=""/>
    <s v=""/>
    <s v=""/>
  </r>
  <r>
    <s v="Ethiopia"/>
    <s v="Sub-Saharan Africa"/>
    <s v="P082998"/>
    <s v="C1"/>
    <s v="S1"/>
    <s v="P082998C1S1"/>
    <x v="0"/>
    <n v="2004"/>
    <x v="1"/>
    <n v="49"/>
    <n v="316"/>
    <n v="62.04"/>
    <s v="USD"/>
    <n v="62.04"/>
    <n v="0.19632911392405064"/>
    <s v=""/>
    <s v=""/>
    <s v=""/>
    <s v="x"/>
    <s v="x"/>
    <m/>
  </r>
  <r>
    <s v="Ethiopia"/>
    <s v="Sub-Saharan Africa"/>
    <s v="P082998"/>
    <s v="C1"/>
    <s v="S1"/>
    <s v="P082998C1S1"/>
    <x v="1"/>
    <n v="2012"/>
    <x v="1"/>
    <s v=""/>
    <n v="246"/>
    <n v="196.53"/>
    <s v="USD"/>
    <n v="196.53"/>
    <n v="0.79890243902439029"/>
    <s v=""/>
    <s v=""/>
    <s v=""/>
    <s v="x"/>
    <s v="x"/>
    <m/>
  </r>
  <r>
    <s v="Ethiopia"/>
    <s v="Sub-Saharan Africa"/>
    <s v="P082998"/>
    <s v="C1"/>
    <s v="S1"/>
    <s v="P082998C1S1"/>
    <x v="2"/>
    <s v="2004 / 2012"/>
    <x v="1"/>
    <s v=""/>
    <n v="0.77848101265822789"/>
    <n v="3.1677949709864603"/>
    <m/>
    <n v="3.1677949709864603"/>
    <n v="4.0692000440313878"/>
    <s v=""/>
    <s v=""/>
    <s v=""/>
    <s v="x"/>
    <s v="x"/>
    <s v="Quality of estimates; Change of project scope; "/>
  </r>
  <r>
    <s v="Ethiopia"/>
    <s v="Sub-Saharan Africa"/>
    <s v="P082998"/>
    <s v="C1"/>
    <s v="S2"/>
    <s v="P082998C1S2"/>
    <x v="0"/>
    <n v="2004"/>
    <x v="1"/>
    <n v="48"/>
    <n v="86"/>
    <n v="20"/>
    <s v="USD"/>
    <n v="20"/>
    <n v="0.23255813953488372"/>
    <s v=""/>
    <s v=""/>
    <s v=""/>
    <s v="x"/>
    <s v="x"/>
    <m/>
  </r>
  <r>
    <s v="Ethiopia"/>
    <s v="Sub-Saharan Africa"/>
    <s v="P082998"/>
    <s v="C1"/>
    <s v="S2"/>
    <s v="P082998C1S2"/>
    <x v="1"/>
    <n v="2012"/>
    <x v="1"/>
    <s v=""/>
    <n v="86"/>
    <n v="48.69"/>
    <s v="USD"/>
    <n v="48.69"/>
    <n v="0.56616279069767439"/>
    <s v=""/>
    <s v=""/>
    <s v=""/>
    <s v="x"/>
    <s v="x"/>
    <m/>
  </r>
  <r>
    <s v="Ethiopia"/>
    <s v="Sub-Saharan Africa"/>
    <s v="P082998"/>
    <s v="C1"/>
    <s v="S2"/>
    <s v="P082998C1S2"/>
    <x v="2"/>
    <s v="2004 / 2012"/>
    <x v="1"/>
    <s v=""/>
    <n v="1"/>
    <n v="2.4344999999999999"/>
    <m/>
    <n v="2.4344999999999999"/>
    <n v="2.4344999999999999"/>
    <s v=""/>
    <s v=""/>
    <s v=""/>
    <s v="x"/>
    <s v="x"/>
    <s v="Quality of estimates; Change of project scope; "/>
  </r>
  <r>
    <s v="Ethiopia"/>
    <s v="Sub-Saharan Africa"/>
    <s v="P082998"/>
    <s v="C1"/>
    <s v="S3"/>
    <s v="P082998C1S3"/>
    <x v="0"/>
    <n v="2004"/>
    <x v="1"/>
    <n v="48"/>
    <n v="108"/>
    <n v="25.02"/>
    <s v="USD"/>
    <n v="25.02"/>
    <n v="0.23166666666666666"/>
    <s v=""/>
    <s v=""/>
    <s v=""/>
    <s v="x"/>
    <s v="x"/>
    <m/>
  </r>
  <r>
    <s v="Ethiopia"/>
    <s v="Sub-Saharan Africa"/>
    <s v="P082998"/>
    <s v="C1"/>
    <s v="S3"/>
    <s v="P082998C1S3"/>
    <x v="1"/>
    <n v="2012"/>
    <x v="1"/>
    <s v=""/>
    <n v="108"/>
    <n v="79.180000000000007"/>
    <s v="USD"/>
    <n v="79.180000000000007"/>
    <n v="0.73314814814814822"/>
    <s v=""/>
    <s v=""/>
    <s v=""/>
    <s v="x"/>
    <s v="x"/>
    <m/>
  </r>
  <r>
    <s v="Ethiopia"/>
    <s v="Sub-Saharan Africa"/>
    <s v="P082998"/>
    <s v="C1"/>
    <s v="S3"/>
    <s v="P082998C1S3"/>
    <x v="2"/>
    <s v="2004 / 2012"/>
    <x v="1"/>
    <s v=""/>
    <n v="1"/>
    <n v="3.1646682653876903"/>
    <m/>
    <n v="3.1646682653876903"/>
    <n v="3.1646682653876903"/>
    <s v=""/>
    <s v=""/>
    <s v=""/>
    <s v="x"/>
    <s v="x"/>
    <s v="Quality of estimates; Change of project scope; "/>
  </r>
  <r>
    <s v="Ethiopia"/>
    <s v="Sub-Saharan Africa"/>
    <s v="P082998"/>
    <s v="C1"/>
    <s v="S4"/>
    <s v="P082998C1S4"/>
    <x v="0"/>
    <n v="2004"/>
    <x v="1"/>
    <n v="32"/>
    <n v="83"/>
    <n v="25.46"/>
    <s v="USD"/>
    <n v="25.46"/>
    <n v="0.30674698795180722"/>
    <s v=""/>
    <s v=""/>
    <s v=""/>
    <s v="x"/>
    <s v="x"/>
    <m/>
  </r>
  <r>
    <s v="Ethiopia"/>
    <s v="Sub-Saharan Africa"/>
    <s v="P082998"/>
    <s v="C1"/>
    <s v="S4"/>
    <s v="P082998C1S4"/>
    <x v="1"/>
    <n v="2007"/>
    <x v="1"/>
    <n v="56"/>
    <n v="83"/>
    <n v="108.85"/>
    <s v="USD"/>
    <n v="108.85"/>
    <n v="1.3114457831325301"/>
    <s v=""/>
    <s v=""/>
    <s v=""/>
    <s v="x"/>
    <s v="x"/>
    <m/>
  </r>
  <r>
    <s v="Ethiopia"/>
    <s v="Sub-Saharan Africa"/>
    <s v="P082998"/>
    <s v="C1"/>
    <s v="S4"/>
    <s v="P082998C1S4"/>
    <x v="2"/>
    <s v="2004 / 2007"/>
    <x v="1"/>
    <n v="1.75"/>
    <n v="1"/>
    <n v="4.2753338570306356"/>
    <m/>
    <n v="4.2753338570306356"/>
    <n v="4.2753338570306365"/>
    <s v=""/>
    <s v=""/>
    <s v=""/>
    <s v="x"/>
    <s v="x"/>
    <s v="Quality of estimates; Change of project scope; "/>
  </r>
  <r>
    <s v="Ethiopia"/>
    <s v="Sub-Saharan Africa"/>
    <s v="P082998"/>
    <s v="C2"/>
    <s v="S1"/>
    <s v="P082998C2S1"/>
    <x v="0"/>
    <n v="2004"/>
    <x v="7"/>
    <n v="47"/>
    <n v="119"/>
    <n v="29.16"/>
    <s v="USD"/>
    <n v="29.16"/>
    <n v="0.24504201680672269"/>
    <s v=""/>
    <s v=""/>
    <s v=""/>
    <s v="x"/>
    <s v="x"/>
    <m/>
  </r>
  <r>
    <s v="Ethiopia"/>
    <s v="Sub-Saharan Africa"/>
    <s v="P082998"/>
    <s v="C2"/>
    <s v="S1"/>
    <s v="P082998C2S1"/>
    <x v="1"/>
    <n v="2012"/>
    <x v="7"/>
    <s v=""/>
    <n v="119"/>
    <n v="77.48"/>
    <s v="USD"/>
    <n v="77.48"/>
    <n v="0.65109243697478991"/>
    <s v=""/>
    <s v=""/>
    <s v=""/>
    <s v="x"/>
    <s v="x"/>
    <m/>
  </r>
  <r>
    <s v="Ethiopia"/>
    <s v="Sub-Saharan Africa"/>
    <s v="P082998"/>
    <s v="C2"/>
    <s v="S1"/>
    <s v="P082998C2S1"/>
    <x v="2"/>
    <s v="2004 / 2012"/>
    <x v="7"/>
    <s v=""/>
    <n v="1"/>
    <n v="2.6570644718792868"/>
    <m/>
    <n v="2.6570644718792868"/>
    <n v="2.6570644718792868"/>
    <s v=""/>
    <s v=""/>
    <s v=""/>
    <s v="x"/>
    <s v="x"/>
    <s v="Quality of estimates; Change of project scope; "/>
  </r>
  <r>
    <s v="Ethiopia"/>
    <s v="Sub-Saharan Africa"/>
    <s v="P082998"/>
    <s v="C2"/>
    <s v="S2"/>
    <s v="P082998C2S2"/>
    <x v="0"/>
    <n v="2004"/>
    <x v="7"/>
    <n v="52"/>
    <n v="137"/>
    <n v="17.87"/>
    <s v="USD"/>
    <n v="17.87"/>
    <n v="0.13043795620437956"/>
    <s v=""/>
    <s v=""/>
    <s v=""/>
    <s v="x"/>
    <s v="x"/>
    <m/>
  </r>
  <r>
    <s v="Ethiopia"/>
    <s v="Sub-Saharan Africa"/>
    <s v="P082998"/>
    <s v="C2"/>
    <s v="S2"/>
    <s v="P082998C2S2"/>
    <x v="1"/>
    <n v="2012"/>
    <x v="7"/>
    <s v=""/>
    <n v="137"/>
    <n v="70.599999999999994"/>
    <s v="USD"/>
    <n v="70.599999999999994"/>
    <n v="0.51532846715328462"/>
    <s v=""/>
    <s v=""/>
    <s v=""/>
    <s v="x"/>
    <s v="x"/>
    <m/>
  </r>
  <r>
    <s v="Ethiopia"/>
    <s v="Sub-Saharan Africa"/>
    <s v="P082998"/>
    <s v="C2"/>
    <s v="S2"/>
    <s v="P082998C2S2"/>
    <x v="2"/>
    <s v="2004 / 2012"/>
    <x v="7"/>
    <s v=""/>
    <n v="1"/>
    <n v="3.950755456071628"/>
    <m/>
    <n v="3.950755456071628"/>
    <n v="3.950755456071628"/>
    <s v=""/>
    <s v=""/>
    <s v=""/>
    <s v="x"/>
    <s v="x"/>
    <s v="Quality of estimates; Change of project scope; "/>
  </r>
  <r>
    <s v="Ethiopia"/>
    <s v="Sub-Saharan Africa"/>
    <s v="P091077"/>
    <s v="C1"/>
    <s v=""/>
    <s v="P091077C1"/>
    <x v="0"/>
    <n v="2007"/>
    <x v="1"/>
    <s v=""/>
    <n v="509"/>
    <n v="268.45999999999998"/>
    <s v="USD"/>
    <n v="268.45999999999998"/>
    <n v="0.527426326129666"/>
    <s v=""/>
    <s v=""/>
    <s v=""/>
    <s v="x"/>
    <s v="x"/>
    <m/>
  </r>
  <r>
    <s v="Ethiopia"/>
    <s v="Sub-Saharan Africa"/>
    <s v="P091077"/>
    <s v="C1"/>
    <s v=""/>
    <s v="P091077C1"/>
    <x v="1"/>
    <n v="2015"/>
    <x v="1"/>
    <s v=""/>
    <n v="499.63"/>
    <n v="402.34"/>
    <s v="USD"/>
    <n v="402.34"/>
    <n v="0.80527590416908512"/>
    <s v=""/>
    <s v=""/>
    <s v=""/>
    <s v="x"/>
    <s v="x"/>
    <m/>
  </r>
  <r>
    <s v="Ethiopia"/>
    <s v="Sub-Saharan Africa"/>
    <s v="P091077"/>
    <s v="C1"/>
    <s v=""/>
    <s v="P091077C1"/>
    <x v="2"/>
    <s v="2007 / 2015"/>
    <x v="1"/>
    <s v=""/>
    <n v="0.98159135559921418"/>
    <m/>
    <m/>
    <n v="1.4986962676003874"/>
    <n v="1.5268026343666257"/>
    <s v=""/>
    <s v=""/>
    <s v=""/>
    <s v="x"/>
    <s v="x"/>
    <s v="Capacity of contractor; Procurement system; Competition"/>
  </r>
  <r>
    <s v="Ethiopia"/>
    <s v="Sub-Saharan Africa"/>
    <s v="P091077"/>
    <s v="C1"/>
    <s v="S1"/>
    <s v="P091077C1S1"/>
    <x v="0"/>
    <n v="2007"/>
    <x v="1"/>
    <n v="36.5"/>
    <n v="99"/>
    <n v="51.75"/>
    <s v="USD"/>
    <n v="51.75"/>
    <n v="0.52272727272727271"/>
    <s v=""/>
    <s v=""/>
    <s v=""/>
    <s v="x"/>
    <s v="x"/>
    <m/>
  </r>
  <r>
    <s v="Ethiopia"/>
    <s v="Sub-Saharan Africa"/>
    <s v="P091077"/>
    <s v="C1"/>
    <s v="S1"/>
    <s v="P091077C1S1"/>
    <x v="1"/>
    <n v="2015"/>
    <x v="1"/>
    <n v="62.93333333333333"/>
    <n v="99"/>
    <n v="83.58"/>
    <s v="USD"/>
    <n v="83.58"/>
    <n v="0.84424242424242424"/>
    <s v=""/>
    <s v=""/>
    <s v=""/>
    <s v="x"/>
    <s v="x"/>
    <m/>
  </r>
  <r>
    <s v="Ethiopia"/>
    <s v="Sub-Saharan Africa"/>
    <s v="P091077"/>
    <s v="C1"/>
    <s v="S1"/>
    <s v="P091077C1S1"/>
    <x v="2"/>
    <s v="2007 / 2015"/>
    <x v="1"/>
    <n v="1.7242009132420091"/>
    <n v="1"/>
    <m/>
    <m/>
    <n v="1.615072463768116"/>
    <n v="1.615072463768116"/>
    <s v=""/>
    <s v=""/>
    <s v=""/>
    <s v="x"/>
    <s v="x"/>
    <s v="Capacity of contractor; Procurement system; Competition"/>
  </r>
  <r>
    <s v="Ethiopia"/>
    <s v="Sub-Saharan Africa"/>
    <s v="P091077"/>
    <s v="C1"/>
    <s v="S2"/>
    <s v="P091077C1S2"/>
    <x v="0"/>
    <n v="2007"/>
    <x v="2"/>
    <n v="30.433333333333334"/>
    <n v="66"/>
    <n v="37.630000000000003"/>
    <s v="USD"/>
    <n v="37.630000000000003"/>
    <n v="0.57015151515151519"/>
    <s v=""/>
    <s v=""/>
    <s v=""/>
    <s v=""/>
    <s v=""/>
    <m/>
  </r>
  <r>
    <s v="Ethiopia"/>
    <s v="Sub-Saharan Africa"/>
    <s v="P091077"/>
    <s v="C1"/>
    <s v="S2"/>
    <s v="P091077C1S2"/>
    <x v="1"/>
    <n v="2015"/>
    <x v="2"/>
    <n v="61.866666666666667"/>
    <n v="66"/>
    <n v="55.81"/>
    <s v="USD"/>
    <n v="55.81"/>
    <n v="0.84560606060606069"/>
    <s v=""/>
    <s v=""/>
    <s v=""/>
    <s v=""/>
    <s v=""/>
    <m/>
  </r>
  <r>
    <s v="Ethiopia"/>
    <s v="Sub-Saharan Africa"/>
    <s v="P091077"/>
    <s v="C1"/>
    <s v="S2"/>
    <s v="P091077C1S2"/>
    <x v="2"/>
    <s v="2007 / 2015"/>
    <x v="2"/>
    <n v="2.0328587075575029"/>
    <n v="1"/>
    <m/>
    <m/>
    <n v="1.4831251660908848"/>
    <n v="1.4831251660908851"/>
    <s v=""/>
    <s v=""/>
    <s v=""/>
    <s v=""/>
    <s v=""/>
    <s v=""/>
  </r>
  <r>
    <s v="Ethiopia"/>
    <s v="Sub-Saharan Africa"/>
    <s v="P091077"/>
    <s v="C1"/>
    <s v="S3"/>
    <s v="P091077C1S3"/>
    <x v="0"/>
    <n v="2007"/>
    <x v="2"/>
    <n v="30.5"/>
    <n v="65"/>
    <n v="39.4"/>
    <s v="USD"/>
    <n v="39.4"/>
    <n v="0.60615384615384615"/>
    <s v=""/>
    <s v=""/>
    <s v=""/>
    <s v=""/>
    <s v=""/>
    <m/>
  </r>
  <r>
    <s v="Ethiopia"/>
    <s v="Sub-Saharan Africa"/>
    <s v="P091077"/>
    <s v="C1"/>
    <s v="S3"/>
    <s v="P091077C1S3"/>
    <x v="1"/>
    <n v="2015"/>
    <x v="2"/>
    <n v="36.133333333333333"/>
    <n v="65"/>
    <n v="48.6"/>
    <s v="USD"/>
    <n v="48.6"/>
    <n v="0.74769230769230777"/>
    <s v=""/>
    <s v=""/>
    <s v=""/>
    <s v=""/>
    <s v=""/>
    <m/>
  </r>
  <r>
    <s v="Ethiopia"/>
    <s v="Sub-Saharan Africa"/>
    <s v="P091077"/>
    <s v="C1"/>
    <s v="S3"/>
    <s v="P091077C1S3"/>
    <x v="2"/>
    <s v="2007 / 2015"/>
    <x v="2"/>
    <n v="1.1846994535519126"/>
    <n v="1"/>
    <m/>
    <m/>
    <n v="1.233502538071066"/>
    <n v="1.233502538071066"/>
    <s v=""/>
    <s v=""/>
    <s v=""/>
    <s v=""/>
    <s v=""/>
    <s v=""/>
  </r>
  <r>
    <s v="Ethiopia"/>
    <s v="Sub-Saharan Africa"/>
    <s v="P091077"/>
    <s v="C1"/>
    <s v="S4"/>
    <s v="P091077C1S4"/>
    <x v="0"/>
    <n v="2007"/>
    <x v="1"/>
    <n v="36.5"/>
    <n v="94.1"/>
    <n v="47.86"/>
    <s v="USD"/>
    <n v="47.86"/>
    <n v="0.5086078639744952"/>
    <s v=""/>
    <s v=""/>
    <s v=""/>
    <s v="x"/>
    <s v="x"/>
    <m/>
  </r>
  <r>
    <s v="Ethiopia"/>
    <s v="Sub-Saharan Africa"/>
    <s v="P091077"/>
    <s v="C1"/>
    <s v="S4"/>
    <s v="P091077C1S4"/>
    <x v="1"/>
    <n v="2015"/>
    <x v="1"/>
    <n v="33.633333333333333"/>
    <n v="94.1"/>
    <n v="80.599999999999994"/>
    <s v="USD"/>
    <n v="80.599999999999994"/>
    <n v="0.8565356004250797"/>
    <s v=""/>
    <s v=""/>
    <s v=""/>
    <s v="x"/>
    <s v="x"/>
    <m/>
  </r>
  <r>
    <s v="Ethiopia"/>
    <s v="Sub-Saharan Africa"/>
    <s v="P091077"/>
    <s v="C1"/>
    <s v="S4"/>
    <s v="P091077C1S4"/>
    <x v="2"/>
    <s v="2007 / 2015"/>
    <x v="1"/>
    <n v="0.9214611872146119"/>
    <n v="1"/>
    <m/>
    <m/>
    <n v="1.6840785624738821"/>
    <n v="1.6840785624738823"/>
    <s v=""/>
    <s v=""/>
    <s v=""/>
    <s v="x"/>
    <s v="x"/>
    <s v="Capacity of contractor; Procurement system; Competition"/>
  </r>
  <r>
    <s v="Ethiopia"/>
    <s v="Sub-Saharan Africa"/>
    <s v="P091077"/>
    <s v="C1"/>
    <s v="S5"/>
    <s v="P091077C1S5"/>
    <x v="0"/>
    <n v="2007"/>
    <x v="1"/>
    <n v="36.5"/>
    <n v="109"/>
    <n v="58.54"/>
    <s v="USD"/>
    <n v="58.54"/>
    <n v="0.53706422018348621"/>
    <s v=""/>
    <s v=""/>
    <s v=""/>
    <s v="x"/>
    <s v="x"/>
    <m/>
  </r>
  <r>
    <s v="Ethiopia"/>
    <s v="Sub-Saharan Africa"/>
    <s v="P091077"/>
    <s v="C1"/>
    <s v="S5"/>
    <s v="P091077C1S5"/>
    <x v="1"/>
    <n v="2015"/>
    <x v="1"/>
    <n v="56.666666666666664"/>
    <n v="109"/>
    <n v="88.85"/>
    <s v="USD"/>
    <n v="88.85"/>
    <n v="0.815137614678899"/>
    <s v=""/>
    <s v=""/>
    <s v=""/>
    <s v="x"/>
    <s v="x"/>
    <m/>
  </r>
  <r>
    <s v="Ethiopia"/>
    <s v="Sub-Saharan Africa"/>
    <s v="P091077"/>
    <s v="C1"/>
    <s v="S5"/>
    <s v="P091077C1S5"/>
    <x v="2"/>
    <s v="2007 / 2015"/>
    <x v="1"/>
    <n v="1.5525114155251141"/>
    <n v="1"/>
    <m/>
    <m/>
    <n v="1.5177656303382301"/>
    <n v="1.5177656303382303"/>
    <s v=""/>
    <s v=""/>
    <s v=""/>
    <s v="x"/>
    <s v="x"/>
    <s v="Capacity of contractor; Procurement system; Competition"/>
  </r>
  <r>
    <s v="Ethiopia"/>
    <s v="Sub-Saharan Africa"/>
    <s v="P091077"/>
    <s v="C1"/>
    <s v="S6"/>
    <s v="P091077C1S6"/>
    <x v="0"/>
    <n v="2007"/>
    <x v="1"/>
    <n v="30.333333333333332"/>
    <n v="65.260000000000005"/>
    <n v="33.380000000000003"/>
    <s v="USD"/>
    <n v="33.380000000000003"/>
    <n v="0.5114924915721728"/>
    <s v=""/>
    <s v=""/>
    <s v=""/>
    <s v=""/>
    <s v=""/>
    <m/>
  </r>
  <r>
    <s v="Ethiopia"/>
    <s v="Sub-Saharan Africa"/>
    <s v="P091077"/>
    <s v="C1"/>
    <s v="S6"/>
    <s v="P091077C1S6"/>
    <x v="1"/>
    <n v="2015"/>
    <x v="1"/>
    <n v="50.666666666666664"/>
    <n v="65.260000000000005"/>
    <n v="33.06"/>
    <s v="USD"/>
    <n v="33.06"/>
    <n v="0.5065890285013791"/>
    <s v=""/>
    <s v=""/>
    <s v=""/>
    <s v=""/>
    <s v=""/>
    <m/>
  </r>
  <r>
    <s v="Ethiopia"/>
    <s v="Sub-Saharan Africa"/>
    <s v="P091077"/>
    <s v="C1"/>
    <s v="S6"/>
    <s v="P091077C1S6"/>
    <x v="2"/>
    <s v="2007 / 2015"/>
    <x v="1"/>
    <n v="1.6703296703296704"/>
    <n v="1"/>
    <m/>
    <m/>
    <n v="0.99041342121030551"/>
    <n v="0.99041342121030562"/>
    <s v=""/>
    <s v=""/>
    <s v=""/>
    <s v=""/>
    <s v=""/>
    <s v=""/>
  </r>
  <r>
    <s v="Georgia"/>
    <s v="Europe and Central Asia"/>
    <s v="P040556"/>
    <s v="C1"/>
    <s v=""/>
    <s v="P040556C1"/>
    <x v="0"/>
    <n v="2000"/>
    <x v="0"/>
    <s v=""/>
    <n v="162"/>
    <n v="28.16"/>
    <s v="USD"/>
    <n v="28.16"/>
    <n v="0.17382716049382715"/>
    <s v=""/>
    <s v=""/>
    <s v=""/>
    <s v=""/>
    <s v=""/>
    <m/>
  </r>
  <r>
    <s v="Georgia"/>
    <s v="Europe and Central Asia"/>
    <s v="P040556"/>
    <s v="C1"/>
    <s v=""/>
    <s v="P040556C1"/>
    <x v="1"/>
    <n v="2006"/>
    <x v="0"/>
    <s v=""/>
    <n v="167"/>
    <n v="28.48"/>
    <s v="USD"/>
    <n v="28.48"/>
    <n v="0.17053892215568864"/>
    <s v=""/>
    <s v=""/>
    <s v=""/>
    <s v=""/>
    <s v=""/>
    <m/>
  </r>
  <r>
    <s v="Georgia"/>
    <s v="Europe and Central Asia"/>
    <s v="P040556"/>
    <s v="C1"/>
    <s v=""/>
    <s v="P040556C1"/>
    <x v="2"/>
    <s v="2000 / 2006"/>
    <x v="0"/>
    <s v=""/>
    <n v="1.0308641975308641"/>
    <n v="1.0113636363636365"/>
    <m/>
    <n v="1.0113636363636365"/>
    <n v="0.98108328796951561"/>
    <s v=""/>
    <s v=""/>
    <s v=""/>
    <s v=""/>
    <s v=""/>
    <s v=""/>
  </r>
  <r>
    <s v="Georgia"/>
    <s v="Europe and Central Asia"/>
    <s v="P083110"/>
    <s v="C1"/>
    <s v=""/>
    <s v="P083110C1"/>
    <x v="0"/>
    <n v="2006"/>
    <x v="11"/>
    <s v=""/>
    <n v="12.2"/>
    <n v="25.397058823529409"/>
    <s v="USD"/>
    <n v="25.397058823529409"/>
    <n v="2.0817261330761814"/>
    <s v=""/>
    <s v=""/>
    <s v=""/>
    <s v=""/>
    <s v=""/>
    <m/>
  </r>
  <r>
    <s v="Georgia"/>
    <s v="Europe and Central Asia"/>
    <s v="P083110"/>
    <s v="C1"/>
    <s v=""/>
    <s v="P083110C1"/>
    <x v="1"/>
    <n v="2013"/>
    <x v="11"/>
    <s v=""/>
    <n v="13"/>
    <n v="29.15"/>
    <s v="USD"/>
    <n v="29.15"/>
    <n v="2.2423076923076923"/>
    <s v=""/>
    <s v=""/>
    <s v=""/>
    <s v=""/>
    <s v=""/>
    <m/>
  </r>
  <r>
    <s v="Georgia"/>
    <s v="Europe and Central Asia"/>
    <s v="P083110"/>
    <s v="C1"/>
    <s v=""/>
    <s v="P083110C1"/>
    <x v="2"/>
    <s v="2006 / 2013"/>
    <x v="11"/>
    <s v=""/>
    <n v="1.0655737704918034"/>
    <m/>
    <m/>
    <n v="1.1477707006369426"/>
    <n v="1.0771386575208231"/>
    <s v=""/>
    <s v=""/>
    <s v=""/>
    <s v=""/>
    <s v=""/>
    <s v=""/>
  </r>
  <r>
    <s v="Georgia"/>
    <s v="Europe and Central Asia"/>
    <s v="P086277"/>
    <s v="C1"/>
    <s v=""/>
    <s v="P086277C1"/>
    <x v="0"/>
    <n v="2004"/>
    <x v="0"/>
    <n v="64"/>
    <n v="500"/>
    <n v="20.54"/>
    <s v="USD"/>
    <n v="20.54"/>
    <n v="4.1079999999999998E-2"/>
    <s v=""/>
    <s v="x"/>
    <s v=""/>
    <s v="x"/>
    <s v="x"/>
    <m/>
  </r>
  <r>
    <s v="Georgia"/>
    <s v="Europe and Central Asia"/>
    <s v="P086277"/>
    <s v="C1"/>
    <s v=""/>
    <s v="P086277C1"/>
    <x v="1"/>
    <n v="2013"/>
    <x v="0"/>
    <n v="82"/>
    <n v="842"/>
    <n v="129.94"/>
    <s v="USD"/>
    <n v="129.94"/>
    <n v="0.15432304038004752"/>
    <s v=""/>
    <s v="x"/>
    <s v=""/>
    <s v="x"/>
    <s v="x"/>
    <m/>
  </r>
  <r>
    <s v="Georgia"/>
    <s v="Europe and Central Asia"/>
    <s v="P086277"/>
    <s v="C1"/>
    <s v=""/>
    <s v="P086277C1"/>
    <x v="2"/>
    <s v="2004 / 2013"/>
    <x v="0"/>
    <n v="1.28125"/>
    <n v="1.6839999999999999"/>
    <m/>
    <m/>
    <n v="6.3261927945472252"/>
    <n v="3.7566465525814881"/>
    <s v=""/>
    <s v="x"/>
    <s v=""/>
    <s v="x"/>
    <s v="x"/>
    <s v="Change of project scope; Change of project scope; "/>
  </r>
  <r>
    <s v="Georgia"/>
    <s v="Europe and Central Asia"/>
    <s v="P094044"/>
    <s v="C1"/>
    <s v="S1"/>
    <s v="P094044C1S1"/>
    <x v="0"/>
    <n v="2007"/>
    <x v="9"/>
    <n v="20"/>
    <n v="24"/>
    <n v="41.95"/>
    <s v="USD"/>
    <n v="41.95"/>
    <n v="1.7479166666666668"/>
    <s v=""/>
    <s v=""/>
    <s v=""/>
    <s v="x"/>
    <s v="x"/>
    <m/>
  </r>
  <r>
    <s v="Georgia"/>
    <s v="Europe and Central Asia"/>
    <s v="P094044"/>
    <s v="C1"/>
    <s v="S1"/>
    <s v="P094044C1S1"/>
    <x v="1"/>
    <n v="2012"/>
    <x v="9"/>
    <n v="28"/>
    <n v="24"/>
    <n v="69.2"/>
    <s v="USD"/>
    <n v="69.2"/>
    <n v="2.8833333333333333"/>
    <s v=""/>
    <s v=""/>
    <s v=""/>
    <s v="x"/>
    <s v="x"/>
    <m/>
  </r>
  <r>
    <s v="Georgia"/>
    <s v="Europe and Central Asia"/>
    <s v="P094044"/>
    <s v="C1"/>
    <s v="S1"/>
    <s v="P094044C1S1"/>
    <x v="2"/>
    <s v="2007 / 2012"/>
    <x v="9"/>
    <n v="1.4"/>
    <n v="1"/>
    <m/>
    <m/>
    <n v="1.6495828367103695"/>
    <n v="1.6495828367103693"/>
    <s v=""/>
    <s v=""/>
    <s v=""/>
    <s v="x"/>
    <s v="x"/>
    <s v="Political events; Quality of estimates; Weather shocks"/>
  </r>
  <r>
    <s v="Guinea"/>
    <s v="Sub-Saharan Africa"/>
    <s v="P065127"/>
    <s v="C1"/>
    <s v=""/>
    <s v="P065127C1"/>
    <x v="0"/>
    <n v="2004"/>
    <x v="1"/>
    <s v=""/>
    <n v="1270"/>
    <n v="23.9"/>
    <s v="USD"/>
    <n v="23.9"/>
    <n v="1.8818897637795276E-2"/>
    <s v=""/>
    <s v=""/>
    <s v=""/>
    <s v=""/>
    <s v=""/>
    <m/>
  </r>
  <r>
    <s v="Guinea"/>
    <s v="Sub-Saharan Africa"/>
    <s v="P065127"/>
    <s v="C1"/>
    <s v=""/>
    <s v="P065127C1"/>
    <x v="1"/>
    <n v="2013"/>
    <x v="1"/>
    <s v=""/>
    <n v="800"/>
    <n v="19"/>
    <s v="USD"/>
    <n v="19"/>
    <n v="2.375E-2"/>
    <s v=""/>
    <s v=""/>
    <s v=""/>
    <s v=""/>
    <s v=""/>
    <m/>
  </r>
  <r>
    <s v="Guinea"/>
    <s v="Sub-Saharan Africa"/>
    <s v="P065127"/>
    <s v="C1"/>
    <s v=""/>
    <s v="P065127C1"/>
    <x v="2"/>
    <s v="2004 / 2013"/>
    <x v="1"/>
    <s v=""/>
    <n v="0.62992125984251968"/>
    <m/>
    <m/>
    <n v="0.79497907949790803"/>
    <n v="1.262029288702929"/>
    <s v=""/>
    <s v=""/>
    <s v=""/>
    <s v=""/>
    <s v=""/>
    <s v=""/>
  </r>
  <r>
    <s v="Haiti"/>
    <s v="Latin America and Caribbean"/>
    <s v="P095523"/>
    <s v="C1"/>
    <s v="S1"/>
    <s v="P095523C1S1"/>
    <x v="0"/>
    <n v="2006"/>
    <x v="1"/>
    <s v=""/>
    <n v="38.799999999999997"/>
    <n v="6.8"/>
    <s v="USD"/>
    <n v="6.8"/>
    <n v="0.1752577319587629"/>
    <s v="x"/>
    <s v=""/>
    <s v=""/>
    <s v="x"/>
    <s v="x"/>
    <m/>
  </r>
  <r>
    <s v="Haiti"/>
    <s v="Latin America and Caribbean"/>
    <s v="P095523"/>
    <s v="C1"/>
    <s v="S1"/>
    <s v="P095523C1S1"/>
    <x v="1"/>
    <n v="2014"/>
    <x v="1"/>
    <s v=""/>
    <n v="8"/>
    <n v="8.08"/>
    <s v="USD"/>
    <n v="8.08"/>
    <n v="1.01"/>
    <s v="x"/>
    <s v=""/>
    <s v=""/>
    <s v="x"/>
    <s v="x"/>
    <m/>
  </r>
  <r>
    <s v="Haiti"/>
    <s v="Latin America and Caribbean"/>
    <s v="P095523"/>
    <s v="C1"/>
    <s v="S1"/>
    <s v="P095523C1S1"/>
    <x v="2"/>
    <s v="2006 / 2014"/>
    <x v="1"/>
    <s v=""/>
    <n v="0.2061855670103093"/>
    <m/>
    <m/>
    <n v="1.1882352941176471"/>
    <n v="5.762941176470588"/>
    <s v="x"/>
    <s v=""/>
    <s v=""/>
    <s v="x"/>
    <s v="x"/>
    <s v="Capacity of Counterpart; Weather shocks; "/>
  </r>
  <r>
    <s v="Haiti"/>
    <s v="Latin America and Caribbean"/>
    <s v="P095523"/>
    <s v="C1"/>
    <s v="S2"/>
    <s v="P095523C1S2"/>
    <x v="0"/>
    <n v="2006"/>
    <x v="1"/>
    <s v=""/>
    <n v="63"/>
    <n v="2.4"/>
    <s v="USD"/>
    <n v="2.4"/>
    <n v="3.8095238095238092E-2"/>
    <s v=""/>
    <s v=""/>
    <s v=""/>
    <s v="x"/>
    <s v="x"/>
    <m/>
  </r>
  <r>
    <s v="Haiti"/>
    <s v="Latin America and Caribbean"/>
    <s v="P095523"/>
    <s v="C1"/>
    <s v="S2"/>
    <s v="P095523C1S2"/>
    <x v="1"/>
    <n v="2014"/>
    <x v="1"/>
    <s v=""/>
    <n v="40"/>
    <n v="8.17"/>
    <s v="USD"/>
    <n v="8.17"/>
    <n v="0.20424999999999999"/>
    <s v=""/>
    <s v=""/>
    <s v=""/>
    <s v="x"/>
    <s v="x"/>
    <m/>
  </r>
  <r>
    <s v="Haiti"/>
    <s v="Latin America and Caribbean"/>
    <s v="P095523"/>
    <s v="C1"/>
    <s v="S2"/>
    <s v="P095523C1S2"/>
    <x v="2"/>
    <s v="2006 / 2014"/>
    <x v="1"/>
    <s v=""/>
    <n v="0.63492063492063489"/>
    <m/>
    <m/>
    <n v="3.4041666666666668"/>
    <n v="5.3615624999999998"/>
    <s v=""/>
    <s v=""/>
    <s v=""/>
    <s v="x"/>
    <s v="x"/>
    <s v="Capacity of Counterpart; Weather shocks; "/>
  </r>
  <r>
    <s v="Honduras"/>
    <s v="Latin America and Caribbean"/>
    <s v="P057538"/>
    <s v="C1"/>
    <s v="S1"/>
    <s v="P057538C1S1"/>
    <x v="0"/>
    <n v="2000"/>
    <x v="0"/>
    <s v=""/>
    <n v="84"/>
    <n v="19.2"/>
    <s v="USD"/>
    <n v="19.2"/>
    <n v="0.22857142857142856"/>
    <s v=""/>
    <s v=""/>
    <s v=""/>
    <s v="x"/>
    <s v="x"/>
    <m/>
  </r>
  <r>
    <s v="Honduras"/>
    <s v="Latin America and Caribbean"/>
    <s v="P057538"/>
    <s v="C1"/>
    <s v="S1"/>
    <s v="P057538C1S1"/>
    <x v="1"/>
    <n v="2007"/>
    <x v="0"/>
    <n v="35"/>
    <n v="50"/>
    <n v="20.399999999999999"/>
    <s v="USD"/>
    <n v="20.399999999999999"/>
    <n v="0.40799999999999997"/>
    <s v=""/>
    <s v=""/>
    <s v=""/>
    <s v="x"/>
    <s v="x"/>
    <m/>
  </r>
  <r>
    <s v="Honduras"/>
    <s v="Latin America and Caribbean"/>
    <s v="P057538"/>
    <s v="C1"/>
    <s v="S1"/>
    <s v="P057538C1S1"/>
    <x v="2"/>
    <s v="2000 / 2007"/>
    <x v="0"/>
    <s v=""/>
    <n v="0.59523809523809523"/>
    <m/>
    <m/>
    <n v="1.0625"/>
    <n v="1.7849999999999999"/>
    <s v=""/>
    <s v=""/>
    <s v=""/>
    <s v="x"/>
    <s v="x"/>
    <s v="Macroeconomic conditions; Quality of estimates; "/>
  </r>
  <r>
    <s v="Honduras"/>
    <s v="Latin America and Caribbean"/>
    <s v="P057538"/>
    <s v="C1"/>
    <s v="S2"/>
    <s v="P057538C1S2"/>
    <x v="0"/>
    <n v="2000"/>
    <x v="0"/>
    <s v=""/>
    <n v="40.200000000000003"/>
    <n v="6.3"/>
    <s v="USD"/>
    <n v="6.3"/>
    <n v="0.15671641791044774"/>
    <s v=""/>
    <s v=""/>
    <s v=""/>
    <s v="x"/>
    <s v="x"/>
    <m/>
  </r>
  <r>
    <s v="Honduras"/>
    <s v="Latin America and Caribbean"/>
    <s v="P057538"/>
    <s v="C1"/>
    <s v="S2"/>
    <s v="P057538C1S2"/>
    <x v="1"/>
    <n v="2007"/>
    <x v="0"/>
    <s v=""/>
    <n v="40.200000000000003"/>
    <n v="10.1"/>
    <s v="USD"/>
    <n v="10.1"/>
    <n v="0.25124378109452733"/>
    <s v=""/>
    <s v=""/>
    <s v=""/>
    <s v="x"/>
    <s v="x"/>
    <m/>
  </r>
  <r>
    <s v="Honduras"/>
    <s v="Latin America and Caribbean"/>
    <s v="P057538"/>
    <s v="C1"/>
    <s v="S2"/>
    <s v="P057538C1S2"/>
    <x v="2"/>
    <s v="2000 / 2007"/>
    <x v="0"/>
    <s v=""/>
    <n v="1"/>
    <m/>
    <m/>
    <n v="1.6031746031746033"/>
    <n v="1.6031746031746033"/>
    <s v=""/>
    <s v=""/>
    <s v=""/>
    <s v="x"/>
    <s v="x"/>
    <s v="Macroeconomic conditions; Quality of estimates; "/>
  </r>
  <r>
    <s v="Honduras"/>
    <s v="Latin America and Caribbean"/>
    <s v="P057538"/>
    <s v="C1"/>
    <s v="S3"/>
    <s v="P057538C1S3"/>
    <x v="0"/>
    <n v="2000"/>
    <x v="1"/>
    <s v=""/>
    <n v="46.5"/>
    <n v="18"/>
    <s v="USD"/>
    <n v="18"/>
    <n v="0.38709677419354838"/>
    <s v=""/>
    <s v=""/>
    <s v=""/>
    <s v=""/>
    <s v=""/>
    <m/>
  </r>
  <r>
    <s v="Honduras"/>
    <s v="Latin America and Caribbean"/>
    <s v="P057538"/>
    <s v="C1"/>
    <s v="S3"/>
    <s v="P057538C1S3"/>
    <x v="1"/>
    <n v="2007"/>
    <x v="1"/>
    <n v="37"/>
    <n v="46.6"/>
    <n v="18.5"/>
    <s v="USD"/>
    <n v="18.5"/>
    <n v="0.39699570815450641"/>
    <s v=""/>
    <s v=""/>
    <s v=""/>
    <s v=""/>
    <s v=""/>
    <m/>
  </r>
  <r>
    <s v="Honduras"/>
    <s v="Latin America and Caribbean"/>
    <s v="P057538"/>
    <s v="C1"/>
    <s v="S3"/>
    <s v="P057538C1S3"/>
    <x v="2"/>
    <s v="2000 / 2007"/>
    <x v="1"/>
    <s v=""/>
    <n v="1.0021505376344086"/>
    <m/>
    <m/>
    <n v="1.0277777777777777"/>
    <n v="1.0255722460658083"/>
    <s v=""/>
    <s v=""/>
    <s v=""/>
    <s v=""/>
    <s v=""/>
    <s v=""/>
  </r>
  <r>
    <s v="Honduras"/>
    <s v="Latin America and Caribbean"/>
    <s v="P057538"/>
    <s v="C1"/>
    <s v="S4"/>
    <s v="P057538C1S4"/>
    <x v="0"/>
    <n v="2000"/>
    <x v="1"/>
    <s v=""/>
    <n v="47"/>
    <n v="13.5"/>
    <s v="USD"/>
    <n v="13.5"/>
    <n v="0.28723404255319152"/>
    <s v=""/>
    <s v=""/>
    <s v=""/>
    <s v=""/>
    <s v=""/>
    <m/>
  </r>
  <r>
    <s v="Honduras"/>
    <s v="Latin America and Caribbean"/>
    <s v="P057538"/>
    <s v="C1"/>
    <s v="S4"/>
    <s v="P057538C1S4"/>
    <x v="1"/>
    <n v="2007"/>
    <x v="1"/>
    <n v="26"/>
    <n v="47"/>
    <n v="14.5"/>
    <s v="USD"/>
    <n v="14.5"/>
    <n v="0.30851063829787234"/>
    <s v=""/>
    <s v=""/>
    <s v=""/>
    <s v=""/>
    <s v=""/>
    <m/>
  </r>
  <r>
    <s v="Honduras"/>
    <s v="Latin America and Caribbean"/>
    <s v="P057538"/>
    <s v="C1"/>
    <s v="S4"/>
    <s v="P057538C1S4"/>
    <x v="2"/>
    <s v="2000 / 2007"/>
    <x v="1"/>
    <s v=""/>
    <n v="1"/>
    <m/>
    <m/>
    <n v="1.0740740740740742"/>
    <n v="1.074074074074074"/>
    <s v=""/>
    <s v=""/>
    <s v=""/>
    <s v=""/>
    <s v=""/>
    <s v=""/>
  </r>
  <r>
    <s v="Honduras"/>
    <s v="Latin America and Caribbean"/>
    <s v="P057538"/>
    <s v="C2"/>
    <s v=""/>
    <s v="P057538C2"/>
    <x v="0"/>
    <n v="2000"/>
    <x v="2"/>
    <s v=""/>
    <n v="100"/>
    <n v="8.5"/>
    <s v="USD"/>
    <n v="8.5"/>
    <n v="8.5000000000000006E-2"/>
    <s v=""/>
    <s v=""/>
    <s v=""/>
    <s v=""/>
    <s v=""/>
    <m/>
  </r>
  <r>
    <s v="Honduras"/>
    <s v="Latin America and Caribbean"/>
    <s v="P057538"/>
    <s v="C2"/>
    <s v=""/>
    <s v="P057538C2"/>
    <x v="1"/>
    <n v="2007"/>
    <x v="2"/>
    <s v=""/>
    <n v="102"/>
    <n v="4.9000000000000004"/>
    <s v="USD"/>
    <n v="4.9000000000000004"/>
    <n v="4.8039215686274513E-2"/>
    <s v=""/>
    <s v=""/>
    <s v=""/>
    <s v=""/>
    <s v=""/>
    <m/>
  </r>
  <r>
    <s v="Honduras"/>
    <s v="Latin America and Caribbean"/>
    <s v="P057538"/>
    <s v="C2"/>
    <s v=""/>
    <s v="P057538C2"/>
    <x v="2"/>
    <s v="2000 / 2007"/>
    <x v="2"/>
    <s v=""/>
    <n v="1.02"/>
    <m/>
    <m/>
    <n v="0.57647058823529418"/>
    <n v="0.56516724336793545"/>
    <s v=""/>
    <s v=""/>
    <s v=""/>
    <s v=""/>
    <s v=""/>
    <s v=""/>
  </r>
  <r>
    <s v="Honduras"/>
    <s v="Latin America and Caribbean"/>
    <s v="P057538"/>
    <s v="C3"/>
    <s v=""/>
    <s v="P057538C3"/>
    <x v="0"/>
    <n v="2000"/>
    <x v="4"/>
    <s v=""/>
    <n v="900"/>
    <n v="4"/>
    <s v="USD"/>
    <n v="4"/>
    <n v="4.4444444444444444E-3"/>
    <s v=""/>
    <s v="x"/>
    <s v=""/>
    <s v=""/>
    <s v="x"/>
    <m/>
  </r>
  <r>
    <s v="Honduras"/>
    <s v="Latin America and Caribbean"/>
    <s v="P057538"/>
    <s v="C3"/>
    <s v=""/>
    <s v="P057538C3"/>
    <x v="1"/>
    <n v="2007"/>
    <x v="4"/>
    <s v=""/>
    <n v="1670"/>
    <n v="7.8"/>
    <s v="USD"/>
    <n v="7.8"/>
    <n v="4.6706586826347303E-3"/>
    <s v=""/>
    <s v="x"/>
    <s v=""/>
    <s v=""/>
    <s v="x"/>
    <m/>
  </r>
  <r>
    <s v="Honduras"/>
    <s v="Latin America and Caribbean"/>
    <s v="P057538"/>
    <s v="C3"/>
    <s v=""/>
    <s v="P057538C3"/>
    <x v="2"/>
    <s v="2000 / 2007"/>
    <x v="4"/>
    <s v=""/>
    <n v="1.8555555555555556"/>
    <m/>
    <m/>
    <n v="1.95"/>
    <n v="1.0508982035928143"/>
    <s v=""/>
    <s v="x"/>
    <s v=""/>
    <s v=""/>
    <s v="x"/>
    <s v="Change of project scope; ; "/>
  </r>
  <r>
    <s v="Honduras"/>
    <s v="Latin America and Caribbean"/>
    <s v="P109058"/>
    <s v="C1"/>
    <s v="S1"/>
    <s v="P109058C1S1"/>
    <x v="0"/>
    <n v="2008"/>
    <x v="1"/>
    <s v=""/>
    <n v="46.4"/>
    <n v="16.87"/>
    <s v="USD"/>
    <n v="16.87"/>
    <n v="0.36357758620689656"/>
    <s v=""/>
    <s v=""/>
    <s v=""/>
    <s v=""/>
    <s v=""/>
    <m/>
  </r>
  <r>
    <s v="Honduras"/>
    <s v="Latin America and Caribbean"/>
    <s v="P109058"/>
    <s v="C1"/>
    <s v="S1"/>
    <s v="P109058C1S1"/>
    <x v="1"/>
    <n v="2015"/>
    <x v="1"/>
    <n v="16"/>
    <n v="46.4"/>
    <n v="18.3"/>
    <s v="USD"/>
    <n v="18.3"/>
    <n v="0.39439655172413796"/>
    <s v=""/>
    <s v=""/>
    <s v=""/>
    <s v=""/>
    <s v=""/>
    <m/>
  </r>
  <r>
    <s v="Honduras"/>
    <s v="Latin America and Caribbean"/>
    <s v="P109058"/>
    <s v="C1"/>
    <s v="S1"/>
    <s v="P109058C1S1"/>
    <x v="2"/>
    <s v="2008 / 2015"/>
    <x v="1"/>
    <s v=""/>
    <n v="1"/>
    <m/>
    <m/>
    <n v="1.0847658565500888"/>
    <n v="1.0847658565500891"/>
    <s v=""/>
    <s v=""/>
    <s v=""/>
    <s v=""/>
    <s v=""/>
    <s v=""/>
  </r>
  <r>
    <s v="Honduras"/>
    <s v="Latin America and Caribbean"/>
    <s v="P109058"/>
    <s v="C1"/>
    <s v="S2"/>
    <s v="P109058C1S2"/>
    <x v="0"/>
    <n v="2008"/>
    <x v="1"/>
    <s v=""/>
    <n v="30.5"/>
    <n v="17.07"/>
    <s v="USD"/>
    <n v="17.07"/>
    <n v="0.559672131147541"/>
    <s v=""/>
    <s v=""/>
    <s v=""/>
    <s v=""/>
    <s v=""/>
    <m/>
  </r>
  <r>
    <s v="Honduras"/>
    <s v="Latin America and Caribbean"/>
    <s v="P109058"/>
    <s v="C1"/>
    <s v="S2"/>
    <s v="P109058C1S2"/>
    <x v="1"/>
    <n v="2015"/>
    <x v="1"/>
    <n v="24"/>
    <n v="30.5"/>
    <n v="22.1"/>
    <s v="USD"/>
    <n v="22.1"/>
    <n v="0.72459016393442632"/>
    <s v=""/>
    <s v=""/>
    <s v=""/>
    <s v=""/>
    <s v=""/>
    <m/>
  </r>
  <r>
    <s v="Honduras"/>
    <s v="Latin America and Caribbean"/>
    <s v="P109058"/>
    <s v="C1"/>
    <s v="S2"/>
    <s v="P109058C1S2"/>
    <x v="2"/>
    <s v="2008 / 2015"/>
    <x v="1"/>
    <s v=""/>
    <n v="1"/>
    <m/>
    <m/>
    <n v="1.2946690099589924"/>
    <n v="1.2946690099589926"/>
    <s v=""/>
    <s v=""/>
    <s v=""/>
    <s v=""/>
    <s v=""/>
    <s v=""/>
  </r>
  <r>
    <s v="Honduras"/>
    <s v="Latin America and Caribbean"/>
    <s v="P109058"/>
    <s v="C1"/>
    <s v="S3"/>
    <s v="P109058C1S3"/>
    <x v="0"/>
    <n v="2008"/>
    <x v="1"/>
    <s v=""/>
    <n v="60.5"/>
    <n v="17.73"/>
    <s v="USD"/>
    <n v="17.73"/>
    <n v="0.29305785123966943"/>
    <s v="x"/>
    <s v=""/>
    <s v=""/>
    <s v="x"/>
    <s v="x"/>
    <m/>
  </r>
  <r>
    <s v="Honduras"/>
    <s v="Latin America and Caribbean"/>
    <s v="P109058"/>
    <s v="C1"/>
    <s v="S3"/>
    <s v="P109058C1S3"/>
    <x v="1"/>
    <n v="2015"/>
    <x v="1"/>
    <n v="43"/>
    <n v="22"/>
    <n v="20.260000000000002"/>
    <s v="USD"/>
    <n v="20.260000000000002"/>
    <n v="0.92090909090909101"/>
    <s v="x"/>
    <s v=""/>
    <s v=""/>
    <s v="x"/>
    <s v="x"/>
    <m/>
  </r>
  <r>
    <s v="Honduras"/>
    <s v="Latin America and Caribbean"/>
    <s v="P109058"/>
    <s v="C1"/>
    <s v="S3"/>
    <s v="P109058C1S3"/>
    <x v="2"/>
    <s v="2008 / 2015"/>
    <x v="1"/>
    <s v=""/>
    <n v="0.36363636363636365"/>
    <m/>
    <m/>
    <n v="1.1426959954878737"/>
    <n v="3.1424139875916528"/>
    <s v="x"/>
    <s v=""/>
    <s v=""/>
    <s v="x"/>
    <s v="x"/>
    <s v="Weather shocks; Political events; "/>
  </r>
  <r>
    <s v="India"/>
    <s v="South Asia"/>
    <s v="P067606"/>
    <s v="C1"/>
    <s v=""/>
    <s v="P067606C1"/>
    <x v="0"/>
    <n v="2002"/>
    <x v="1"/>
    <n v="36"/>
    <n v="971"/>
    <n v="286"/>
    <s v="USD"/>
    <n v="286"/>
    <n v="0.29454170957775488"/>
    <s v=""/>
    <s v=""/>
    <s v=""/>
    <s v=""/>
    <s v=""/>
    <m/>
  </r>
  <r>
    <s v="India"/>
    <s v="South Asia"/>
    <s v="P067606"/>
    <s v="C1"/>
    <s v=""/>
    <s v="P067606C1"/>
    <x v="1"/>
    <n v="2011"/>
    <x v="1"/>
    <n v="45"/>
    <n v="685"/>
    <n v="217"/>
    <s v="USD"/>
    <n v="217"/>
    <n v="0.31678832116788319"/>
    <s v=""/>
    <s v=""/>
    <s v=""/>
    <s v=""/>
    <s v=""/>
    <m/>
  </r>
  <r>
    <s v="India"/>
    <s v="South Asia"/>
    <s v="P067606"/>
    <s v="C1"/>
    <s v=""/>
    <s v="P067606C1"/>
    <x v="2"/>
    <s v="2002 / 2011"/>
    <x v="1"/>
    <n v="1.25"/>
    <n v="0.70545829042224506"/>
    <n v="0.75874125874125875"/>
    <m/>
    <n v="0.75874125874125875"/>
    <n v="1.075529579909142"/>
    <s v=""/>
    <s v=""/>
    <s v=""/>
    <s v=""/>
    <s v=""/>
    <s v=""/>
  </r>
  <r>
    <s v="India"/>
    <s v="South Asia"/>
    <s v="P067606"/>
    <s v="C2"/>
    <s v=""/>
    <s v="P067606C2"/>
    <x v="0"/>
    <n v="2002"/>
    <x v="5"/>
    <n v="24"/>
    <n v="2513"/>
    <n v="225.2"/>
    <s v="USD"/>
    <n v="225.2"/>
    <n v="8.9614007162753681E-2"/>
    <s v=""/>
    <s v=""/>
    <s v=""/>
    <s v="x"/>
    <s v="x"/>
    <m/>
  </r>
  <r>
    <s v="India"/>
    <s v="South Asia"/>
    <s v="P067606"/>
    <s v="C2"/>
    <s v=""/>
    <s v="P067606C2"/>
    <x v="1"/>
    <n v="2011"/>
    <x v="5"/>
    <n v="30"/>
    <n v="1910"/>
    <n v="271"/>
    <s v="USD"/>
    <n v="271"/>
    <n v="0.1418848167539267"/>
    <s v=""/>
    <s v=""/>
    <s v=""/>
    <s v="x"/>
    <s v="x"/>
    <m/>
  </r>
  <r>
    <s v="India"/>
    <s v="South Asia"/>
    <s v="P067606"/>
    <s v="C2"/>
    <s v=""/>
    <s v="P067606C2"/>
    <x v="2"/>
    <s v="2002 / 2011"/>
    <x v="5"/>
    <n v="1.25"/>
    <n v="0.76004775169120575"/>
    <n v="1.2033747779751334"/>
    <m/>
    <n v="1.2033747779751334"/>
    <n v="1.5832883858908426"/>
    <s v=""/>
    <s v=""/>
    <s v=""/>
    <s v="x"/>
    <s v="x"/>
    <s v="Capacity of counterpart; Capacity of counterpart ; Macroeconomic conditions"/>
  </r>
  <r>
    <s v="India"/>
    <s v="South Asia"/>
    <s v="P069889"/>
    <s v="C1"/>
    <s v=""/>
    <s v="P069889C1"/>
    <x v="0"/>
    <n v="2007"/>
    <x v="11"/>
    <s v=""/>
    <n v="184"/>
    <n v="36.76"/>
    <s v="USD"/>
    <n v="36.76"/>
    <n v="0.19978260869565218"/>
    <s v=""/>
    <s v=""/>
    <s v=""/>
    <s v="x"/>
    <s v="x"/>
    <m/>
  </r>
  <r>
    <s v="India"/>
    <s v="South Asia"/>
    <s v="P069889"/>
    <s v="C1"/>
    <s v=""/>
    <s v="P069889C1"/>
    <x v="1"/>
    <n v="2011"/>
    <x v="11"/>
    <s v=""/>
    <n v="174"/>
    <n v="87.6"/>
    <s v="USD"/>
    <n v="87.6"/>
    <n v="0.50344827586206897"/>
    <s v=""/>
    <s v=""/>
    <s v=""/>
    <s v="x"/>
    <s v="x"/>
    <m/>
  </r>
  <r>
    <s v="India"/>
    <s v="South Asia"/>
    <s v="P069889"/>
    <s v="C1"/>
    <s v=""/>
    <s v="P069889C1"/>
    <x v="2"/>
    <s v="2007 / 2011"/>
    <x v="11"/>
    <s v=""/>
    <n v="0.94565217391304346"/>
    <n v="2.3830250272034821"/>
    <m/>
    <n v="2.3830250272034821"/>
    <n v="2.5199804885370156"/>
    <s v=""/>
    <s v=""/>
    <s v=""/>
    <s v="x"/>
    <s v="x"/>
    <s v=" Capacity of contractors; Weather shocks ; Macroeconomic conditions "/>
  </r>
  <r>
    <s v="India"/>
    <s v="South Asia"/>
    <s v="P069889"/>
    <s v="C2"/>
    <s v=""/>
    <s v="P069889C2"/>
    <x v="0"/>
    <n v="2007"/>
    <x v="6"/>
    <s v=""/>
    <n v="520"/>
    <n v="17.66"/>
    <s v="USD"/>
    <n v="17.66"/>
    <n v="3.396153846153846E-2"/>
    <s v=""/>
    <s v=""/>
    <s v=""/>
    <s v=""/>
    <s v=""/>
    <m/>
  </r>
  <r>
    <s v="India"/>
    <s v="South Asia"/>
    <s v="P069889"/>
    <s v="C2"/>
    <s v=""/>
    <s v="P069889C2"/>
    <x v="1"/>
    <n v="2011"/>
    <x v="6"/>
    <s v=""/>
    <n v="300"/>
    <n v="11.4"/>
    <s v="USD"/>
    <n v="11.4"/>
    <n v="3.7999999999999999E-2"/>
    <s v=""/>
    <s v=""/>
    <s v=""/>
    <s v=""/>
    <s v=""/>
    <m/>
  </r>
  <r>
    <s v="India"/>
    <s v="South Asia"/>
    <s v="P069889"/>
    <s v="C2"/>
    <s v=""/>
    <s v="P069889C2"/>
    <x v="2"/>
    <s v="2007 / 2011"/>
    <x v="6"/>
    <s v=""/>
    <n v="0.57692307692307687"/>
    <n v="0.64552661381653453"/>
    <m/>
    <n v="0.64552661381653453"/>
    <n v="1.1189127972819932"/>
    <s v=""/>
    <s v=""/>
    <s v=""/>
    <s v=""/>
    <s v=""/>
    <s v=""/>
  </r>
  <r>
    <s v="India"/>
    <s v="South Asia"/>
    <s v="P071244"/>
    <s v="C1"/>
    <s v=""/>
    <s v="P071244C1"/>
    <x v="0"/>
    <n v="2001"/>
    <x v="9"/>
    <s v=""/>
    <n v="420"/>
    <n v="618.08000000000004"/>
    <s v="USD"/>
    <n v="618.08000000000004"/>
    <n v="1.4716190476190478"/>
    <s v=""/>
    <s v=""/>
    <s v=""/>
    <s v=""/>
    <s v=""/>
    <m/>
  </r>
  <r>
    <s v="India"/>
    <s v="South Asia"/>
    <s v="P071244"/>
    <s v="C1"/>
    <s v=""/>
    <s v="P071244C1"/>
    <x v="1"/>
    <n v="2009"/>
    <x v="9"/>
    <n v="81"/>
    <n v="416.76"/>
    <n v="694.44"/>
    <s v="USD"/>
    <n v="694.44"/>
    <n v="1.6662827526634036"/>
    <s v=""/>
    <s v=""/>
    <s v=""/>
    <s v=""/>
    <s v=""/>
    <m/>
  </r>
  <r>
    <s v="India"/>
    <s v="South Asia"/>
    <s v="P071244"/>
    <s v="C1"/>
    <s v=""/>
    <s v="P071244C1"/>
    <x v="2"/>
    <s v="2001 / 2009"/>
    <x v="9"/>
    <s v=""/>
    <n v="0.99228571428571422"/>
    <n v="1.1235438778151696"/>
    <m/>
    <n v="1.1235438778151696"/>
    <n v="1.1322785984316421"/>
    <s v=""/>
    <s v=""/>
    <s v=""/>
    <s v=""/>
    <s v=""/>
    <s v=""/>
  </r>
  <r>
    <s v="India"/>
    <s v="South Asia"/>
    <s v="P073776"/>
    <s v="C1"/>
    <s v=""/>
    <s v="P073776C1"/>
    <x v="0"/>
    <n v="2003"/>
    <x v="8"/>
    <n v="24"/>
    <n v="84.707999999999998"/>
    <n v="240.41"/>
    <s v="USD"/>
    <n v="240.41"/>
    <n v="2.8381026585446474"/>
    <s v=""/>
    <s v=""/>
    <s v=""/>
    <s v=""/>
    <s v=""/>
    <m/>
  </r>
  <r>
    <s v="India"/>
    <s v="South Asia"/>
    <s v="P073776"/>
    <s v="C1"/>
    <s v=""/>
    <s v="P073776C1"/>
    <x v="1"/>
    <n v="2010"/>
    <x v="8"/>
    <n v="63"/>
    <n v="84.8"/>
    <n v="301.36"/>
    <s v="USD"/>
    <n v="301.36"/>
    <n v="3.5537735849056609"/>
    <s v=""/>
    <s v=""/>
    <s v=""/>
    <s v=""/>
    <s v=""/>
    <m/>
  </r>
  <r>
    <s v="India"/>
    <s v="South Asia"/>
    <s v="P073776"/>
    <s v="C1"/>
    <s v=""/>
    <s v="P073776C1"/>
    <x v="2"/>
    <s v="2003 / 2010"/>
    <x v="8"/>
    <n v="2.625"/>
    <n v="1.0010860839590121"/>
    <n v="1.2535252277359512"/>
    <m/>
    <n v="1.2535252277359512"/>
    <n v="1.2521652711209548"/>
    <s v=""/>
    <s v=""/>
    <s v=""/>
    <s v=""/>
    <s v=""/>
    <s v=""/>
  </r>
  <r>
    <s v="India"/>
    <s v="South Asia"/>
    <s v="P077856"/>
    <s v="C1"/>
    <s v=""/>
    <s v="P077856C1"/>
    <x v="0"/>
    <n v="2004"/>
    <x v="9"/>
    <n v="48"/>
    <n v="483"/>
    <n v="802.87"/>
    <s v="USD"/>
    <n v="802.87"/>
    <n v="1.662256728778468"/>
    <s v=""/>
    <s v=""/>
    <s v=""/>
    <s v=""/>
    <s v=""/>
    <m/>
  </r>
  <r>
    <s v="India"/>
    <s v="South Asia"/>
    <s v="P077856"/>
    <s v="C1"/>
    <s v=""/>
    <s v="P077856C1"/>
    <x v="1"/>
    <n v="2012"/>
    <x v="9"/>
    <n v="84"/>
    <n v="327"/>
    <n v="800.12"/>
    <s v="USD"/>
    <n v="800.12"/>
    <n v="2.4468501529051987"/>
    <s v=""/>
    <s v=""/>
    <s v=""/>
    <s v=""/>
    <s v=""/>
    <m/>
  </r>
  <r>
    <s v="India"/>
    <s v="South Asia"/>
    <s v="P077856"/>
    <s v="C1"/>
    <s v=""/>
    <s v="P077856C1"/>
    <x v="2"/>
    <s v="2004 / 2012"/>
    <x v="9"/>
    <n v="1.75"/>
    <n v="0.67701863354037262"/>
    <n v="0.99657478794823573"/>
    <m/>
    <n v="0.99657478794823573"/>
    <n v="1.4720049620152837"/>
    <s v=""/>
    <s v=""/>
    <s v=""/>
    <s v=""/>
    <s v=""/>
    <s v=""/>
  </r>
  <r>
    <s v="India"/>
    <s v="South Asia"/>
    <s v="P009972"/>
    <s v="C1"/>
    <s v="S1"/>
    <s v="P009972C1S1"/>
    <x v="0"/>
    <n v="2000"/>
    <x v="11"/>
    <n v="42"/>
    <n v="62"/>
    <n v="86"/>
    <s v="USD"/>
    <n v="86"/>
    <n v="1.3870967741935485"/>
    <s v=""/>
    <s v=""/>
    <s v=""/>
    <s v=""/>
    <s v=""/>
    <m/>
  </r>
  <r>
    <s v="India"/>
    <s v="South Asia"/>
    <s v="P009972"/>
    <s v="C1"/>
    <s v="S1"/>
    <s v="P009972C1S1"/>
    <x v="1"/>
    <n v="2008"/>
    <x v="11"/>
    <n v="77"/>
    <n v="62"/>
    <n v="2893"/>
    <s v="INR"/>
    <n v="62.134879725085909"/>
    <n v="1.0021754794368696"/>
    <s v=""/>
    <s v=""/>
    <s v=""/>
    <s v=""/>
    <s v=""/>
    <m/>
  </r>
  <r>
    <s v="India"/>
    <s v="South Asia"/>
    <s v="P009972"/>
    <s v="C1"/>
    <s v="S1"/>
    <s v="P009972C1S1"/>
    <x v="2"/>
    <s v="2000 / 2008"/>
    <x v="11"/>
    <n v="1.8333333333333333"/>
    <n v="1"/>
    <m/>
    <m/>
    <n v="0.7224986014544873"/>
    <n v="0.7224986014544873"/>
    <s v=""/>
    <s v=""/>
    <s v=""/>
    <s v=""/>
    <s v=""/>
    <s v=""/>
  </r>
  <r>
    <s v="India"/>
    <s v="South Asia"/>
    <s v="P009972"/>
    <s v="C1"/>
    <s v="S2"/>
    <s v="P009972C1S2"/>
    <x v="0"/>
    <n v="2000"/>
    <x v="11"/>
    <n v="40"/>
    <n v="77"/>
    <n v="101.7"/>
    <s v="USD"/>
    <n v="101.7"/>
    <n v="1.3207792207792208"/>
    <s v=""/>
    <s v=""/>
    <s v=""/>
    <s v=""/>
    <s v=""/>
    <m/>
  </r>
  <r>
    <s v="India"/>
    <s v="South Asia"/>
    <s v="P009972"/>
    <s v="C1"/>
    <s v="S2"/>
    <s v="P009972C1S2"/>
    <x v="1"/>
    <n v="2008"/>
    <x v="11"/>
    <n v="93"/>
    <n v="77"/>
    <n v="2955.3"/>
    <s v="INR"/>
    <n v="63.472938144329895"/>
    <n v="0.82432387200428436"/>
    <s v=""/>
    <s v=""/>
    <s v=""/>
    <s v=""/>
    <s v=""/>
    <m/>
  </r>
  <r>
    <s v="India"/>
    <s v="South Asia"/>
    <s v="P009972"/>
    <s v="C1"/>
    <s v="S2"/>
    <s v="P009972C1S2"/>
    <x v="2"/>
    <s v="2000 / 2008"/>
    <x v="11"/>
    <n v="2.3250000000000002"/>
    <n v="1"/>
    <m/>
    <m/>
    <n v="0.62411935245162131"/>
    <n v="0.62411935245162142"/>
    <s v=""/>
    <s v=""/>
    <s v=""/>
    <s v=""/>
    <s v=""/>
    <s v=""/>
  </r>
  <r>
    <s v="India"/>
    <s v="South Asia"/>
    <s v="P009972"/>
    <s v="C1"/>
    <s v="S3"/>
    <s v="P009972C1S3"/>
    <x v="0"/>
    <n v="2000"/>
    <x v="11"/>
    <n v="36"/>
    <n v="43"/>
    <n v="50.3"/>
    <s v="USD"/>
    <n v="50.3"/>
    <n v="1.1697674418604651"/>
    <s v=""/>
    <s v=""/>
    <s v=""/>
    <s v=""/>
    <s v=""/>
    <m/>
  </r>
  <r>
    <s v="India"/>
    <s v="South Asia"/>
    <s v="P009972"/>
    <s v="C1"/>
    <s v="S3"/>
    <s v="P009972C1S3"/>
    <x v="1"/>
    <n v="2008"/>
    <x v="11"/>
    <n v="46"/>
    <n v="43"/>
    <n v="1798.6"/>
    <s v="INR"/>
    <n v="38.62972508591065"/>
    <n v="0.8983656996723407"/>
    <s v=""/>
    <s v=""/>
    <s v=""/>
    <s v=""/>
    <s v=""/>
    <m/>
  </r>
  <r>
    <s v="India"/>
    <s v="South Asia"/>
    <s v="P009972"/>
    <s v="C1"/>
    <s v="S3"/>
    <s v="P009972C1S3"/>
    <x v="2"/>
    <s v="2000 / 2008"/>
    <x v="11"/>
    <n v="1.2777777777777777"/>
    <n v="1"/>
    <m/>
    <m/>
    <n v="0.76798658222486382"/>
    <n v="0.76798658222486382"/>
    <s v=""/>
    <s v=""/>
    <s v=""/>
    <s v=""/>
    <s v=""/>
    <s v=""/>
  </r>
  <r>
    <s v="India"/>
    <s v="South Asia"/>
    <s v="P009972"/>
    <s v="C1"/>
    <s v="S4"/>
    <s v="P009972C1S4"/>
    <x v="0"/>
    <n v="2000"/>
    <x v="11"/>
    <n v="39"/>
    <n v="72"/>
    <n v="77.599999999999994"/>
    <s v="USD"/>
    <n v="77.599999999999994"/>
    <n v="1.0777777777777777"/>
    <s v=""/>
    <s v=""/>
    <s v=""/>
    <s v=""/>
    <s v=""/>
    <m/>
  </r>
  <r>
    <s v="India"/>
    <s v="South Asia"/>
    <s v="P009972"/>
    <s v="C1"/>
    <s v="S4"/>
    <s v="P009972C1S4"/>
    <x v="1"/>
    <n v="2008"/>
    <x v="11"/>
    <n v="83"/>
    <n v="72"/>
    <n v="2654.8"/>
    <s v="INR"/>
    <n v="57.018900343642613"/>
    <n v="0.79192917143948072"/>
    <s v=""/>
    <s v=""/>
    <s v=""/>
    <s v=""/>
    <s v=""/>
    <m/>
  </r>
  <r>
    <s v="India"/>
    <s v="South Asia"/>
    <s v="P009972"/>
    <s v="C1"/>
    <s v="S4"/>
    <s v="P009972C1S4"/>
    <x v="2"/>
    <s v="2000 / 2008"/>
    <x v="11"/>
    <n v="2.1282051282051282"/>
    <n v="1"/>
    <m/>
    <m/>
    <n v="0.73477964360364201"/>
    <n v="0.7347796436036419"/>
    <s v=""/>
    <s v=""/>
    <s v=""/>
    <s v=""/>
    <s v=""/>
    <s v=""/>
  </r>
  <r>
    <s v="India"/>
    <s v="South Asia"/>
    <s v="P009972"/>
    <s v="C1"/>
    <s v="S5"/>
    <s v="P009972C1S5"/>
    <x v="0"/>
    <n v="2000"/>
    <x v="11"/>
    <n v="36"/>
    <n v="40"/>
    <n v="68"/>
    <s v="USD"/>
    <n v="68"/>
    <n v="1.7"/>
    <s v=""/>
    <s v=""/>
    <s v=""/>
    <s v=""/>
    <s v=""/>
    <m/>
  </r>
  <r>
    <s v="India"/>
    <s v="South Asia"/>
    <s v="P009972"/>
    <s v="C1"/>
    <s v="S5"/>
    <s v="P009972C1S5"/>
    <x v="1"/>
    <n v="2008"/>
    <x v="11"/>
    <n v="63"/>
    <n v="45"/>
    <n v="2299.6"/>
    <s v="INR"/>
    <n v="49.390034364261162"/>
    <n v="1.0975563192058035"/>
    <s v=""/>
    <s v=""/>
    <s v=""/>
    <s v=""/>
    <s v=""/>
    <m/>
  </r>
  <r>
    <s v="India"/>
    <s v="South Asia"/>
    <s v="P009972"/>
    <s v="C1"/>
    <s v="S5"/>
    <s v="P009972C1S5"/>
    <x v="2"/>
    <s v="2000 / 2008"/>
    <x v="11"/>
    <n v="1.75"/>
    <n v="1.125"/>
    <m/>
    <m/>
    <n v="0.72632403476854646"/>
    <n v="0.64562136423870797"/>
    <s v=""/>
    <s v=""/>
    <s v=""/>
    <s v=""/>
    <s v=""/>
    <s v=""/>
  </r>
  <r>
    <s v="India"/>
    <s v="South Asia"/>
    <s v="P009972"/>
    <s v="C1"/>
    <s v="S6"/>
    <s v="P009972C1S6"/>
    <x v="0"/>
    <n v="2000"/>
    <x v="11"/>
    <n v="36"/>
    <n v="45"/>
    <n v="65.400000000000006"/>
    <s v="USD"/>
    <n v="65.400000000000006"/>
    <n v="1.4533333333333334"/>
    <s v=""/>
    <s v=""/>
    <s v=""/>
    <s v=""/>
    <s v=""/>
    <m/>
  </r>
  <r>
    <s v="India"/>
    <s v="South Asia"/>
    <s v="P009972"/>
    <s v="C1"/>
    <s v="S6"/>
    <s v="P009972C1S6"/>
    <x v="1"/>
    <n v="2008"/>
    <x v="11"/>
    <n v="57"/>
    <n v="40"/>
    <n v="2179.9"/>
    <s v="INR"/>
    <n v="46.819158075601372"/>
    <n v="1.1704789518900343"/>
    <s v=""/>
    <s v=""/>
    <s v=""/>
    <s v=""/>
    <s v=""/>
    <m/>
  </r>
  <r>
    <s v="India"/>
    <s v="South Asia"/>
    <s v="P009972"/>
    <s v="C1"/>
    <s v="S6"/>
    <s v="P009972C1S6"/>
    <x v="2"/>
    <s v="2000 / 2008"/>
    <x v="11"/>
    <n v="1.5833333333333333"/>
    <n v="0.88888888888888884"/>
    <m/>
    <m/>
    <n v="0.71588926721103008"/>
    <n v="0.80537542561240882"/>
    <s v=""/>
    <s v=""/>
    <s v=""/>
    <s v=""/>
    <s v=""/>
    <s v=""/>
  </r>
  <r>
    <s v="India"/>
    <s v="South Asia"/>
    <s v="P009972"/>
    <s v="C1"/>
    <s v="S7"/>
    <s v="P009972C1S7"/>
    <x v="0"/>
    <n v="2000"/>
    <x v="11"/>
    <n v="42"/>
    <n v="138.80000000000001"/>
    <n v="161.80000000000001"/>
    <s v="USD"/>
    <n v="161.80000000000001"/>
    <n v="1.1657060518731988"/>
    <s v=""/>
    <s v=""/>
    <s v=""/>
    <s v=""/>
    <s v=""/>
    <m/>
  </r>
  <r>
    <s v="India"/>
    <s v="South Asia"/>
    <s v="P009972"/>
    <s v="C1"/>
    <s v="S7"/>
    <s v="P009972C1S7"/>
    <x v="1"/>
    <n v="2008"/>
    <x v="11"/>
    <n v="84"/>
    <n v="138.80000000000001"/>
    <n v="5845.9"/>
    <s v="INR"/>
    <n v="125.55627147766322"/>
    <n v="0.90458408845578675"/>
    <s v=""/>
    <s v=""/>
    <s v=""/>
    <s v=""/>
    <s v=""/>
    <m/>
  </r>
  <r>
    <s v="India"/>
    <s v="South Asia"/>
    <s v="P009972"/>
    <s v="C1"/>
    <s v="S7"/>
    <s v="P009972C1S7"/>
    <x v="2"/>
    <s v="2000 / 2008"/>
    <x v="11"/>
    <n v="2"/>
    <n v="1"/>
    <m/>
    <m/>
    <n v="0.77599673348370335"/>
    <n v="0.77599673348370335"/>
    <s v=""/>
    <s v=""/>
    <s v=""/>
    <s v=""/>
    <s v=""/>
    <s v=""/>
  </r>
  <r>
    <s v="India"/>
    <s v="South Asia"/>
    <s v="P050649"/>
    <s v="C1"/>
    <s v=""/>
    <s v="P050649C1"/>
    <x v="0"/>
    <n v="2003"/>
    <x v="11"/>
    <n v="48"/>
    <n v="750"/>
    <n v="320.97000000000003"/>
    <s v="USD"/>
    <n v="320.97000000000003"/>
    <n v="0.42796000000000006"/>
    <s v=""/>
    <s v=""/>
    <s v=""/>
    <s v=""/>
    <s v=""/>
    <m/>
  </r>
  <r>
    <s v="India"/>
    <s v="South Asia"/>
    <s v="P050649"/>
    <s v="C1"/>
    <s v=""/>
    <s v="P050649C1"/>
    <x v="1"/>
    <n v="2012"/>
    <x v="11"/>
    <s v=""/>
    <n v="724"/>
    <n v="385.83"/>
    <s v="USD"/>
    <n v="385.83"/>
    <n v="0.53291436464088393"/>
    <s v=""/>
    <s v=""/>
    <s v=""/>
    <s v=""/>
    <s v=""/>
    <m/>
  </r>
  <r>
    <s v="India"/>
    <s v="South Asia"/>
    <s v="P050649"/>
    <s v="C1"/>
    <s v=""/>
    <s v="P050649C1"/>
    <x v="2"/>
    <s v="2003 / 2012"/>
    <x v="11"/>
    <s v=""/>
    <n v="0.96533333333333338"/>
    <m/>
    <m/>
    <n v="1.2020749602766612"/>
    <n v="1.2452433980766517"/>
    <s v=""/>
    <s v=""/>
    <s v=""/>
    <s v=""/>
    <s v=""/>
    <s v=""/>
  </r>
  <r>
    <s v="India"/>
    <s v="South Asia"/>
    <s v="P050649"/>
    <s v="C1"/>
    <s v="S1"/>
    <s v="P050649C1S1"/>
    <x v="0"/>
    <n v="2003"/>
    <x v="11"/>
    <s v=""/>
    <n v="401"/>
    <n v="138.54"/>
    <s v="USD"/>
    <n v="138.54"/>
    <n v="0.3454862842892768"/>
    <s v=""/>
    <s v=""/>
    <s v=""/>
    <s v=""/>
    <s v=""/>
    <m/>
  </r>
  <r>
    <s v="India"/>
    <s v="South Asia"/>
    <s v="P050649"/>
    <s v="C1"/>
    <s v="S1"/>
    <s v="P050649C1S1"/>
    <x v="1"/>
    <n v="2012"/>
    <x v="11"/>
    <s v=""/>
    <n v="378.6"/>
    <n v="6796"/>
    <s v="INR"/>
    <n v="133.51669941060905"/>
    <n v="0.35265900531064193"/>
    <s v=""/>
    <s v=""/>
    <s v=""/>
    <s v=""/>
    <s v=""/>
    <m/>
  </r>
  <r>
    <s v="India"/>
    <s v="South Asia"/>
    <s v="P050649"/>
    <s v="C1"/>
    <s v="S1"/>
    <s v="P050649C1S1"/>
    <x v="2"/>
    <s v="2003 / 2012"/>
    <x v="11"/>
    <s v=""/>
    <n v="0.94413965087281804"/>
    <m/>
    <m/>
    <n v="0.96374115353406276"/>
    <n v="1.0207612323485449"/>
    <s v=""/>
    <s v=""/>
    <s v=""/>
    <s v=""/>
    <s v=""/>
    <s v=""/>
  </r>
  <r>
    <s v="India"/>
    <s v="South Asia"/>
    <s v="P050649"/>
    <s v="C1"/>
    <s v="S2"/>
    <s v="P050649C1S2"/>
    <x v="0"/>
    <n v="2003"/>
    <x v="11"/>
    <s v=""/>
    <n v="116"/>
    <n v="42.71"/>
    <s v="USD"/>
    <n v="42.71"/>
    <n v="0.36818965517241381"/>
    <s v=""/>
    <s v=""/>
    <s v=""/>
    <s v="x"/>
    <s v="x"/>
    <m/>
  </r>
  <r>
    <s v="India"/>
    <s v="South Asia"/>
    <s v="P050649"/>
    <s v="C1"/>
    <s v="S2"/>
    <s v="P050649C1S2"/>
    <x v="1"/>
    <n v="2012"/>
    <x v="11"/>
    <s v=""/>
    <n v="118.6"/>
    <n v="3494.8"/>
    <s v="INR"/>
    <n v="68.660117878192537"/>
    <n v="0.57892173590381568"/>
    <s v=""/>
    <s v=""/>
    <s v=""/>
    <s v="x"/>
    <s v="x"/>
    <m/>
  </r>
  <r>
    <s v="India"/>
    <s v="South Asia"/>
    <s v="P050649"/>
    <s v="C1"/>
    <s v="S2"/>
    <s v="P050649C1S2"/>
    <x v="2"/>
    <s v="2003 / 2012"/>
    <x v="11"/>
    <s v=""/>
    <n v="1.0224137931034483"/>
    <m/>
    <m/>
    <n v="1.6075888053896636"/>
    <n v="1.572346555018558"/>
    <s v=""/>
    <s v=""/>
    <s v=""/>
    <s v="x"/>
    <s v="x"/>
    <s v="Macroeconomic conditions ; Weather shocks; Quality of estimates"/>
  </r>
  <r>
    <s v="India"/>
    <s v="South Asia"/>
    <s v="P050649"/>
    <s v="C1"/>
    <s v="S3"/>
    <s v="P050649C1S3"/>
    <x v="0"/>
    <n v="2003"/>
    <x v="11"/>
    <s v=""/>
    <n v="100"/>
    <n v="25.83"/>
    <s v="USD"/>
    <n v="25.83"/>
    <n v="0.25829999999999997"/>
    <s v=""/>
    <s v=""/>
    <s v=""/>
    <s v="x"/>
    <s v="x"/>
    <m/>
  </r>
  <r>
    <s v="India"/>
    <s v="South Asia"/>
    <s v="P050649"/>
    <s v="C1"/>
    <s v="S3"/>
    <s v="P050649C1S3"/>
    <x v="1"/>
    <n v="2012"/>
    <x v="11"/>
    <s v=""/>
    <n v="100"/>
    <n v="2642.2"/>
    <s v="INR"/>
    <n v="51.909626719056973"/>
    <n v="0.51909626719056978"/>
    <s v=""/>
    <s v=""/>
    <s v=""/>
    <s v="x"/>
    <s v="x"/>
    <m/>
  </r>
  <r>
    <s v="India"/>
    <s v="South Asia"/>
    <s v="P050649"/>
    <s v="C1"/>
    <s v="S3"/>
    <s v="P050649C1S3"/>
    <x v="2"/>
    <s v="2003 / 2012"/>
    <x v="11"/>
    <s v=""/>
    <n v="1"/>
    <m/>
    <m/>
    <n v="2.0096642167656591"/>
    <n v="2.0096642167656595"/>
    <s v=""/>
    <s v=""/>
    <s v=""/>
    <s v="x"/>
    <s v="x"/>
    <s v="Macroeconomic conditions ; Weather shocks; Quality of estimates"/>
  </r>
  <r>
    <s v="India"/>
    <s v="South Asia"/>
    <s v="P050649"/>
    <s v="C1"/>
    <s v="S4"/>
    <s v="P050649C1S4"/>
    <x v="0"/>
    <n v="2003"/>
    <x v="11"/>
    <s v=""/>
    <n v="118"/>
    <n v="23.96"/>
    <s v="USD"/>
    <n v="23.96"/>
    <n v="0.20305084745762714"/>
    <s v=""/>
    <s v=""/>
    <s v=""/>
    <s v="x"/>
    <s v="x"/>
    <m/>
  </r>
  <r>
    <s v="India"/>
    <s v="South Asia"/>
    <s v="P050649"/>
    <s v="C1"/>
    <s v="S4"/>
    <s v="P050649C1S4"/>
    <x v="1"/>
    <n v="2012"/>
    <x v="11"/>
    <s v=""/>
    <n v="114.6"/>
    <n v="2162.6"/>
    <s v="INR"/>
    <n v="42.487229862475445"/>
    <n v="0.37074371607744716"/>
    <s v=""/>
    <s v=""/>
    <s v=""/>
    <s v="x"/>
    <s v="x"/>
    <m/>
  </r>
  <r>
    <s v="India"/>
    <s v="South Asia"/>
    <s v="P050649"/>
    <s v="C1"/>
    <s v="S4"/>
    <s v="P050649C1S4"/>
    <x v="2"/>
    <s v="2003 / 2012"/>
    <x v="11"/>
    <s v=""/>
    <n v="0.971186440677966"/>
    <m/>
    <m/>
    <n v="1.773256672056571"/>
    <n v="1.8258663813496978"/>
    <s v=""/>
    <s v=""/>
    <s v=""/>
    <s v="x"/>
    <s v="x"/>
    <s v="Macroeconomic conditions ; Weather shocks; Quality of estimates"/>
  </r>
  <r>
    <s v="India"/>
    <s v="South Asia"/>
    <s v="P050649"/>
    <s v="C2"/>
    <s v=""/>
    <s v="P050649C2"/>
    <x v="0"/>
    <n v="2003"/>
    <x v="2"/>
    <n v="48"/>
    <n v="2000"/>
    <n v="110.72"/>
    <s v="USD"/>
    <n v="110.72"/>
    <n v="5.5359999999999999E-2"/>
    <s v=""/>
    <s v=""/>
    <s v=""/>
    <s v=""/>
    <s v=""/>
    <m/>
  </r>
  <r>
    <s v="India"/>
    <s v="South Asia"/>
    <s v="P050649"/>
    <s v="C2"/>
    <s v=""/>
    <s v="P050649C2"/>
    <x v="1"/>
    <n v="2012"/>
    <x v="2"/>
    <s v=""/>
    <n v="1330"/>
    <n v="106.18"/>
    <s v="USD"/>
    <n v="106.18"/>
    <n v="7.9834586466165425E-2"/>
    <s v=""/>
    <s v=""/>
    <s v=""/>
    <s v=""/>
    <s v=""/>
    <m/>
  </r>
  <r>
    <s v="India"/>
    <s v="South Asia"/>
    <s v="P050649"/>
    <s v="C2"/>
    <s v=""/>
    <s v="P050649C2"/>
    <x v="2"/>
    <s v="2003 / 2012"/>
    <x v="2"/>
    <s v=""/>
    <n v="0.66500000000000004"/>
    <m/>
    <m/>
    <n v="0.95899566473988451"/>
    <n v="1.4420987439697512"/>
    <s v=""/>
    <s v=""/>
    <s v=""/>
    <s v=""/>
    <s v=""/>
    <s v=""/>
  </r>
  <r>
    <s v="India"/>
    <s v="South Asia"/>
    <s v="P070421"/>
    <s v="C1"/>
    <s v=""/>
    <s v="P070421C1"/>
    <x v="0"/>
    <n v="2001"/>
    <x v="11"/>
    <s v=""/>
    <n v="1000"/>
    <n v="270.83"/>
    <s v="USD"/>
    <n v="270.83"/>
    <n v="0.27082999999999996"/>
    <s v=""/>
    <s v=""/>
    <s v=""/>
    <s v="x"/>
    <s v="x"/>
    <m/>
  </r>
  <r>
    <s v="India"/>
    <s v="South Asia"/>
    <s v="P070421"/>
    <s v="C1"/>
    <s v=""/>
    <s v="P070421C1"/>
    <x v="1"/>
    <n v="2008"/>
    <x v="11"/>
    <s v=""/>
    <n v="874"/>
    <n v="356.2"/>
    <s v="USD"/>
    <n v="356.2"/>
    <n v="0.40755148741418762"/>
    <s v=""/>
    <s v=""/>
    <s v=""/>
    <s v="x"/>
    <s v="x"/>
    <m/>
  </r>
  <r>
    <s v="India"/>
    <s v="South Asia"/>
    <s v="P070421"/>
    <s v="C1"/>
    <s v=""/>
    <s v="P070421C1"/>
    <x v="2"/>
    <s v="2001 / 2008"/>
    <x v="11"/>
    <s v=""/>
    <n v="0.874"/>
    <m/>
    <m/>
    <n v="1.3152161872761512"/>
    <n v="1.5048240129017749"/>
    <s v=""/>
    <s v=""/>
    <s v=""/>
    <s v="x"/>
    <s v="x"/>
    <s v="Macroeconomic conditions; Capacity of contractor; "/>
  </r>
  <r>
    <s v="India"/>
    <s v="South Asia"/>
    <s v="P070421"/>
    <s v="C1"/>
    <s v="S1"/>
    <s v="P070421C1S1"/>
    <x v="0"/>
    <n v="2001"/>
    <x v="11"/>
    <s v=""/>
    <n v="76"/>
    <n v="16.510000000000002"/>
    <s v="USD"/>
    <n v="16.510000000000002"/>
    <n v="0.21723684210526317"/>
    <s v=""/>
    <s v=""/>
    <s v=""/>
    <s v=""/>
    <s v=""/>
    <m/>
  </r>
  <r>
    <s v="India"/>
    <s v="South Asia"/>
    <s v="P070421"/>
    <s v="C1"/>
    <s v="S1"/>
    <s v="P070421C1S1"/>
    <x v="1"/>
    <n v="2008"/>
    <x v="11"/>
    <s v=""/>
    <n v="76"/>
    <n v="23.5"/>
    <s v="USD"/>
    <n v="23.5"/>
    <n v="0.30921052631578949"/>
    <s v=""/>
    <s v=""/>
    <s v=""/>
    <s v=""/>
    <s v=""/>
    <m/>
  </r>
  <r>
    <s v="India"/>
    <s v="South Asia"/>
    <s v="P070421"/>
    <s v="C1"/>
    <s v="S1"/>
    <s v="P070421C1S1"/>
    <x v="2"/>
    <s v="2001 / 2008"/>
    <x v="11"/>
    <s v=""/>
    <n v="1"/>
    <m/>
    <m/>
    <n v="1.4233797698364625"/>
    <n v="1.4233797698364627"/>
    <s v=""/>
    <s v=""/>
    <s v=""/>
    <s v=""/>
    <s v=""/>
    <s v=""/>
  </r>
  <r>
    <s v="India"/>
    <s v="South Asia"/>
    <s v="P070421"/>
    <s v="C1"/>
    <s v="S10"/>
    <s v="P070421C1S10"/>
    <x v="0"/>
    <n v="2001"/>
    <x v="11"/>
    <s v=""/>
    <n v="143.49"/>
    <n v="34.61"/>
    <s v="USD"/>
    <n v="34.61"/>
    <n v="0.24120147745487489"/>
    <s v=""/>
    <s v=""/>
    <s v=""/>
    <s v="x"/>
    <s v="x"/>
    <m/>
  </r>
  <r>
    <s v="India"/>
    <s v="South Asia"/>
    <s v="P070421"/>
    <s v="C1"/>
    <s v="S10"/>
    <s v="P070421C1S10"/>
    <x v="1"/>
    <n v="2008"/>
    <x v="11"/>
    <s v=""/>
    <n v="143.49"/>
    <n v="68.5"/>
    <s v="USD"/>
    <n v="68.5"/>
    <n v="0.4773851836364903"/>
    <s v=""/>
    <s v=""/>
    <s v=""/>
    <s v="x"/>
    <s v="x"/>
    <m/>
  </r>
  <r>
    <s v="India"/>
    <s v="South Asia"/>
    <s v="P070421"/>
    <s v="C1"/>
    <s v="S10"/>
    <s v="P070421C1S10"/>
    <x v="2"/>
    <s v="2001 / 2008"/>
    <x v="11"/>
    <s v=""/>
    <n v="1"/>
    <m/>
    <m/>
    <n v="1.9791967639410575"/>
    <n v="1.9791967639410575"/>
    <s v=""/>
    <s v=""/>
    <s v=""/>
    <s v="x"/>
    <s v="x"/>
    <s v="Macroeconomic conditions; Capacity of contractor; "/>
  </r>
  <r>
    <s v="India"/>
    <s v="South Asia"/>
    <s v="P070421"/>
    <s v="C1"/>
    <s v="S11"/>
    <s v="P070421C1S11"/>
    <x v="0"/>
    <n v="2001"/>
    <x v="7"/>
    <s v=""/>
    <n v="50"/>
    <n v="12.19"/>
    <s v="USD"/>
    <n v="12.19"/>
    <n v="0.24379999999999999"/>
    <s v=""/>
    <s v=""/>
    <s v="x"/>
    <s v=""/>
    <s v="x"/>
    <m/>
  </r>
  <r>
    <s v="India"/>
    <s v="South Asia"/>
    <s v="P070421"/>
    <s v="C1"/>
    <s v="S11"/>
    <s v="P070421C1S11"/>
    <x v="1"/>
    <n v="2008"/>
    <x v="7"/>
    <s v=""/>
    <n v="50"/>
    <n v="2.1"/>
    <s v="USD"/>
    <n v="2.1"/>
    <n v="4.2000000000000003E-2"/>
    <s v=""/>
    <s v=""/>
    <s v="x"/>
    <s v=""/>
    <s v="x"/>
    <m/>
  </r>
  <r>
    <s v="India"/>
    <s v="South Asia"/>
    <s v="P070421"/>
    <s v="C1"/>
    <s v="S11"/>
    <s v="P070421C1S11"/>
    <x v="2"/>
    <s v="2001 / 2008"/>
    <x v="7"/>
    <s v=""/>
    <n v="1"/>
    <m/>
    <m/>
    <n v="0.17227235438884334"/>
    <n v="0.17227235438884334"/>
    <s v=""/>
    <s v=""/>
    <s v="x"/>
    <s v=""/>
    <s v="x"/>
    <s v="Quality of estimates; ; "/>
  </r>
  <r>
    <s v="India"/>
    <s v="South Asia"/>
    <s v="P070421"/>
    <s v="C1"/>
    <s v="S2"/>
    <s v="P070421C1S2"/>
    <x v="0"/>
    <n v="2001"/>
    <x v="11"/>
    <s v=""/>
    <n v="78"/>
    <n v="18.89"/>
    <s v="USD"/>
    <n v="18.89"/>
    <n v="0.24217948717948717"/>
    <s v=""/>
    <s v=""/>
    <s v=""/>
    <s v=""/>
    <s v=""/>
    <m/>
  </r>
  <r>
    <s v="India"/>
    <s v="South Asia"/>
    <s v="P070421"/>
    <s v="C1"/>
    <s v="S2"/>
    <s v="P070421C1S2"/>
    <x v="1"/>
    <n v="2008"/>
    <x v="11"/>
    <s v=""/>
    <n v="78"/>
    <n v="21.7"/>
    <s v="USD"/>
    <n v="21.7"/>
    <n v="0.27820512820512822"/>
    <s v=""/>
    <s v=""/>
    <s v=""/>
    <s v=""/>
    <s v=""/>
    <m/>
  </r>
  <r>
    <s v="India"/>
    <s v="South Asia"/>
    <s v="P070421"/>
    <s v="C1"/>
    <s v="S2"/>
    <s v="P070421C1S2"/>
    <x v="2"/>
    <s v="2001 / 2008"/>
    <x v="11"/>
    <s v=""/>
    <n v="1"/>
    <m/>
    <m/>
    <n v="1.1487559555320275"/>
    <n v="1.1487559555320277"/>
    <s v=""/>
    <s v=""/>
    <s v=""/>
    <s v=""/>
    <s v=""/>
    <s v=""/>
  </r>
  <r>
    <s v="India"/>
    <s v="South Asia"/>
    <s v="P070421"/>
    <s v="C1"/>
    <s v="S3"/>
    <s v="P070421C1S3"/>
    <x v="0"/>
    <n v="2001"/>
    <x v="11"/>
    <s v=""/>
    <n v="189"/>
    <n v="40.01"/>
    <s v="USD"/>
    <n v="40.01"/>
    <n v="0.21169312169312168"/>
    <s v=""/>
    <s v=""/>
    <s v=""/>
    <s v=""/>
    <s v=""/>
    <m/>
  </r>
  <r>
    <s v="India"/>
    <s v="South Asia"/>
    <s v="P070421"/>
    <s v="C1"/>
    <s v="S3"/>
    <s v="P070421C1S3"/>
    <x v="1"/>
    <n v="2008"/>
    <x v="11"/>
    <s v=""/>
    <n v="189"/>
    <n v="43.6"/>
    <s v="USD"/>
    <n v="43.6"/>
    <n v="0.23068783068783069"/>
    <s v=""/>
    <s v=""/>
    <s v=""/>
    <s v=""/>
    <s v=""/>
    <m/>
  </r>
  <r>
    <s v="India"/>
    <s v="South Asia"/>
    <s v="P070421"/>
    <s v="C1"/>
    <s v="S3"/>
    <s v="P070421C1S3"/>
    <x v="2"/>
    <s v="2001 / 2008"/>
    <x v="11"/>
    <s v=""/>
    <n v="1"/>
    <m/>
    <m/>
    <n v="1.089727568107973"/>
    <n v="1.089727568107973"/>
    <s v=""/>
    <s v=""/>
    <s v=""/>
    <s v=""/>
    <s v=""/>
    <s v=""/>
  </r>
  <r>
    <s v="India"/>
    <s v="South Asia"/>
    <s v="P070421"/>
    <s v="C1"/>
    <s v="S4"/>
    <s v="P070421C1S4"/>
    <x v="0"/>
    <n v="2001"/>
    <x v="11"/>
    <s v=""/>
    <n v="20"/>
    <n v="4.34"/>
    <s v="USD"/>
    <n v="4.34"/>
    <n v="0.217"/>
    <s v=""/>
    <s v=""/>
    <s v=""/>
    <s v=""/>
    <s v=""/>
    <m/>
  </r>
  <r>
    <s v="India"/>
    <s v="South Asia"/>
    <s v="P070421"/>
    <s v="C1"/>
    <s v="S4"/>
    <s v="P070421C1S4"/>
    <x v="1"/>
    <n v="2008"/>
    <x v="11"/>
    <s v=""/>
    <n v="20"/>
    <n v="3.5"/>
    <s v="USD"/>
    <n v="3.5"/>
    <n v="0.17499999999999999"/>
    <s v=""/>
    <s v=""/>
    <s v=""/>
    <s v=""/>
    <s v=""/>
    <m/>
  </r>
  <r>
    <s v="India"/>
    <s v="South Asia"/>
    <s v="P070421"/>
    <s v="C1"/>
    <s v="S4"/>
    <s v="P070421C1S4"/>
    <x v="2"/>
    <s v="2001 / 2008"/>
    <x v="11"/>
    <s v=""/>
    <n v="1"/>
    <m/>
    <m/>
    <n v="0.80645161290322587"/>
    <n v="0.80645161290322576"/>
    <s v=""/>
    <s v=""/>
    <s v=""/>
    <s v=""/>
    <s v=""/>
    <s v=""/>
  </r>
  <r>
    <s v="India"/>
    <s v="South Asia"/>
    <s v="P070421"/>
    <s v="C1"/>
    <s v="S5"/>
    <s v="P070421C1S5"/>
    <x v="0"/>
    <n v="2001"/>
    <x v="11"/>
    <s v=""/>
    <n v="31"/>
    <n v="7.76"/>
    <s v="USD"/>
    <n v="7.76"/>
    <n v="0.25032258064516127"/>
    <s v=""/>
    <s v=""/>
    <s v=""/>
    <s v=""/>
    <s v=""/>
    <m/>
  </r>
  <r>
    <s v="India"/>
    <s v="South Asia"/>
    <s v="P070421"/>
    <s v="C1"/>
    <s v="S5"/>
    <s v="P070421C1S5"/>
    <x v="1"/>
    <n v="2008"/>
    <x v="11"/>
    <s v=""/>
    <n v="31"/>
    <n v="9"/>
    <s v="USD"/>
    <n v="9"/>
    <n v="0.29032258064516131"/>
    <s v=""/>
    <s v=""/>
    <s v=""/>
    <s v=""/>
    <s v=""/>
    <m/>
  </r>
  <r>
    <s v="India"/>
    <s v="South Asia"/>
    <s v="P070421"/>
    <s v="C1"/>
    <s v="S5"/>
    <s v="P070421C1S5"/>
    <x v="2"/>
    <s v="2001 / 2008"/>
    <x v="11"/>
    <s v=""/>
    <n v="1"/>
    <m/>
    <m/>
    <n v="1.1597938144329898"/>
    <n v="1.1597938144329898"/>
    <s v=""/>
    <s v=""/>
    <s v=""/>
    <s v=""/>
    <s v=""/>
    <s v=""/>
  </r>
  <r>
    <s v="India"/>
    <s v="South Asia"/>
    <s v="P070421"/>
    <s v="C1"/>
    <s v="S6"/>
    <s v="P070421C1S6"/>
    <x v="0"/>
    <n v="2001"/>
    <x v="11"/>
    <s v=""/>
    <n v="94.13"/>
    <n v="22.94"/>
    <s v="USD"/>
    <n v="22.94"/>
    <n v="0.24370551365133328"/>
    <s v=""/>
    <s v=""/>
    <s v=""/>
    <s v=""/>
    <s v=""/>
    <m/>
  </r>
  <r>
    <s v="India"/>
    <s v="South Asia"/>
    <s v="P070421"/>
    <s v="C1"/>
    <s v="S6"/>
    <s v="P070421C1S6"/>
    <x v="1"/>
    <n v="2008"/>
    <x v="11"/>
    <s v=""/>
    <n v="94.13"/>
    <n v="21.5"/>
    <s v="USD"/>
    <n v="21.5"/>
    <n v="0.22840752151280144"/>
    <s v=""/>
    <s v=""/>
    <s v=""/>
    <s v=""/>
    <s v=""/>
    <m/>
  </r>
  <r>
    <s v="India"/>
    <s v="South Asia"/>
    <s v="P070421"/>
    <s v="C1"/>
    <s v="S6"/>
    <s v="P070421C1S6"/>
    <x v="2"/>
    <s v="2001 / 2008"/>
    <x v="11"/>
    <s v=""/>
    <n v="1"/>
    <m/>
    <m/>
    <n v="0.93722755013077585"/>
    <n v="0.93722755013077585"/>
    <s v=""/>
    <s v=""/>
    <s v=""/>
    <s v=""/>
    <s v=""/>
    <s v=""/>
  </r>
  <r>
    <s v="India"/>
    <s v="South Asia"/>
    <s v="P070421"/>
    <s v="C1"/>
    <s v="S7"/>
    <s v="P070421C1S7"/>
    <x v="0"/>
    <n v="2001"/>
    <x v="11"/>
    <s v=""/>
    <n v="103.94"/>
    <n v="25.35"/>
    <s v="USD"/>
    <n v="25.35"/>
    <n v="0.24389070617664038"/>
    <s v=""/>
    <s v=""/>
    <s v=""/>
    <s v=""/>
    <s v=""/>
    <m/>
  </r>
  <r>
    <s v="India"/>
    <s v="South Asia"/>
    <s v="P070421"/>
    <s v="C1"/>
    <s v="S7"/>
    <s v="P070421C1S7"/>
    <x v="1"/>
    <n v="2008"/>
    <x v="11"/>
    <s v=""/>
    <n v="103.94"/>
    <n v="14.5"/>
    <s v="USD"/>
    <n v="14.5"/>
    <n v="0.13950355974600731"/>
    <s v=""/>
    <s v=""/>
    <s v=""/>
    <s v=""/>
    <s v=""/>
    <m/>
  </r>
  <r>
    <s v="India"/>
    <s v="South Asia"/>
    <s v="P070421"/>
    <s v="C1"/>
    <s v="S7"/>
    <s v="P070421C1S7"/>
    <x v="2"/>
    <s v="2001 / 2008"/>
    <x v="11"/>
    <s v=""/>
    <n v="1"/>
    <m/>
    <m/>
    <n v="0.57199211045364884"/>
    <n v="0.57199211045364884"/>
    <s v=""/>
    <s v=""/>
    <s v=""/>
    <s v=""/>
    <s v=""/>
    <s v=""/>
  </r>
  <r>
    <s v="India"/>
    <s v="South Asia"/>
    <s v="P070421"/>
    <s v="C1"/>
    <s v="S8"/>
    <s v="P070421C1S8"/>
    <x v="0"/>
    <n v="2001"/>
    <x v="11"/>
    <s v=""/>
    <n v="170.62"/>
    <n v="45.67"/>
    <s v="USD"/>
    <n v="45.67"/>
    <n v="0.26767084749736259"/>
    <s v=""/>
    <s v=""/>
    <s v="x"/>
    <s v=""/>
    <s v="x"/>
    <m/>
  </r>
  <r>
    <s v="India"/>
    <s v="South Asia"/>
    <s v="P070421"/>
    <s v="C1"/>
    <s v="S8"/>
    <s v="P070421C1S8"/>
    <x v="1"/>
    <n v="2008"/>
    <x v="11"/>
    <s v=""/>
    <n v="170.62"/>
    <n v="17.7"/>
    <s v="USD"/>
    <n v="17.7"/>
    <n v="0.10373930371585979"/>
    <s v=""/>
    <s v=""/>
    <s v="x"/>
    <s v=""/>
    <s v="x"/>
    <m/>
  </r>
  <r>
    <s v="India"/>
    <s v="South Asia"/>
    <s v="P070421"/>
    <s v="C1"/>
    <s v="S8"/>
    <s v="P070421C1S8"/>
    <x v="2"/>
    <s v="2001 / 2008"/>
    <x v="11"/>
    <s v=""/>
    <n v="1"/>
    <m/>
    <m/>
    <n v="0.38756295160937154"/>
    <n v="0.38756295160937149"/>
    <s v=""/>
    <s v=""/>
    <s v="x"/>
    <s v=""/>
    <s v="x"/>
    <s v="Quality of estimates; ; "/>
  </r>
  <r>
    <s v="India"/>
    <s v="South Asia"/>
    <s v="P070421"/>
    <s v="C1"/>
    <s v="S9"/>
    <s v="P070421C1S9"/>
    <x v="0"/>
    <n v="2001"/>
    <x v="11"/>
    <s v=""/>
    <n v="35.200000000000003"/>
    <n v="8.58"/>
    <s v="USD"/>
    <n v="8.58"/>
    <n v="0.24374999999999999"/>
    <s v=""/>
    <s v=""/>
    <s v=""/>
    <s v="x"/>
    <s v="x"/>
    <m/>
  </r>
  <r>
    <s v="India"/>
    <s v="South Asia"/>
    <s v="P070421"/>
    <s v="C1"/>
    <s v="S9"/>
    <s v="P070421C1S9"/>
    <x v="1"/>
    <n v="2008"/>
    <x v="11"/>
    <s v=""/>
    <n v="35.200000000000003"/>
    <n v="84.8"/>
    <s v="USD"/>
    <n v="84.8"/>
    <n v="2.4090909090909087"/>
    <s v=""/>
    <s v=""/>
    <s v=""/>
    <s v="x"/>
    <s v="x"/>
    <m/>
  </r>
  <r>
    <s v="India"/>
    <s v="South Asia"/>
    <s v="P070421"/>
    <s v="C1"/>
    <s v="S9"/>
    <s v="P070421C1S9"/>
    <x v="2"/>
    <s v="2001 / 2008"/>
    <x v="11"/>
    <s v=""/>
    <n v="1"/>
    <m/>
    <m/>
    <n v="9.8834498834498827"/>
    <n v="9.8834498834498827"/>
    <s v=""/>
    <s v=""/>
    <s v=""/>
    <s v="x"/>
    <s v="x"/>
    <s v="Capacity of contractor; Macroeconomic conditions; "/>
  </r>
  <r>
    <s v="India"/>
    <s v="South Asia"/>
    <s v="P070421"/>
    <s v="C2"/>
    <s v=""/>
    <s v="P070421C2"/>
    <x v="0"/>
    <n v="2001"/>
    <x v="5"/>
    <s v=""/>
    <n v="1300"/>
    <n v="91.15"/>
    <s v="USD"/>
    <n v="91.15"/>
    <n v="7.0115384615384621E-2"/>
    <s v=""/>
    <s v=""/>
    <s v=""/>
    <s v="x"/>
    <s v="x"/>
    <m/>
  </r>
  <r>
    <s v="India"/>
    <s v="South Asia"/>
    <s v="P070421"/>
    <s v="C2"/>
    <s v=""/>
    <s v="P070421C2"/>
    <x v="1"/>
    <n v="2008"/>
    <x v="5"/>
    <s v=""/>
    <n v="1250"/>
    <n v="158.72999999999999"/>
    <s v="USD"/>
    <n v="158.72999999999999"/>
    <n v="0.12698399999999999"/>
    <s v=""/>
    <s v=""/>
    <s v=""/>
    <s v="x"/>
    <s v="x"/>
    <m/>
  </r>
  <r>
    <s v="India"/>
    <s v="South Asia"/>
    <s v="P070421"/>
    <s v="C2"/>
    <s v=""/>
    <s v="P070421C2"/>
    <x v="2"/>
    <s v="2001 / 2008"/>
    <x v="5"/>
    <s v=""/>
    <n v="0.96153846153846156"/>
    <m/>
    <m/>
    <n v="1.74141524958859"/>
    <n v="1.8110718595721336"/>
    <s v=""/>
    <s v=""/>
    <s v=""/>
    <s v="x"/>
    <s v="x"/>
    <s v="Capacity of contractor; Macroeconomic conditions; "/>
  </r>
  <r>
    <s v="India"/>
    <s v="South Asia"/>
    <s v="P072539"/>
    <s v="C1"/>
    <s v=""/>
    <s v="P072539C1"/>
    <x v="0"/>
    <n v="2002"/>
    <x v="11"/>
    <s v=""/>
    <n v="579"/>
    <n v="227.2"/>
    <s v="USD"/>
    <n v="227.2"/>
    <n v="0.3924006908462867"/>
    <s v="x"/>
    <s v=""/>
    <s v=""/>
    <s v="x"/>
    <s v="x"/>
    <m/>
  </r>
  <r>
    <s v="India"/>
    <s v="South Asia"/>
    <s v="P072539"/>
    <s v="C1"/>
    <s v=""/>
    <s v="P072539C1"/>
    <x v="1"/>
    <n v="2011"/>
    <x v="11"/>
    <s v=""/>
    <n v="254"/>
    <n v="163.41"/>
    <s v="USD"/>
    <n v="163.41"/>
    <n v="0.64334645669291335"/>
    <s v="x"/>
    <s v=""/>
    <s v=""/>
    <s v="x"/>
    <s v="x"/>
    <m/>
  </r>
  <r>
    <s v="India"/>
    <s v="South Asia"/>
    <s v="P072539"/>
    <s v="C1"/>
    <s v=""/>
    <s v="P072539C1"/>
    <x v="2"/>
    <s v="2002 / 2011"/>
    <x v="11"/>
    <s v=""/>
    <n v="0.43868739205526769"/>
    <m/>
    <m/>
    <n v="0.71923415492957754"/>
    <n v="1.6395140775756902"/>
    <s v="x"/>
    <s v=""/>
    <s v=""/>
    <s v="x"/>
    <s v="x"/>
    <s v="Capacity of counterpart (Procurement system); Change of project scope; Quality of estimates"/>
  </r>
  <r>
    <s v="India"/>
    <s v="South Asia"/>
    <s v="P072539"/>
    <s v="C2"/>
    <s v=""/>
    <s v="P072539C2"/>
    <x v="0"/>
    <n v="2002"/>
    <x v="5"/>
    <s v=""/>
    <n v="1009"/>
    <n v="54.1"/>
    <s v="USD"/>
    <n v="54.1"/>
    <n v="5.3617443012884042E-2"/>
    <s v=""/>
    <s v=""/>
    <s v=""/>
    <s v="x"/>
    <s v="x"/>
    <m/>
  </r>
  <r>
    <s v="India"/>
    <s v="South Asia"/>
    <s v="P072539"/>
    <s v="C2"/>
    <s v=""/>
    <s v="P072539C2"/>
    <x v="1"/>
    <n v="2011"/>
    <x v="5"/>
    <s v=""/>
    <n v="1156"/>
    <n v="129.44"/>
    <s v="USD"/>
    <n v="129.44"/>
    <n v="0.11197231833910035"/>
    <s v=""/>
    <s v=""/>
    <s v=""/>
    <s v="x"/>
    <s v="x"/>
    <m/>
  </r>
  <r>
    <s v="India"/>
    <s v="South Asia"/>
    <s v="P072539"/>
    <s v="C2"/>
    <s v=""/>
    <s v="P072539C2"/>
    <x v="2"/>
    <s v="2002 / 2011"/>
    <x v="5"/>
    <s v=""/>
    <n v="1.1456888007928643"/>
    <m/>
    <m/>
    <n v="2.3926062846580405"/>
    <n v="2.0883561775259198"/>
    <s v=""/>
    <s v=""/>
    <s v=""/>
    <s v="x"/>
    <s v="x"/>
    <s v="Capacity of counterpart (Procurement system); Quality of estimates; "/>
  </r>
  <r>
    <s v="India"/>
    <s v="South Asia"/>
    <s v="P077977"/>
    <s v="C1"/>
    <s v="S1"/>
    <s v="P077977C1S1"/>
    <x v="0"/>
    <n v="2004"/>
    <x v="1"/>
    <n v="12"/>
    <n v="672"/>
    <n v="1135.68"/>
    <s v="INR"/>
    <n v="25.237333333333336"/>
    <n v="3.7555555555555557E-2"/>
    <s v=""/>
    <s v=""/>
    <s v=""/>
    <s v=""/>
    <s v=""/>
    <m/>
  </r>
  <r>
    <s v="India"/>
    <s v="South Asia"/>
    <s v="P077977"/>
    <s v="C1"/>
    <s v="S1"/>
    <s v="P077977C1S1"/>
    <x v="1"/>
    <n v="2012"/>
    <x v="1"/>
    <n v="24"/>
    <n v="984"/>
    <n v="2192.3000000000002"/>
    <s v="INR"/>
    <n v="39.415677813736075"/>
    <n v="4.0056583144040724E-2"/>
    <s v=""/>
    <s v=""/>
    <s v=""/>
    <s v=""/>
    <s v=""/>
    <m/>
  </r>
  <r>
    <s v="India"/>
    <s v="South Asia"/>
    <s v="P077977"/>
    <s v="C1"/>
    <s v="S1"/>
    <s v="P077977C1S1"/>
    <x v="2"/>
    <s v="2004 / 2012"/>
    <x v="1"/>
    <n v="2"/>
    <n v="1.4642857142857142"/>
    <m/>
    <m/>
    <n v="1.5618004205569556"/>
    <n v="1.0665954091608476"/>
    <s v=""/>
    <s v=""/>
    <s v=""/>
    <s v=""/>
    <s v=""/>
    <s v="Change of project scope; ; "/>
  </r>
  <r>
    <s v="India"/>
    <s v="South Asia"/>
    <s v="P077977"/>
    <s v="C1"/>
    <s v="S2"/>
    <s v="P077977C1S2"/>
    <x v="0"/>
    <n v="2004"/>
    <x v="1"/>
    <n v="12"/>
    <n v="130"/>
    <n v="291.20000000000005"/>
    <s v="INR"/>
    <n v="6.4711111111111119"/>
    <n v="4.9777777777777782E-2"/>
    <s v=""/>
    <s v=""/>
    <s v=""/>
    <s v=""/>
    <s v=""/>
    <m/>
  </r>
  <r>
    <s v="India"/>
    <s v="South Asia"/>
    <s v="P077977"/>
    <s v="C1"/>
    <s v="S2"/>
    <s v="P077977C1S2"/>
    <x v="1"/>
    <n v="2012"/>
    <x v="1"/>
    <n v="18"/>
    <n v="126"/>
    <n v="308.5"/>
    <s v="INR"/>
    <n v="5.5465659834591872"/>
    <n v="4.4020364948088787E-2"/>
    <s v=""/>
    <s v=""/>
    <s v=""/>
    <s v=""/>
    <s v=""/>
    <m/>
  </r>
  <r>
    <s v="India"/>
    <s v="South Asia"/>
    <s v="P077977"/>
    <s v="C1"/>
    <s v="S2"/>
    <s v="P077977C1S2"/>
    <x v="2"/>
    <s v="2004 / 2012"/>
    <x v="1"/>
    <n v="1.5"/>
    <n v="0.96923076923076923"/>
    <m/>
    <m/>
    <n v="0.85712729826807488"/>
    <n v="0.88433768868928364"/>
    <s v=""/>
    <s v=""/>
    <s v=""/>
    <s v=""/>
    <s v=""/>
    <s v=""/>
  </r>
  <r>
    <s v="India"/>
    <s v="South Asia"/>
    <s v="P077977"/>
    <s v="C1"/>
    <s v="S3"/>
    <s v="P077977C1S3"/>
    <x v="0"/>
    <n v="2004"/>
    <x v="1"/>
    <n v="12"/>
    <n v="2282"/>
    <n v="3605.56"/>
    <s v="INR"/>
    <n v="80.123555555555555"/>
    <n v="3.5111111111111114E-2"/>
    <s v=""/>
    <s v="x"/>
    <s v=""/>
    <s v=""/>
    <s v="x"/>
    <m/>
  </r>
  <r>
    <s v="India"/>
    <s v="South Asia"/>
    <s v="P077977"/>
    <s v="C1"/>
    <s v="S3"/>
    <s v="P077977C1S3"/>
    <x v="1"/>
    <n v="2012"/>
    <x v="1"/>
    <n v="18"/>
    <n v="6287"/>
    <n v="10619.3"/>
    <s v="INR"/>
    <n v="190.92592592592592"/>
    <n v="3.0368367413062817E-2"/>
    <s v=""/>
    <s v="x"/>
    <s v=""/>
    <s v=""/>
    <s v="x"/>
    <m/>
  </r>
  <r>
    <s v="India"/>
    <s v="South Asia"/>
    <s v="P077977"/>
    <s v="C1"/>
    <s v="S3"/>
    <s v="P077977C1S3"/>
    <x v="2"/>
    <s v="2004 / 2012"/>
    <x v="1"/>
    <n v="1.5"/>
    <n v="2.7550394390885189"/>
    <m/>
    <m/>
    <n v="2.3828938269413533"/>
    <n v="0.86492185670115607"/>
    <s v=""/>
    <s v="x"/>
    <s v=""/>
    <s v=""/>
    <s v="x"/>
    <s v="Change of project scope; ; "/>
  </r>
  <r>
    <s v="India"/>
    <s v="South Asia"/>
    <s v="P077977"/>
    <s v="C1"/>
    <s v="S4"/>
    <s v="P077977C1S4"/>
    <x v="0"/>
    <n v="2004"/>
    <x v="1"/>
    <n v="12"/>
    <n v="1466"/>
    <n v="3342.4799999999996"/>
    <s v="INR"/>
    <n v="74.277333333333317"/>
    <n v="5.0666666666666658E-2"/>
    <s v=""/>
    <s v="x"/>
    <s v=""/>
    <s v=""/>
    <s v="x"/>
    <m/>
  </r>
  <r>
    <s v="India"/>
    <s v="South Asia"/>
    <s v="P077977"/>
    <s v="C1"/>
    <s v="S4"/>
    <s v="P077977C1S4"/>
    <x v="1"/>
    <n v="2012"/>
    <x v="1"/>
    <n v="18"/>
    <n v="2227.9"/>
    <n v="6874.3"/>
    <s v="INR"/>
    <n v="123.59403092412802"/>
    <n v="5.5475573824735405E-2"/>
    <s v=""/>
    <s v="x"/>
    <s v=""/>
    <s v=""/>
    <s v="x"/>
    <m/>
  </r>
  <r>
    <s v="India"/>
    <s v="South Asia"/>
    <s v="P077977"/>
    <s v="C1"/>
    <s v="S4"/>
    <s v="P077977C1S4"/>
    <x v="2"/>
    <s v="2004 / 2012"/>
    <x v="1"/>
    <n v="1.5"/>
    <n v="1.5197135061391542"/>
    <m/>
    <m/>
    <n v="1.6639535289921741"/>
    <n v="1.0949126412776726"/>
    <s v=""/>
    <s v="x"/>
    <s v=""/>
    <s v=""/>
    <s v="x"/>
    <s v="Change of project scope; ; "/>
  </r>
  <r>
    <s v="India"/>
    <s v="South Asia"/>
    <s v="P096023"/>
    <s v="C1"/>
    <s v="S1"/>
    <s v="P096023C1S1"/>
    <x v="0"/>
    <n v="2008"/>
    <x v="15"/>
    <s v=""/>
    <n v="68"/>
    <n v="32.200000000000003"/>
    <s v="USD"/>
    <n v="32.200000000000003"/>
    <n v="0.47352941176470592"/>
    <s v=""/>
    <s v=""/>
    <s v=""/>
    <s v=""/>
    <s v=""/>
    <m/>
  </r>
  <r>
    <s v="India"/>
    <s v="South Asia"/>
    <s v="P096023"/>
    <s v="C1"/>
    <s v="S1"/>
    <s v="P096023C1S1"/>
    <x v="1"/>
    <n v="2017"/>
    <x v="15"/>
    <n v="48"/>
    <n v="68"/>
    <n v="1830"/>
    <s v="INR"/>
    <n v="27.50638809559597"/>
    <n v="0.40450570728817603"/>
    <s v=""/>
    <s v=""/>
    <s v=""/>
    <s v=""/>
    <s v=""/>
    <m/>
  </r>
  <r>
    <s v="India"/>
    <s v="South Asia"/>
    <s v="P096023"/>
    <s v="C1"/>
    <s v="S1"/>
    <s v="P096023C1S1"/>
    <x v="2"/>
    <s v="2008 / 2017"/>
    <x v="15"/>
    <s v=""/>
    <n v="1"/>
    <m/>
    <m/>
    <n v="0.85423565514273192"/>
    <n v="0.85423565514273192"/>
    <s v=""/>
    <s v=""/>
    <s v=""/>
    <s v=""/>
    <s v=""/>
    <s v=""/>
  </r>
  <r>
    <s v="India"/>
    <s v="South Asia"/>
    <s v="P096023"/>
    <s v="C1"/>
    <s v="S2"/>
    <s v="P096023C1S2"/>
    <x v="0"/>
    <n v="2008"/>
    <x v="15"/>
    <s v=""/>
    <n v="41"/>
    <n v="22"/>
    <s v="USD"/>
    <n v="22"/>
    <n v="0.53658536585365857"/>
    <s v=""/>
    <s v=""/>
    <s v=""/>
    <s v=""/>
    <s v=""/>
    <m/>
  </r>
  <r>
    <s v="India"/>
    <s v="South Asia"/>
    <s v="P096023"/>
    <s v="C1"/>
    <s v="S2"/>
    <s v="P096023C1S2"/>
    <x v="1"/>
    <n v="2017"/>
    <x v="15"/>
    <n v="36"/>
    <n v="39"/>
    <n v="1529"/>
    <s v="INR"/>
    <n v="22.982113332331277"/>
    <n v="0.58928495723926355"/>
    <s v=""/>
    <s v=""/>
    <s v=""/>
    <s v=""/>
    <s v=""/>
    <m/>
  </r>
  <r>
    <s v="India"/>
    <s v="South Asia"/>
    <s v="P096023"/>
    <s v="C1"/>
    <s v="S2"/>
    <s v="P096023C1S2"/>
    <x v="2"/>
    <s v="2008 / 2017"/>
    <x v="15"/>
    <s v=""/>
    <n v="0.95121951219512191"/>
    <m/>
    <m/>
    <n v="1.0446415151059671"/>
    <n v="1.0982128748549911"/>
    <s v=""/>
    <s v=""/>
    <s v=""/>
    <s v=""/>
    <s v=""/>
    <s v=""/>
  </r>
  <r>
    <s v="Indonesia"/>
    <s v="East Asia and Pacific"/>
    <s v="P040578"/>
    <s v="C1"/>
    <s v="S1"/>
    <s v="P040578C1S1"/>
    <x v="0"/>
    <n v="2001"/>
    <x v="5"/>
    <s v=""/>
    <n v="1000"/>
    <n v="44.78"/>
    <s v="USD"/>
    <n v="44.78"/>
    <n v="4.478E-2"/>
    <s v=""/>
    <s v=""/>
    <s v=""/>
    <s v=""/>
    <s v=""/>
    <m/>
  </r>
  <r>
    <s v="Indonesia"/>
    <s v="East Asia and Pacific"/>
    <s v="P040578"/>
    <s v="C1"/>
    <s v="S1"/>
    <s v="P040578C1S1"/>
    <x v="1"/>
    <n v="2006"/>
    <x v="5"/>
    <s v=""/>
    <n v="1111"/>
    <n v="50.33"/>
    <s v="USD"/>
    <n v="50.33"/>
    <n v="4.5301530153015301E-2"/>
    <s v=""/>
    <s v=""/>
    <s v=""/>
    <s v=""/>
    <s v=""/>
    <m/>
  </r>
  <r>
    <s v="Indonesia"/>
    <s v="East Asia and Pacific"/>
    <s v="P040578"/>
    <s v="C1"/>
    <s v="S1"/>
    <s v="P040578C1S1"/>
    <x v="2"/>
    <s v="2001 / 2006"/>
    <x v="5"/>
    <s v=""/>
    <n v="1.111"/>
    <m/>
    <m/>
    <n v="1.1239392585975883"/>
    <n v="1.0116464973875681"/>
    <s v=""/>
    <s v=""/>
    <s v=""/>
    <s v=""/>
    <s v=""/>
    <s v=""/>
  </r>
  <r>
    <s v="Indonesia"/>
    <s v="East Asia and Pacific"/>
    <s v="P040578"/>
    <s v="C1"/>
    <s v="S2"/>
    <s v="P040578C1S2"/>
    <x v="0"/>
    <n v="2001"/>
    <x v="2"/>
    <s v=""/>
    <n v="1250"/>
    <n v="104.03"/>
    <s v="USD"/>
    <n v="104.03"/>
    <n v="8.3224000000000006E-2"/>
    <s v=""/>
    <s v=""/>
    <s v=""/>
    <s v=""/>
    <s v=""/>
    <m/>
  </r>
  <r>
    <s v="Indonesia"/>
    <s v="East Asia and Pacific"/>
    <s v="P040578"/>
    <s v="C1"/>
    <s v="S2"/>
    <s v="P040578C1S2"/>
    <x v="1"/>
    <n v="2006"/>
    <x v="2"/>
    <s v=""/>
    <n v="1705"/>
    <n v="145.96"/>
    <s v="USD"/>
    <n v="145.96"/>
    <n v="8.5607038123167153E-2"/>
    <s v=""/>
    <s v=""/>
    <s v=""/>
    <s v=""/>
    <s v=""/>
    <m/>
  </r>
  <r>
    <s v="Indonesia"/>
    <s v="East Asia and Pacific"/>
    <s v="P040578"/>
    <s v="C1"/>
    <s v="S2"/>
    <s v="P040578C1S2"/>
    <x v="2"/>
    <s v="2001 / 2006"/>
    <x v="2"/>
    <s v=""/>
    <n v="1.3640000000000001"/>
    <m/>
    <m/>
    <n v="1.4030568105354226"/>
    <n v="1.0286340253192245"/>
    <s v=""/>
    <s v=""/>
    <s v=""/>
    <s v=""/>
    <s v=""/>
    <s v=""/>
  </r>
  <r>
    <s v="Indonesia"/>
    <s v="East Asia and Pacific"/>
    <s v="P074290"/>
    <s v="C1"/>
    <s v=""/>
    <s v="P074290C1"/>
    <x v="0"/>
    <n v="2004"/>
    <x v="2"/>
    <n v="86"/>
    <n v="3119.2"/>
    <n v="158.75"/>
    <s v="USD"/>
    <n v="158.75"/>
    <n v="5.0894460117978969E-2"/>
    <s v="x"/>
    <s v=""/>
    <s v=""/>
    <s v="x"/>
    <s v="x"/>
    <m/>
  </r>
  <r>
    <s v="Indonesia"/>
    <s v="East Asia and Pacific"/>
    <s v="P074290"/>
    <s v="C1"/>
    <s v=""/>
    <s v="P074290C1"/>
    <x v="1"/>
    <n v="2012"/>
    <x v="2"/>
    <n v="86"/>
    <n v="1543"/>
    <n v="184.47"/>
    <s v="USD"/>
    <n v="184.47"/>
    <n v="0.11955281918340895"/>
    <s v="x"/>
    <s v=""/>
    <s v=""/>
    <s v="x"/>
    <s v="x"/>
    <m/>
  </r>
  <r>
    <s v="Indonesia"/>
    <s v="East Asia and Pacific"/>
    <s v="P074290"/>
    <s v="C1"/>
    <s v=""/>
    <s v="P074290C1"/>
    <x v="2"/>
    <s v="2004 / 2012"/>
    <x v="2"/>
    <n v="1"/>
    <n v="0.49467812259553734"/>
    <m/>
    <m/>
    <n v="1.1620157480314961"/>
    <n v="2.349034038405601"/>
    <s v="x"/>
    <s v=""/>
    <s v=""/>
    <s v="x"/>
    <s v="x"/>
    <s v="Macroeconomic conditions; Capacity of counterpart; Change of project scope"/>
  </r>
  <r>
    <s v="Indonesia"/>
    <s v="East Asia and Pacific"/>
    <s v="P074290"/>
    <s v="C1"/>
    <s v="S1"/>
    <s v="P074290C1S1"/>
    <x v="0"/>
    <n v="2004"/>
    <x v="5"/>
    <s v=""/>
    <n v="124.1"/>
    <n v="8.16"/>
    <s v="USD"/>
    <n v="8.16"/>
    <n v="6.5753424657534254E-2"/>
    <s v="x"/>
    <s v=""/>
    <s v=""/>
    <s v="x"/>
    <s v="x"/>
    <m/>
  </r>
  <r>
    <s v="Indonesia"/>
    <s v="East Asia and Pacific"/>
    <s v="P074290"/>
    <s v="C1"/>
    <s v="S1"/>
    <s v="P074290C1S1"/>
    <x v="1"/>
    <n v="2012"/>
    <x v="5"/>
    <s v=""/>
    <n v="47.2"/>
    <n v="6.2"/>
    <s v="USD"/>
    <n v="6.2"/>
    <n v="0.13135593220338981"/>
    <s v="x"/>
    <s v=""/>
    <s v=""/>
    <s v="x"/>
    <s v="x"/>
    <m/>
  </r>
  <r>
    <s v="Indonesia"/>
    <s v="East Asia and Pacific"/>
    <s v="P074290"/>
    <s v="C1"/>
    <s v="S1"/>
    <s v="P074290C1S1"/>
    <x v="2"/>
    <s v="2004 / 2012"/>
    <x v="5"/>
    <s v=""/>
    <n v="0.38033843674456086"/>
    <m/>
    <m/>
    <n v="0.75980392156862742"/>
    <n v="1.9977048022598864"/>
    <s v="x"/>
    <s v=""/>
    <s v=""/>
    <s v="x"/>
    <s v="x"/>
    <s v="Capacity of counterpart; Change of project scope; "/>
  </r>
  <r>
    <s v="Indonesia"/>
    <s v="East Asia and Pacific"/>
    <s v="P074290"/>
    <s v="C1"/>
    <s v="S2"/>
    <s v="P074290C1S2"/>
    <x v="0"/>
    <n v="2004"/>
    <x v="2"/>
    <s v=""/>
    <n v="90.2"/>
    <n v="8.0500000000000007"/>
    <s v="USD"/>
    <n v="8.0500000000000007"/>
    <n v="8.9246119733924614E-2"/>
    <s v=""/>
    <s v="x"/>
    <s v=""/>
    <s v="x"/>
    <s v="x"/>
    <m/>
  </r>
  <r>
    <s v="Indonesia"/>
    <s v="East Asia and Pacific"/>
    <s v="P074290"/>
    <s v="C1"/>
    <s v="S2"/>
    <s v="P074290C1S2"/>
    <x v="1"/>
    <n v="2012"/>
    <x v="2"/>
    <s v=""/>
    <n v="392.2"/>
    <n v="68.69"/>
    <s v="USD"/>
    <n v="68.69"/>
    <n v="0.17514023457419683"/>
    <s v=""/>
    <s v="x"/>
    <s v=""/>
    <s v="x"/>
    <s v="x"/>
    <m/>
  </r>
  <r>
    <s v="Indonesia"/>
    <s v="East Asia and Pacific"/>
    <s v="P074290"/>
    <s v="C1"/>
    <s v="S2"/>
    <s v="P074290C1S2"/>
    <x v="2"/>
    <s v="2004 / 2012"/>
    <x v="2"/>
    <s v=""/>
    <n v="4.3481152993348111"/>
    <m/>
    <m/>
    <n v="8.5329192546583847"/>
    <n v="1.9624408892661558"/>
    <s v=""/>
    <s v="x"/>
    <s v=""/>
    <s v="x"/>
    <s v="x"/>
    <s v="Macroeconomic conditions; Change of project scope; Change of project scope"/>
  </r>
  <r>
    <s v="Indonesia"/>
    <s v="East Asia and Pacific"/>
    <s v="P074290"/>
    <s v="C1"/>
    <s v="S3"/>
    <s v="P074290C1S3"/>
    <x v="0"/>
    <n v="2004"/>
    <x v="5"/>
    <s v=""/>
    <n v="58.4"/>
    <n v="5.37"/>
    <s v="USD"/>
    <n v="5.37"/>
    <n v="9.1952054794520552E-2"/>
    <s v=""/>
    <s v=""/>
    <s v=""/>
    <s v=""/>
    <s v=""/>
    <m/>
  </r>
  <r>
    <s v="Indonesia"/>
    <s v="East Asia and Pacific"/>
    <s v="P074290"/>
    <s v="C1"/>
    <s v="S3"/>
    <s v="P074290C1S3"/>
    <x v="1"/>
    <n v="2012"/>
    <x v="5"/>
    <s v=""/>
    <n v="51.8"/>
    <n v="6.74"/>
    <s v="USD"/>
    <n v="6.74"/>
    <n v="0.13011583011583014"/>
    <s v=""/>
    <s v=""/>
    <s v=""/>
    <s v=""/>
    <s v=""/>
    <m/>
  </r>
  <r>
    <s v="Indonesia"/>
    <s v="East Asia and Pacific"/>
    <s v="P074290"/>
    <s v="C1"/>
    <s v="S3"/>
    <s v="P074290C1S3"/>
    <x v="2"/>
    <s v="2004 / 2012"/>
    <x v="5"/>
    <s v=""/>
    <n v="0.88698630136986301"/>
    <m/>
    <m/>
    <n v="1.2551210428305402"/>
    <n v="1.4150399401796052"/>
    <s v=""/>
    <s v=""/>
    <s v=""/>
    <s v=""/>
    <s v=""/>
    <s v=""/>
  </r>
  <r>
    <s v="Indonesia"/>
    <s v="East Asia and Pacific"/>
    <s v="P074290"/>
    <s v="C1"/>
    <s v="S4"/>
    <s v="P074290C1S4"/>
    <x v="0"/>
    <n v="2004"/>
    <x v="2"/>
    <s v=""/>
    <n v="51"/>
    <n v="7.22"/>
    <s v="USD"/>
    <n v="7.22"/>
    <n v="0.14156862745098039"/>
    <s v="x"/>
    <s v=""/>
    <s v=""/>
    <s v="x"/>
    <s v="x"/>
    <m/>
  </r>
  <r>
    <s v="Indonesia"/>
    <s v="East Asia and Pacific"/>
    <s v="P074290"/>
    <s v="C1"/>
    <s v="S4"/>
    <s v="P074290C1S4"/>
    <x v="1"/>
    <n v="2012"/>
    <x v="2"/>
    <s v=""/>
    <n v="19.5"/>
    <n v="6.25"/>
    <s v="USD"/>
    <n v="6.25"/>
    <n v="0.32051282051282054"/>
    <s v="x"/>
    <s v=""/>
    <s v=""/>
    <s v="x"/>
    <s v="x"/>
    <m/>
  </r>
  <r>
    <s v="Indonesia"/>
    <s v="East Asia and Pacific"/>
    <s v="P074290"/>
    <s v="C1"/>
    <s v="S4"/>
    <s v="P074290C1S4"/>
    <x v="2"/>
    <s v="2004 / 2012"/>
    <x v="2"/>
    <s v=""/>
    <n v="0.38235294117647056"/>
    <m/>
    <m/>
    <n v="0.86565096952908593"/>
    <n v="2.2640102279991479"/>
    <s v="x"/>
    <s v=""/>
    <s v=""/>
    <s v="x"/>
    <s v="x"/>
    <s v="Macroeconomic conditions; Capacity of counterpart; Change of project scope"/>
  </r>
  <r>
    <s v="Indonesia"/>
    <s v="East Asia and Pacific"/>
    <s v="P074290"/>
    <s v="C1"/>
    <s v="S5"/>
    <s v="P074290C1S5"/>
    <x v="0"/>
    <n v="2004"/>
    <x v="5"/>
    <s v=""/>
    <n v="372.9"/>
    <n v="19.309999999999999"/>
    <s v="USD"/>
    <n v="19.309999999999999"/>
    <n v="5.1783319924912842E-2"/>
    <s v="x"/>
    <s v=""/>
    <s v=""/>
    <s v=""/>
    <s v="x"/>
    <m/>
  </r>
  <r>
    <s v="Indonesia"/>
    <s v="East Asia and Pacific"/>
    <s v="P074290"/>
    <s v="C1"/>
    <s v="S5"/>
    <s v="P074290C1S5"/>
    <x v="1"/>
    <n v="2012"/>
    <x v="5"/>
    <s v=""/>
    <n v="120.7"/>
    <n v="9.08"/>
    <s v="USD"/>
    <n v="9.08"/>
    <n v="7.522783761391881E-2"/>
    <s v="x"/>
    <s v=""/>
    <s v=""/>
    <s v=""/>
    <s v="x"/>
    <m/>
  </r>
  <r>
    <s v="Indonesia"/>
    <s v="East Asia and Pacific"/>
    <s v="P074290"/>
    <s v="C1"/>
    <s v="S5"/>
    <s v="P074290C1S5"/>
    <x v="2"/>
    <s v="2004 / 2012"/>
    <x v="5"/>
    <s v=""/>
    <n v="0.32367927058192547"/>
    <m/>
    <m/>
    <n v="0.47022268254790267"/>
    <n v="1.4527426538700323"/>
    <s v="x"/>
    <s v=""/>
    <s v=""/>
    <s v=""/>
    <s v="x"/>
    <s v="Macroeconomic conditions; Capacity of counterpart; Change of project scope"/>
  </r>
  <r>
    <s v="Indonesia"/>
    <s v="East Asia and Pacific"/>
    <s v="P074290"/>
    <s v="C1"/>
    <s v="S6"/>
    <s v="P074290C1S6"/>
    <x v="0"/>
    <n v="2004"/>
    <x v="2"/>
    <s v=""/>
    <n v="438.1"/>
    <n v="41.49"/>
    <s v="USD"/>
    <n v="41.49"/>
    <n v="9.4704405386897964E-2"/>
    <s v="x"/>
    <s v=""/>
    <s v=""/>
    <s v="x"/>
    <s v="x"/>
    <m/>
  </r>
  <r>
    <s v="Indonesia"/>
    <s v="East Asia and Pacific"/>
    <s v="P074290"/>
    <s v="C1"/>
    <s v="S6"/>
    <s v="P074290C1S6"/>
    <x v="1"/>
    <n v="2012"/>
    <x v="2"/>
    <s v=""/>
    <n v="179.2"/>
    <n v="31.94"/>
    <s v="USD"/>
    <n v="31.94"/>
    <n v="0.17823660714285716"/>
    <s v="x"/>
    <s v=""/>
    <s v=""/>
    <s v="x"/>
    <s v="x"/>
    <m/>
  </r>
  <r>
    <s v="Indonesia"/>
    <s v="East Asia and Pacific"/>
    <s v="P074290"/>
    <s v="C1"/>
    <s v="S6"/>
    <s v="P074290C1S6"/>
    <x v="2"/>
    <s v="2004 / 2012"/>
    <x v="2"/>
    <s v=""/>
    <n v="0.40903903218443272"/>
    <m/>
    <m/>
    <n v="0.76982405398891296"/>
    <n v="1.8820307927039222"/>
    <s v="x"/>
    <s v=""/>
    <s v=""/>
    <s v="x"/>
    <s v="x"/>
    <s v="Macroeconomic conditions; Capacity of counterpart; Change of project scope"/>
  </r>
  <r>
    <s v="Indonesia"/>
    <s v="East Asia and Pacific"/>
    <s v="P074290"/>
    <s v="C1"/>
    <s v="S7"/>
    <s v="P074290C1S7"/>
    <x v="0"/>
    <n v="2004"/>
    <x v="5"/>
    <s v=""/>
    <n v="1049.7"/>
    <n v="25.26"/>
    <s v="USD"/>
    <n v="25.26"/>
    <n v="2.4064018290940268E-2"/>
    <s v="x"/>
    <s v=""/>
    <s v=""/>
    <s v="x"/>
    <s v="x"/>
    <m/>
  </r>
  <r>
    <s v="Indonesia"/>
    <s v="East Asia and Pacific"/>
    <s v="P074290"/>
    <s v="C1"/>
    <s v="S7"/>
    <s v="P074290C1S7"/>
    <x v="1"/>
    <n v="2012"/>
    <x v="5"/>
    <s v=""/>
    <n v="273.5"/>
    <n v="14.29"/>
    <s v="USD"/>
    <n v="14.29"/>
    <n v="5.2248628884826322E-2"/>
    <s v="x"/>
    <s v=""/>
    <s v=""/>
    <s v="x"/>
    <s v="x"/>
    <m/>
  </r>
  <r>
    <s v="Indonesia"/>
    <s v="East Asia and Pacific"/>
    <s v="P074290"/>
    <s v="C1"/>
    <s v="S7"/>
    <s v="P074290C1S7"/>
    <x v="2"/>
    <s v="2004 / 2012"/>
    <x v="5"/>
    <s v=""/>
    <n v="0.26055063351433744"/>
    <m/>
    <m/>
    <n v="0.56571654790182102"/>
    <n v="2.1712345898813221"/>
    <s v="x"/>
    <s v=""/>
    <s v=""/>
    <s v="x"/>
    <s v="x"/>
    <s v="Macroeconomic conditions; Capacity of counterpart; Change of project scope"/>
  </r>
  <r>
    <s v="Indonesia"/>
    <s v="East Asia and Pacific"/>
    <s v="P074290"/>
    <s v="C1"/>
    <s v="S8"/>
    <s v="P074290C1S8"/>
    <x v="0"/>
    <n v="2004"/>
    <x v="2"/>
    <s v=""/>
    <n v="934.8"/>
    <n v="43.89"/>
    <s v="USD"/>
    <n v="43.89"/>
    <n v="4.6951219512195122E-2"/>
    <s v="x"/>
    <s v=""/>
    <s v=""/>
    <s v="x"/>
    <s v="x"/>
    <m/>
  </r>
  <r>
    <s v="Indonesia"/>
    <s v="East Asia and Pacific"/>
    <s v="P074290"/>
    <s v="C1"/>
    <s v="S8"/>
    <s v="P074290C1S8"/>
    <x v="1"/>
    <n v="2012"/>
    <x v="2"/>
    <s v=""/>
    <n v="458.9"/>
    <n v="41.28"/>
    <s v="USD"/>
    <n v="41.28"/>
    <n v="8.9954238396164746E-2"/>
    <s v="x"/>
    <s v=""/>
    <s v=""/>
    <s v="x"/>
    <s v="x"/>
    <m/>
  </r>
  <r>
    <s v="Indonesia"/>
    <s v="East Asia and Pacific"/>
    <s v="P074290"/>
    <s v="C1"/>
    <s v="S8"/>
    <s v="P074290C1S8"/>
    <x v="2"/>
    <s v="2004 / 2012"/>
    <x v="2"/>
    <s v=""/>
    <n v="0.49090714591356438"/>
    <m/>
    <m/>
    <n v="0.94053315105946689"/>
    <n v="1.9159084541520803"/>
    <s v="x"/>
    <s v=""/>
    <s v=""/>
    <s v="x"/>
    <s v="x"/>
    <s v="Macroeconomic conditions; Capacity of counterpart; Change of project scope"/>
  </r>
  <r>
    <s v="Indonesia"/>
    <s v="East Asia and Pacific"/>
    <s v="P079906"/>
    <s v="C1"/>
    <s v=""/>
    <s v="P079906C1"/>
    <x v="0"/>
    <n v="2006"/>
    <x v="2"/>
    <s v=""/>
    <n v="401.5"/>
    <n v="262.10000000000002"/>
    <s v="USD"/>
    <n v="262.10000000000002"/>
    <n v="0.65280199252801996"/>
    <s v=""/>
    <s v=""/>
    <s v=""/>
    <s v=""/>
    <s v=""/>
    <m/>
  </r>
  <r>
    <s v="Indonesia"/>
    <s v="East Asia and Pacific"/>
    <s v="P079906"/>
    <s v="C1"/>
    <s v=""/>
    <s v="P079906C1"/>
    <x v="1"/>
    <n v="2014"/>
    <x v="2"/>
    <s v=""/>
    <n v="228.41"/>
    <n v="208.8"/>
    <s v="USD"/>
    <n v="208.8"/>
    <n v="0.91414561534083449"/>
    <s v=""/>
    <s v=""/>
    <s v=""/>
    <s v=""/>
    <s v=""/>
    <m/>
  </r>
  <r>
    <s v="Indonesia"/>
    <s v="East Asia and Pacific"/>
    <s v="P079906"/>
    <s v="C1"/>
    <s v=""/>
    <s v="P079906C1"/>
    <x v="2"/>
    <s v="2006 / 2014"/>
    <x v="2"/>
    <s v=""/>
    <n v="0.56889165628891658"/>
    <m/>
    <m/>
    <n v="0.79664250286150318"/>
    <n v="1.4003413375022702"/>
    <s v=""/>
    <s v=""/>
    <s v=""/>
    <s v=""/>
    <s v=""/>
    <s v=""/>
  </r>
  <r>
    <s v="Indonesia"/>
    <s v="East Asia and Pacific"/>
    <s v="P079906"/>
    <s v="C1"/>
    <s v="S1"/>
    <s v="P079906C1S1"/>
    <x v="0"/>
    <n v="2006"/>
    <x v="0"/>
    <s v=""/>
    <n v="141.80000000000001"/>
    <n v="75.099999999999994"/>
    <s v="USD"/>
    <n v="75.099999999999994"/>
    <n v="0.52961918194640334"/>
    <s v=""/>
    <s v=""/>
    <s v=""/>
    <s v=""/>
    <s v=""/>
    <m/>
  </r>
  <r>
    <s v="Indonesia"/>
    <s v="East Asia and Pacific"/>
    <s v="P079906"/>
    <s v="C1"/>
    <s v="S1"/>
    <s v="P079906C1S1"/>
    <x v="1"/>
    <n v="2014"/>
    <x v="0"/>
    <s v=""/>
    <n v="106.4"/>
    <n v="63.2"/>
    <s v="USD"/>
    <n v="63.2"/>
    <n v="0.59398496240601506"/>
    <s v=""/>
    <s v=""/>
    <s v=""/>
    <s v=""/>
    <s v=""/>
    <m/>
  </r>
  <r>
    <s v="Indonesia"/>
    <s v="East Asia and Pacific"/>
    <s v="P079906"/>
    <s v="C1"/>
    <s v="S1"/>
    <s v="P079906C1S1"/>
    <x v="2"/>
    <s v="2006 / 2014"/>
    <x v="0"/>
    <s v=""/>
    <n v="0.7503526093088857"/>
    <m/>
    <m/>
    <n v="0.84154460719041291"/>
    <n v="1.1215321926654187"/>
    <s v=""/>
    <s v=""/>
    <s v=""/>
    <s v=""/>
    <s v=""/>
    <s v=""/>
  </r>
  <r>
    <s v="Indonesia"/>
    <s v="East Asia and Pacific"/>
    <s v="P079906"/>
    <s v="C1"/>
    <s v="S2"/>
    <s v="P079906C1S2"/>
    <x v="0"/>
    <n v="2006"/>
    <x v="9"/>
    <s v=""/>
    <n v="102.5"/>
    <n v="99.7"/>
    <s v="USD"/>
    <n v="99.7"/>
    <n v="0.97268292682926827"/>
    <s v=""/>
    <s v=""/>
    <s v=""/>
    <s v=""/>
    <s v=""/>
    <m/>
  </r>
  <r>
    <s v="Indonesia"/>
    <s v="East Asia and Pacific"/>
    <s v="P079906"/>
    <s v="C1"/>
    <s v="S2"/>
    <s v="P079906C1S2"/>
    <x v="1"/>
    <n v="2014"/>
    <x v="9"/>
    <s v=""/>
    <n v="84.8"/>
    <n v="94.7"/>
    <s v="USD"/>
    <n v="94.7"/>
    <n v="1.116745283018868"/>
    <s v=""/>
    <s v=""/>
    <s v=""/>
    <s v=""/>
    <s v=""/>
    <m/>
  </r>
  <r>
    <s v="Indonesia"/>
    <s v="East Asia and Pacific"/>
    <s v="P079906"/>
    <s v="C1"/>
    <s v="S2"/>
    <s v="P079906C1S2"/>
    <x v="2"/>
    <s v="2006 / 2014"/>
    <x v="9"/>
    <s v=""/>
    <n v="0.82731707317073166"/>
    <m/>
    <m/>
    <n v="0.94984954864593785"/>
    <n v="1.148108239813781"/>
    <s v=""/>
    <s v=""/>
    <s v=""/>
    <s v=""/>
    <s v=""/>
    <s v=""/>
  </r>
  <r>
    <s v="Indonesia"/>
    <s v="East Asia and Pacific"/>
    <s v="P079906"/>
    <s v="C1"/>
    <s v="S3"/>
    <s v="P079906C1S3"/>
    <x v="0"/>
    <n v="2006"/>
    <x v="7"/>
    <s v=""/>
    <n v="46.8"/>
    <n v="52.23"/>
    <s v="USD"/>
    <n v="52.23"/>
    <n v="1.1160256410256411"/>
    <s v=""/>
    <s v=""/>
    <s v=""/>
    <s v=""/>
    <s v=""/>
    <m/>
  </r>
  <r>
    <s v="Indonesia"/>
    <s v="East Asia and Pacific"/>
    <s v="P079906"/>
    <s v="C1"/>
    <s v="S3"/>
    <s v="P079906C1S3"/>
    <x v="1"/>
    <n v="2014"/>
    <x v="7"/>
    <s v=""/>
    <n v="37.1"/>
    <n v="42.6"/>
    <s v="USD"/>
    <n v="42.6"/>
    <n v="1.1482479784366577"/>
    <s v=""/>
    <s v=""/>
    <s v=""/>
    <s v=""/>
    <s v=""/>
    <m/>
  </r>
  <r>
    <s v="Indonesia"/>
    <s v="East Asia and Pacific"/>
    <s v="P079906"/>
    <s v="C1"/>
    <s v="S3"/>
    <s v="P079906C1S3"/>
    <x v="2"/>
    <s v="2006 / 2014"/>
    <x v="7"/>
    <s v=""/>
    <n v="0.79273504273504281"/>
    <m/>
    <m/>
    <n v="0.81562320505456642"/>
    <n v="1.0288723988289408"/>
    <s v=""/>
    <s v=""/>
    <s v=""/>
    <s v=""/>
    <s v=""/>
    <s v=""/>
  </r>
  <r>
    <s v="Iraq"/>
    <s v="Middle East and North Africa"/>
    <s v="P087735"/>
    <s v="C1"/>
    <s v=""/>
    <s v="P087735C1"/>
    <x v="0"/>
    <n v="2014"/>
    <x v="0"/>
    <s v=""/>
    <n v="450"/>
    <n v="81.53"/>
    <s v="USD"/>
    <n v="81.53"/>
    <n v="0.18117777777777777"/>
    <s v="x"/>
    <s v=""/>
    <s v=""/>
    <s v="x"/>
    <s v="x"/>
    <m/>
  </r>
  <r>
    <s v="Iraq"/>
    <s v="Middle East and North Africa"/>
    <s v="P087735"/>
    <s v="C1"/>
    <s v=""/>
    <s v="P087735C1"/>
    <x v="1"/>
    <n v="2014"/>
    <x v="0"/>
    <s v=""/>
    <n v="193.5"/>
    <n v="66.290000000000006"/>
    <s v="USD"/>
    <n v="66.290000000000006"/>
    <n v="0.34258397932816542"/>
    <s v="x"/>
    <s v=""/>
    <s v=""/>
    <s v="x"/>
    <s v="x"/>
    <m/>
  </r>
  <r>
    <s v="Iraq"/>
    <s v="Middle East and North Africa"/>
    <s v="P087735"/>
    <s v="C1"/>
    <s v=""/>
    <s v="P087735C1"/>
    <x v="2"/>
    <s v="2014 / 2014"/>
    <x v="0"/>
    <s v=""/>
    <n v="0.43"/>
    <m/>
    <m/>
    <n v="0.81307494173923711"/>
    <n v="1.8908719575331099"/>
    <s v="x"/>
    <s v=""/>
    <s v=""/>
    <s v="x"/>
    <s v="x"/>
    <s v="Capacity of Counterpart; Change of project scope; Political events"/>
  </r>
  <r>
    <s v="Iraq"/>
    <s v="Middle East and North Africa"/>
    <s v="P087735"/>
    <s v="C1"/>
    <s v="S1"/>
    <s v="P087735C1S1"/>
    <x v="0"/>
    <n v="2014"/>
    <x v="0"/>
    <n v="9"/>
    <n v="10"/>
    <n v="2.5"/>
    <s v="USD"/>
    <n v="2.5"/>
    <n v="0.25"/>
    <s v=""/>
    <s v=""/>
    <s v=""/>
    <s v=""/>
    <s v=""/>
    <m/>
  </r>
  <r>
    <s v="Iraq"/>
    <s v="Middle East and North Africa"/>
    <s v="P087735"/>
    <s v="C1"/>
    <s v="S1"/>
    <s v="P087735C1S1"/>
    <x v="1"/>
    <n v="2014"/>
    <x v="0"/>
    <n v="12"/>
    <n v="10"/>
    <n v="2.4"/>
    <s v="USD"/>
    <n v="2.4"/>
    <n v="0.24"/>
    <s v=""/>
    <s v=""/>
    <s v=""/>
    <s v=""/>
    <s v=""/>
    <m/>
  </r>
  <r>
    <s v="Iraq"/>
    <s v="Middle East and North Africa"/>
    <s v="P087735"/>
    <s v="C1"/>
    <s v="S1"/>
    <s v="P087735C1S1"/>
    <x v="2"/>
    <s v="2014 / 2014"/>
    <x v="0"/>
    <n v="1.3333333333333333"/>
    <n v="1"/>
    <m/>
    <m/>
    <n v="0.96"/>
    <n v="0.96"/>
    <s v=""/>
    <s v=""/>
    <s v=""/>
    <s v=""/>
    <s v=""/>
    <s v=""/>
  </r>
  <r>
    <s v="Iraq"/>
    <s v="Middle East and North Africa"/>
    <s v="P087735"/>
    <s v="C1"/>
    <s v="S10"/>
    <s v="P087735C1S10"/>
    <x v="0"/>
    <n v="2014"/>
    <x v="2"/>
    <s v=""/>
    <n v="41"/>
    <n v="18.399999999999999"/>
    <s v="USD"/>
    <n v="18.399999999999999"/>
    <n v="0.448780487804878"/>
    <s v=""/>
    <s v=""/>
    <s v=""/>
    <s v=""/>
    <s v=""/>
    <m/>
  </r>
  <r>
    <s v="Iraq"/>
    <s v="Middle East and North Africa"/>
    <s v="P087735"/>
    <s v="C1"/>
    <s v="S10"/>
    <s v="P087735C1S10"/>
    <x v="1"/>
    <n v="2014"/>
    <x v="2"/>
    <n v="32"/>
    <n v="41"/>
    <n v="18.3"/>
    <s v="USD"/>
    <n v="18.3"/>
    <n v="0.44634146341463415"/>
    <s v=""/>
    <s v=""/>
    <s v=""/>
    <s v=""/>
    <s v=""/>
    <m/>
  </r>
  <r>
    <s v="Iraq"/>
    <s v="Middle East and North Africa"/>
    <s v="P087735"/>
    <s v="C1"/>
    <s v="S10"/>
    <s v="P087735C1S10"/>
    <x v="2"/>
    <s v="2014 / 2014"/>
    <x v="2"/>
    <s v=""/>
    <n v="1"/>
    <m/>
    <m/>
    <n v="0.99456521739130443"/>
    <n v="0.99456521739130443"/>
    <s v=""/>
    <s v=""/>
    <s v=""/>
    <s v=""/>
    <s v=""/>
    <s v=""/>
  </r>
  <r>
    <s v="Iraq"/>
    <s v="Middle East and North Africa"/>
    <s v="P087735"/>
    <s v="C1"/>
    <s v="S11"/>
    <s v="P087735C1S11"/>
    <x v="0"/>
    <n v="2014"/>
    <x v="0"/>
    <s v=""/>
    <n v="14.1"/>
    <n v="2.2999999999999998"/>
    <s v="USD"/>
    <n v="2.2999999999999998"/>
    <n v="0.16312056737588651"/>
    <s v=""/>
    <s v=""/>
    <s v=""/>
    <s v=""/>
    <s v=""/>
    <m/>
  </r>
  <r>
    <s v="Iraq"/>
    <s v="Middle East and North Africa"/>
    <s v="P087735"/>
    <s v="C1"/>
    <s v="S11"/>
    <s v="P087735C1S11"/>
    <x v="1"/>
    <n v="2014"/>
    <x v="0"/>
    <n v="6"/>
    <n v="14.1"/>
    <n v="2"/>
    <s v="USD"/>
    <n v="2"/>
    <n v="0.14184397163120568"/>
    <s v=""/>
    <s v=""/>
    <s v=""/>
    <s v=""/>
    <s v=""/>
    <m/>
  </r>
  <r>
    <s v="Iraq"/>
    <s v="Middle East and North Africa"/>
    <s v="P087735"/>
    <s v="C1"/>
    <s v="S11"/>
    <s v="P087735C1S11"/>
    <x v="2"/>
    <s v="2014 / 2014"/>
    <x v="0"/>
    <s v=""/>
    <n v="1"/>
    <m/>
    <m/>
    <n v="0.86956521739130443"/>
    <n v="0.86956521739130443"/>
    <s v=""/>
    <s v=""/>
    <s v=""/>
    <s v=""/>
    <s v=""/>
    <s v=""/>
  </r>
  <r>
    <s v="Iraq"/>
    <s v="Middle East and North Africa"/>
    <s v="P087735"/>
    <s v="C1"/>
    <s v="S12"/>
    <s v="P087735C1S12"/>
    <x v="0"/>
    <n v="2014"/>
    <x v="0"/>
    <s v=""/>
    <n v="12.7"/>
    <n v="2"/>
    <s v="USD"/>
    <n v="2"/>
    <n v="0.15748031496062992"/>
    <s v=""/>
    <s v=""/>
    <s v=""/>
    <s v=""/>
    <s v=""/>
    <m/>
  </r>
  <r>
    <s v="Iraq"/>
    <s v="Middle East and North Africa"/>
    <s v="P087735"/>
    <s v="C1"/>
    <s v="S12"/>
    <s v="P087735C1S12"/>
    <x v="1"/>
    <n v="2014"/>
    <x v="0"/>
    <n v="21"/>
    <n v="12.7"/>
    <n v="1.9"/>
    <s v="USD"/>
    <n v="1.9"/>
    <n v="0.14960629921259844"/>
    <s v=""/>
    <s v=""/>
    <s v=""/>
    <s v=""/>
    <s v=""/>
    <m/>
  </r>
  <r>
    <s v="Iraq"/>
    <s v="Middle East and North Africa"/>
    <s v="P087735"/>
    <s v="C1"/>
    <s v="S12"/>
    <s v="P087735C1S12"/>
    <x v="2"/>
    <s v="2014 / 2014"/>
    <x v="0"/>
    <s v=""/>
    <n v="1"/>
    <m/>
    <m/>
    <n v="0.95"/>
    <n v="0.95000000000000007"/>
    <s v=""/>
    <s v=""/>
    <s v=""/>
    <s v=""/>
    <s v=""/>
    <s v=""/>
  </r>
  <r>
    <s v="Iraq"/>
    <s v="Middle East and North Africa"/>
    <s v="P087735"/>
    <s v="C1"/>
    <s v="S13"/>
    <s v="P087735C1S13"/>
    <x v="0"/>
    <n v="2014"/>
    <x v="0"/>
    <n v="15"/>
    <n v="25"/>
    <n v="5.9"/>
    <s v="USD"/>
    <n v="5.9"/>
    <n v="0.23600000000000002"/>
    <s v=""/>
    <s v=""/>
    <s v=""/>
    <s v=""/>
    <s v=""/>
    <m/>
  </r>
  <r>
    <s v="Iraq"/>
    <s v="Middle East and North Africa"/>
    <s v="P087735"/>
    <s v="C1"/>
    <s v="S13"/>
    <s v="P087735C1S13"/>
    <x v="1"/>
    <n v="2014"/>
    <x v="0"/>
    <n v="21"/>
    <n v="25"/>
    <n v="6.7"/>
    <s v="USD"/>
    <n v="6.7"/>
    <n v="0.26800000000000002"/>
    <s v=""/>
    <s v=""/>
    <s v=""/>
    <s v=""/>
    <s v=""/>
    <m/>
  </r>
  <r>
    <s v="Iraq"/>
    <s v="Middle East and North Africa"/>
    <s v="P087735"/>
    <s v="C1"/>
    <s v="S13"/>
    <s v="P087735C1S13"/>
    <x v="2"/>
    <s v="2014 / 2014"/>
    <x v="0"/>
    <n v="1.4"/>
    <n v="1"/>
    <m/>
    <m/>
    <n v="1.1355932203389829"/>
    <n v="1.1355932203389831"/>
    <s v=""/>
    <s v=""/>
    <s v=""/>
    <s v=""/>
    <s v=""/>
    <s v=""/>
  </r>
  <r>
    <s v="Iraq"/>
    <s v="Middle East and North Africa"/>
    <s v="P087735"/>
    <s v="C1"/>
    <s v="S2"/>
    <s v="P087735C1S2"/>
    <x v="0"/>
    <n v="2014"/>
    <x v="0"/>
    <n v="12"/>
    <n v="11"/>
    <n v="2.1"/>
    <s v="USD"/>
    <n v="2.1"/>
    <n v="0.19090909090909092"/>
    <s v=""/>
    <s v=""/>
    <s v=""/>
    <s v=""/>
    <s v=""/>
    <m/>
  </r>
  <r>
    <s v="Iraq"/>
    <s v="Middle East and North Africa"/>
    <s v="P087735"/>
    <s v="C1"/>
    <s v="S2"/>
    <s v="P087735C1S2"/>
    <x v="1"/>
    <n v="2014"/>
    <x v="0"/>
    <n v="13"/>
    <n v="11"/>
    <n v="2.1"/>
    <s v="USD"/>
    <n v="2.1"/>
    <n v="0.19090909090909092"/>
    <s v=""/>
    <s v=""/>
    <s v=""/>
    <s v=""/>
    <s v=""/>
    <m/>
  </r>
  <r>
    <s v="Iraq"/>
    <s v="Middle East and North Africa"/>
    <s v="P087735"/>
    <s v="C1"/>
    <s v="S2"/>
    <s v="P087735C1S2"/>
    <x v="2"/>
    <s v="2014 / 2014"/>
    <x v="0"/>
    <n v="1.0833333333333333"/>
    <n v="1"/>
    <m/>
    <m/>
    <n v="1"/>
    <n v="1"/>
    <s v=""/>
    <s v=""/>
    <s v=""/>
    <s v=""/>
    <s v=""/>
    <s v=""/>
  </r>
  <r>
    <s v="Iraq"/>
    <s v="Middle East and North Africa"/>
    <s v="P087735"/>
    <s v="C1"/>
    <s v="S3"/>
    <s v="P087735C1S3"/>
    <x v="0"/>
    <n v="2014"/>
    <x v="0"/>
    <n v="13"/>
    <n v="19"/>
    <n v="3.1"/>
    <s v="USD"/>
    <n v="3.1"/>
    <n v="0.16315789473684211"/>
    <s v=""/>
    <s v=""/>
    <s v=""/>
    <s v=""/>
    <s v=""/>
    <m/>
  </r>
  <r>
    <s v="Iraq"/>
    <s v="Middle East and North Africa"/>
    <s v="P087735"/>
    <s v="C1"/>
    <s v="S3"/>
    <s v="P087735C1S3"/>
    <x v="1"/>
    <n v="2014"/>
    <x v="0"/>
    <n v="17"/>
    <n v="19"/>
    <n v="3.3"/>
    <s v="USD"/>
    <n v="3.3"/>
    <n v="0.17368421052631577"/>
    <s v=""/>
    <s v=""/>
    <s v=""/>
    <s v=""/>
    <s v=""/>
    <m/>
  </r>
  <r>
    <s v="Iraq"/>
    <s v="Middle East and North Africa"/>
    <s v="P087735"/>
    <s v="C1"/>
    <s v="S3"/>
    <s v="P087735C1S3"/>
    <x v="2"/>
    <s v="2014 / 2014"/>
    <x v="0"/>
    <n v="1.3076923076923077"/>
    <n v="1"/>
    <m/>
    <m/>
    <n v="1.064516129032258"/>
    <n v="1.064516129032258"/>
    <s v=""/>
    <s v=""/>
    <s v=""/>
    <s v=""/>
    <s v=""/>
    <s v=""/>
  </r>
  <r>
    <s v="Iraq"/>
    <s v="Middle East and North Africa"/>
    <s v="P087735"/>
    <s v="C1"/>
    <s v="S4"/>
    <s v="P087735C1S4"/>
    <x v="0"/>
    <n v="2014"/>
    <x v="0"/>
    <n v="6"/>
    <n v="10"/>
    <n v="1.3"/>
    <s v="USD"/>
    <n v="1.3"/>
    <n v="0.13"/>
    <s v=""/>
    <s v=""/>
    <s v=""/>
    <s v=""/>
    <s v=""/>
    <m/>
  </r>
  <r>
    <s v="Iraq"/>
    <s v="Middle East and North Africa"/>
    <s v="P087735"/>
    <s v="C1"/>
    <s v="S4"/>
    <s v="P087735C1S4"/>
    <x v="1"/>
    <n v="2014"/>
    <x v="0"/>
    <n v="6"/>
    <n v="10"/>
    <n v="1.2"/>
    <s v="USD"/>
    <n v="1.2"/>
    <n v="0.12"/>
    <s v=""/>
    <s v=""/>
    <s v=""/>
    <s v=""/>
    <s v=""/>
    <m/>
  </r>
  <r>
    <s v="Iraq"/>
    <s v="Middle East and North Africa"/>
    <s v="P087735"/>
    <s v="C1"/>
    <s v="S4"/>
    <s v="P087735C1S4"/>
    <x v="2"/>
    <s v="2014 / 2014"/>
    <x v="0"/>
    <n v="1"/>
    <n v="1"/>
    <m/>
    <m/>
    <n v="0.92307692307692302"/>
    <n v="0.92307692307692302"/>
    <s v=""/>
    <s v=""/>
    <s v=""/>
    <s v=""/>
    <s v=""/>
    <s v=""/>
  </r>
  <r>
    <s v="Iraq"/>
    <s v="Middle East and North Africa"/>
    <s v="P087735"/>
    <s v="C1"/>
    <s v="S5"/>
    <s v="P087735C1S5"/>
    <x v="0"/>
    <n v="2014"/>
    <x v="0"/>
    <n v="12"/>
    <n v="10"/>
    <n v="2.1"/>
    <s v="USD"/>
    <n v="2.1"/>
    <n v="0.21000000000000002"/>
    <s v=""/>
    <s v=""/>
    <s v=""/>
    <s v=""/>
    <s v=""/>
    <m/>
  </r>
  <r>
    <s v="Iraq"/>
    <s v="Middle East and North Africa"/>
    <s v="P087735"/>
    <s v="C1"/>
    <s v="S5"/>
    <s v="P087735C1S5"/>
    <x v="1"/>
    <n v="2014"/>
    <x v="0"/>
    <n v="12"/>
    <n v="10"/>
    <n v="2.1"/>
    <s v="USD"/>
    <n v="2.1"/>
    <n v="0.21000000000000002"/>
    <s v=""/>
    <s v=""/>
    <s v=""/>
    <s v=""/>
    <s v=""/>
    <m/>
  </r>
  <r>
    <s v="Iraq"/>
    <s v="Middle East and North Africa"/>
    <s v="P087735"/>
    <s v="C1"/>
    <s v="S5"/>
    <s v="P087735C1S5"/>
    <x v="2"/>
    <s v="2014 / 2014"/>
    <x v="0"/>
    <n v="1"/>
    <n v="1"/>
    <m/>
    <m/>
    <n v="1"/>
    <n v="1"/>
    <s v=""/>
    <s v=""/>
    <s v=""/>
    <s v=""/>
    <s v=""/>
    <s v=""/>
  </r>
  <r>
    <s v="Iraq"/>
    <s v="Middle East and North Africa"/>
    <s v="P087735"/>
    <s v="C1"/>
    <s v="S6"/>
    <s v="P087735C1S6"/>
    <x v="0"/>
    <n v="2014"/>
    <x v="0"/>
    <s v=""/>
    <n v="15.5"/>
    <n v="2.8"/>
    <s v="USD"/>
    <n v="2.8"/>
    <n v="0.18064516129032257"/>
    <s v=""/>
    <s v=""/>
    <s v=""/>
    <s v=""/>
    <s v=""/>
    <m/>
  </r>
  <r>
    <s v="Iraq"/>
    <s v="Middle East and North Africa"/>
    <s v="P087735"/>
    <s v="C1"/>
    <s v="S6"/>
    <s v="P087735C1S6"/>
    <x v="1"/>
    <n v="2014"/>
    <x v="0"/>
    <n v="11"/>
    <n v="15.5"/>
    <n v="2.5"/>
    <s v="USD"/>
    <n v="2.5"/>
    <n v="0.16129032258064516"/>
    <s v=""/>
    <s v=""/>
    <s v=""/>
    <s v=""/>
    <s v=""/>
    <m/>
  </r>
  <r>
    <s v="Iraq"/>
    <s v="Middle East and North Africa"/>
    <s v="P087735"/>
    <s v="C1"/>
    <s v="S6"/>
    <s v="P087735C1S6"/>
    <x v="2"/>
    <s v="2014 / 2014"/>
    <x v="0"/>
    <s v=""/>
    <n v="1"/>
    <m/>
    <m/>
    <n v="0.8928571428571429"/>
    <n v="0.8928571428571429"/>
    <s v=""/>
    <s v=""/>
    <s v=""/>
    <s v=""/>
    <s v=""/>
    <s v=""/>
  </r>
  <r>
    <s v="Iraq"/>
    <s v="Middle East and North Africa"/>
    <s v="P087735"/>
    <s v="C1"/>
    <s v="S7"/>
    <s v="P087735C1S7"/>
    <x v="0"/>
    <n v="2014"/>
    <x v="0"/>
    <n v="10"/>
    <n v="21.2"/>
    <n v="3.5"/>
    <s v="USD"/>
    <n v="3.5"/>
    <n v="0.16509433962264153"/>
    <s v=""/>
    <s v=""/>
    <s v=""/>
    <s v=""/>
    <s v=""/>
    <m/>
  </r>
  <r>
    <s v="Iraq"/>
    <s v="Middle East and North Africa"/>
    <s v="P087735"/>
    <s v="C1"/>
    <s v="S7"/>
    <s v="P087735C1S7"/>
    <x v="1"/>
    <n v="2014"/>
    <x v="0"/>
    <n v="9"/>
    <n v="21.2"/>
    <n v="3.4"/>
    <s v="USD"/>
    <n v="3.4"/>
    <n v="0.16037735849056603"/>
    <s v=""/>
    <s v=""/>
    <s v=""/>
    <s v=""/>
    <s v=""/>
    <m/>
  </r>
  <r>
    <s v="Iraq"/>
    <s v="Middle East and North Africa"/>
    <s v="P087735"/>
    <s v="C1"/>
    <s v="S7"/>
    <s v="P087735C1S7"/>
    <x v="2"/>
    <s v="2014 / 2014"/>
    <x v="0"/>
    <n v="0.9"/>
    <n v="1"/>
    <m/>
    <m/>
    <n v="0.97142857142857142"/>
    <n v="0.97142857142857131"/>
    <s v=""/>
    <s v=""/>
    <s v=""/>
    <s v=""/>
    <s v=""/>
    <s v=""/>
  </r>
  <r>
    <s v="Iraq"/>
    <s v="Middle East and North Africa"/>
    <s v="P087735"/>
    <s v="C1"/>
    <s v="S8"/>
    <s v="P087735C1S8"/>
    <x v="0"/>
    <n v="2014"/>
    <x v="0"/>
    <s v=""/>
    <n v="20"/>
    <n v="4.2"/>
    <s v="USD"/>
    <n v="4.2"/>
    <n v="0.21000000000000002"/>
    <s v=""/>
    <s v=""/>
    <s v=""/>
    <s v=""/>
    <s v=""/>
    <m/>
  </r>
  <r>
    <s v="Iraq"/>
    <s v="Middle East and North Africa"/>
    <s v="P087735"/>
    <s v="C1"/>
    <s v="S8"/>
    <s v="P087735C1S8"/>
    <x v="1"/>
    <n v="2014"/>
    <x v="0"/>
    <n v="33"/>
    <n v="20"/>
    <n v="4.8"/>
    <s v="USD"/>
    <n v="4.8"/>
    <n v="0.24"/>
    <s v=""/>
    <s v=""/>
    <s v=""/>
    <s v=""/>
    <s v=""/>
    <m/>
  </r>
  <r>
    <s v="Iraq"/>
    <s v="Middle East and North Africa"/>
    <s v="P087735"/>
    <s v="C1"/>
    <s v="S8"/>
    <s v="P087735C1S8"/>
    <x v="2"/>
    <s v="2014 / 2014"/>
    <x v="0"/>
    <s v=""/>
    <n v="1"/>
    <m/>
    <m/>
    <n v="1.1428571428571428"/>
    <n v="1.1428571428571428"/>
    <s v=""/>
    <s v=""/>
    <s v=""/>
    <s v=""/>
    <s v=""/>
    <s v=""/>
  </r>
  <r>
    <s v="Iraq"/>
    <s v="Middle East and North Africa"/>
    <s v="P087735"/>
    <s v="C1"/>
    <s v="S9"/>
    <s v="P087735C1S9"/>
    <x v="0"/>
    <n v="2014"/>
    <x v="2"/>
    <s v=""/>
    <n v="41"/>
    <n v="18.399999999999999"/>
    <s v="USD"/>
    <n v="18.399999999999999"/>
    <n v="0.448780487804878"/>
    <s v=""/>
    <s v=""/>
    <s v=""/>
    <s v=""/>
    <s v=""/>
    <m/>
  </r>
  <r>
    <s v="Iraq"/>
    <s v="Middle East and North Africa"/>
    <s v="P087735"/>
    <s v="C1"/>
    <s v="S9"/>
    <s v="P087735C1S9"/>
    <x v="1"/>
    <n v="2014"/>
    <x v="2"/>
    <n v="32"/>
    <n v="41"/>
    <n v="18.3"/>
    <s v="USD"/>
    <n v="18.3"/>
    <n v="0.44634146341463415"/>
    <s v=""/>
    <s v=""/>
    <s v=""/>
    <s v=""/>
    <s v=""/>
    <m/>
  </r>
  <r>
    <s v="Iraq"/>
    <s v="Middle East and North Africa"/>
    <s v="P087735"/>
    <s v="C1"/>
    <s v="S9"/>
    <s v="P087735C1S9"/>
    <x v="2"/>
    <s v="2014 / 2014"/>
    <x v="2"/>
    <s v=""/>
    <n v="1"/>
    <m/>
    <m/>
    <n v="0.99456521739130443"/>
    <n v="0.99456521739130443"/>
    <s v=""/>
    <s v=""/>
    <s v=""/>
    <s v=""/>
    <s v=""/>
    <s v=""/>
  </r>
  <r>
    <s v="Iraq"/>
    <s v="Middle East and North Africa"/>
    <s v="P087735"/>
    <s v="C2"/>
    <s v=""/>
    <s v="P087735C2"/>
    <x v="0"/>
    <n v="2014"/>
    <x v="9"/>
    <s v=""/>
    <n v="113.5"/>
    <n v="40.79"/>
    <s v="USD"/>
    <n v="40.79"/>
    <n v="0.35938325991189429"/>
    <s v=""/>
    <s v=""/>
    <s v=""/>
    <s v=""/>
    <s v=""/>
    <m/>
  </r>
  <r>
    <s v="Iraq"/>
    <s v="Middle East and North Africa"/>
    <s v="P087735"/>
    <s v="C2"/>
    <s v=""/>
    <s v="P087735C2"/>
    <x v="1"/>
    <n v="2014"/>
    <x v="9"/>
    <s v=""/>
    <n v="120.1"/>
    <n v="47.87"/>
    <s v="USD"/>
    <n v="47.87"/>
    <n v="0.39858451290591174"/>
    <s v=""/>
    <s v=""/>
    <s v=""/>
    <s v=""/>
    <s v=""/>
    <m/>
  </r>
  <r>
    <s v="Iraq"/>
    <s v="Middle East and North Africa"/>
    <s v="P087735"/>
    <s v="C2"/>
    <s v=""/>
    <s v="P087735C2"/>
    <x v="2"/>
    <s v="2014 / 2014"/>
    <x v="9"/>
    <s v=""/>
    <n v="1.0581497797356827"/>
    <m/>
    <m/>
    <n v="1.173571953910272"/>
    <n v="1.1090792403731546"/>
    <s v=""/>
    <s v=""/>
    <s v=""/>
    <s v=""/>
    <s v=""/>
    <s v=""/>
  </r>
  <r>
    <s v="Iraq"/>
    <s v="Middle East and North Africa"/>
    <s v="P087735"/>
    <s v="C2"/>
    <s v="S1"/>
    <s v="P087735C2S1"/>
    <x v="0"/>
    <n v="2014"/>
    <x v="9"/>
    <s v=""/>
    <n v="38.5"/>
    <n v="34.9"/>
    <s v="USD"/>
    <n v="34.9"/>
    <n v="0.90649350649350646"/>
    <s v=""/>
    <s v=""/>
    <s v=""/>
    <s v=""/>
    <s v=""/>
    <m/>
  </r>
  <r>
    <s v="Iraq"/>
    <s v="Middle East and North Africa"/>
    <s v="P087735"/>
    <s v="C2"/>
    <s v="S1"/>
    <s v="P087735C2S1"/>
    <x v="1"/>
    <n v="2014"/>
    <x v="9"/>
    <n v="26"/>
    <n v="38.5"/>
    <n v="40.700000000000003"/>
    <s v="USD"/>
    <n v="40.700000000000003"/>
    <n v="1.0571428571428572"/>
    <s v=""/>
    <s v=""/>
    <s v=""/>
    <s v=""/>
    <s v=""/>
    <m/>
  </r>
  <r>
    <s v="Iraq"/>
    <s v="Middle East and North Africa"/>
    <s v="P087735"/>
    <s v="C2"/>
    <s v="S1"/>
    <s v="P087735C2S1"/>
    <x v="2"/>
    <s v="2014 / 2014"/>
    <x v="9"/>
    <s v=""/>
    <n v="1"/>
    <m/>
    <m/>
    <n v="1.1661891117478511"/>
    <n v="1.1661891117478511"/>
    <s v=""/>
    <s v=""/>
    <s v=""/>
    <s v=""/>
    <s v=""/>
    <s v=""/>
  </r>
  <r>
    <s v="Iraq"/>
    <s v="Middle East and North Africa"/>
    <s v="P087735"/>
    <s v="C2"/>
    <s v="S2"/>
    <s v="P087735C2S2"/>
    <x v="0"/>
    <n v="2014"/>
    <x v="2"/>
    <s v=""/>
    <n v="17.100000000000001"/>
    <n v="2"/>
    <s v="USD"/>
    <n v="2"/>
    <n v="0.11695906432748537"/>
    <s v=""/>
    <s v=""/>
    <s v=""/>
    <s v=""/>
    <s v=""/>
    <m/>
  </r>
  <r>
    <s v="Iraq"/>
    <s v="Middle East and North Africa"/>
    <s v="P087735"/>
    <s v="C2"/>
    <s v="S2"/>
    <s v="P087735C2S2"/>
    <x v="1"/>
    <n v="2014"/>
    <x v="2"/>
    <n v="12"/>
    <n v="17.100000000000001"/>
    <n v="2"/>
    <s v="USD"/>
    <n v="2"/>
    <n v="0.11695906432748537"/>
    <s v=""/>
    <s v=""/>
    <s v=""/>
    <s v=""/>
    <s v=""/>
    <m/>
  </r>
  <r>
    <s v="Iraq"/>
    <s v="Middle East and North Africa"/>
    <s v="P087735"/>
    <s v="C2"/>
    <s v="S2"/>
    <s v="P087735C2S2"/>
    <x v="2"/>
    <s v="2014 / 2014"/>
    <x v="2"/>
    <s v=""/>
    <n v="1"/>
    <m/>
    <m/>
    <n v="1"/>
    <n v="1"/>
    <s v=""/>
    <s v=""/>
    <s v=""/>
    <s v=""/>
    <s v=""/>
    <s v=""/>
  </r>
  <r>
    <s v="Iraq"/>
    <s v="Middle East and North Africa"/>
    <s v="P087735"/>
    <s v="C2"/>
    <s v="S3"/>
    <s v="P087735C2S3"/>
    <x v="0"/>
    <n v="2014"/>
    <x v="6"/>
    <s v=""/>
    <n v="27.1"/>
    <n v="1.8"/>
    <s v="USD"/>
    <n v="1.8"/>
    <n v="6.6420664206642069E-2"/>
    <s v=""/>
    <s v=""/>
    <s v=""/>
    <s v=""/>
    <s v=""/>
    <m/>
  </r>
  <r>
    <s v="Iraq"/>
    <s v="Middle East and North Africa"/>
    <s v="P087735"/>
    <s v="C2"/>
    <s v="S3"/>
    <s v="P087735C2S3"/>
    <x v="1"/>
    <n v="2014"/>
    <x v="6"/>
    <n v="12"/>
    <n v="27.1"/>
    <n v="1.8"/>
    <s v="USD"/>
    <n v="1.8"/>
    <n v="6.6420664206642069E-2"/>
    <s v=""/>
    <s v=""/>
    <s v=""/>
    <s v=""/>
    <s v=""/>
    <m/>
  </r>
  <r>
    <s v="Iraq"/>
    <s v="Middle East and North Africa"/>
    <s v="P087735"/>
    <s v="C2"/>
    <s v="S3"/>
    <s v="P087735C2S3"/>
    <x v="2"/>
    <s v="2014 / 2014"/>
    <x v="6"/>
    <s v=""/>
    <n v="1"/>
    <m/>
    <m/>
    <n v="1"/>
    <n v="1"/>
    <s v=""/>
    <s v=""/>
    <s v=""/>
    <s v=""/>
    <s v=""/>
    <s v=""/>
  </r>
  <r>
    <s v="Iraq"/>
    <s v="Middle East and North Africa"/>
    <s v="P087735"/>
    <s v="C2"/>
    <s v="S4"/>
    <s v="P087735C2S4"/>
    <x v="0"/>
    <n v="2014"/>
    <x v="6"/>
    <s v=""/>
    <n v="19.399999999999999"/>
    <n v="2.2999999999999998"/>
    <s v="USD"/>
    <n v="2.2999999999999998"/>
    <n v="0.11855670103092783"/>
    <s v=""/>
    <s v=""/>
    <s v=""/>
    <s v=""/>
    <s v=""/>
    <m/>
  </r>
  <r>
    <s v="Iraq"/>
    <s v="Middle East and North Africa"/>
    <s v="P087735"/>
    <s v="C2"/>
    <s v="S4"/>
    <s v="P087735C2S4"/>
    <x v="1"/>
    <n v="2014"/>
    <x v="6"/>
    <n v="12"/>
    <n v="19.399999999999999"/>
    <n v="2.2000000000000002"/>
    <s v="USD"/>
    <n v="2.2000000000000002"/>
    <n v="0.11340206185567012"/>
    <s v=""/>
    <s v=""/>
    <s v=""/>
    <s v=""/>
    <s v=""/>
    <m/>
  </r>
  <r>
    <s v="Iraq"/>
    <s v="Middle East and North Africa"/>
    <s v="P087735"/>
    <s v="C2"/>
    <s v="S4"/>
    <s v="P087735C2S4"/>
    <x v="2"/>
    <s v="2014 / 2014"/>
    <x v="6"/>
    <s v=""/>
    <n v="1"/>
    <m/>
    <m/>
    <n v="0.95652173913043492"/>
    <n v="0.95652173913043492"/>
    <s v=""/>
    <s v=""/>
    <s v=""/>
    <s v=""/>
    <s v=""/>
    <s v=""/>
  </r>
  <r>
    <s v="Jordan"/>
    <s v="Middle East and North Africa"/>
    <s v="P081505"/>
    <s v="C1"/>
    <s v="S1"/>
    <s v="P081505C1S1"/>
    <x v="0"/>
    <n v="2004"/>
    <x v="8"/>
    <n v="46"/>
    <n v="18.5"/>
    <n v="43.6"/>
    <s v="USD"/>
    <n v="43.6"/>
    <n v="2.3567567567567567"/>
    <s v=""/>
    <s v=""/>
    <s v=""/>
    <s v="x"/>
    <s v="x"/>
    <m/>
  </r>
  <r>
    <s v="Jordan"/>
    <s v="Middle East and North Africa"/>
    <s v="P081505"/>
    <s v="C1"/>
    <s v="S1"/>
    <s v="P081505C1S1"/>
    <x v="1"/>
    <n v="2013"/>
    <x v="8"/>
    <s v=""/>
    <n v="18.5"/>
    <n v="116.1"/>
    <s v="USD"/>
    <n v="116.1"/>
    <n v="6.2756756756756751"/>
    <s v=""/>
    <s v=""/>
    <s v=""/>
    <s v="x"/>
    <s v="x"/>
    <m/>
  </r>
  <r>
    <s v="Jordan"/>
    <s v="Middle East and North Africa"/>
    <s v="P081505"/>
    <s v="C1"/>
    <s v="S1"/>
    <s v="P081505C1S1"/>
    <x v="2"/>
    <s v="2004 / 2013"/>
    <x v="8"/>
    <s v=""/>
    <n v="1"/>
    <m/>
    <m/>
    <n v="2.6628440366972477"/>
    <n v="2.6628440366972477"/>
    <s v=""/>
    <s v=""/>
    <s v=""/>
    <s v="x"/>
    <s v="x"/>
    <s v="Political events; Competition; Quality of estimates"/>
  </r>
  <r>
    <s v="Jordan"/>
    <s v="Middle East and North Africa"/>
    <s v="P081505"/>
    <s v="C1"/>
    <s v="S2"/>
    <s v="P081505C1S2"/>
    <x v="0"/>
    <n v="2004"/>
    <x v="8"/>
    <n v="39"/>
    <n v="14.5"/>
    <n v="34.159999999999997"/>
    <s v="USD"/>
    <n v="34.159999999999997"/>
    <n v="2.355862068965517"/>
    <s v=""/>
    <s v=""/>
    <s v=""/>
    <s v="x"/>
    <s v="x"/>
    <m/>
  </r>
  <r>
    <s v="Jordan"/>
    <s v="Middle East and North Africa"/>
    <s v="P081505"/>
    <s v="C1"/>
    <s v="S2"/>
    <s v="P081505C1S2"/>
    <x v="1"/>
    <n v="2013"/>
    <x v="8"/>
    <s v=""/>
    <n v="14.5"/>
    <n v="77"/>
    <s v="USD"/>
    <n v="77"/>
    <n v="5.3103448275862073"/>
    <s v=""/>
    <s v=""/>
    <s v=""/>
    <s v="x"/>
    <s v="x"/>
    <m/>
  </r>
  <r>
    <s v="Jordan"/>
    <s v="Middle East and North Africa"/>
    <s v="P081505"/>
    <s v="C1"/>
    <s v="S2"/>
    <s v="P081505C1S2"/>
    <x v="2"/>
    <s v="2004 / 2013"/>
    <x v="8"/>
    <s v=""/>
    <n v="1"/>
    <m/>
    <m/>
    <n v="2.2540983606557381"/>
    <n v="2.2540983606557381"/>
    <s v=""/>
    <s v=""/>
    <s v=""/>
    <s v="x"/>
    <s v="x"/>
    <s v="Political events; Quality of estimates; "/>
  </r>
  <r>
    <s v="Jordan"/>
    <s v="Middle East and North Africa"/>
    <s v="P081505"/>
    <s v="C1"/>
    <s v="S3"/>
    <s v="P081505C1S3"/>
    <x v="0"/>
    <n v="2004"/>
    <x v="8"/>
    <n v="38"/>
    <n v="7"/>
    <n v="29.16"/>
    <s v="USD"/>
    <n v="29.16"/>
    <n v="4.1657142857142855"/>
    <s v=""/>
    <s v=""/>
    <s v=""/>
    <s v="x"/>
    <s v="x"/>
    <m/>
  </r>
  <r>
    <s v="Jordan"/>
    <s v="Middle East and North Africa"/>
    <s v="P081505"/>
    <s v="C1"/>
    <s v="S3"/>
    <s v="P081505C1S3"/>
    <x v="1"/>
    <n v="2013"/>
    <x v="8"/>
    <s v=""/>
    <n v="7"/>
    <n v="86.8"/>
    <s v="USD"/>
    <n v="86.8"/>
    <n v="12.4"/>
    <s v=""/>
    <s v=""/>
    <s v=""/>
    <s v="x"/>
    <s v="x"/>
    <m/>
  </r>
  <r>
    <s v="Jordan"/>
    <s v="Middle East and North Africa"/>
    <s v="P081505"/>
    <s v="C1"/>
    <s v="S3"/>
    <s v="P081505C1S3"/>
    <x v="2"/>
    <s v="2004 / 2013"/>
    <x v="8"/>
    <s v=""/>
    <n v="1"/>
    <m/>
    <m/>
    <n v="2.9766803840877913"/>
    <n v="2.9766803840877918"/>
    <s v=""/>
    <s v=""/>
    <s v=""/>
    <s v="x"/>
    <s v="x"/>
    <s v="Political events; Quality of estimates; "/>
  </r>
  <r>
    <s v="Kenya"/>
    <s v="Sub-Saharan Africa"/>
    <s v="P082615"/>
    <s v="C1"/>
    <s v="S1"/>
    <s v="P082615C1S1"/>
    <x v="0"/>
    <n v="2004"/>
    <x v="11"/>
    <n v="28"/>
    <n v="35"/>
    <n v="14.69"/>
    <s v="USD"/>
    <n v="14.69"/>
    <n v="0.41971428571428571"/>
    <s v=""/>
    <s v=""/>
    <s v=""/>
    <s v="x"/>
    <s v="x"/>
    <m/>
  </r>
  <r>
    <s v="Kenya"/>
    <s v="Sub-Saharan Africa"/>
    <s v="P082615"/>
    <s v="C1"/>
    <s v="S1"/>
    <s v="P082615C1S1"/>
    <x v="1"/>
    <n v="2016"/>
    <x v="11"/>
    <s v=""/>
    <n v="35"/>
    <n v="48.63"/>
    <s v="USD"/>
    <n v="48.63"/>
    <n v="1.3894285714285715"/>
    <s v=""/>
    <s v=""/>
    <s v=""/>
    <s v="x"/>
    <s v="x"/>
    <m/>
  </r>
  <r>
    <s v="Kenya"/>
    <s v="Sub-Saharan Africa"/>
    <s v="P082615"/>
    <s v="C1"/>
    <s v="S1"/>
    <s v="P082615C1S1"/>
    <x v="2"/>
    <s v="2004 / 2016"/>
    <x v="11"/>
    <s v=""/>
    <n v="1"/>
    <m/>
    <m/>
    <n v="3.3104152484683462"/>
    <n v="3.3104152484683458"/>
    <s v=""/>
    <s v=""/>
    <s v=""/>
    <s v="x"/>
    <s v="x"/>
    <s v="Political events; Macroeconomic conditions; Weather shocks"/>
  </r>
  <r>
    <s v="Kenya"/>
    <s v="Sub-Saharan Africa"/>
    <s v="P082615"/>
    <s v="C1"/>
    <s v="S2"/>
    <s v="P082615C1S2"/>
    <x v="0"/>
    <n v="2004"/>
    <x v="2"/>
    <n v="39"/>
    <n v="55"/>
    <n v="27.91"/>
    <s v="USD"/>
    <n v="27.91"/>
    <n v="0.50745454545454549"/>
    <s v=""/>
    <s v=""/>
    <s v=""/>
    <s v="x"/>
    <s v="x"/>
    <m/>
  </r>
  <r>
    <s v="Kenya"/>
    <s v="Sub-Saharan Africa"/>
    <s v="P082615"/>
    <s v="C1"/>
    <s v="S2"/>
    <s v="P082615C1S2"/>
    <x v="1"/>
    <n v="2016"/>
    <x v="2"/>
    <s v=""/>
    <n v="33"/>
    <n v="65.23"/>
    <s v="USD"/>
    <n v="65.23"/>
    <n v="1.9766666666666668"/>
    <s v=""/>
    <s v=""/>
    <s v=""/>
    <s v="x"/>
    <s v="x"/>
    <m/>
  </r>
  <r>
    <s v="Kenya"/>
    <s v="Sub-Saharan Africa"/>
    <s v="P082615"/>
    <s v="C1"/>
    <s v="S2"/>
    <s v="P082615C1S2"/>
    <x v="2"/>
    <s v="2004 / 2016"/>
    <x v="2"/>
    <s v=""/>
    <n v="0.6"/>
    <m/>
    <m/>
    <n v="2.3371551415263347"/>
    <n v="3.8952585692105579"/>
    <s v=""/>
    <s v=""/>
    <s v=""/>
    <s v="x"/>
    <s v="x"/>
    <s v="Political events; Macroeconomic conditions; Weather shocks"/>
  </r>
  <r>
    <s v="Kenya"/>
    <s v="Sub-Saharan Africa"/>
    <s v="P082615"/>
    <s v="C1"/>
    <s v="S3"/>
    <s v="P082615C1S3"/>
    <x v="0"/>
    <n v="2004"/>
    <x v="9"/>
    <n v="37"/>
    <n v="33"/>
    <n v="38.42"/>
    <s v="USD"/>
    <n v="38.42"/>
    <n v="1.1642424242424243"/>
    <s v=""/>
    <s v=""/>
    <s v=""/>
    <s v="x"/>
    <s v="x"/>
    <m/>
  </r>
  <r>
    <s v="Kenya"/>
    <s v="Sub-Saharan Africa"/>
    <s v="P082615"/>
    <s v="C1"/>
    <s v="S3"/>
    <s v="P082615C1S3"/>
    <x v="1"/>
    <n v="2016"/>
    <x v="9"/>
    <s v=""/>
    <n v="33"/>
    <n v="115.39"/>
    <s v="USD"/>
    <n v="115.39"/>
    <n v="3.4966666666666666"/>
    <s v=""/>
    <s v=""/>
    <s v=""/>
    <s v="x"/>
    <s v="x"/>
    <m/>
  </r>
  <r>
    <s v="Kenya"/>
    <s v="Sub-Saharan Africa"/>
    <s v="P082615"/>
    <s v="C1"/>
    <s v="S3"/>
    <s v="P082615C1S3"/>
    <x v="2"/>
    <s v="2004 / 2016"/>
    <x v="9"/>
    <s v=""/>
    <n v="1"/>
    <m/>
    <m/>
    <n v="3.0033836543466945"/>
    <n v="3.0033836543466941"/>
    <s v=""/>
    <s v=""/>
    <s v=""/>
    <s v="x"/>
    <s v="x"/>
    <s v="Political events; Macroeconomic conditions; Weather shocks"/>
  </r>
  <r>
    <s v="Kenya"/>
    <s v="Sub-Saharan Africa"/>
    <s v="P082615"/>
    <s v="C1"/>
    <s v="S4"/>
    <s v="P082615C1S4"/>
    <x v="0"/>
    <n v="2004"/>
    <x v="2"/>
    <n v="38"/>
    <n v="97"/>
    <n v="40.68"/>
    <s v="USD"/>
    <n v="40.68"/>
    <n v="0.41938144329896909"/>
    <s v=""/>
    <s v=""/>
    <s v=""/>
    <s v="x"/>
    <s v="x"/>
    <m/>
  </r>
  <r>
    <s v="Kenya"/>
    <s v="Sub-Saharan Africa"/>
    <s v="P082615"/>
    <s v="C1"/>
    <s v="S4"/>
    <s v="P082615C1S4"/>
    <x v="1"/>
    <n v="2016"/>
    <x v="2"/>
    <s v=""/>
    <n v="100"/>
    <n v="138.04"/>
    <s v="USD"/>
    <n v="138.04"/>
    <n v="1.3803999999999998"/>
    <s v=""/>
    <s v=""/>
    <s v=""/>
    <s v="x"/>
    <s v="x"/>
    <m/>
  </r>
  <r>
    <s v="Kenya"/>
    <s v="Sub-Saharan Africa"/>
    <s v="P082615"/>
    <s v="C1"/>
    <s v="S4"/>
    <s v="P082615C1S4"/>
    <x v="2"/>
    <s v="2004 / 2016"/>
    <x v="2"/>
    <s v=""/>
    <n v="1.0309278350515463"/>
    <m/>
    <m/>
    <n v="3.3933136676499505"/>
    <n v="3.2915142576204519"/>
    <s v=""/>
    <s v=""/>
    <s v=""/>
    <s v="x"/>
    <s v="x"/>
    <s v="Political events; Macroeconomic conditions; Weather shocks"/>
  </r>
  <r>
    <s v="Kenya"/>
    <s v="Sub-Saharan Africa"/>
    <s v="P082615"/>
    <s v="C1"/>
    <s v="S5"/>
    <s v="P082615C1S5"/>
    <x v="0"/>
    <n v="2004"/>
    <x v="2"/>
    <n v="37"/>
    <n v="145"/>
    <n v="46.33"/>
    <s v="USD"/>
    <n v="46.33"/>
    <n v="0.31951724137931031"/>
    <s v=""/>
    <s v=""/>
    <s v=""/>
    <s v="x"/>
    <s v="x"/>
    <m/>
  </r>
  <r>
    <s v="Kenya"/>
    <s v="Sub-Saharan Africa"/>
    <s v="P082615"/>
    <s v="C1"/>
    <s v="S5"/>
    <s v="P082615C1S5"/>
    <x v="1"/>
    <n v="2016"/>
    <x v="2"/>
    <s v=""/>
    <n v="133"/>
    <n v="171.68"/>
    <s v="USD"/>
    <n v="171.68"/>
    <n v="1.2908270676691729"/>
    <s v=""/>
    <s v=""/>
    <s v=""/>
    <s v="x"/>
    <s v="x"/>
    <m/>
  </r>
  <r>
    <s v="Kenya"/>
    <s v="Sub-Saharan Africa"/>
    <s v="P082615"/>
    <s v="C1"/>
    <s v="S5"/>
    <s v="P082615C1S5"/>
    <x v="2"/>
    <s v="2004 / 2016"/>
    <x v="2"/>
    <s v=""/>
    <n v="0.91724137931034477"/>
    <m/>
    <m/>
    <n v="3.7055903302395858"/>
    <n v="4.0399293074040594"/>
    <s v=""/>
    <s v=""/>
    <s v=""/>
    <s v="x"/>
    <s v="x"/>
    <s v="Political events; Macroeconomic conditions; Weather shocks"/>
  </r>
  <r>
    <s v="Kyrgyz Republic"/>
    <s v="Europe and Central Asia"/>
    <s v="P107608"/>
    <s v="C1"/>
    <s v="S1"/>
    <s v="P107608C1S1"/>
    <x v="0"/>
    <n v="2009"/>
    <x v="1"/>
    <n v="24"/>
    <n v="30"/>
    <n v="25.79"/>
    <s v="USD"/>
    <n v="25.79"/>
    <n v="0.85966666666666669"/>
    <s v=""/>
    <s v=""/>
    <s v=""/>
    <s v=""/>
    <s v=""/>
    <m/>
  </r>
  <r>
    <s v="Kyrgyz Republic"/>
    <s v="Europe and Central Asia"/>
    <s v="P107608"/>
    <s v="C1"/>
    <s v="S1"/>
    <s v="P107608C1S1"/>
    <x v="1"/>
    <n v="2015"/>
    <x v="1"/>
    <n v="26"/>
    <n v="32"/>
    <n v="24.1"/>
    <s v="USD"/>
    <n v="24.1"/>
    <n v="0.75312500000000004"/>
    <s v=""/>
    <s v=""/>
    <s v=""/>
    <s v=""/>
    <s v=""/>
    <m/>
  </r>
  <r>
    <s v="Kyrgyz Republic"/>
    <s v="Europe and Central Asia"/>
    <s v="P107608"/>
    <s v="C1"/>
    <s v="S1"/>
    <s v="P107608C1S1"/>
    <x v="2"/>
    <s v="2009 / 2015"/>
    <x v="1"/>
    <n v="1.0833333333333333"/>
    <n v="1.0666666666666667"/>
    <n v="0.93447072508724316"/>
    <m/>
    <n v="0.93447072508724316"/>
    <n v="0.87606630476929048"/>
    <s v=""/>
    <s v=""/>
    <s v=""/>
    <s v=""/>
    <s v=""/>
    <s v=""/>
  </r>
  <r>
    <s v="Kyrgyz Republic"/>
    <s v="Europe and Central Asia"/>
    <s v="P107608"/>
    <s v="C1"/>
    <s v="S2"/>
    <s v="P107608C1S2"/>
    <x v="0"/>
    <n v="2015"/>
    <x v="1"/>
    <s v=""/>
    <n v="18"/>
    <n v="13.2"/>
    <s v="USD"/>
    <n v="13.2"/>
    <n v="0.73333333333333328"/>
    <s v=""/>
    <s v=""/>
    <s v=""/>
    <s v=""/>
    <s v=""/>
    <m/>
  </r>
  <r>
    <s v="Kyrgyz Republic"/>
    <s v="Europe and Central Asia"/>
    <s v="P107608"/>
    <s v="C1"/>
    <s v="S2"/>
    <s v="P107608C1S2"/>
    <x v="1"/>
    <n v="2011"/>
    <x v="1"/>
    <s v=""/>
    <n v="18.100000000000001"/>
    <n v="14.5"/>
    <s v="USD"/>
    <n v="14.5"/>
    <n v="0.80110497237569056"/>
    <s v=""/>
    <s v=""/>
    <s v=""/>
    <s v=""/>
    <s v=""/>
    <m/>
  </r>
  <r>
    <s v="Kyrgyz Republic"/>
    <s v="Europe and Central Asia"/>
    <s v="P107608"/>
    <s v="C1"/>
    <s v="S2"/>
    <s v="P107608C1S2"/>
    <x v="2"/>
    <s v="2015 / 2011"/>
    <x v="1"/>
    <s v=""/>
    <n v="1.0055555555555555"/>
    <n v="1.0984848484848486"/>
    <m/>
    <n v="1.0984848484848486"/>
    <n v="1.0924158714213963"/>
    <s v=""/>
    <s v=""/>
    <s v=""/>
    <s v=""/>
    <s v=""/>
    <s v=""/>
  </r>
  <r>
    <s v="Kyrgyz Republic"/>
    <s v="Europe and Central Asia"/>
    <s v="P050719"/>
    <s v="C1"/>
    <s v=""/>
    <s v="P050719C1"/>
    <x v="0"/>
    <n v="2000"/>
    <x v="0"/>
    <s v=""/>
    <n v="98"/>
    <n v="21.75"/>
    <s v="USD"/>
    <n v="21.75"/>
    <n v="0.22193877551020408"/>
    <s v=""/>
    <s v=""/>
    <s v=""/>
    <s v=""/>
    <s v=""/>
    <m/>
  </r>
  <r>
    <s v="Kyrgyz Republic"/>
    <s v="Europe and Central Asia"/>
    <s v="P050719"/>
    <s v="C1"/>
    <s v=""/>
    <s v="P050719C1"/>
    <x v="1"/>
    <n v="2006"/>
    <x v="0"/>
    <s v=""/>
    <n v="105"/>
    <n v="20.64"/>
    <s v="USD"/>
    <n v="20.64"/>
    <n v="0.19657142857142856"/>
    <s v=""/>
    <s v=""/>
    <s v=""/>
    <s v=""/>
    <s v=""/>
    <m/>
  </r>
  <r>
    <s v="Kyrgyz Republic"/>
    <s v="Europe and Central Asia"/>
    <s v="P050719"/>
    <s v="C1"/>
    <s v=""/>
    <s v="P050719C1"/>
    <x v="2"/>
    <s v="2000 / 2006"/>
    <x v="0"/>
    <s v=""/>
    <n v="1.0714285714285714"/>
    <m/>
    <m/>
    <n v="0.94896551724137934"/>
    <n v="0.88570114942528733"/>
    <s v=""/>
    <s v=""/>
    <s v=""/>
    <s v=""/>
    <s v=""/>
    <s v=""/>
  </r>
  <r>
    <s v="Kyrgyz Republic"/>
    <s v="Europe and Central Asia"/>
    <s v="P050719"/>
    <s v="C1"/>
    <s v="S1"/>
    <s v="P050719C1S1"/>
    <x v="0"/>
    <n v="2000"/>
    <x v="0"/>
    <n v="28"/>
    <n v="72"/>
    <n v="16.5"/>
    <s v="USD"/>
    <n v="16.5"/>
    <n v="0.22916666666666666"/>
    <s v=""/>
    <s v=""/>
    <s v=""/>
    <s v=""/>
    <s v=""/>
    <m/>
  </r>
  <r>
    <s v="Kyrgyz Republic"/>
    <s v="Europe and Central Asia"/>
    <s v="P050719"/>
    <s v="C1"/>
    <s v="S1"/>
    <s v="P050719C1S1"/>
    <x v="1"/>
    <n v="2006"/>
    <x v="0"/>
    <s v=""/>
    <n v="80"/>
    <n v="15.3"/>
    <s v="USD"/>
    <n v="15.3"/>
    <n v="0.19125"/>
    <s v=""/>
    <s v=""/>
    <s v=""/>
    <s v=""/>
    <s v=""/>
    <m/>
  </r>
  <r>
    <s v="Kyrgyz Republic"/>
    <s v="Europe and Central Asia"/>
    <s v="P050719"/>
    <s v="C1"/>
    <s v="S1"/>
    <s v="P050719C1S1"/>
    <x v="2"/>
    <s v="2000 / 2006"/>
    <x v="0"/>
    <s v=""/>
    <n v="1.1111111111111112"/>
    <m/>
    <m/>
    <n v="0.92727272727272736"/>
    <n v="0.83454545454545459"/>
    <s v=""/>
    <s v=""/>
    <s v=""/>
    <s v=""/>
    <s v=""/>
    <s v=""/>
  </r>
  <r>
    <s v="Kyrgyz Republic"/>
    <s v="Europe and Central Asia"/>
    <s v="P050719"/>
    <s v="C1"/>
    <s v="S2"/>
    <s v="P050719C1S2"/>
    <x v="0"/>
    <n v="2000"/>
    <x v="0"/>
    <n v="16"/>
    <n v="14"/>
    <n v="3.4"/>
    <s v="USD"/>
    <n v="3.4"/>
    <n v="0.24285714285714285"/>
    <s v=""/>
    <s v=""/>
    <s v=""/>
    <s v=""/>
    <s v=""/>
    <m/>
  </r>
  <r>
    <s v="Kyrgyz Republic"/>
    <s v="Europe and Central Asia"/>
    <s v="P050719"/>
    <s v="C1"/>
    <s v="S2"/>
    <s v="P050719C1S2"/>
    <x v="1"/>
    <n v="2006"/>
    <x v="0"/>
    <s v=""/>
    <n v="14"/>
    <n v="3.45"/>
    <s v="USD"/>
    <n v="3.45"/>
    <n v="0.24642857142857144"/>
    <s v=""/>
    <s v=""/>
    <s v=""/>
    <s v=""/>
    <s v=""/>
    <m/>
  </r>
  <r>
    <s v="Kyrgyz Republic"/>
    <s v="Europe and Central Asia"/>
    <s v="P050719"/>
    <s v="C1"/>
    <s v="S2"/>
    <s v="P050719C1S2"/>
    <x v="2"/>
    <s v="2000 / 2006"/>
    <x v="0"/>
    <s v=""/>
    <n v="1"/>
    <m/>
    <m/>
    <n v="1.0147058823529413"/>
    <n v="1.0147058823529413"/>
    <s v=""/>
    <s v=""/>
    <s v=""/>
    <s v=""/>
    <s v=""/>
    <s v=""/>
  </r>
  <r>
    <s v="Kyrgyz Republic"/>
    <s v="Europe and Central Asia"/>
    <s v="P050719"/>
    <s v="C1"/>
    <s v="S3"/>
    <s v="P050719C1S3"/>
    <x v="0"/>
    <n v="2000"/>
    <x v="0"/>
    <n v="16"/>
    <n v="12"/>
    <n v="1.9"/>
    <s v="USD"/>
    <n v="1.9"/>
    <n v="0.15833333333333333"/>
    <s v=""/>
    <s v=""/>
    <s v=""/>
    <s v=""/>
    <s v=""/>
    <m/>
  </r>
  <r>
    <s v="Kyrgyz Republic"/>
    <s v="Europe and Central Asia"/>
    <s v="P050719"/>
    <s v="C1"/>
    <s v="S3"/>
    <s v="P050719C1S3"/>
    <x v="1"/>
    <n v="2006"/>
    <x v="0"/>
    <s v=""/>
    <n v="11"/>
    <n v="1.89"/>
    <s v="USD"/>
    <n v="1.89"/>
    <n v="0.17181818181818181"/>
    <s v=""/>
    <s v=""/>
    <s v=""/>
    <s v=""/>
    <s v=""/>
    <m/>
  </r>
  <r>
    <s v="Kyrgyz Republic"/>
    <s v="Europe and Central Asia"/>
    <s v="P050719"/>
    <s v="C1"/>
    <s v="S3"/>
    <s v="P050719C1S3"/>
    <x v="2"/>
    <s v="2000 / 2006"/>
    <x v="0"/>
    <s v=""/>
    <n v="0.91666666666666663"/>
    <m/>
    <m/>
    <n v="0.99473684210526314"/>
    <n v="1.0851674641148326"/>
    <s v=""/>
    <s v=""/>
    <s v=""/>
    <s v=""/>
    <s v=""/>
    <s v=""/>
  </r>
  <r>
    <s v="Lao PDR"/>
    <s v="East Asia and Pacific"/>
    <s v="P064821"/>
    <s v="C1"/>
    <s v="S1"/>
    <s v="P064821C1S1"/>
    <x v="0"/>
    <n v="2001"/>
    <x v="3"/>
    <s v=""/>
    <n v="1400"/>
    <n v="29.31"/>
    <s v="USD"/>
    <n v="29.31"/>
    <n v="2.0935714285714283E-2"/>
    <s v=""/>
    <s v="x"/>
    <s v=""/>
    <s v=""/>
    <s v="x"/>
    <m/>
  </r>
  <r>
    <s v="Lao PDR"/>
    <s v="East Asia and Pacific"/>
    <s v="P064821"/>
    <s v="C1"/>
    <s v="S1"/>
    <s v="P064821C1S1"/>
    <x v="1"/>
    <n v="2005"/>
    <x v="3"/>
    <s v=""/>
    <n v="2762"/>
    <n v="32.08"/>
    <s v="USD"/>
    <n v="32.08"/>
    <n v="1.1614771904417089E-2"/>
    <s v=""/>
    <s v="x"/>
    <s v=""/>
    <s v=""/>
    <s v="x"/>
    <m/>
  </r>
  <r>
    <s v="Lao PDR"/>
    <s v="East Asia and Pacific"/>
    <s v="P064821"/>
    <s v="C1"/>
    <s v="S1"/>
    <s v="P064821C1S1"/>
    <x v="2"/>
    <s v="2001 / 2005"/>
    <x v="3"/>
    <s v=""/>
    <n v="1.9728571428571429"/>
    <m/>
    <m/>
    <n v="1.0945069941999317"/>
    <n v="0.55478269076028408"/>
    <s v=""/>
    <s v="x"/>
    <s v=""/>
    <s v=""/>
    <s v="x"/>
    <s v="Change of project scope; ; "/>
  </r>
  <r>
    <s v="Lao PDR"/>
    <s v="East Asia and Pacific"/>
    <s v="P064821"/>
    <s v="C1"/>
    <s v="S10"/>
    <s v="P064821C1S10"/>
    <x v="0"/>
    <n v="2001"/>
    <x v="3"/>
    <s v=""/>
    <n v="20"/>
    <n v="0.39"/>
    <s v="USD"/>
    <n v="0.39"/>
    <n v="1.95E-2"/>
    <s v=""/>
    <s v=""/>
    <s v=""/>
    <s v=""/>
    <s v=""/>
    <m/>
  </r>
  <r>
    <s v="Lao PDR"/>
    <s v="East Asia and Pacific"/>
    <s v="P064821"/>
    <s v="C1"/>
    <s v="S10"/>
    <s v="P064821C1S10"/>
    <x v="1"/>
    <n v="2005"/>
    <x v="3"/>
    <s v=""/>
    <n v="20"/>
    <n v="0.32"/>
    <s v="USD"/>
    <n v="0.32"/>
    <n v="1.6E-2"/>
    <s v=""/>
    <s v=""/>
    <s v=""/>
    <s v=""/>
    <s v=""/>
    <m/>
  </r>
  <r>
    <s v="Lao PDR"/>
    <s v="East Asia and Pacific"/>
    <s v="P064821"/>
    <s v="C1"/>
    <s v="S10"/>
    <s v="P064821C1S10"/>
    <x v="2"/>
    <s v="2001 / 2005"/>
    <x v="3"/>
    <s v=""/>
    <n v="1"/>
    <m/>
    <m/>
    <n v="0.82051282051282048"/>
    <n v="0.82051282051282048"/>
    <s v=""/>
    <s v=""/>
    <s v=""/>
    <s v=""/>
    <s v=""/>
    <s v=""/>
  </r>
  <r>
    <s v="Lao PDR"/>
    <s v="East Asia and Pacific"/>
    <s v="P064821"/>
    <s v="C1"/>
    <s v="S11"/>
    <s v="P064821C1S11"/>
    <x v="0"/>
    <n v="2001"/>
    <x v="13"/>
    <s v=""/>
    <n v="50"/>
    <n v="0.55000000000000004"/>
    <s v="USD"/>
    <n v="0.55000000000000004"/>
    <n v="1.1000000000000001E-2"/>
    <s v=""/>
    <s v=""/>
    <s v=""/>
    <s v=""/>
    <s v=""/>
    <m/>
  </r>
  <r>
    <s v="Lao PDR"/>
    <s v="East Asia and Pacific"/>
    <s v="P064821"/>
    <s v="C1"/>
    <s v="S11"/>
    <s v="P064821C1S11"/>
    <x v="1"/>
    <n v="2005"/>
    <x v="13"/>
    <s v=""/>
    <n v="50"/>
    <n v="0.46"/>
    <s v="USD"/>
    <n v="0.46"/>
    <n v="9.1999999999999998E-3"/>
    <s v=""/>
    <s v=""/>
    <s v=""/>
    <s v=""/>
    <s v=""/>
    <m/>
  </r>
  <r>
    <s v="Lao PDR"/>
    <s v="East Asia and Pacific"/>
    <s v="P064821"/>
    <s v="C1"/>
    <s v="S11"/>
    <s v="P064821C1S11"/>
    <x v="2"/>
    <s v="2001 / 2005"/>
    <x v="13"/>
    <s v=""/>
    <n v="1"/>
    <m/>
    <m/>
    <n v="0.83636363636363631"/>
    <n v="0.83636363636363631"/>
    <s v=""/>
    <s v=""/>
    <s v=""/>
    <s v=""/>
    <s v=""/>
    <s v=""/>
  </r>
  <r>
    <s v="Lao PDR"/>
    <s v="East Asia and Pacific"/>
    <s v="P064821"/>
    <s v="C1"/>
    <s v="S2"/>
    <s v="P064821C1S2"/>
    <x v="0"/>
    <n v="2001"/>
    <x v="4"/>
    <s v=""/>
    <n v="15250"/>
    <n v="13.41"/>
    <s v="USD"/>
    <n v="13.41"/>
    <n v="8.7934426229508192E-4"/>
    <s v=""/>
    <s v="x"/>
    <s v="x"/>
    <s v=""/>
    <s v="x"/>
    <m/>
  </r>
  <r>
    <s v="Lao PDR"/>
    <s v="East Asia and Pacific"/>
    <s v="P064821"/>
    <s v="C1"/>
    <s v="S2"/>
    <s v="P064821C1S2"/>
    <x v="1"/>
    <n v="2005"/>
    <x v="4"/>
    <s v=""/>
    <n v="25028"/>
    <n v="5.72"/>
    <s v="USD"/>
    <n v="5.72"/>
    <n v="2.2854403068563208E-4"/>
    <s v=""/>
    <s v="x"/>
    <s v="x"/>
    <s v=""/>
    <s v="x"/>
    <m/>
  </r>
  <r>
    <s v="Lao PDR"/>
    <s v="East Asia and Pacific"/>
    <s v="P064821"/>
    <s v="C1"/>
    <s v="S2"/>
    <s v="P064821C1S2"/>
    <x v="2"/>
    <s v="2001 / 2005"/>
    <x v="4"/>
    <s v=""/>
    <n v="1.6411803278688524"/>
    <m/>
    <m/>
    <n v="0.42654735272184935"/>
    <n v="0.25990279403101335"/>
    <s v=""/>
    <s v="x"/>
    <s v="x"/>
    <s v=""/>
    <s v="x"/>
    <s v="Capacity of counterpart (Procurement system); Quality of estimates; Change of project scope"/>
  </r>
  <r>
    <s v="Lao PDR"/>
    <s v="East Asia and Pacific"/>
    <s v="P064821"/>
    <s v="C1"/>
    <s v="S3"/>
    <s v="P064821C1S3"/>
    <x v="0"/>
    <n v="2001"/>
    <x v="13"/>
    <s v=""/>
    <n v="45"/>
    <n v="0.41"/>
    <s v="USD"/>
    <n v="0.41"/>
    <n v="9.1111111111111098E-3"/>
    <s v=""/>
    <s v=""/>
    <s v=""/>
    <s v=""/>
    <s v=""/>
    <m/>
  </r>
  <r>
    <s v="Lao PDR"/>
    <s v="East Asia and Pacific"/>
    <s v="P064821"/>
    <s v="C1"/>
    <s v="S3"/>
    <s v="P064821C1S3"/>
    <x v="1"/>
    <n v="2005"/>
    <x v="13"/>
    <s v=""/>
    <n v="45"/>
    <n v="0.34"/>
    <s v="USD"/>
    <n v="0.34"/>
    <n v="7.5555555555555558E-3"/>
    <s v=""/>
    <s v=""/>
    <s v=""/>
    <s v=""/>
    <s v=""/>
    <m/>
  </r>
  <r>
    <s v="Lao PDR"/>
    <s v="East Asia and Pacific"/>
    <s v="P064821"/>
    <s v="C1"/>
    <s v="S3"/>
    <s v="P064821C1S3"/>
    <x v="2"/>
    <s v="2001 / 2005"/>
    <x v="13"/>
    <s v=""/>
    <n v="1"/>
    <m/>
    <m/>
    <n v="0.8292682926829269"/>
    <n v="0.82926829268292701"/>
    <s v=""/>
    <s v=""/>
    <s v=""/>
    <s v=""/>
    <s v=""/>
    <s v=""/>
  </r>
  <r>
    <s v="Lao PDR"/>
    <s v="East Asia and Pacific"/>
    <s v="P064821"/>
    <s v="C1"/>
    <s v="S4"/>
    <s v="P064821C1S4"/>
    <x v="0"/>
    <n v="2001"/>
    <x v="3"/>
    <s v=""/>
    <n v="30"/>
    <n v="0.7"/>
    <s v="USD"/>
    <n v="0.7"/>
    <n v="2.3333333333333331E-2"/>
    <s v=""/>
    <s v=""/>
    <s v=""/>
    <s v=""/>
    <s v=""/>
    <m/>
  </r>
  <r>
    <s v="Lao PDR"/>
    <s v="East Asia and Pacific"/>
    <s v="P064821"/>
    <s v="C1"/>
    <s v="S4"/>
    <s v="P064821C1S4"/>
    <x v="1"/>
    <n v="2005"/>
    <x v="3"/>
    <s v=""/>
    <n v="30"/>
    <n v="0.65"/>
    <s v="USD"/>
    <n v="0.65"/>
    <n v="2.1666666666666667E-2"/>
    <s v=""/>
    <s v=""/>
    <s v=""/>
    <s v=""/>
    <s v=""/>
    <m/>
  </r>
  <r>
    <s v="Lao PDR"/>
    <s v="East Asia and Pacific"/>
    <s v="P064821"/>
    <s v="C1"/>
    <s v="S4"/>
    <s v="P064821C1S4"/>
    <x v="2"/>
    <s v="2001 / 2005"/>
    <x v="3"/>
    <s v=""/>
    <n v="1"/>
    <m/>
    <m/>
    <n v="0.92857142857142871"/>
    <n v="0.92857142857142871"/>
    <s v=""/>
    <s v=""/>
    <s v=""/>
    <s v=""/>
    <s v=""/>
    <s v=""/>
  </r>
  <r>
    <s v="Lao PDR"/>
    <s v="East Asia and Pacific"/>
    <s v="P064821"/>
    <s v="C1"/>
    <s v="S5"/>
    <s v="P064821C1S5"/>
    <x v="0"/>
    <n v="2001"/>
    <x v="3"/>
    <s v=""/>
    <n v="50"/>
    <n v="0.86"/>
    <s v="USD"/>
    <n v="0.86"/>
    <n v="1.72E-2"/>
    <s v=""/>
    <s v=""/>
    <s v=""/>
    <s v=""/>
    <s v=""/>
    <m/>
  </r>
  <r>
    <s v="Lao PDR"/>
    <s v="East Asia and Pacific"/>
    <s v="P064821"/>
    <s v="C1"/>
    <s v="S5"/>
    <s v="P064821C1S5"/>
    <x v="1"/>
    <n v="2005"/>
    <x v="3"/>
    <s v=""/>
    <n v="50"/>
    <n v="0.71"/>
    <s v="USD"/>
    <n v="0.71"/>
    <n v="1.4199999999999999E-2"/>
    <s v=""/>
    <s v=""/>
    <s v=""/>
    <s v=""/>
    <s v=""/>
    <m/>
  </r>
  <r>
    <s v="Lao PDR"/>
    <s v="East Asia and Pacific"/>
    <s v="P064821"/>
    <s v="C1"/>
    <s v="S5"/>
    <s v="P064821C1S5"/>
    <x v="2"/>
    <s v="2001 / 2005"/>
    <x v="3"/>
    <s v=""/>
    <n v="1"/>
    <m/>
    <m/>
    <n v="0.82558139534883723"/>
    <n v="0.82558139534883712"/>
    <s v=""/>
    <s v=""/>
    <s v=""/>
    <s v=""/>
    <s v=""/>
    <s v=""/>
  </r>
  <r>
    <s v="Lao PDR"/>
    <s v="East Asia and Pacific"/>
    <s v="P064821"/>
    <s v="C1"/>
    <s v="S6"/>
    <s v="P064821C1S6"/>
    <x v="0"/>
    <n v="2001"/>
    <x v="3"/>
    <s v=""/>
    <n v="50"/>
    <n v="0.98"/>
    <s v="USD"/>
    <n v="0.98"/>
    <n v="1.9599999999999999E-2"/>
    <s v=""/>
    <s v=""/>
    <s v=""/>
    <s v=""/>
    <s v=""/>
    <m/>
  </r>
  <r>
    <s v="Lao PDR"/>
    <s v="East Asia and Pacific"/>
    <s v="P064821"/>
    <s v="C1"/>
    <s v="S6"/>
    <s v="P064821C1S6"/>
    <x v="1"/>
    <n v="2005"/>
    <x v="3"/>
    <s v=""/>
    <n v="50"/>
    <n v="0.81"/>
    <s v="USD"/>
    <n v="0.81"/>
    <n v="1.6200000000000003E-2"/>
    <s v=""/>
    <s v=""/>
    <s v=""/>
    <s v=""/>
    <s v=""/>
    <m/>
  </r>
  <r>
    <s v="Lao PDR"/>
    <s v="East Asia and Pacific"/>
    <s v="P064821"/>
    <s v="C1"/>
    <s v="S6"/>
    <s v="P064821C1S6"/>
    <x v="2"/>
    <s v="2001 / 2005"/>
    <x v="3"/>
    <s v=""/>
    <n v="1"/>
    <m/>
    <m/>
    <n v="0.82653061224489799"/>
    <n v="0.8265306122448981"/>
    <s v=""/>
    <s v=""/>
    <s v=""/>
    <s v=""/>
    <s v=""/>
    <s v=""/>
  </r>
  <r>
    <s v="Lao PDR"/>
    <s v="East Asia and Pacific"/>
    <s v="P064821"/>
    <s v="C1"/>
    <s v="S7"/>
    <s v="P064821C1S7"/>
    <x v="0"/>
    <n v="2001"/>
    <x v="13"/>
    <s v=""/>
    <n v="40"/>
    <n v="0.44"/>
    <s v="USD"/>
    <n v="0.44"/>
    <n v="1.0999999999999999E-2"/>
    <s v=""/>
    <s v=""/>
    <s v=""/>
    <s v=""/>
    <s v=""/>
    <m/>
  </r>
  <r>
    <s v="Lao PDR"/>
    <s v="East Asia and Pacific"/>
    <s v="P064821"/>
    <s v="C1"/>
    <s v="S7"/>
    <s v="P064821C1S7"/>
    <x v="1"/>
    <n v="2005"/>
    <x v="13"/>
    <s v=""/>
    <n v="40"/>
    <n v="0.37"/>
    <s v="USD"/>
    <n v="0.37"/>
    <n v="9.2499999999999995E-3"/>
    <s v=""/>
    <s v=""/>
    <s v=""/>
    <s v=""/>
    <s v=""/>
    <m/>
  </r>
  <r>
    <s v="Lao PDR"/>
    <s v="East Asia and Pacific"/>
    <s v="P064821"/>
    <s v="C1"/>
    <s v="S7"/>
    <s v="P064821C1S7"/>
    <x v="2"/>
    <s v="2001 / 2005"/>
    <x v="13"/>
    <s v=""/>
    <n v="1"/>
    <m/>
    <m/>
    <n v="0.84090909090909094"/>
    <n v="0.84090909090909094"/>
    <s v=""/>
    <s v=""/>
    <s v=""/>
    <s v=""/>
    <s v=""/>
    <s v=""/>
  </r>
  <r>
    <s v="Lao PDR"/>
    <s v="East Asia and Pacific"/>
    <s v="P064821"/>
    <s v="C1"/>
    <s v="S8"/>
    <s v="P064821C1S8"/>
    <x v="0"/>
    <n v="2001"/>
    <x v="3"/>
    <s v=""/>
    <n v="15"/>
    <n v="0.28999999999999998"/>
    <s v="USD"/>
    <n v="0.28999999999999998"/>
    <n v="1.9333333333333331E-2"/>
    <s v=""/>
    <s v=""/>
    <s v=""/>
    <s v=""/>
    <s v=""/>
    <m/>
  </r>
  <r>
    <s v="Lao PDR"/>
    <s v="East Asia and Pacific"/>
    <s v="P064821"/>
    <s v="C1"/>
    <s v="S8"/>
    <s v="P064821C1S8"/>
    <x v="1"/>
    <n v="2005"/>
    <x v="3"/>
    <s v=""/>
    <n v="15"/>
    <n v="0.24"/>
    <s v="USD"/>
    <n v="0.24"/>
    <n v="1.6E-2"/>
    <s v=""/>
    <s v=""/>
    <s v=""/>
    <s v=""/>
    <s v=""/>
    <m/>
  </r>
  <r>
    <s v="Lao PDR"/>
    <s v="East Asia and Pacific"/>
    <s v="P064821"/>
    <s v="C1"/>
    <s v="S8"/>
    <s v="P064821C1S8"/>
    <x v="2"/>
    <s v="2001 / 2005"/>
    <x v="3"/>
    <s v=""/>
    <n v="1"/>
    <m/>
    <m/>
    <n v="0.82758620689655171"/>
    <n v="0.82758620689655182"/>
    <s v=""/>
    <s v=""/>
    <s v=""/>
    <s v=""/>
    <s v=""/>
    <s v=""/>
  </r>
  <r>
    <s v="Lao PDR"/>
    <s v="East Asia and Pacific"/>
    <s v="P064821"/>
    <s v="C1"/>
    <s v="S9"/>
    <s v="P064821C1S9"/>
    <x v="0"/>
    <n v="2001"/>
    <x v="3"/>
    <s v=""/>
    <n v="20"/>
    <n v="0.39"/>
    <s v="USD"/>
    <n v="0.39"/>
    <n v="1.95E-2"/>
    <s v=""/>
    <s v=""/>
    <s v=""/>
    <s v=""/>
    <s v=""/>
    <m/>
  </r>
  <r>
    <s v="Lao PDR"/>
    <s v="East Asia and Pacific"/>
    <s v="P064821"/>
    <s v="C1"/>
    <s v="S9"/>
    <s v="P064821C1S9"/>
    <x v="1"/>
    <n v="2005"/>
    <x v="3"/>
    <s v=""/>
    <n v="20"/>
    <n v="0.31"/>
    <s v="USD"/>
    <n v="0.31"/>
    <n v="1.55E-2"/>
    <s v=""/>
    <s v=""/>
    <s v=""/>
    <s v=""/>
    <s v=""/>
    <m/>
  </r>
  <r>
    <s v="Lao PDR"/>
    <s v="East Asia and Pacific"/>
    <s v="P064821"/>
    <s v="C1"/>
    <s v="S9"/>
    <s v="P064821C1S9"/>
    <x v="2"/>
    <s v="2001 / 2005"/>
    <x v="3"/>
    <s v=""/>
    <n v="1"/>
    <m/>
    <m/>
    <n v="0.79487179487179482"/>
    <n v="0.79487179487179482"/>
    <s v=""/>
    <s v=""/>
    <s v=""/>
    <s v=""/>
    <s v=""/>
    <s v=""/>
  </r>
  <r>
    <s v="Lao PDR"/>
    <s v="East Asia and Pacific"/>
    <s v="P083543"/>
    <s v="C1"/>
    <s v=""/>
    <s v="P083543C1"/>
    <x v="0"/>
    <n v="2004"/>
    <x v="4"/>
    <n v="57"/>
    <n v="22765"/>
    <n v="56.3"/>
    <s v="USD"/>
    <n v="56.3"/>
    <n v="2.4730946628596529E-3"/>
    <s v=""/>
    <s v=""/>
    <s v=""/>
    <s v="x"/>
    <s v="x"/>
    <m/>
  </r>
  <r>
    <s v="Lao PDR"/>
    <s v="East Asia and Pacific"/>
    <s v="P083543"/>
    <s v="C1"/>
    <s v=""/>
    <s v="P083543C1"/>
    <x v="1"/>
    <n v="2012"/>
    <x v="4"/>
    <n v="72"/>
    <n v="15560"/>
    <n v="102.8"/>
    <s v="USD"/>
    <n v="102.8"/>
    <n v="6.6066838046272489E-3"/>
    <s v=""/>
    <s v=""/>
    <s v=""/>
    <s v="x"/>
    <s v="x"/>
    <m/>
  </r>
  <r>
    <s v="Lao PDR"/>
    <s v="East Asia and Pacific"/>
    <s v="P083543"/>
    <s v="C1"/>
    <s v=""/>
    <s v="P083543C1"/>
    <x v="2"/>
    <s v="2004 / 2012"/>
    <x v="4"/>
    <n v="1.263157894736842"/>
    <n v="0.68350538106742809"/>
    <m/>
    <m/>
    <n v="1.8259325044404975"/>
    <n v="2.6714237444465243"/>
    <s v=""/>
    <s v=""/>
    <s v=""/>
    <s v="x"/>
    <s v="x"/>
    <s v="Weather shocks; Political events; "/>
  </r>
  <r>
    <s v="Lao PDR"/>
    <s v="East Asia and Pacific"/>
    <s v="P083543"/>
    <s v="C1"/>
    <s v="S1"/>
    <s v="P083543C1S1"/>
    <x v="0"/>
    <n v="2004"/>
    <x v="6"/>
    <n v="12"/>
    <n v="12"/>
    <n v="0.12"/>
    <s v="USD"/>
    <n v="0.12"/>
    <n v="0.01"/>
    <s v=""/>
    <s v=""/>
    <s v=""/>
    <s v=""/>
    <s v=""/>
    <m/>
  </r>
  <r>
    <s v="Lao PDR"/>
    <s v="East Asia and Pacific"/>
    <s v="P083543"/>
    <s v="C1"/>
    <s v="S1"/>
    <s v="P083543C1S1"/>
    <x v="1"/>
    <n v="2011"/>
    <x v="6"/>
    <n v="12"/>
    <n v="12"/>
    <n v="0.12091300000000001"/>
    <s v="USD"/>
    <n v="0.12091300000000001"/>
    <n v="1.0076083333333334E-2"/>
    <s v=""/>
    <s v=""/>
    <s v=""/>
    <s v=""/>
    <s v=""/>
    <m/>
  </r>
  <r>
    <s v="Lao PDR"/>
    <s v="East Asia and Pacific"/>
    <s v="P083543"/>
    <s v="C1"/>
    <s v="S1"/>
    <s v="P083543C1S1"/>
    <x v="2"/>
    <s v="2004 / 2011"/>
    <x v="6"/>
    <n v="1"/>
    <n v="1"/>
    <m/>
    <m/>
    <n v="1.0076083333333334"/>
    <n v="1.0076083333333334"/>
    <s v=""/>
    <s v=""/>
    <s v=""/>
    <s v=""/>
    <s v=""/>
    <s v=""/>
  </r>
  <r>
    <s v="Lao PDR"/>
    <s v="East Asia and Pacific"/>
    <s v="P083543"/>
    <s v="C1"/>
    <s v="S10"/>
    <s v="P083543C1S10"/>
    <x v="0"/>
    <n v="2004"/>
    <x v="5"/>
    <n v="12"/>
    <n v="7"/>
    <n v="0.14599999999999999"/>
    <s v="USD"/>
    <n v="0.14599999999999999"/>
    <n v="2.0857142857142855E-2"/>
    <s v=""/>
    <s v=""/>
    <s v=""/>
    <s v=""/>
    <s v=""/>
    <m/>
  </r>
  <r>
    <s v="Lao PDR"/>
    <s v="East Asia and Pacific"/>
    <s v="P083543"/>
    <s v="C1"/>
    <s v="S10"/>
    <s v="P083543C1S10"/>
    <x v="1"/>
    <n v="2011"/>
    <x v="5"/>
    <n v="12"/>
    <n v="7"/>
    <n v="0.16997999999999999"/>
    <s v="USD"/>
    <n v="0.16997999999999999"/>
    <n v="2.4282857142857141E-2"/>
    <s v=""/>
    <s v=""/>
    <s v=""/>
    <s v=""/>
    <s v=""/>
    <m/>
  </r>
  <r>
    <s v="Lao PDR"/>
    <s v="East Asia and Pacific"/>
    <s v="P083543"/>
    <s v="C1"/>
    <s v="S10"/>
    <s v="P083543C1S10"/>
    <x v="2"/>
    <s v="2004 / 2011"/>
    <x v="5"/>
    <n v="1"/>
    <n v="1"/>
    <m/>
    <m/>
    <n v="1.1642465753424658"/>
    <n v="1.1642465753424658"/>
    <s v=""/>
    <s v=""/>
    <s v=""/>
    <s v=""/>
    <s v=""/>
    <s v=""/>
  </r>
  <r>
    <s v="Lao PDR"/>
    <s v="East Asia and Pacific"/>
    <s v="P083543"/>
    <s v="C1"/>
    <s v="S11"/>
    <s v="P083543C1S11"/>
    <x v="0"/>
    <n v="2004"/>
    <x v="6"/>
    <n v="12"/>
    <n v="24"/>
    <n v="0.27"/>
    <s v="USD"/>
    <n v="0.27"/>
    <n v="1.1250000000000001E-2"/>
    <s v=""/>
    <s v=""/>
    <s v=""/>
    <s v=""/>
    <s v=""/>
    <m/>
  </r>
  <r>
    <s v="Lao PDR"/>
    <s v="East Asia and Pacific"/>
    <s v="P083543"/>
    <s v="C1"/>
    <s v="S11"/>
    <s v="P083543C1S11"/>
    <x v="1"/>
    <n v="2011"/>
    <x v="6"/>
    <n v="12"/>
    <n v="24"/>
    <n v="0.222495"/>
    <s v="USD"/>
    <n v="0.222495"/>
    <n v="9.2706249999999994E-3"/>
    <s v=""/>
    <s v=""/>
    <s v=""/>
    <s v=""/>
    <s v=""/>
    <m/>
  </r>
  <r>
    <s v="Lao PDR"/>
    <s v="East Asia and Pacific"/>
    <s v="P083543"/>
    <s v="C1"/>
    <s v="S11"/>
    <s v="P083543C1S11"/>
    <x v="2"/>
    <s v="2004 / 2011"/>
    <x v="6"/>
    <n v="1"/>
    <n v="1"/>
    <m/>
    <m/>
    <n v="0.82405555555555554"/>
    <n v="0.82405555555555543"/>
    <s v=""/>
    <s v=""/>
    <s v=""/>
    <s v=""/>
    <s v=""/>
    <s v=""/>
  </r>
  <r>
    <s v="Lao PDR"/>
    <s v="East Asia and Pacific"/>
    <s v="P083543"/>
    <s v="C1"/>
    <s v="S12"/>
    <s v="P083543C1S12"/>
    <x v="0"/>
    <n v="2004"/>
    <x v="6"/>
    <n v="12"/>
    <n v="24"/>
    <n v="0.2"/>
    <s v="USD"/>
    <n v="0.2"/>
    <n v="8.3333333333333332E-3"/>
    <s v=""/>
    <s v=""/>
    <s v=""/>
    <s v=""/>
    <s v=""/>
    <m/>
  </r>
  <r>
    <s v="Lao PDR"/>
    <s v="East Asia and Pacific"/>
    <s v="P083543"/>
    <s v="C1"/>
    <s v="S12"/>
    <s v="P083543C1S12"/>
    <x v="1"/>
    <n v="2011"/>
    <x v="6"/>
    <n v="12"/>
    <n v="24"/>
    <n v="0.137936"/>
    <s v="USD"/>
    <n v="0.137936"/>
    <n v="5.7473333333333335E-3"/>
    <s v=""/>
    <s v=""/>
    <s v=""/>
    <s v=""/>
    <s v=""/>
    <m/>
  </r>
  <r>
    <s v="Lao PDR"/>
    <s v="East Asia and Pacific"/>
    <s v="P083543"/>
    <s v="C1"/>
    <s v="S12"/>
    <s v="P083543C1S12"/>
    <x v="2"/>
    <s v="2004 / 2011"/>
    <x v="6"/>
    <n v="1"/>
    <n v="1"/>
    <m/>
    <m/>
    <n v="0.68967999999999996"/>
    <n v="0.68968000000000007"/>
    <s v=""/>
    <s v=""/>
    <s v=""/>
    <s v=""/>
    <s v=""/>
    <s v=""/>
  </r>
  <r>
    <s v="Lao PDR"/>
    <s v="East Asia and Pacific"/>
    <s v="P083543"/>
    <s v="C1"/>
    <s v="S13"/>
    <s v="P083543C1S13"/>
    <x v="0"/>
    <n v="2004"/>
    <x v="5"/>
    <n v="12"/>
    <n v="20"/>
    <n v="0.4"/>
    <s v="USD"/>
    <n v="0.4"/>
    <n v="0.02"/>
    <s v=""/>
    <s v=""/>
    <s v=""/>
    <s v=""/>
    <s v=""/>
    <m/>
  </r>
  <r>
    <s v="Lao PDR"/>
    <s v="East Asia and Pacific"/>
    <s v="P083543"/>
    <s v="C1"/>
    <s v="S13"/>
    <s v="P083543C1S13"/>
    <x v="1"/>
    <n v="2011"/>
    <x v="5"/>
    <n v="12"/>
    <n v="20"/>
    <n v="0.30755399999999999"/>
    <s v="USD"/>
    <n v="0.30755399999999999"/>
    <n v="1.5377699999999999E-2"/>
    <s v=""/>
    <s v=""/>
    <s v=""/>
    <s v=""/>
    <s v=""/>
    <m/>
  </r>
  <r>
    <s v="Lao PDR"/>
    <s v="East Asia and Pacific"/>
    <s v="P083543"/>
    <s v="C1"/>
    <s v="S13"/>
    <s v="P083543C1S13"/>
    <x v="2"/>
    <s v="2004 / 2011"/>
    <x v="5"/>
    <n v="1"/>
    <n v="1"/>
    <m/>
    <m/>
    <n v="0.76888499999999993"/>
    <n v="0.76888499999999993"/>
    <s v=""/>
    <s v=""/>
    <s v=""/>
    <s v=""/>
    <s v=""/>
    <s v=""/>
  </r>
  <r>
    <s v="Lao PDR"/>
    <s v="East Asia and Pacific"/>
    <s v="P083543"/>
    <s v="C1"/>
    <s v="S14"/>
    <s v="P083543C1S14"/>
    <x v="0"/>
    <n v="2004"/>
    <x v="13"/>
    <n v="12"/>
    <n v="24"/>
    <n v="0.17"/>
    <s v="USD"/>
    <n v="0.17"/>
    <n v="7.0833333333333338E-3"/>
    <s v=""/>
    <s v=""/>
    <s v=""/>
    <s v=""/>
    <s v=""/>
    <m/>
  </r>
  <r>
    <s v="Lao PDR"/>
    <s v="East Asia and Pacific"/>
    <s v="P083543"/>
    <s v="C1"/>
    <s v="S14"/>
    <s v="P083543C1S14"/>
    <x v="1"/>
    <n v="2011"/>
    <x v="13"/>
    <n v="12"/>
    <n v="24"/>
    <n v="0.123885"/>
    <s v="USD"/>
    <n v="0.123885"/>
    <n v="5.1618749999999998E-3"/>
    <s v=""/>
    <s v=""/>
    <s v=""/>
    <s v=""/>
    <s v=""/>
    <m/>
  </r>
  <r>
    <s v="Lao PDR"/>
    <s v="East Asia and Pacific"/>
    <s v="P083543"/>
    <s v="C1"/>
    <s v="S14"/>
    <s v="P083543C1S14"/>
    <x v="2"/>
    <s v="2004 / 2011"/>
    <x v="13"/>
    <n v="1"/>
    <n v="1"/>
    <m/>
    <m/>
    <n v="0.72873529411764693"/>
    <n v="0.72873529411764693"/>
    <s v=""/>
    <s v=""/>
    <s v=""/>
    <s v=""/>
    <s v=""/>
    <s v=""/>
  </r>
  <r>
    <s v="Lao PDR"/>
    <s v="East Asia and Pacific"/>
    <s v="P083543"/>
    <s v="C1"/>
    <s v="S15"/>
    <s v="P083543C1S15"/>
    <x v="0"/>
    <n v="2004"/>
    <x v="13"/>
    <n v="12"/>
    <n v="19"/>
    <n v="0.12"/>
    <s v="USD"/>
    <n v="0.12"/>
    <n v="6.3157894736842104E-3"/>
    <s v=""/>
    <s v=""/>
    <s v=""/>
    <s v=""/>
    <s v=""/>
    <m/>
  </r>
  <r>
    <s v="Lao PDR"/>
    <s v="East Asia and Pacific"/>
    <s v="P083543"/>
    <s v="C1"/>
    <s v="S15"/>
    <s v="P083543C1S15"/>
    <x v="1"/>
    <n v="2011"/>
    <x v="13"/>
    <n v="12"/>
    <n v="19"/>
    <n v="0.13713700000000001"/>
    <s v="USD"/>
    <n v="0.13713700000000001"/>
    <n v="7.2177368421052638E-3"/>
    <s v=""/>
    <s v=""/>
    <s v=""/>
    <s v=""/>
    <s v=""/>
    <m/>
  </r>
  <r>
    <s v="Lao PDR"/>
    <s v="East Asia and Pacific"/>
    <s v="P083543"/>
    <s v="C1"/>
    <s v="S15"/>
    <s v="P083543C1S15"/>
    <x v="2"/>
    <s v="2004 / 2011"/>
    <x v="13"/>
    <n v="1"/>
    <n v="1"/>
    <m/>
    <m/>
    <n v="1.1428083333333334"/>
    <n v="1.1428083333333334"/>
    <s v=""/>
    <s v=""/>
    <s v=""/>
    <s v=""/>
    <s v=""/>
    <s v=""/>
  </r>
  <r>
    <s v="Lao PDR"/>
    <s v="East Asia and Pacific"/>
    <s v="P083543"/>
    <s v="C1"/>
    <s v="S16"/>
    <s v="P083543C1S16"/>
    <x v="0"/>
    <n v="2004"/>
    <x v="13"/>
    <n v="12"/>
    <n v="57"/>
    <n v="0.35"/>
    <s v="USD"/>
    <n v="0.35"/>
    <n v="6.1403508771929825E-3"/>
    <s v=""/>
    <s v=""/>
    <s v=""/>
    <s v=""/>
    <s v=""/>
    <m/>
  </r>
  <r>
    <s v="Lao PDR"/>
    <s v="East Asia and Pacific"/>
    <s v="P083543"/>
    <s v="C1"/>
    <s v="S16"/>
    <s v="P083543C1S16"/>
    <x v="1"/>
    <n v="2011"/>
    <x v="13"/>
    <n v="12"/>
    <n v="57"/>
    <n v="0.356541"/>
    <s v="USD"/>
    <n v="0.356541"/>
    <n v="6.2551052631578943E-3"/>
    <s v=""/>
    <s v=""/>
    <s v=""/>
    <s v=""/>
    <s v=""/>
    <m/>
  </r>
  <r>
    <s v="Lao PDR"/>
    <s v="East Asia and Pacific"/>
    <s v="P083543"/>
    <s v="C1"/>
    <s v="S16"/>
    <s v="P083543C1S16"/>
    <x v="2"/>
    <s v="2004 / 2011"/>
    <x v="13"/>
    <n v="1"/>
    <n v="1"/>
    <m/>
    <m/>
    <n v="1.0186885714285714"/>
    <n v="1.0186885714285714"/>
    <s v=""/>
    <s v=""/>
    <s v=""/>
    <s v=""/>
    <s v=""/>
    <s v=""/>
  </r>
  <r>
    <s v="Lao PDR"/>
    <s v="East Asia and Pacific"/>
    <s v="P083543"/>
    <s v="C1"/>
    <s v="S17"/>
    <s v="P083543C1S17"/>
    <x v="0"/>
    <n v="2004"/>
    <x v="5"/>
    <n v="12"/>
    <n v="12"/>
    <n v="0.24"/>
    <s v="USD"/>
    <n v="0.24"/>
    <n v="0.02"/>
    <s v=""/>
    <s v=""/>
    <s v=""/>
    <s v=""/>
    <s v=""/>
    <m/>
  </r>
  <r>
    <s v="Lao PDR"/>
    <s v="East Asia and Pacific"/>
    <s v="P083543"/>
    <s v="C1"/>
    <s v="S17"/>
    <s v="P083543C1S17"/>
    <x v="1"/>
    <n v="2011"/>
    <x v="5"/>
    <n v="12"/>
    <n v="12"/>
    <n v="0.200069"/>
    <s v="USD"/>
    <n v="0.200069"/>
    <n v="1.6672416666666665E-2"/>
    <s v=""/>
    <s v=""/>
    <s v=""/>
    <s v=""/>
    <s v=""/>
    <m/>
  </r>
  <r>
    <s v="Lao PDR"/>
    <s v="East Asia and Pacific"/>
    <s v="P083543"/>
    <s v="C1"/>
    <s v="S17"/>
    <s v="P083543C1S17"/>
    <x v="2"/>
    <s v="2004 / 2011"/>
    <x v="5"/>
    <n v="1"/>
    <n v="1"/>
    <m/>
    <m/>
    <n v="0.83362083333333337"/>
    <n v="0.83362083333333326"/>
    <s v=""/>
    <s v=""/>
    <s v=""/>
    <s v=""/>
    <s v=""/>
    <s v=""/>
  </r>
  <r>
    <s v="Lao PDR"/>
    <s v="East Asia and Pacific"/>
    <s v="P083543"/>
    <s v="C1"/>
    <s v="S18"/>
    <s v="P083543C1S18"/>
    <x v="0"/>
    <n v="2004"/>
    <x v="6"/>
    <n v="12"/>
    <n v="14"/>
    <n v="0.15"/>
    <s v="USD"/>
    <n v="0.15"/>
    <n v="1.0714285714285714E-2"/>
    <s v=""/>
    <s v=""/>
    <s v=""/>
    <s v=""/>
    <s v=""/>
    <m/>
  </r>
  <r>
    <s v="Lao PDR"/>
    <s v="East Asia and Pacific"/>
    <s v="P083543"/>
    <s v="C1"/>
    <s v="S18"/>
    <s v="P083543C1S18"/>
    <x v="1"/>
    <n v="2011"/>
    <x v="6"/>
    <n v="12"/>
    <n v="14"/>
    <n v="0.13291700000000001"/>
    <s v="USD"/>
    <n v="0.13291700000000001"/>
    <n v="9.4940714285714298E-3"/>
    <s v=""/>
    <s v=""/>
    <s v=""/>
    <s v=""/>
    <s v=""/>
    <m/>
  </r>
  <r>
    <s v="Lao PDR"/>
    <s v="East Asia and Pacific"/>
    <s v="P083543"/>
    <s v="C1"/>
    <s v="S18"/>
    <s v="P083543C1S18"/>
    <x v="2"/>
    <s v="2004 / 2011"/>
    <x v="6"/>
    <n v="1"/>
    <n v="1"/>
    <m/>
    <m/>
    <n v="0.88611333333333342"/>
    <n v="0.88611333333333342"/>
    <s v=""/>
    <s v=""/>
    <s v=""/>
    <s v=""/>
    <s v=""/>
    <s v=""/>
  </r>
  <r>
    <s v="Lao PDR"/>
    <s v="East Asia and Pacific"/>
    <s v="P083543"/>
    <s v="C1"/>
    <s v="S19"/>
    <s v="P083543C1S19"/>
    <x v="0"/>
    <n v="2004"/>
    <x v="13"/>
    <n v="12"/>
    <n v="32"/>
    <n v="0.25"/>
    <s v="USD"/>
    <n v="0.25"/>
    <n v="7.8125E-3"/>
    <s v=""/>
    <s v=""/>
    <s v=""/>
    <s v="x"/>
    <s v="x"/>
    <m/>
  </r>
  <r>
    <s v="Lao PDR"/>
    <s v="East Asia and Pacific"/>
    <s v="P083543"/>
    <s v="C1"/>
    <s v="S19"/>
    <s v="P083543C1S19"/>
    <x v="1"/>
    <n v="2011"/>
    <x v="13"/>
    <n v="12"/>
    <n v="32"/>
    <n v="0.39507799999999998"/>
    <s v="USD"/>
    <n v="0.39507799999999998"/>
    <n v="1.23461875E-2"/>
    <s v=""/>
    <s v=""/>
    <s v=""/>
    <s v="x"/>
    <s v="x"/>
    <m/>
  </r>
  <r>
    <s v="Lao PDR"/>
    <s v="East Asia and Pacific"/>
    <s v="P083543"/>
    <s v="C1"/>
    <s v="S19"/>
    <s v="P083543C1S19"/>
    <x v="2"/>
    <s v="2004 / 2011"/>
    <x v="13"/>
    <n v="1"/>
    <n v="1"/>
    <m/>
    <m/>
    <n v="1.5803119999999999"/>
    <n v="1.5803119999999999"/>
    <s v=""/>
    <s v=""/>
    <s v=""/>
    <s v="x"/>
    <s v="x"/>
    <s v="Weather shocks; Political events; "/>
  </r>
  <r>
    <s v="Lao PDR"/>
    <s v="East Asia and Pacific"/>
    <s v="P083543"/>
    <s v="C1"/>
    <s v="S2"/>
    <s v="P083543C1S2"/>
    <x v="0"/>
    <n v="2004"/>
    <x v="5"/>
    <n v="12"/>
    <n v="16"/>
    <n v="0.34"/>
    <s v="USD"/>
    <n v="0.34"/>
    <n v="2.1250000000000002E-2"/>
    <s v=""/>
    <s v=""/>
    <s v=""/>
    <s v=""/>
    <s v=""/>
    <m/>
  </r>
  <r>
    <s v="Lao PDR"/>
    <s v="East Asia and Pacific"/>
    <s v="P083543"/>
    <s v="C1"/>
    <s v="S2"/>
    <s v="P083543C1S2"/>
    <x v="1"/>
    <n v="2011"/>
    <x v="5"/>
    <n v="12"/>
    <n v="16"/>
    <n v="0.37198300000000001"/>
    <s v="USD"/>
    <n v="0.37198300000000001"/>
    <n v="2.3248937500000001E-2"/>
    <s v=""/>
    <s v=""/>
    <s v=""/>
    <s v=""/>
    <s v=""/>
    <m/>
  </r>
  <r>
    <s v="Lao PDR"/>
    <s v="East Asia and Pacific"/>
    <s v="P083543"/>
    <s v="C1"/>
    <s v="S2"/>
    <s v="P083543C1S2"/>
    <x v="2"/>
    <s v="2004 / 2011"/>
    <x v="5"/>
    <n v="1"/>
    <n v="1"/>
    <m/>
    <m/>
    <n v="1.0940676470588235"/>
    <n v="1.0940676470588235"/>
    <s v=""/>
    <s v=""/>
    <s v=""/>
    <s v=""/>
    <s v=""/>
    <s v=""/>
  </r>
  <r>
    <s v="Lao PDR"/>
    <s v="East Asia and Pacific"/>
    <s v="P083543"/>
    <s v="C1"/>
    <s v="S20"/>
    <s v="P083543C1S20"/>
    <x v="0"/>
    <n v="2004"/>
    <x v="6"/>
    <n v="12"/>
    <n v="31"/>
    <n v="0.27"/>
    <s v="USD"/>
    <n v="0.27"/>
    <n v="8.7096774193548398E-3"/>
    <s v=""/>
    <s v=""/>
    <s v=""/>
    <s v=""/>
    <s v=""/>
    <m/>
  </r>
  <r>
    <s v="Lao PDR"/>
    <s v="East Asia and Pacific"/>
    <s v="P083543"/>
    <s v="C1"/>
    <s v="S20"/>
    <s v="P083543C1S20"/>
    <x v="1"/>
    <n v="2011"/>
    <x v="6"/>
    <n v="12"/>
    <n v="31"/>
    <n v="0.16953099999999999"/>
    <s v="USD"/>
    <n v="0.16953099999999999"/>
    <n v="5.468741935483871E-3"/>
    <s v=""/>
    <s v=""/>
    <s v=""/>
    <s v=""/>
    <s v=""/>
    <m/>
  </r>
  <r>
    <s v="Lao PDR"/>
    <s v="East Asia and Pacific"/>
    <s v="P083543"/>
    <s v="C1"/>
    <s v="S20"/>
    <s v="P083543C1S20"/>
    <x v="2"/>
    <s v="2004 / 2011"/>
    <x v="6"/>
    <n v="1"/>
    <n v="1"/>
    <m/>
    <m/>
    <n v="0.62789259259259256"/>
    <n v="0.62789259259259256"/>
    <s v=""/>
    <s v=""/>
    <s v=""/>
    <s v=""/>
    <s v=""/>
    <s v=""/>
  </r>
  <r>
    <s v="Lao PDR"/>
    <s v="East Asia and Pacific"/>
    <s v="P083543"/>
    <s v="C1"/>
    <s v="S21"/>
    <s v="P083543C1S21"/>
    <x v="0"/>
    <n v="2004"/>
    <x v="13"/>
    <n v="12"/>
    <n v="53"/>
    <n v="0.22"/>
    <s v="USD"/>
    <n v="0.22"/>
    <n v="4.1509433962264152E-3"/>
    <s v=""/>
    <s v=""/>
    <s v=""/>
    <s v=""/>
    <s v=""/>
    <m/>
  </r>
  <r>
    <s v="Lao PDR"/>
    <s v="East Asia and Pacific"/>
    <s v="P083543"/>
    <s v="C1"/>
    <s v="S21"/>
    <s v="P083543C1S21"/>
    <x v="1"/>
    <n v="2011"/>
    <x v="13"/>
    <n v="12"/>
    <n v="53"/>
    <n v="0.12998699999999999"/>
    <s v="USD"/>
    <n v="0.12998699999999999"/>
    <n v="2.4525849056603773E-3"/>
    <s v=""/>
    <s v=""/>
    <s v=""/>
    <s v=""/>
    <s v=""/>
    <m/>
  </r>
  <r>
    <s v="Lao PDR"/>
    <s v="East Asia and Pacific"/>
    <s v="P083543"/>
    <s v="C1"/>
    <s v="S21"/>
    <s v="P083543C1S21"/>
    <x v="2"/>
    <s v="2004 / 2011"/>
    <x v="13"/>
    <n v="1"/>
    <n v="1"/>
    <m/>
    <m/>
    <n v="0.59084999999999999"/>
    <n v="0.59084999999999999"/>
    <s v=""/>
    <s v=""/>
    <s v=""/>
    <s v=""/>
    <s v=""/>
    <s v=""/>
  </r>
  <r>
    <s v="Lao PDR"/>
    <s v="East Asia and Pacific"/>
    <s v="P083543"/>
    <s v="C1"/>
    <s v="S22"/>
    <s v="P083543C1S22"/>
    <x v="0"/>
    <n v="2004"/>
    <x v="5"/>
    <n v="12"/>
    <n v="8"/>
    <n v="0.16500000000000001"/>
    <s v="USD"/>
    <n v="0.16500000000000001"/>
    <n v="2.0625000000000001E-2"/>
    <s v=""/>
    <s v=""/>
    <s v=""/>
    <s v=""/>
    <s v=""/>
    <m/>
  </r>
  <r>
    <s v="Lao PDR"/>
    <s v="East Asia and Pacific"/>
    <s v="P083543"/>
    <s v="C1"/>
    <s v="S22"/>
    <s v="P083543C1S22"/>
    <x v="1"/>
    <n v="2011"/>
    <x v="5"/>
    <n v="12"/>
    <n v="8"/>
    <n v="0.12582199999999999"/>
    <s v="USD"/>
    <n v="0.12582199999999999"/>
    <n v="1.5727749999999999E-2"/>
    <s v=""/>
    <s v=""/>
    <s v=""/>
    <s v=""/>
    <s v=""/>
    <m/>
  </r>
  <r>
    <s v="Lao PDR"/>
    <s v="East Asia and Pacific"/>
    <s v="P083543"/>
    <s v="C1"/>
    <s v="S22"/>
    <s v="P083543C1S22"/>
    <x v="2"/>
    <s v="2004 / 2011"/>
    <x v="5"/>
    <n v="1"/>
    <n v="1"/>
    <m/>
    <m/>
    <n v="0.76255757575757566"/>
    <n v="0.76255757575757566"/>
    <s v=""/>
    <s v=""/>
    <s v=""/>
    <s v=""/>
    <s v=""/>
    <s v=""/>
  </r>
  <r>
    <s v="Lao PDR"/>
    <s v="East Asia and Pacific"/>
    <s v="P083543"/>
    <s v="C1"/>
    <s v="S23"/>
    <s v="P083543C1S23"/>
    <x v="0"/>
    <n v="2004"/>
    <x v="6"/>
    <n v="12"/>
    <n v="20"/>
    <n v="0.2"/>
    <s v="USD"/>
    <n v="0.2"/>
    <n v="0.01"/>
    <s v=""/>
    <s v=""/>
    <s v=""/>
    <s v=""/>
    <s v=""/>
    <m/>
  </r>
  <r>
    <s v="Lao PDR"/>
    <s v="East Asia and Pacific"/>
    <s v="P083543"/>
    <s v="C1"/>
    <s v="S23"/>
    <s v="P083543C1S23"/>
    <x v="1"/>
    <n v="2011"/>
    <x v="6"/>
    <n v="12"/>
    <n v="20"/>
    <n v="0.164436"/>
    <s v="USD"/>
    <n v="0.164436"/>
    <n v="8.2217999999999996E-3"/>
    <s v=""/>
    <s v=""/>
    <s v=""/>
    <s v=""/>
    <s v=""/>
    <m/>
  </r>
  <r>
    <s v="Lao PDR"/>
    <s v="East Asia and Pacific"/>
    <s v="P083543"/>
    <s v="C1"/>
    <s v="S23"/>
    <s v="P083543C1S23"/>
    <x v="2"/>
    <s v="2004 / 2011"/>
    <x v="6"/>
    <n v="1"/>
    <n v="1"/>
    <m/>
    <m/>
    <n v="0.82217999999999991"/>
    <n v="0.82217999999999991"/>
    <s v=""/>
    <s v=""/>
    <s v=""/>
    <s v=""/>
    <s v=""/>
    <s v=""/>
  </r>
  <r>
    <s v="Lao PDR"/>
    <s v="East Asia and Pacific"/>
    <s v="P083543"/>
    <s v="C1"/>
    <s v="S24"/>
    <s v="P083543C1S24"/>
    <x v="0"/>
    <n v="2004"/>
    <x v="13"/>
    <n v="12"/>
    <n v="26"/>
    <n v="0.2"/>
    <s v="USD"/>
    <n v="0.2"/>
    <n v="7.6923076923076927E-3"/>
    <s v=""/>
    <s v=""/>
    <s v=""/>
    <s v=""/>
    <s v=""/>
    <m/>
  </r>
  <r>
    <s v="Lao PDR"/>
    <s v="East Asia and Pacific"/>
    <s v="P083543"/>
    <s v="C1"/>
    <s v="S24"/>
    <s v="P083543C1S24"/>
    <x v="1"/>
    <n v="2011"/>
    <x v="13"/>
    <n v="12"/>
    <n v="26"/>
    <n v="0.163276"/>
    <s v="USD"/>
    <n v="0.163276"/>
    <n v="6.2798461538461541E-3"/>
    <s v=""/>
    <s v=""/>
    <s v=""/>
    <s v=""/>
    <s v=""/>
    <m/>
  </r>
  <r>
    <s v="Lao PDR"/>
    <s v="East Asia and Pacific"/>
    <s v="P083543"/>
    <s v="C1"/>
    <s v="S24"/>
    <s v="P083543C1S24"/>
    <x v="2"/>
    <s v="2004 / 2011"/>
    <x v="13"/>
    <n v="1"/>
    <n v="1"/>
    <m/>
    <m/>
    <n v="0.81637999999999999"/>
    <n v="0.81637999999999999"/>
    <s v=""/>
    <s v=""/>
    <s v=""/>
    <s v=""/>
    <s v=""/>
    <s v=""/>
  </r>
  <r>
    <s v="Lao PDR"/>
    <s v="East Asia and Pacific"/>
    <s v="P083543"/>
    <s v="C1"/>
    <s v="S25"/>
    <s v="P083543C1S25"/>
    <x v="0"/>
    <n v="2004"/>
    <x v="13"/>
    <n v="12"/>
    <n v="30"/>
    <n v="0.2"/>
    <s v="USD"/>
    <n v="0.2"/>
    <n v="6.6666666666666671E-3"/>
    <s v=""/>
    <s v=""/>
    <s v=""/>
    <s v=""/>
    <s v=""/>
    <m/>
  </r>
  <r>
    <s v="Lao PDR"/>
    <s v="East Asia and Pacific"/>
    <s v="P083543"/>
    <s v="C1"/>
    <s v="S25"/>
    <s v="P083543C1S25"/>
    <x v="1"/>
    <n v="2011"/>
    <x v="13"/>
    <n v="12"/>
    <n v="30"/>
    <n v="0.107241"/>
    <s v="USD"/>
    <n v="0.107241"/>
    <n v="3.5747000000000001E-3"/>
    <s v=""/>
    <s v=""/>
    <s v=""/>
    <s v=""/>
    <s v=""/>
    <m/>
  </r>
  <r>
    <s v="Lao PDR"/>
    <s v="East Asia and Pacific"/>
    <s v="P083543"/>
    <s v="C1"/>
    <s v="S25"/>
    <s v="P083543C1S25"/>
    <x v="2"/>
    <s v="2004 / 2011"/>
    <x v="13"/>
    <n v="1"/>
    <n v="1"/>
    <m/>
    <m/>
    <n v="0.53620499999999993"/>
    <n v="0.53620499999999993"/>
    <s v=""/>
    <s v=""/>
    <s v=""/>
    <s v=""/>
    <s v=""/>
    <s v=""/>
  </r>
  <r>
    <s v="Lao PDR"/>
    <s v="East Asia and Pacific"/>
    <s v="P083543"/>
    <s v="C1"/>
    <s v="S26"/>
    <s v="P083543C1S26"/>
    <x v="0"/>
    <n v="2004"/>
    <x v="6"/>
    <n v="12"/>
    <n v="39"/>
    <n v="0.35"/>
    <s v="USD"/>
    <n v="0.35"/>
    <n v="8.9743589743589737E-3"/>
    <s v=""/>
    <s v=""/>
    <s v=""/>
    <s v=""/>
    <s v=""/>
    <m/>
  </r>
  <r>
    <s v="Lao PDR"/>
    <s v="East Asia and Pacific"/>
    <s v="P083543"/>
    <s v="C1"/>
    <s v="S26"/>
    <s v="P083543C1S26"/>
    <x v="1"/>
    <n v="2011"/>
    <x v="6"/>
    <n v="12"/>
    <n v="39"/>
    <n v="0.35427500000000001"/>
    <s v="USD"/>
    <n v="0.35427500000000001"/>
    <n v="9.0839743589743588E-3"/>
    <s v=""/>
    <s v=""/>
    <s v=""/>
    <s v=""/>
    <s v=""/>
    <m/>
  </r>
  <r>
    <s v="Lao PDR"/>
    <s v="East Asia and Pacific"/>
    <s v="P083543"/>
    <s v="C1"/>
    <s v="S26"/>
    <s v="P083543C1S26"/>
    <x v="2"/>
    <s v="2004 / 2011"/>
    <x v="6"/>
    <n v="1"/>
    <n v="1"/>
    <m/>
    <m/>
    <n v="1.0122142857142857"/>
    <n v="1.0122142857142857"/>
    <s v=""/>
    <s v=""/>
    <s v=""/>
    <s v=""/>
    <s v=""/>
    <s v=""/>
  </r>
  <r>
    <s v="Lao PDR"/>
    <s v="East Asia and Pacific"/>
    <s v="P083543"/>
    <s v="C1"/>
    <s v="S27"/>
    <s v="P083543C1S27"/>
    <x v="0"/>
    <n v="2004"/>
    <x v="13"/>
    <n v="12"/>
    <n v="16"/>
    <n v="0.14000000000000001"/>
    <s v="USD"/>
    <n v="0.14000000000000001"/>
    <n v="8.7500000000000008E-3"/>
    <s v=""/>
    <s v=""/>
    <s v=""/>
    <s v=""/>
    <s v=""/>
    <m/>
  </r>
  <r>
    <s v="Lao PDR"/>
    <s v="East Asia and Pacific"/>
    <s v="P083543"/>
    <s v="C1"/>
    <s v="S27"/>
    <s v="P083543C1S27"/>
    <x v="1"/>
    <n v="2011"/>
    <x v="13"/>
    <n v="12"/>
    <n v="16"/>
    <n v="0.16003800000000001"/>
    <s v="USD"/>
    <n v="0.16003800000000001"/>
    <n v="1.0002375000000001E-2"/>
    <s v=""/>
    <s v=""/>
    <s v=""/>
    <s v=""/>
    <s v=""/>
    <m/>
  </r>
  <r>
    <s v="Lao PDR"/>
    <s v="East Asia and Pacific"/>
    <s v="P083543"/>
    <s v="C1"/>
    <s v="S27"/>
    <s v="P083543C1S27"/>
    <x v="2"/>
    <s v="2004 / 2011"/>
    <x v="13"/>
    <n v="1"/>
    <n v="1"/>
    <m/>
    <m/>
    <n v="1.1431285714285715"/>
    <n v="1.1431285714285715"/>
    <s v=""/>
    <s v=""/>
    <s v=""/>
    <s v=""/>
    <s v=""/>
    <s v=""/>
  </r>
  <r>
    <s v="Lao PDR"/>
    <s v="East Asia and Pacific"/>
    <s v="P083543"/>
    <s v="C1"/>
    <s v="S28"/>
    <s v="P083543C1S28"/>
    <x v="0"/>
    <n v="2004"/>
    <x v="13"/>
    <n v="12"/>
    <n v="38.299999999999997"/>
    <n v="0.1658007"/>
    <s v="USD"/>
    <n v="0.1658007"/>
    <n v="4.3290000000000004E-3"/>
    <s v=""/>
    <s v=""/>
    <s v=""/>
    <s v="x"/>
    <s v="x"/>
    <m/>
  </r>
  <r>
    <s v="Lao PDR"/>
    <s v="East Asia and Pacific"/>
    <s v="P083543"/>
    <s v="C1"/>
    <s v="S28"/>
    <s v="P083543C1S28"/>
    <x v="1"/>
    <n v="2011"/>
    <x v="13"/>
    <n v="12"/>
    <n v="38.299999999999997"/>
    <n v="0.3425935"/>
    <s v="USD"/>
    <n v="0.3425935"/>
    <n v="8.9449999999999998E-3"/>
    <s v=""/>
    <s v=""/>
    <s v=""/>
    <s v="x"/>
    <s v="x"/>
    <m/>
  </r>
  <r>
    <s v="Lao PDR"/>
    <s v="East Asia and Pacific"/>
    <s v="P083543"/>
    <s v="C1"/>
    <s v="S28"/>
    <s v="P083543C1S28"/>
    <x v="2"/>
    <s v="2004 / 2011"/>
    <x v="13"/>
    <n v="1"/>
    <n v="1"/>
    <m/>
    <m/>
    <n v="2.0662970662970661"/>
    <n v="2.0662970662970661"/>
    <s v=""/>
    <s v=""/>
    <s v=""/>
    <s v="x"/>
    <s v="x"/>
    <s v="Weather shocks; Political events; "/>
  </r>
  <r>
    <s v="Lao PDR"/>
    <s v="East Asia and Pacific"/>
    <s v="P083543"/>
    <s v="C1"/>
    <s v="S29"/>
    <s v="P083543C1S29"/>
    <x v="0"/>
    <n v="2004"/>
    <x v="13"/>
    <n v="12"/>
    <n v="30.5"/>
    <n v="0.13200400000000001"/>
    <s v="USD"/>
    <n v="0.13200400000000001"/>
    <n v="4.3280000000000002E-3"/>
    <s v=""/>
    <s v=""/>
    <s v=""/>
    <s v="x"/>
    <s v="x"/>
    <m/>
  </r>
  <r>
    <s v="Lao PDR"/>
    <s v="East Asia and Pacific"/>
    <s v="P083543"/>
    <s v="C1"/>
    <s v="S29"/>
    <s v="P083543C1S29"/>
    <x v="1"/>
    <n v="2011"/>
    <x v="13"/>
    <n v="12"/>
    <n v="30.5"/>
    <n v="0.31079499999999999"/>
    <s v="USD"/>
    <n v="0.31079499999999999"/>
    <n v="1.0189999999999999E-2"/>
    <s v=""/>
    <s v=""/>
    <s v=""/>
    <s v="x"/>
    <s v="x"/>
    <m/>
  </r>
  <r>
    <s v="Lao PDR"/>
    <s v="East Asia and Pacific"/>
    <s v="P083543"/>
    <s v="C1"/>
    <s v="S29"/>
    <s v="P083543C1S29"/>
    <x v="2"/>
    <s v="2004 / 2011"/>
    <x v="13"/>
    <n v="1"/>
    <n v="1"/>
    <m/>
    <m/>
    <n v="2.3544362292051755"/>
    <n v="2.3544362292051755"/>
    <s v=""/>
    <s v=""/>
    <s v=""/>
    <s v="x"/>
    <s v="x"/>
    <s v="Weather shocks; Political events; "/>
  </r>
  <r>
    <s v="Lao PDR"/>
    <s v="East Asia and Pacific"/>
    <s v="P083543"/>
    <s v="C1"/>
    <s v="S3"/>
    <s v="P083543C1S3"/>
    <x v="0"/>
    <n v="2004"/>
    <x v="13"/>
    <n v="12"/>
    <n v="19"/>
    <n v="0.14000000000000001"/>
    <s v="USD"/>
    <n v="0.14000000000000001"/>
    <n v="7.3684210526315796E-3"/>
    <s v=""/>
    <s v=""/>
    <s v=""/>
    <s v=""/>
    <s v=""/>
    <m/>
  </r>
  <r>
    <s v="Lao PDR"/>
    <s v="East Asia and Pacific"/>
    <s v="P083543"/>
    <s v="C1"/>
    <s v="S3"/>
    <s v="P083543C1S3"/>
    <x v="1"/>
    <n v="2011"/>
    <x v="13"/>
    <n v="12"/>
    <n v="19"/>
    <n v="8.2600999999999994E-2"/>
    <s v="USD"/>
    <n v="8.2600999999999994E-2"/>
    <n v="4.3474210526315785E-3"/>
    <s v=""/>
    <s v=""/>
    <s v=""/>
    <s v=""/>
    <s v=""/>
    <m/>
  </r>
  <r>
    <s v="Lao PDR"/>
    <s v="East Asia and Pacific"/>
    <s v="P083543"/>
    <s v="C1"/>
    <s v="S3"/>
    <s v="P083543C1S3"/>
    <x v="2"/>
    <s v="2004 / 2011"/>
    <x v="13"/>
    <n v="1"/>
    <n v="1"/>
    <m/>
    <m/>
    <n v="0.59000714285714273"/>
    <n v="0.59000714285714273"/>
    <s v=""/>
    <s v=""/>
    <s v=""/>
    <s v=""/>
    <s v=""/>
    <s v=""/>
  </r>
  <r>
    <s v="Lao PDR"/>
    <s v="East Asia and Pacific"/>
    <s v="P083543"/>
    <s v="C1"/>
    <s v="S30"/>
    <s v="P083543C1S30"/>
    <x v="0"/>
    <n v="2004"/>
    <x v="13"/>
    <n v="12"/>
    <n v="24.2"/>
    <n v="0.1047134"/>
    <s v="USD"/>
    <n v="0.1047134"/>
    <n v="4.3270000000000001E-3"/>
    <s v=""/>
    <s v=""/>
    <s v=""/>
    <s v=""/>
    <s v=""/>
    <m/>
  </r>
  <r>
    <s v="Lao PDR"/>
    <s v="East Asia and Pacific"/>
    <s v="P083543"/>
    <s v="C1"/>
    <s v="S30"/>
    <s v="P083543C1S30"/>
    <x v="1"/>
    <n v="2011"/>
    <x v="13"/>
    <n v="12"/>
    <n v="24.2"/>
    <n v="8.5305000000000006E-2"/>
    <s v="USD"/>
    <n v="8.5305000000000006E-2"/>
    <n v="3.5250000000000004E-3"/>
    <s v=""/>
    <s v=""/>
    <s v=""/>
    <s v=""/>
    <s v=""/>
    <m/>
  </r>
  <r>
    <s v="Lao PDR"/>
    <s v="East Asia and Pacific"/>
    <s v="P083543"/>
    <s v="C1"/>
    <s v="S30"/>
    <s v="P083543C1S30"/>
    <x v="2"/>
    <s v="2004 / 2011"/>
    <x v="13"/>
    <n v="1"/>
    <n v="1"/>
    <m/>
    <m/>
    <n v="0.81465218396117411"/>
    <n v="0.81465218396117411"/>
    <s v=""/>
    <s v=""/>
    <s v=""/>
    <s v=""/>
    <s v=""/>
    <s v=""/>
  </r>
  <r>
    <s v="Lao PDR"/>
    <s v="East Asia and Pacific"/>
    <s v="P083543"/>
    <s v="C1"/>
    <s v="S31"/>
    <s v="P083543C1S31"/>
    <x v="0"/>
    <n v="2004"/>
    <x v="13"/>
    <n v="12"/>
    <n v="17"/>
    <n v="7.3576000000000003E-2"/>
    <s v="USD"/>
    <n v="7.3576000000000003E-2"/>
    <n v="4.3280000000000002E-3"/>
    <s v=""/>
    <s v=""/>
    <s v=""/>
    <s v=""/>
    <s v=""/>
    <m/>
  </r>
  <r>
    <s v="Lao PDR"/>
    <s v="East Asia and Pacific"/>
    <s v="P083543"/>
    <s v="C1"/>
    <s v="S31"/>
    <s v="P083543C1S31"/>
    <x v="1"/>
    <n v="2011"/>
    <x v="13"/>
    <n v="12"/>
    <n v="17"/>
    <n v="6.1404E-2"/>
    <s v="USD"/>
    <n v="6.1404E-2"/>
    <n v="3.6120000000000002E-3"/>
    <s v=""/>
    <s v=""/>
    <s v=""/>
    <s v=""/>
    <s v=""/>
    <m/>
  </r>
  <r>
    <s v="Lao PDR"/>
    <s v="East Asia and Pacific"/>
    <s v="P083543"/>
    <s v="C1"/>
    <s v="S31"/>
    <s v="P083543C1S31"/>
    <x v="2"/>
    <s v="2004 / 2011"/>
    <x v="13"/>
    <n v="1"/>
    <n v="1"/>
    <m/>
    <m/>
    <n v="0.8345656192236599"/>
    <n v="0.8345656192236599"/>
    <s v=""/>
    <s v=""/>
    <s v=""/>
    <s v=""/>
    <s v=""/>
    <s v=""/>
  </r>
  <r>
    <s v="Lao PDR"/>
    <s v="East Asia and Pacific"/>
    <s v="P083543"/>
    <s v="C1"/>
    <s v="S32"/>
    <s v="P083543C1S32"/>
    <x v="0"/>
    <n v="2004"/>
    <x v="13"/>
    <n v="12"/>
    <n v="44.3"/>
    <n v="0.1917304"/>
    <s v="USD"/>
    <n v="0.1917304"/>
    <n v="4.3280000000000002E-3"/>
    <s v=""/>
    <s v=""/>
    <s v=""/>
    <s v=""/>
    <s v=""/>
    <m/>
  </r>
  <r>
    <s v="Lao PDR"/>
    <s v="East Asia and Pacific"/>
    <s v="P083543"/>
    <s v="C1"/>
    <s v="S32"/>
    <s v="P083543C1S32"/>
    <x v="1"/>
    <n v="2011"/>
    <x v="13"/>
    <n v="12"/>
    <n v="44.3"/>
    <n v="0.22624009999999997"/>
    <s v="USD"/>
    <n v="0.22624009999999997"/>
    <n v="5.1069999999999996E-3"/>
    <s v=""/>
    <s v=""/>
    <s v=""/>
    <s v=""/>
    <s v=""/>
    <m/>
  </r>
  <r>
    <s v="Lao PDR"/>
    <s v="East Asia and Pacific"/>
    <s v="P083543"/>
    <s v="C1"/>
    <s v="S32"/>
    <s v="P083543C1S32"/>
    <x v="2"/>
    <s v="2004 / 2011"/>
    <x v="13"/>
    <n v="1"/>
    <n v="1"/>
    <m/>
    <m/>
    <n v="1.1799907578558224"/>
    <n v="1.1799907578558224"/>
    <s v=""/>
    <s v=""/>
    <s v=""/>
    <s v=""/>
    <s v=""/>
    <s v=""/>
  </r>
  <r>
    <s v="Lao PDR"/>
    <s v="East Asia and Pacific"/>
    <s v="P083543"/>
    <s v="C1"/>
    <s v="S33"/>
    <s v="P083543C1S33"/>
    <x v="0"/>
    <n v="2004"/>
    <x v="13"/>
    <n v="12"/>
    <n v="43"/>
    <n v="0.18610399999999999"/>
    <s v="USD"/>
    <n v="0.18610399999999999"/>
    <n v="4.3279999999999994E-3"/>
    <s v=""/>
    <s v=""/>
    <s v=""/>
    <s v=""/>
    <s v=""/>
    <m/>
  </r>
  <r>
    <s v="Lao PDR"/>
    <s v="East Asia and Pacific"/>
    <s v="P083543"/>
    <s v="C1"/>
    <s v="S33"/>
    <s v="P083543C1S33"/>
    <x v="1"/>
    <n v="2011"/>
    <x v="13"/>
    <n v="12"/>
    <n v="43"/>
    <n v="0.20446500000000001"/>
    <s v="USD"/>
    <n v="0.20446500000000001"/>
    <n v="4.7550000000000005E-3"/>
    <s v=""/>
    <s v=""/>
    <s v=""/>
    <s v=""/>
    <s v=""/>
    <m/>
  </r>
  <r>
    <s v="Lao PDR"/>
    <s v="East Asia and Pacific"/>
    <s v="P083543"/>
    <s v="C1"/>
    <s v="S33"/>
    <s v="P083543C1S33"/>
    <x v="2"/>
    <s v="2004 / 2011"/>
    <x v="13"/>
    <n v="1"/>
    <n v="1"/>
    <m/>
    <m/>
    <n v="1.09865988909427"/>
    <n v="1.0986598890942703"/>
    <s v=""/>
    <s v=""/>
    <s v=""/>
    <s v=""/>
    <s v=""/>
    <s v=""/>
  </r>
  <r>
    <s v="Lao PDR"/>
    <s v="East Asia and Pacific"/>
    <s v="P083543"/>
    <s v="C1"/>
    <s v="S34"/>
    <s v="P083543C1S34"/>
    <x v="0"/>
    <n v="2004"/>
    <x v="13"/>
    <n v="12"/>
    <n v="11"/>
    <n v="4.7597E-2"/>
    <s v="USD"/>
    <n v="4.7597E-2"/>
    <n v="4.3270000000000001E-3"/>
    <s v=""/>
    <s v=""/>
    <s v=""/>
    <s v="x"/>
    <s v="x"/>
    <m/>
  </r>
  <r>
    <s v="Lao PDR"/>
    <s v="East Asia and Pacific"/>
    <s v="P083543"/>
    <s v="C1"/>
    <s v="S34"/>
    <s v="P083543C1S34"/>
    <x v="1"/>
    <n v="2011"/>
    <x v="13"/>
    <n v="12"/>
    <n v="11"/>
    <n v="7.5899999999999995E-2"/>
    <s v="USD"/>
    <n v="7.5899999999999995E-2"/>
    <n v="6.8999999999999999E-3"/>
    <s v=""/>
    <s v=""/>
    <s v=""/>
    <s v="x"/>
    <s v="x"/>
    <m/>
  </r>
  <r>
    <s v="Lao PDR"/>
    <s v="East Asia and Pacific"/>
    <s v="P083543"/>
    <s v="C1"/>
    <s v="S34"/>
    <s v="P083543C1S34"/>
    <x v="2"/>
    <s v="2004 / 2011"/>
    <x v="13"/>
    <n v="1"/>
    <n v="1"/>
    <m/>
    <m/>
    <n v="1.5946383175410215"/>
    <n v="1.5946383175410215"/>
    <s v=""/>
    <s v=""/>
    <s v=""/>
    <s v="x"/>
    <s v="x"/>
    <s v="Weather shocks; Political events; "/>
  </r>
  <r>
    <s v="Lao PDR"/>
    <s v="East Asia and Pacific"/>
    <s v="P083543"/>
    <s v="C1"/>
    <s v="S35"/>
    <s v="P083543C1S35"/>
    <x v="0"/>
    <n v="2004"/>
    <x v="13"/>
    <n v="12"/>
    <n v="16.5"/>
    <n v="7.1428500000000006E-2"/>
    <s v="USD"/>
    <n v="7.1428500000000006E-2"/>
    <n v="4.3290000000000004E-3"/>
    <s v=""/>
    <s v=""/>
    <s v=""/>
    <s v=""/>
    <s v=""/>
    <m/>
  </r>
  <r>
    <s v="Lao PDR"/>
    <s v="East Asia and Pacific"/>
    <s v="P083543"/>
    <s v="C1"/>
    <s v="S35"/>
    <s v="P083543C1S35"/>
    <x v="1"/>
    <n v="2011"/>
    <x v="13"/>
    <n v="12"/>
    <n v="16.5"/>
    <n v="8.2103999999999996E-2"/>
    <s v="USD"/>
    <n v="8.2103999999999996E-2"/>
    <n v="4.9759999999999995E-3"/>
    <s v=""/>
    <s v=""/>
    <s v=""/>
    <s v=""/>
    <s v=""/>
    <m/>
  </r>
  <r>
    <s v="Lao PDR"/>
    <s v="East Asia and Pacific"/>
    <s v="P083543"/>
    <s v="C1"/>
    <s v="S35"/>
    <s v="P083543C1S35"/>
    <x v="2"/>
    <s v="2004 / 2011"/>
    <x v="13"/>
    <n v="1"/>
    <n v="1"/>
    <m/>
    <m/>
    <n v="1.1494571494571493"/>
    <n v="1.1494571494571493"/>
    <s v=""/>
    <s v=""/>
    <s v=""/>
    <s v=""/>
    <s v=""/>
    <s v=""/>
  </r>
  <r>
    <s v="Lao PDR"/>
    <s v="East Asia and Pacific"/>
    <s v="P083543"/>
    <s v="C1"/>
    <s v="S36"/>
    <s v="P083543C1S36"/>
    <x v="0"/>
    <n v="2004"/>
    <x v="13"/>
    <n v="12"/>
    <n v="30.6"/>
    <n v="0.1324062"/>
    <s v="USD"/>
    <n v="0.1324062"/>
    <n v="4.3270000000000001E-3"/>
    <s v=""/>
    <s v=""/>
    <s v=""/>
    <s v=""/>
    <s v=""/>
    <m/>
  </r>
  <r>
    <s v="Lao PDR"/>
    <s v="East Asia and Pacific"/>
    <s v="P083543"/>
    <s v="C1"/>
    <s v="S36"/>
    <s v="P083543C1S36"/>
    <x v="1"/>
    <n v="2011"/>
    <x v="13"/>
    <n v="12"/>
    <n v="30.6"/>
    <n v="0.13154939999999998"/>
    <s v="USD"/>
    <n v="0.13154939999999998"/>
    <n v="4.298999999999999E-3"/>
    <s v=""/>
    <s v=""/>
    <s v=""/>
    <s v=""/>
    <s v=""/>
    <m/>
  </r>
  <r>
    <s v="Lao PDR"/>
    <s v="East Asia and Pacific"/>
    <s v="P083543"/>
    <s v="C1"/>
    <s v="S36"/>
    <s v="P083543C1S36"/>
    <x v="2"/>
    <s v="2004 / 2011"/>
    <x v="13"/>
    <n v="1"/>
    <n v="1"/>
    <m/>
    <m/>
    <n v="0.99352900392881893"/>
    <n v="0.99352900392881882"/>
    <s v=""/>
    <s v=""/>
    <s v=""/>
    <s v=""/>
    <s v=""/>
    <s v=""/>
  </r>
  <r>
    <s v="Lao PDR"/>
    <s v="East Asia and Pacific"/>
    <s v="P083543"/>
    <s v="C1"/>
    <s v="S37"/>
    <s v="P083543C1S37"/>
    <x v="0"/>
    <n v="2004"/>
    <x v="5"/>
    <n v="12"/>
    <n v="17.8"/>
    <n v="0.57194959999999995"/>
    <s v="USD"/>
    <n v="0.57194959999999995"/>
    <n v="3.2131999999999994E-2"/>
    <s v=""/>
    <s v=""/>
    <s v=""/>
    <s v=""/>
    <s v=""/>
    <m/>
  </r>
  <r>
    <s v="Lao PDR"/>
    <s v="East Asia and Pacific"/>
    <s v="P083543"/>
    <s v="C1"/>
    <s v="S37"/>
    <s v="P083543C1S37"/>
    <x v="1"/>
    <n v="2011"/>
    <x v="5"/>
    <n v="12"/>
    <n v="17.8"/>
    <n v="0.57675559999999992"/>
    <s v="USD"/>
    <n v="0.57675559999999992"/>
    <n v="3.2401999999999993E-2"/>
    <s v=""/>
    <s v=""/>
    <s v=""/>
    <s v=""/>
    <s v=""/>
    <m/>
  </r>
  <r>
    <s v="Lao PDR"/>
    <s v="East Asia and Pacific"/>
    <s v="P083543"/>
    <s v="C1"/>
    <s v="S37"/>
    <s v="P083543C1S37"/>
    <x v="2"/>
    <s v="2004 / 2011"/>
    <x v="5"/>
    <n v="1"/>
    <n v="1"/>
    <m/>
    <m/>
    <n v="1.0084028382920454"/>
    <n v="1.0084028382920454"/>
    <s v=""/>
    <s v=""/>
    <s v=""/>
    <s v=""/>
    <s v=""/>
    <s v=""/>
  </r>
  <r>
    <s v="Lao PDR"/>
    <s v="East Asia and Pacific"/>
    <s v="P083543"/>
    <s v="C1"/>
    <s v="S38"/>
    <s v="P083543C1S38"/>
    <x v="0"/>
    <n v="2004"/>
    <x v="13"/>
    <n v="12"/>
    <n v="4.3"/>
    <n v="1.85846E-2"/>
    <s v="USD"/>
    <n v="1.85846E-2"/>
    <n v="4.3220000000000003E-3"/>
    <s v=""/>
    <s v=""/>
    <s v=""/>
    <s v=""/>
    <s v=""/>
    <m/>
  </r>
  <r>
    <s v="Lao PDR"/>
    <s v="East Asia and Pacific"/>
    <s v="P083543"/>
    <s v="C1"/>
    <s v="S38"/>
    <s v="P083543C1S38"/>
    <x v="1"/>
    <n v="2011"/>
    <x v="13"/>
    <n v="12"/>
    <n v="4.3"/>
    <n v="2.6273000000000001E-2"/>
    <s v="USD"/>
    <n v="2.6273000000000001E-2"/>
    <n v="6.1100000000000008E-3"/>
    <s v=""/>
    <s v=""/>
    <s v=""/>
    <s v=""/>
    <s v=""/>
    <m/>
  </r>
  <r>
    <s v="Lao PDR"/>
    <s v="East Asia and Pacific"/>
    <s v="P083543"/>
    <s v="C1"/>
    <s v="S38"/>
    <s v="P083543C1S38"/>
    <x v="2"/>
    <s v="2004 / 2011"/>
    <x v="13"/>
    <n v="1"/>
    <n v="1"/>
    <m/>
    <m/>
    <n v="1.4136973623322537"/>
    <n v="1.4136973623322537"/>
    <s v=""/>
    <s v=""/>
    <s v=""/>
    <s v=""/>
    <s v=""/>
    <s v=""/>
  </r>
  <r>
    <s v="Lao PDR"/>
    <s v="East Asia and Pacific"/>
    <s v="P083543"/>
    <s v="C1"/>
    <s v="S39"/>
    <s v="P083543C1S39"/>
    <x v="0"/>
    <n v="2004"/>
    <x v="13"/>
    <n v="12"/>
    <n v="90.5"/>
    <n v="0.39150299999999999"/>
    <s v="USD"/>
    <n v="0.39150299999999999"/>
    <n v="4.326E-3"/>
    <s v=""/>
    <s v=""/>
    <s v=""/>
    <s v=""/>
    <s v=""/>
    <m/>
  </r>
  <r>
    <s v="Lao PDR"/>
    <s v="East Asia and Pacific"/>
    <s v="P083543"/>
    <s v="C1"/>
    <s v="S39"/>
    <s v="P083543C1S39"/>
    <x v="1"/>
    <n v="2011"/>
    <x v="13"/>
    <n v="12"/>
    <n v="90.5"/>
    <n v="0.49956"/>
    <s v="USD"/>
    <n v="0.49956"/>
    <n v="5.5199999999999997E-3"/>
    <s v=""/>
    <s v=""/>
    <s v=""/>
    <s v=""/>
    <s v=""/>
    <m/>
  </r>
  <r>
    <s v="Lao PDR"/>
    <s v="East Asia and Pacific"/>
    <s v="P083543"/>
    <s v="C1"/>
    <s v="S39"/>
    <s v="P083543C1S39"/>
    <x v="2"/>
    <s v="2004 / 2011"/>
    <x v="13"/>
    <n v="1"/>
    <n v="1"/>
    <m/>
    <m/>
    <n v="1.2760055478502081"/>
    <n v="1.2760055478502079"/>
    <s v=""/>
    <s v=""/>
    <s v=""/>
    <s v=""/>
    <s v=""/>
    <s v=""/>
  </r>
  <r>
    <s v="Lao PDR"/>
    <s v="East Asia and Pacific"/>
    <s v="P083543"/>
    <s v="C1"/>
    <s v="S4"/>
    <s v="P083543C1S4"/>
    <x v="0"/>
    <n v="2004"/>
    <x v="6"/>
    <n v="12"/>
    <n v="24"/>
    <n v="0.23"/>
    <s v="USD"/>
    <n v="0.23"/>
    <n v="9.5833333333333343E-3"/>
    <s v=""/>
    <s v=""/>
    <s v=""/>
    <s v=""/>
    <s v=""/>
    <m/>
  </r>
  <r>
    <s v="Lao PDR"/>
    <s v="East Asia and Pacific"/>
    <s v="P083543"/>
    <s v="C1"/>
    <s v="S4"/>
    <s v="P083543C1S4"/>
    <x v="1"/>
    <n v="2011"/>
    <x v="6"/>
    <n v="12"/>
    <n v="24"/>
    <n v="0.33328999999999998"/>
    <s v="USD"/>
    <n v="0.33328999999999998"/>
    <n v="1.3887083333333333E-2"/>
    <s v=""/>
    <s v=""/>
    <s v=""/>
    <s v=""/>
    <s v=""/>
    <m/>
  </r>
  <r>
    <s v="Lao PDR"/>
    <s v="East Asia and Pacific"/>
    <s v="P083543"/>
    <s v="C1"/>
    <s v="S4"/>
    <s v="P083543C1S4"/>
    <x v="2"/>
    <s v="2004 / 2011"/>
    <x v="6"/>
    <n v="1"/>
    <n v="1"/>
    <m/>
    <m/>
    <n v="1.449086956521739"/>
    <n v="1.449086956521739"/>
    <s v=""/>
    <s v=""/>
    <s v=""/>
    <s v=""/>
    <s v=""/>
    <s v=""/>
  </r>
  <r>
    <s v="Lao PDR"/>
    <s v="East Asia and Pacific"/>
    <s v="P083543"/>
    <s v="C1"/>
    <s v="S40"/>
    <s v="P083543C1S40"/>
    <x v="0"/>
    <n v="2004"/>
    <x v="13"/>
    <n v="12"/>
    <n v="33.4"/>
    <n v="0.14448839999999999"/>
    <s v="USD"/>
    <n v="0.14448839999999999"/>
    <n v="4.326E-3"/>
    <s v=""/>
    <s v=""/>
    <s v=""/>
    <s v=""/>
    <s v=""/>
    <m/>
  </r>
  <r>
    <s v="Lao PDR"/>
    <s v="East Asia and Pacific"/>
    <s v="P083543"/>
    <s v="C1"/>
    <s v="S40"/>
    <s v="P083543C1S40"/>
    <x v="1"/>
    <n v="2011"/>
    <x v="13"/>
    <n v="12"/>
    <n v="33.4"/>
    <n v="0.1892778"/>
    <s v="USD"/>
    <n v="0.1892778"/>
    <n v="5.6670000000000002E-3"/>
    <s v=""/>
    <s v=""/>
    <s v=""/>
    <s v=""/>
    <s v=""/>
    <m/>
  </r>
  <r>
    <s v="Lao PDR"/>
    <s v="East Asia and Pacific"/>
    <s v="P083543"/>
    <s v="C1"/>
    <s v="S40"/>
    <s v="P083543C1S40"/>
    <x v="2"/>
    <s v="2004 / 2011"/>
    <x v="13"/>
    <n v="1"/>
    <n v="1"/>
    <m/>
    <m/>
    <n v="1.30998613037448"/>
    <n v="1.30998613037448"/>
    <s v=""/>
    <s v=""/>
    <s v=""/>
    <s v=""/>
    <s v=""/>
    <s v=""/>
  </r>
  <r>
    <s v="Lao PDR"/>
    <s v="East Asia and Pacific"/>
    <s v="P083543"/>
    <s v="C1"/>
    <s v="S5"/>
    <s v="P083543C1S5"/>
    <x v="0"/>
    <n v="2004"/>
    <x v="6"/>
    <n v="12"/>
    <n v="17"/>
    <n v="0.17"/>
    <s v="USD"/>
    <n v="0.17"/>
    <n v="0.01"/>
    <s v=""/>
    <s v=""/>
    <s v=""/>
    <s v=""/>
    <s v=""/>
    <m/>
  </r>
  <r>
    <s v="Lao PDR"/>
    <s v="East Asia and Pacific"/>
    <s v="P083543"/>
    <s v="C1"/>
    <s v="S5"/>
    <s v="P083543C1S5"/>
    <x v="1"/>
    <n v="2011"/>
    <x v="6"/>
    <n v="12"/>
    <n v="17"/>
    <n v="0.17721700000000001"/>
    <s v="USD"/>
    <n v="0.17721700000000001"/>
    <n v="1.0424529411764707E-2"/>
    <s v=""/>
    <s v=""/>
    <s v=""/>
    <s v=""/>
    <s v=""/>
    <m/>
  </r>
  <r>
    <s v="Lao PDR"/>
    <s v="East Asia and Pacific"/>
    <s v="P083543"/>
    <s v="C1"/>
    <s v="S5"/>
    <s v="P083543C1S5"/>
    <x v="2"/>
    <s v="2004 / 2011"/>
    <x v="6"/>
    <n v="1"/>
    <n v="1"/>
    <m/>
    <m/>
    <n v="1.0424529411764707"/>
    <n v="1.0424529411764707"/>
    <s v=""/>
    <s v=""/>
    <s v=""/>
    <s v=""/>
    <s v=""/>
    <s v=""/>
  </r>
  <r>
    <s v="Lao PDR"/>
    <s v="East Asia and Pacific"/>
    <s v="P083543"/>
    <s v="C1"/>
    <s v="S6"/>
    <s v="P083543C1S6"/>
    <x v="0"/>
    <n v="2004"/>
    <x v="5"/>
    <n v="12"/>
    <n v="8"/>
    <n v="0.16500000000000001"/>
    <s v="USD"/>
    <n v="0.16500000000000001"/>
    <n v="2.0625000000000001E-2"/>
    <s v=""/>
    <s v=""/>
    <s v=""/>
    <s v=""/>
    <s v=""/>
    <m/>
  </r>
  <r>
    <s v="Lao PDR"/>
    <s v="East Asia and Pacific"/>
    <s v="P083543"/>
    <s v="C1"/>
    <s v="S6"/>
    <s v="P083543C1S6"/>
    <x v="1"/>
    <n v="2011"/>
    <x v="5"/>
    <n v="12"/>
    <n v="8"/>
    <n v="0.18324699999999999"/>
    <s v="USD"/>
    <n v="0.18324699999999999"/>
    <n v="2.2905874999999999E-2"/>
    <s v=""/>
    <s v=""/>
    <s v=""/>
    <s v=""/>
    <s v=""/>
    <m/>
  </r>
  <r>
    <s v="Lao PDR"/>
    <s v="East Asia and Pacific"/>
    <s v="P083543"/>
    <s v="C1"/>
    <s v="S6"/>
    <s v="P083543C1S6"/>
    <x v="2"/>
    <s v="2004 / 2011"/>
    <x v="5"/>
    <n v="1"/>
    <n v="1"/>
    <m/>
    <m/>
    <n v="1.1105878787878787"/>
    <n v="1.1105878787878787"/>
    <s v=""/>
    <s v=""/>
    <s v=""/>
    <s v=""/>
    <s v=""/>
    <s v=""/>
  </r>
  <r>
    <s v="Lao PDR"/>
    <s v="East Asia and Pacific"/>
    <s v="P083543"/>
    <s v="C1"/>
    <s v="S7"/>
    <s v="P083543C1S7"/>
    <x v="0"/>
    <n v="2004"/>
    <x v="13"/>
    <n v="12"/>
    <n v="19"/>
    <n v="0.15"/>
    <s v="USD"/>
    <n v="0.15"/>
    <n v="7.8947368421052634E-3"/>
    <s v=""/>
    <s v=""/>
    <s v=""/>
    <s v=""/>
    <s v=""/>
    <m/>
  </r>
  <r>
    <s v="Lao PDR"/>
    <s v="East Asia and Pacific"/>
    <s v="P083543"/>
    <s v="C1"/>
    <s v="S7"/>
    <s v="P083543C1S7"/>
    <x v="1"/>
    <n v="2011"/>
    <x v="13"/>
    <n v="12"/>
    <n v="19"/>
    <n v="0.113151"/>
    <s v="USD"/>
    <n v="0.113151"/>
    <n v="5.9553157894736844E-3"/>
    <s v=""/>
    <s v=""/>
    <s v=""/>
    <s v=""/>
    <s v=""/>
    <m/>
  </r>
  <r>
    <s v="Lao PDR"/>
    <s v="East Asia and Pacific"/>
    <s v="P083543"/>
    <s v="C1"/>
    <s v="S7"/>
    <s v="P083543C1S7"/>
    <x v="2"/>
    <s v="2004 / 2011"/>
    <x v="13"/>
    <n v="1"/>
    <n v="1"/>
    <m/>
    <m/>
    <n v="0.75434000000000001"/>
    <n v="0.75434000000000001"/>
    <s v=""/>
    <s v=""/>
    <s v=""/>
    <s v=""/>
    <s v=""/>
    <s v=""/>
  </r>
  <r>
    <s v="Lao PDR"/>
    <s v="East Asia and Pacific"/>
    <s v="P083543"/>
    <s v="C1"/>
    <s v="S8"/>
    <s v="P083543C1S8"/>
    <x v="0"/>
    <n v="2004"/>
    <x v="13"/>
    <n v="12"/>
    <n v="32"/>
    <n v="0.25"/>
    <s v="USD"/>
    <n v="0.25"/>
    <n v="7.8125E-3"/>
    <s v=""/>
    <s v=""/>
    <s v=""/>
    <s v=""/>
    <s v=""/>
    <m/>
  </r>
  <r>
    <s v="Lao PDR"/>
    <s v="East Asia and Pacific"/>
    <s v="P083543"/>
    <s v="C1"/>
    <s v="S8"/>
    <s v="P083543C1S8"/>
    <x v="1"/>
    <n v="2011"/>
    <x v="13"/>
    <n v="12"/>
    <n v="32"/>
    <n v="0.217972"/>
    <s v="USD"/>
    <n v="0.217972"/>
    <n v="6.811625E-3"/>
    <s v=""/>
    <s v=""/>
    <s v=""/>
    <s v=""/>
    <s v=""/>
    <m/>
  </r>
  <r>
    <s v="Lao PDR"/>
    <s v="East Asia and Pacific"/>
    <s v="P083543"/>
    <s v="C1"/>
    <s v="S8"/>
    <s v="P083543C1S8"/>
    <x v="2"/>
    <s v="2004 / 2011"/>
    <x v="13"/>
    <n v="1"/>
    <n v="1"/>
    <m/>
    <m/>
    <n v="0.871888"/>
    <n v="0.871888"/>
    <s v=""/>
    <s v=""/>
    <s v=""/>
    <s v=""/>
    <s v=""/>
    <s v=""/>
  </r>
  <r>
    <s v="Lao PDR"/>
    <s v="East Asia and Pacific"/>
    <s v="P083543"/>
    <s v="C1"/>
    <s v="S9"/>
    <s v="P083543C1S9"/>
    <x v="0"/>
    <n v="2004"/>
    <x v="13"/>
    <n v="12"/>
    <n v="32"/>
    <n v="0.4"/>
    <s v="USD"/>
    <n v="0.4"/>
    <n v="1.2500000000000001E-2"/>
    <s v=""/>
    <s v=""/>
    <s v=""/>
    <s v=""/>
    <s v=""/>
    <m/>
  </r>
  <r>
    <s v="Lao PDR"/>
    <s v="East Asia and Pacific"/>
    <s v="P083543"/>
    <s v="C1"/>
    <s v="S9"/>
    <s v="P083543C1S9"/>
    <x v="1"/>
    <n v="2011"/>
    <x v="13"/>
    <n v="12"/>
    <n v="32"/>
    <n v="0.40590199999999999"/>
    <s v="USD"/>
    <n v="0.40590199999999999"/>
    <n v="1.26844375E-2"/>
    <s v=""/>
    <s v=""/>
    <s v=""/>
    <s v=""/>
    <s v=""/>
    <m/>
  </r>
  <r>
    <s v="Lao PDR"/>
    <s v="East Asia and Pacific"/>
    <s v="P083543"/>
    <s v="C1"/>
    <s v="S9"/>
    <s v="P083543C1S9"/>
    <x v="2"/>
    <s v="2004 / 2011"/>
    <x v="13"/>
    <n v="1"/>
    <n v="1"/>
    <m/>
    <m/>
    <n v="1.0147549999999999"/>
    <n v="1.0147549999999999"/>
    <s v=""/>
    <s v=""/>
    <s v=""/>
    <s v=""/>
    <s v=""/>
    <s v=""/>
  </r>
  <r>
    <s v="Lesotho"/>
    <s v="Sub-Saharan Africa"/>
    <s v="P075566"/>
    <s v="C1"/>
    <s v=""/>
    <s v="P075566C1"/>
    <x v="0"/>
    <n v="2006"/>
    <x v="0"/>
    <s v=""/>
    <n v="53"/>
    <n v="21.25"/>
    <s v="USD"/>
    <n v="21.25"/>
    <n v="0.40094339622641512"/>
    <s v=""/>
    <s v="x"/>
    <s v=""/>
    <s v=""/>
    <s v="x"/>
    <m/>
  </r>
  <r>
    <s v="Lesotho"/>
    <s v="Sub-Saharan Africa"/>
    <s v="P075566"/>
    <s v="C1"/>
    <s v=""/>
    <s v="P075566C1"/>
    <x v="1"/>
    <n v="2015"/>
    <x v="0"/>
    <s v=""/>
    <n v="110"/>
    <n v="63.86"/>
    <s v="USD"/>
    <n v="63.86"/>
    <n v="0.58054545454545459"/>
    <s v=""/>
    <s v="x"/>
    <s v=""/>
    <s v=""/>
    <s v="x"/>
    <m/>
  </r>
  <r>
    <s v="Lesotho"/>
    <s v="Sub-Saharan Africa"/>
    <s v="P075566"/>
    <s v="C1"/>
    <s v=""/>
    <s v="P075566C1"/>
    <x v="2"/>
    <s v="2006 / 2015"/>
    <x v="0"/>
    <s v=""/>
    <n v="2.0754716981132075"/>
    <n v="3.0051764705882351"/>
    <m/>
    <n v="3.0051764705882351"/>
    <n v="1.4479486631016043"/>
    <s v=""/>
    <s v="x"/>
    <s v=""/>
    <s v=""/>
    <s v="x"/>
    <s v="Change of project scope; ; "/>
  </r>
  <r>
    <s v="Macedonia, FYR"/>
    <s v="Europe and Central Asia"/>
    <s v="P091723"/>
    <s v="C1"/>
    <s v=""/>
    <s v="P091723C1"/>
    <x v="0"/>
    <n v="2007"/>
    <x v="9"/>
    <n v="26"/>
    <n v="7.3"/>
    <n v="13.11"/>
    <s v="USD"/>
    <n v="13.11"/>
    <n v="1.795890410958904"/>
    <s v=""/>
    <s v=""/>
    <s v=""/>
    <s v=""/>
    <s v=""/>
    <m/>
  </r>
  <r>
    <s v="Macedonia, FYR"/>
    <s v="Europe and Central Asia"/>
    <s v="P091723"/>
    <s v="C1"/>
    <s v=""/>
    <s v="P091723C1"/>
    <x v="1"/>
    <n v="2012"/>
    <x v="9"/>
    <n v="33"/>
    <n v="7.3"/>
    <n v="18.149999999999999"/>
    <s v="USD"/>
    <n v="18.149999999999999"/>
    <n v="2.4863013698630136"/>
    <s v=""/>
    <s v=""/>
    <s v=""/>
    <s v=""/>
    <s v=""/>
    <m/>
  </r>
  <r>
    <s v="Macedonia, FYR"/>
    <s v="Europe and Central Asia"/>
    <s v="P091723"/>
    <s v="C1"/>
    <s v=""/>
    <s v="P091723C1"/>
    <x v="2"/>
    <s v="2007 / 2012"/>
    <x v="9"/>
    <n v="1.2692307692307692"/>
    <n v="1"/>
    <n v="1.3844393592677344"/>
    <m/>
    <n v="1.3844393592677344"/>
    <n v="1.3844393592677346"/>
    <s v=""/>
    <s v=""/>
    <s v=""/>
    <s v=""/>
    <s v=""/>
    <s v=""/>
  </r>
  <r>
    <s v="Macedonia, FYR"/>
    <s v="Europe and Central Asia"/>
    <s v="P107840"/>
    <s v="C1"/>
    <s v="S1"/>
    <s v="P107840C1S1"/>
    <x v="0"/>
    <n v="2008"/>
    <x v="2"/>
    <s v=""/>
    <n v="15.2"/>
    <n v="1.38"/>
    <s v="EUR"/>
    <n v="2.0909090909090908"/>
    <n v="0.13755980861244019"/>
    <s v=""/>
    <s v=""/>
    <s v=""/>
    <s v=""/>
    <s v=""/>
    <m/>
  </r>
  <r>
    <s v="Macedonia, FYR"/>
    <s v="Europe and Central Asia"/>
    <s v="P107840"/>
    <s v="C1"/>
    <s v="S1"/>
    <s v="P107840C1S1"/>
    <x v="1"/>
    <n v="2016"/>
    <x v="2"/>
    <n v="25"/>
    <n v="19.100000000000001"/>
    <n v="1.67"/>
    <s v="EUR"/>
    <n v="2.5097714285714283"/>
    <n v="0.13140164547494387"/>
    <s v=""/>
    <s v=""/>
    <s v=""/>
    <s v=""/>
    <s v=""/>
    <m/>
  </r>
  <r>
    <s v="Macedonia, FYR"/>
    <s v="Europe and Central Asia"/>
    <s v="P107840"/>
    <s v="C1"/>
    <s v="S1"/>
    <s v="P107840C1S1"/>
    <x v="2"/>
    <s v="2008 / 2016"/>
    <x v="2"/>
    <s v=""/>
    <n v="1.2565789473684212"/>
    <m/>
    <m/>
    <n v="1.2003254658385092"/>
    <n v="0.95523283145263549"/>
    <s v=""/>
    <s v=""/>
    <s v=""/>
    <s v=""/>
    <s v=""/>
    <s v="Capacity of Counterpart; ; "/>
  </r>
  <r>
    <s v="Macedonia, FYR"/>
    <s v="Europe and Central Asia"/>
    <s v="P107840"/>
    <s v="C1"/>
    <s v="S10"/>
    <s v="P107840C1S10"/>
    <x v="0"/>
    <n v="2008"/>
    <x v="2"/>
    <s v=""/>
    <n v="18.100000000000001"/>
    <n v="1.65"/>
    <s v="EUR"/>
    <n v="2.4999999999999996"/>
    <n v="0.13812154696132592"/>
    <s v=""/>
    <s v=""/>
    <s v=""/>
    <s v=""/>
    <s v=""/>
    <m/>
  </r>
  <r>
    <s v="Macedonia, FYR"/>
    <s v="Europe and Central Asia"/>
    <s v="P107840"/>
    <s v="C1"/>
    <s v="S10"/>
    <s v="P107840C1S10"/>
    <x v="1"/>
    <n v="2016"/>
    <x v="2"/>
    <n v="20"/>
    <n v="13.2"/>
    <n v="1.47"/>
    <s v="EUR"/>
    <n v="2.2092000000000001"/>
    <n v="0.16736363636363638"/>
    <s v=""/>
    <s v=""/>
    <s v=""/>
    <s v=""/>
    <s v=""/>
    <m/>
  </r>
  <r>
    <s v="Macedonia, FYR"/>
    <s v="Europe and Central Asia"/>
    <s v="P107840"/>
    <s v="C1"/>
    <s v="S10"/>
    <s v="P107840C1S10"/>
    <x v="2"/>
    <s v="2008 / 2016"/>
    <x v="2"/>
    <s v=""/>
    <n v="0.72928176795580102"/>
    <m/>
    <m/>
    <n v="0.88368000000000013"/>
    <n v="1.2117127272727277"/>
    <s v=""/>
    <s v=""/>
    <s v=""/>
    <s v=""/>
    <s v=""/>
    <s v="; Quality of estimates; "/>
  </r>
  <r>
    <s v="Macedonia, FYR"/>
    <s v="Europe and Central Asia"/>
    <s v="P107840"/>
    <s v="C1"/>
    <s v="S11"/>
    <s v="P107840C1S11"/>
    <x v="0"/>
    <n v="2008"/>
    <x v="2"/>
    <s v=""/>
    <n v="28.1"/>
    <n v="2.74"/>
    <s v="EUR"/>
    <n v="4.1515151515151514"/>
    <n v="0.14774075272295911"/>
    <s v=""/>
    <s v=""/>
    <s v=""/>
    <s v=""/>
    <s v=""/>
    <m/>
  </r>
  <r>
    <s v="Macedonia, FYR"/>
    <s v="Europe and Central Asia"/>
    <s v="P107840"/>
    <s v="C1"/>
    <s v="S11"/>
    <s v="P107840C1S11"/>
    <x v="1"/>
    <n v="2016"/>
    <x v="2"/>
    <n v="25"/>
    <n v="24.4"/>
    <n v="2.17"/>
    <s v="EUR"/>
    <n v="3.2611999999999997"/>
    <n v="0.13365573770491804"/>
    <s v=""/>
    <s v=""/>
    <s v=""/>
    <s v=""/>
    <s v=""/>
    <m/>
  </r>
  <r>
    <s v="Macedonia, FYR"/>
    <s v="Europe and Central Asia"/>
    <s v="P107840"/>
    <s v="C1"/>
    <s v="S11"/>
    <s v="P107840C1S11"/>
    <x v="2"/>
    <s v="2008 / 2016"/>
    <x v="2"/>
    <s v=""/>
    <n v="0.86832740213523119"/>
    <m/>
    <m/>
    <n v="0.78554452554744525"/>
    <n v="0.90466398229029565"/>
    <s v=""/>
    <s v=""/>
    <s v=""/>
    <s v=""/>
    <s v=""/>
    <s v="Capacity of Counterpart; Quality of estimates; "/>
  </r>
  <r>
    <s v="Macedonia, FYR"/>
    <s v="Europe and Central Asia"/>
    <s v="P107840"/>
    <s v="C1"/>
    <s v="S2"/>
    <s v="P107840C1S2"/>
    <x v="0"/>
    <n v="2008"/>
    <x v="2"/>
    <s v=""/>
    <n v="38"/>
    <n v="3.46"/>
    <s v="EUR"/>
    <n v="5.2424242424242422"/>
    <n v="0.13795853269537481"/>
    <s v=""/>
    <s v=""/>
    <s v=""/>
    <s v=""/>
    <s v=""/>
    <m/>
  </r>
  <r>
    <s v="Macedonia, FYR"/>
    <s v="Europe and Central Asia"/>
    <s v="P107840"/>
    <s v="C1"/>
    <s v="S2"/>
    <s v="P107840C1S2"/>
    <x v="1"/>
    <n v="2016"/>
    <x v="2"/>
    <n v="28"/>
    <n v="35.4"/>
    <n v="2.4500000000000002"/>
    <s v="EUR"/>
    <n v="3.6819999999999999"/>
    <n v="0.10401129943502825"/>
    <s v=""/>
    <s v=""/>
    <s v=""/>
    <s v=""/>
    <s v=""/>
    <m/>
  </r>
  <r>
    <s v="Macedonia, FYR"/>
    <s v="Europe and Central Asia"/>
    <s v="P107840"/>
    <s v="C1"/>
    <s v="S2"/>
    <s v="P107840C1S2"/>
    <x v="2"/>
    <s v="2008 / 2016"/>
    <x v="2"/>
    <s v=""/>
    <n v="0.93157894736842106"/>
    <m/>
    <m/>
    <n v="0.7023468208092486"/>
    <n v="0.75393161555795041"/>
    <s v=""/>
    <s v=""/>
    <s v=""/>
    <s v=""/>
    <s v=""/>
    <s v="Capacity of Counterpart; ; "/>
  </r>
  <r>
    <s v="Macedonia, FYR"/>
    <s v="Europe and Central Asia"/>
    <s v="P107840"/>
    <s v="C1"/>
    <s v="S3"/>
    <s v="P107840C1S3"/>
    <x v="0"/>
    <n v="2008"/>
    <x v="2"/>
    <s v=""/>
    <n v="27.1"/>
    <n v="2.4700000000000002"/>
    <s v="EUR"/>
    <n v="3.7424242424242427"/>
    <n v="0.13809683551380969"/>
    <s v=""/>
    <s v=""/>
    <s v=""/>
    <s v=""/>
    <s v=""/>
    <m/>
  </r>
  <r>
    <s v="Macedonia, FYR"/>
    <s v="Europe and Central Asia"/>
    <s v="P107840"/>
    <s v="C1"/>
    <s v="S3"/>
    <s v="P107840C1S3"/>
    <x v="1"/>
    <n v="2016"/>
    <x v="2"/>
    <n v="8"/>
    <n v="33.4"/>
    <n v="3.06"/>
    <s v="EUR"/>
    <n v="4.5987428571428568"/>
    <n v="0.13768691189050469"/>
    <s v=""/>
    <s v=""/>
    <s v=""/>
    <s v=""/>
    <s v=""/>
    <m/>
  </r>
  <r>
    <s v="Macedonia, FYR"/>
    <s v="Europe and Central Asia"/>
    <s v="P107840"/>
    <s v="C1"/>
    <s v="S3"/>
    <s v="P107840C1S3"/>
    <x v="2"/>
    <s v="2008 / 2016"/>
    <x v="2"/>
    <s v=""/>
    <n v="1.2324723247232472"/>
    <m/>
    <m/>
    <n v="1.2288138808559859"/>
    <n v="0.99703162189213235"/>
    <s v=""/>
    <s v=""/>
    <s v=""/>
    <s v=""/>
    <s v=""/>
    <s v="; Quality of estimates; "/>
  </r>
  <r>
    <s v="Macedonia, FYR"/>
    <s v="Europe and Central Asia"/>
    <s v="P107840"/>
    <s v="C1"/>
    <s v="S4"/>
    <s v="P107840C1S4"/>
    <x v="0"/>
    <n v="2008"/>
    <x v="2"/>
    <s v=""/>
    <n v="11.5"/>
    <n v="1.35"/>
    <s v="EUR"/>
    <n v="2.0454545454545454"/>
    <n v="0.17786561264822134"/>
    <s v=""/>
    <s v=""/>
    <s v=""/>
    <s v=""/>
    <s v=""/>
    <m/>
  </r>
  <r>
    <s v="Macedonia, FYR"/>
    <s v="Europe and Central Asia"/>
    <s v="P107840"/>
    <s v="C1"/>
    <s v="S4"/>
    <s v="P107840C1S4"/>
    <x v="1"/>
    <n v="2016"/>
    <x v="2"/>
    <n v="8"/>
    <n v="14.3"/>
    <n v="0.99"/>
    <s v="EUR"/>
    <n v="1.4878285714285713"/>
    <n v="0.10404395604395603"/>
    <s v=""/>
    <s v=""/>
    <s v=""/>
    <s v=""/>
    <s v=""/>
    <m/>
  </r>
  <r>
    <s v="Macedonia, FYR"/>
    <s v="Europe and Central Asia"/>
    <s v="P107840"/>
    <s v="C1"/>
    <s v="S4"/>
    <s v="P107840C1S4"/>
    <x v="2"/>
    <s v="2008 / 2016"/>
    <x v="2"/>
    <s v=""/>
    <n v="1.2434782608695654"/>
    <m/>
    <m/>
    <n v="0.72738285714285711"/>
    <n v="0.58495824175824163"/>
    <s v=""/>
    <s v=""/>
    <s v=""/>
    <s v=""/>
    <s v=""/>
    <s v="Capacity of Counterpart; Quality of estimates; "/>
  </r>
  <r>
    <s v="Macedonia, FYR"/>
    <s v="Europe and Central Asia"/>
    <s v="P107840"/>
    <s v="C1"/>
    <s v="S5"/>
    <s v="P107840C1S5"/>
    <x v="0"/>
    <n v="2008"/>
    <x v="2"/>
    <s v=""/>
    <n v="25.3"/>
    <n v="2.2999999999999998"/>
    <s v="EUR"/>
    <n v="3.4848484848484844"/>
    <n v="0.1377410468319559"/>
    <s v=""/>
    <s v=""/>
    <s v=""/>
    <s v=""/>
    <s v=""/>
    <m/>
  </r>
  <r>
    <s v="Macedonia, FYR"/>
    <s v="Europe and Central Asia"/>
    <s v="P107840"/>
    <s v="C1"/>
    <s v="S5"/>
    <s v="P107840C1S5"/>
    <x v="1"/>
    <n v="2016"/>
    <x v="2"/>
    <n v="25"/>
    <n v="25.5"/>
    <n v="2.98"/>
    <s v="EUR"/>
    <n v="4.4785142857142857"/>
    <n v="0.17562801120448179"/>
    <s v=""/>
    <s v=""/>
    <s v=""/>
    <s v=""/>
    <s v=""/>
    <m/>
  </r>
  <r>
    <s v="Macedonia, FYR"/>
    <s v="Europe and Central Asia"/>
    <s v="P107840"/>
    <s v="C1"/>
    <s v="S5"/>
    <s v="P107840C1S5"/>
    <x v="2"/>
    <s v="2008 / 2016"/>
    <x v="2"/>
    <s v=""/>
    <n v="1.0079051383399209"/>
    <m/>
    <m/>
    <n v="1.2851388819875778"/>
    <n v="1.275059361344538"/>
    <s v=""/>
    <s v=""/>
    <s v=""/>
    <s v=""/>
    <s v=""/>
    <s v="Capacity of Counterpart; ; "/>
  </r>
  <r>
    <s v="Macedonia, FYR"/>
    <s v="Europe and Central Asia"/>
    <s v="P107840"/>
    <s v="C1"/>
    <s v="S6"/>
    <s v="P107840C1S6"/>
    <x v="0"/>
    <n v="2008"/>
    <x v="2"/>
    <s v=""/>
    <n v="22"/>
    <n v="2"/>
    <s v="EUR"/>
    <n v="3.0303030303030303"/>
    <n v="0.13774104683195593"/>
    <s v=""/>
    <s v=""/>
    <s v=""/>
    <s v="x"/>
    <s v="x"/>
    <m/>
  </r>
  <r>
    <s v="Macedonia, FYR"/>
    <s v="Europe and Central Asia"/>
    <s v="P107840"/>
    <s v="C1"/>
    <s v="S6"/>
    <s v="P107840C1S6"/>
    <x v="1"/>
    <n v="2016"/>
    <x v="2"/>
    <n v="6"/>
    <n v="24.2"/>
    <n v="4.45"/>
    <s v="EUR"/>
    <n v="6.6877142857142857"/>
    <n v="0.27635182998819363"/>
    <s v=""/>
    <s v=""/>
    <s v=""/>
    <s v="x"/>
    <s v="x"/>
    <m/>
  </r>
  <r>
    <s v="Macedonia, FYR"/>
    <s v="Europe and Central Asia"/>
    <s v="P107840"/>
    <s v="C1"/>
    <s v="S6"/>
    <s v="P107840C1S6"/>
    <x v="2"/>
    <s v="2008 / 2016"/>
    <x v="2"/>
    <s v=""/>
    <n v="1.0999999999999999"/>
    <m/>
    <m/>
    <n v="2.2069457142857143"/>
    <n v="2.0063142857142857"/>
    <s v=""/>
    <s v=""/>
    <s v=""/>
    <s v="x"/>
    <s v="x"/>
    <s v="Capacity of Counterpart; Quality of estimates; Weather shocks"/>
  </r>
  <r>
    <s v="Macedonia, FYR"/>
    <s v="Europe and Central Asia"/>
    <s v="P107840"/>
    <s v="C1"/>
    <s v="S7"/>
    <s v="P107840C1S7"/>
    <x v="0"/>
    <n v="2008"/>
    <x v="2"/>
    <s v=""/>
    <n v="27.8"/>
    <n v="3.61"/>
    <s v="EUR"/>
    <n v="5.4696969696969688"/>
    <n v="0.19675168955744493"/>
    <s v=""/>
    <s v=""/>
    <s v=""/>
    <s v=""/>
    <s v=""/>
    <m/>
  </r>
  <r>
    <s v="Macedonia, FYR"/>
    <s v="Europe and Central Asia"/>
    <s v="P107840"/>
    <s v="C1"/>
    <s v="S7"/>
    <s v="P107840C1S7"/>
    <x v="1"/>
    <n v="2016"/>
    <x v="2"/>
    <n v="26"/>
    <n v="38.200000000000003"/>
    <n v="3.98"/>
    <s v="EUR"/>
    <n v="5.9813714285714283"/>
    <n v="0.15658040388930439"/>
    <s v=""/>
    <s v=""/>
    <s v=""/>
    <s v=""/>
    <s v=""/>
    <m/>
  </r>
  <r>
    <s v="Macedonia, FYR"/>
    <s v="Europe and Central Asia"/>
    <s v="P107840"/>
    <s v="C1"/>
    <s v="S7"/>
    <s v="P107840C1S7"/>
    <x v="2"/>
    <s v="2008 / 2016"/>
    <x v="2"/>
    <s v=""/>
    <n v="1.3741007194244605"/>
    <m/>
    <m/>
    <n v="1.0935471309853582"/>
    <n v="0.79582749323018209"/>
    <s v=""/>
    <s v=""/>
    <s v=""/>
    <s v=""/>
    <s v=""/>
    <s v=""/>
  </r>
  <r>
    <s v="Macedonia, FYR"/>
    <s v="Europe and Central Asia"/>
    <s v="P107840"/>
    <s v="C1"/>
    <s v="S8"/>
    <s v="P107840C1S8"/>
    <x v="0"/>
    <n v="2008"/>
    <x v="2"/>
    <s v=""/>
    <n v="36"/>
    <n v="3.28"/>
    <s v="EUR"/>
    <n v="4.9696969696969688"/>
    <n v="0.13804713804713803"/>
    <s v=""/>
    <s v=""/>
    <s v=""/>
    <s v=""/>
    <s v=""/>
    <m/>
  </r>
  <r>
    <s v="Macedonia, FYR"/>
    <s v="Europe and Central Asia"/>
    <s v="P107840"/>
    <s v="C1"/>
    <s v="S8"/>
    <s v="P107840C1S8"/>
    <x v="1"/>
    <n v="2016"/>
    <x v="2"/>
    <n v="26"/>
    <n v="37"/>
    <n v="3.86"/>
    <s v="EUR"/>
    <n v="5.8010285714285708"/>
    <n v="0.15678455598455596"/>
    <s v=""/>
    <s v=""/>
    <s v=""/>
    <s v=""/>
    <s v=""/>
    <m/>
  </r>
  <r>
    <s v="Macedonia, FYR"/>
    <s v="Europe and Central Asia"/>
    <s v="P107840"/>
    <s v="C1"/>
    <s v="S8"/>
    <s v="P107840C1S8"/>
    <x v="2"/>
    <s v="2008 / 2016"/>
    <x v="2"/>
    <s v=""/>
    <n v="1.0277777777777777"/>
    <m/>
    <m/>
    <n v="1.1672801393728223"/>
    <n v="1.135732027497881"/>
    <s v=""/>
    <s v=""/>
    <s v=""/>
    <s v=""/>
    <s v=""/>
    <s v=""/>
  </r>
  <r>
    <s v="Macedonia, FYR"/>
    <s v="Europe and Central Asia"/>
    <s v="P107840"/>
    <s v="C1"/>
    <s v="S9"/>
    <s v="P107840C1S9"/>
    <x v="0"/>
    <n v="2008"/>
    <x v="2"/>
    <s v=""/>
    <n v="25.8"/>
    <n v="3.35"/>
    <s v="EUR"/>
    <n v="5.0757575757575752"/>
    <n v="0.19673478975804554"/>
    <s v=""/>
    <s v=""/>
    <s v=""/>
    <s v=""/>
    <s v=""/>
    <m/>
  </r>
  <r>
    <s v="Macedonia, FYR"/>
    <s v="Europe and Central Asia"/>
    <s v="P107840"/>
    <s v="C1"/>
    <s v="S9"/>
    <s v="P107840C1S9"/>
    <x v="1"/>
    <n v="2016"/>
    <x v="2"/>
    <n v="20"/>
    <n v="18.8"/>
    <n v="1.52"/>
    <s v="EUR"/>
    <n v="2.2843428571428572"/>
    <n v="0.12150759878419452"/>
    <s v=""/>
    <s v=""/>
    <s v=""/>
    <s v=""/>
    <s v=""/>
    <m/>
  </r>
  <r>
    <s v="Macedonia, FYR"/>
    <s v="Europe and Central Asia"/>
    <s v="P107840"/>
    <s v="C1"/>
    <s v="S9"/>
    <s v="P107840C1S9"/>
    <x v="2"/>
    <s v="2008 / 2016"/>
    <x v="2"/>
    <s v=""/>
    <n v="0.72868217054263562"/>
    <m/>
    <m/>
    <n v="0.4500496375266525"/>
    <n v="0.61762131107381035"/>
    <s v=""/>
    <s v=""/>
    <s v=""/>
    <s v=""/>
    <s v=""/>
    <s v=""/>
  </r>
  <r>
    <s v="Madagascar"/>
    <s v="Sub-Saharan Africa"/>
    <s v="P073689"/>
    <s v="C1"/>
    <s v=""/>
    <s v="P073689C1"/>
    <x v="0"/>
    <n v="2002"/>
    <x v="2"/>
    <s v=""/>
    <n v="3000"/>
    <n v="30"/>
    <s v="USD"/>
    <n v="30"/>
    <n v="0.01"/>
    <s v="x"/>
    <s v=""/>
    <s v=""/>
    <s v="x"/>
    <s v="x"/>
    <m/>
  </r>
  <r>
    <s v="Madagascar"/>
    <s v="Sub-Saharan Africa"/>
    <s v="P073689"/>
    <s v="C1"/>
    <s v=""/>
    <s v="P073689C1"/>
    <x v="1"/>
    <n v="2013"/>
    <x v="2"/>
    <s v=""/>
    <n v="1400"/>
    <n v="28"/>
    <s v="USD"/>
    <n v="28"/>
    <n v="0.02"/>
    <s v="x"/>
    <s v=""/>
    <s v=""/>
    <s v="x"/>
    <s v="x"/>
    <m/>
  </r>
  <r>
    <s v="Madagascar"/>
    <s v="Sub-Saharan Africa"/>
    <s v="P073689"/>
    <s v="C1"/>
    <s v=""/>
    <s v="P073689C1"/>
    <x v="2"/>
    <s v="2002 / 2013"/>
    <x v="2"/>
    <s v=""/>
    <n v="0.46666666666666667"/>
    <n v="0.93333333333333335"/>
    <m/>
    <n v="0.93333333333333335"/>
    <n v="2"/>
    <s v="x"/>
    <s v=""/>
    <s v=""/>
    <s v="x"/>
    <s v="x"/>
    <s v="Change of project scope ; ; "/>
  </r>
  <r>
    <s v="Madagascar"/>
    <s v="Sub-Saharan Africa"/>
    <s v="P082806"/>
    <s v="C1"/>
    <s v="S1"/>
    <s v="P082806C1S1"/>
    <x v="0"/>
    <n v="2003"/>
    <x v="5"/>
    <n v="24"/>
    <n v="249"/>
    <n v="6.6901320000000002"/>
    <s v="USD"/>
    <n v="6.6901320000000002"/>
    <n v="2.6868E-2"/>
    <s v=""/>
    <s v=""/>
    <s v=""/>
    <s v="x"/>
    <s v="x"/>
    <m/>
  </r>
  <r>
    <s v="Madagascar"/>
    <s v="Sub-Saharan Africa"/>
    <s v="P082806"/>
    <s v="C1"/>
    <s v="S1"/>
    <s v="P082806C1S1"/>
    <x v="1"/>
    <n v="2013"/>
    <x v="5"/>
    <n v="39"/>
    <n v="314.5"/>
    <n v="42.679537000000003"/>
    <s v="USD"/>
    <n v="42.679537000000003"/>
    <n v="0.13570600000000002"/>
    <s v=""/>
    <s v=""/>
    <s v=""/>
    <s v="x"/>
    <s v="x"/>
    <m/>
  </r>
  <r>
    <s v="Madagascar"/>
    <s v="Sub-Saharan Africa"/>
    <s v="P082806"/>
    <s v="C1"/>
    <s v="S1"/>
    <s v="P082806C1S1"/>
    <x v="2"/>
    <s v="2003 / 2013"/>
    <x v="5"/>
    <n v="1.625"/>
    <n v="1.2630522088353413"/>
    <n v="6.3794760701283622"/>
    <m/>
    <n v="6.3794760701283622"/>
    <n v="5.0508411493226149"/>
    <s v=""/>
    <s v=""/>
    <s v=""/>
    <s v="x"/>
    <s v="x"/>
    <s v="; Weather shocks; Macroeconomic conditions"/>
  </r>
  <r>
    <s v="Madagascar"/>
    <s v="Sub-Saharan Africa"/>
    <s v="P082806"/>
    <s v="C1"/>
    <s v="S2"/>
    <s v="P082806C1S2"/>
    <x v="0"/>
    <n v="2003"/>
    <x v="5"/>
    <n v="17"/>
    <n v="295"/>
    <n v="7.9260599999999997"/>
    <s v="USD"/>
    <n v="7.9260599999999997"/>
    <n v="2.6868E-2"/>
    <s v="x"/>
    <s v=""/>
    <s v=""/>
    <s v="x"/>
    <s v="x"/>
    <m/>
  </r>
  <r>
    <s v="Madagascar"/>
    <s v="Sub-Saharan Africa"/>
    <s v="P082806"/>
    <s v="C1"/>
    <s v="S2"/>
    <s v="P082806C1S2"/>
    <x v="1"/>
    <n v="2013"/>
    <x v="5"/>
    <n v="17"/>
    <n v="143.9"/>
    <n v="15.067193400000001"/>
    <s v="USD"/>
    <n v="15.067193400000001"/>
    <n v="0.10470600000000001"/>
    <s v="x"/>
    <s v=""/>
    <s v=""/>
    <s v="x"/>
    <s v="x"/>
    <m/>
  </r>
  <r>
    <s v="Madagascar"/>
    <s v="Sub-Saharan Africa"/>
    <s v="P082806"/>
    <s v="C1"/>
    <s v="S2"/>
    <s v="P082806C1S2"/>
    <x v="2"/>
    <s v="2003 / 2013"/>
    <x v="5"/>
    <n v="1"/>
    <n v="0.48779661016949155"/>
    <n v="1.9009688798722191"/>
    <m/>
    <n v="1.9009688798722191"/>
    <n v="3.897052255471193"/>
    <s v="x"/>
    <s v=""/>
    <s v=""/>
    <s v="x"/>
    <s v="x"/>
    <s v="Weather shocks; Change of project scope; Macroeconomic conditions"/>
  </r>
  <r>
    <s v="Madagascar"/>
    <s v="Sub-Saharan Africa"/>
    <s v="P082806"/>
    <s v="C1"/>
    <s v="S3"/>
    <s v="P082806C1S3"/>
    <x v="0"/>
    <n v="2003"/>
    <x v="13"/>
    <n v="36"/>
    <n v="181"/>
    <n v="59.327818000000001"/>
    <s v="USD"/>
    <n v="59.327818000000001"/>
    <n v="0.32777800000000001"/>
    <s v=""/>
    <s v=""/>
    <s v="x"/>
    <s v=""/>
    <s v="x"/>
    <m/>
  </r>
  <r>
    <s v="Madagascar"/>
    <s v="Sub-Saharan Africa"/>
    <s v="P082806"/>
    <s v="C1"/>
    <s v="S3"/>
    <s v="P082806C1S3"/>
    <x v="1"/>
    <n v="2013"/>
    <x v="13"/>
    <n v="10"/>
    <n v="183"/>
    <n v="5.8616729999999997"/>
    <s v="USD"/>
    <n v="5.8616729999999997"/>
    <n v="3.2030999999999997E-2"/>
    <s v=""/>
    <s v=""/>
    <s v="x"/>
    <s v=""/>
    <s v="x"/>
    <m/>
  </r>
  <r>
    <s v="Madagascar"/>
    <s v="Sub-Saharan Africa"/>
    <s v="P082806"/>
    <s v="C1"/>
    <s v="S3"/>
    <s v="P082806C1S3"/>
    <x v="2"/>
    <s v="2003 / 2013"/>
    <x v="13"/>
    <n v="0.27777777777777779"/>
    <n v="1.011049723756906"/>
    <n v="9.8801425665107037E-2"/>
    <m/>
    <n v="9.8801425665107037E-2"/>
    <n v="9.7721628663302584E-2"/>
    <s v=""/>
    <s v=""/>
    <s v="x"/>
    <s v=""/>
    <s v="x"/>
    <s v="; Change of project scope; "/>
  </r>
  <r>
    <s v="Madagascar"/>
    <s v="Sub-Saharan Africa"/>
    <s v="P052208"/>
    <s v="C1"/>
    <s v="S1"/>
    <s v="P052208C1S1"/>
    <x v="0"/>
    <n v="2000"/>
    <x v="6"/>
    <s v=""/>
    <n v="527"/>
    <n v="9.4"/>
    <s v="USD"/>
    <n v="9.4"/>
    <n v="1.7836812144212524E-2"/>
    <s v=""/>
    <s v=""/>
    <s v=""/>
    <s v="x"/>
    <s v="x"/>
    <m/>
  </r>
  <r>
    <s v="Madagascar"/>
    <s v="Sub-Saharan Africa"/>
    <s v="P052208"/>
    <s v="C1"/>
    <s v="S1"/>
    <s v="P052208C1S1"/>
    <x v="1"/>
    <n v="2006"/>
    <x v="6"/>
    <s v=""/>
    <n v="527"/>
    <n v="20.9"/>
    <s v="USD"/>
    <n v="20.9"/>
    <n v="3.9658444022770398E-2"/>
    <s v=""/>
    <s v=""/>
    <s v=""/>
    <s v="x"/>
    <s v="x"/>
    <m/>
  </r>
  <r>
    <s v="Madagascar"/>
    <s v="Sub-Saharan Africa"/>
    <s v="P052208"/>
    <s v="C1"/>
    <s v="S1"/>
    <s v="P052208C1S1"/>
    <x v="2"/>
    <s v="2000 / 2006"/>
    <x v="6"/>
    <s v=""/>
    <n v="1"/>
    <m/>
    <m/>
    <n v="2.2234042553191489"/>
    <n v="2.2234042553191489"/>
    <s v=""/>
    <s v=""/>
    <s v=""/>
    <s v="x"/>
    <s v="x"/>
    <s v="Political events ; Weather shocks ; Macroeconomic conditions"/>
  </r>
  <r>
    <s v="Mali"/>
    <s v="Sub-Saharan Africa"/>
    <s v="P079749_2"/>
    <s v="C1"/>
    <s v="S2"/>
    <s v="P079749_2C1S2"/>
    <x v="0"/>
    <n v="2008"/>
    <x v="5"/>
    <s v=""/>
    <n v="154"/>
    <n v="4"/>
    <s v="USD"/>
    <n v="4"/>
    <n v="2.5974025974025976E-2"/>
    <s v=""/>
    <s v=""/>
    <s v=""/>
    <s v="x"/>
    <s v="x"/>
    <m/>
  </r>
  <r>
    <s v="Mali"/>
    <s v="Sub-Saharan Africa"/>
    <s v="P079749_2"/>
    <s v="C1"/>
    <s v="S2"/>
    <s v="P079749_2C1S2"/>
    <x v="1"/>
    <n v="2015"/>
    <x v="5"/>
    <n v="47"/>
    <n v="199"/>
    <n v="27.6"/>
    <s v="USD"/>
    <n v="27.6"/>
    <n v="0.13869346733668342"/>
    <s v=""/>
    <s v=""/>
    <s v=""/>
    <s v="x"/>
    <s v="x"/>
    <m/>
  </r>
  <r>
    <s v="Mali"/>
    <s v="Sub-Saharan Africa"/>
    <s v="P079749_2"/>
    <s v="C1"/>
    <s v="S2"/>
    <s v="P079749_2C1S2"/>
    <x v="2"/>
    <s v="2008 / 2015"/>
    <x v="5"/>
    <s v=""/>
    <n v="1.2922077922077921"/>
    <n v="6.9"/>
    <m/>
    <n v="6.9"/>
    <n v="5.3396984924623112"/>
    <s v=""/>
    <s v=""/>
    <s v=""/>
    <s v="x"/>
    <s v="x"/>
    <s v="Quality of estimates; ; "/>
  </r>
  <r>
    <s v="Mali"/>
    <s v="Sub-Saharan Africa"/>
    <s v="P090075"/>
    <s v="C1"/>
    <s v=""/>
    <s v="P090075C1"/>
    <x v="0"/>
    <n v="2007"/>
    <x v="13"/>
    <s v=""/>
    <n v="2150"/>
    <n v="81"/>
    <s v="USD"/>
    <n v="81"/>
    <n v="3.7674418604651164E-2"/>
    <s v=""/>
    <s v=""/>
    <s v=""/>
    <s v=""/>
    <s v=""/>
    <m/>
  </r>
  <r>
    <s v="Mali"/>
    <s v="Sub-Saharan Africa"/>
    <s v="P090075"/>
    <s v="C1"/>
    <s v=""/>
    <s v="P090075C1"/>
    <x v="1"/>
    <n v="2016"/>
    <x v="13"/>
    <n v="37"/>
    <n v="2485"/>
    <n v="76.77"/>
    <s v="USD"/>
    <n v="76.77"/>
    <n v="3.0893360160965794E-2"/>
    <s v=""/>
    <s v=""/>
    <s v=""/>
    <s v=""/>
    <s v=""/>
    <m/>
  </r>
  <r>
    <s v="Mali"/>
    <s v="Sub-Saharan Africa"/>
    <s v="P090075"/>
    <s v="C1"/>
    <s v=""/>
    <s v="P090075C1"/>
    <x v="2"/>
    <s v="2007 / 2016"/>
    <x v="13"/>
    <s v=""/>
    <n v="1.155813953488372"/>
    <n v="0.94777777777777772"/>
    <m/>
    <n v="0.94777777777777772"/>
    <n v="0.8200089425441538"/>
    <s v=""/>
    <s v=""/>
    <s v=""/>
    <s v=""/>
    <s v=""/>
    <s v=""/>
  </r>
  <r>
    <s v="Mali"/>
    <s v="Sub-Saharan Africa"/>
    <s v="P079351"/>
    <s v="C1"/>
    <s v=""/>
    <s v="P079351C1"/>
    <x v="0"/>
    <n v="2004"/>
    <x v="5"/>
    <n v="60"/>
    <n v="564"/>
    <n v="32.479999999999997"/>
    <s v="USD"/>
    <n v="32.479999999999997"/>
    <n v="5.7588652482269499E-2"/>
    <s v="x"/>
    <s v=""/>
    <s v=""/>
    <s v="x"/>
    <s v="x"/>
    <m/>
  </r>
  <r>
    <s v="Mali"/>
    <s v="Sub-Saharan Africa"/>
    <s v="P079351"/>
    <s v="C1"/>
    <s v=""/>
    <s v="P079351C1"/>
    <x v="1"/>
    <n v="2010"/>
    <x v="5"/>
    <n v="72"/>
    <n v="239"/>
    <n v="32.1"/>
    <s v="USD"/>
    <n v="32.1"/>
    <n v="0.13430962343096234"/>
    <s v="x"/>
    <s v=""/>
    <s v=""/>
    <s v="x"/>
    <s v="x"/>
    <m/>
  </r>
  <r>
    <s v="Mali"/>
    <s v="Sub-Saharan Africa"/>
    <s v="P079351"/>
    <s v="C1"/>
    <s v=""/>
    <s v="P079351C1"/>
    <x v="2"/>
    <s v="2004 / 2010"/>
    <x v="5"/>
    <n v="1.2"/>
    <n v="0.42375886524822692"/>
    <m/>
    <m/>
    <n v="0.98830049261083752"/>
    <n v="2.3322237566213904"/>
    <s v="x"/>
    <s v=""/>
    <s v=""/>
    <s v="x"/>
    <s v="x"/>
    <s v="Capacity of counterpart; Procurement system; "/>
  </r>
  <r>
    <s v="Mauritius"/>
    <s v="Sub-Saharan Africa"/>
    <s v="P091828"/>
    <s v="C1"/>
    <s v="S1"/>
    <s v="P091828C1S1"/>
    <x v="0"/>
    <n v="2009"/>
    <x v="15"/>
    <s v=""/>
    <n v="12.1"/>
    <n v="21.6"/>
    <s v="USD"/>
    <n v="21.6"/>
    <n v="1.785123966942149"/>
    <s v=""/>
    <s v=""/>
    <s v=""/>
    <s v="x"/>
    <s v="x"/>
    <m/>
  </r>
  <r>
    <s v="Mauritius"/>
    <s v="Sub-Saharan Africa"/>
    <s v="P091828"/>
    <s v="C1"/>
    <s v="S1"/>
    <s v="P091828C1S1"/>
    <x v="1"/>
    <n v="2015"/>
    <x v="15"/>
    <n v="18"/>
    <n v="12.1"/>
    <n v="33.880000000000003"/>
    <s v="USD"/>
    <n v="33.880000000000003"/>
    <n v="2.8000000000000003"/>
    <s v=""/>
    <s v=""/>
    <s v=""/>
    <s v="x"/>
    <s v="x"/>
    <m/>
  </r>
  <r>
    <s v="Mauritius"/>
    <s v="Sub-Saharan Africa"/>
    <s v="P091828"/>
    <s v="C1"/>
    <s v="S1"/>
    <s v="P091828C1S1"/>
    <x v="2"/>
    <s v="2009 / 2015"/>
    <x v="15"/>
    <s v=""/>
    <n v="1"/>
    <m/>
    <m/>
    <n v="1.5685185185185184"/>
    <n v="1.5685185185185184"/>
    <s v=""/>
    <s v=""/>
    <s v=""/>
    <s v="x"/>
    <s v="x"/>
    <s v="Macroeconomic conditions; Quality of estimates; "/>
  </r>
  <r>
    <s v="Mauritius"/>
    <s v="Sub-Saharan Africa"/>
    <s v="P091828"/>
    <s v="C1"/>
    <s v="S2"/>
    <s v="P091828C1S2"/>
    <x v="0"/>
    <n v="2009"/>
    <x v="2"/>
    <s v=""/>
    <n v="5"/>
    <n v="4.6399999999999997"/>
    <s v="USD"/>
    <n v="4.6399999999999997"/>
    <n v="0.92799999999999994"/>
    <s v=""/>
    <s v=""/>
    <s v=""/>
    <s v=""/>
    <s v=""/>
    <m/>
  </r>
  <r>
    <s v="Mauritius"/>
    <s v="Sub-Saharan Africa"/>
    <s v="P091828"/>
    <s v="C1"/>
    <s v="S2"/>
    <s v="P091828C1S2"/>
    <x v="1"/>
    <n v="2015"/>
    <x v="2"/>
    <n v="10"/>
    <n v="5"/>
    <n v="3.7520395051968509"/>
    <s v="USD"/>
    <n v="3.7520395051968509"/>
    <n v="0.75040790103937016"/>
    <s v=""/>
    <s v=""/>
    <s v=""/>
    <s v=""/>
    <s v=""/>
    <m/>
  </r>
  <r>
    <s v="Mauritius"/>
    <s v="Sub-Saharan Africa"/>
    <s v="P091828"/>
    <s v="C1"/>
    <s v="S2"/>
    <s v="P091828C1S2"/>
    <x v="2"/>
    <s v="2009 / 2015"/>
    <x v="2"/>
    <s v=""/>
    <n v="1"/>
    <m/>
    <m/>
    <n v="0.80862920370621794"/>
    <n v="0.80862920370621794"/>
    <s v=""/>
    <s v=""/>
    <s v=""/>
    <s v=""/>
    <s v=""/>
    <s v=""/>
  </r>
  <r>
    <s v="Mauritius"/>
    <s v="Sub-Saharan Africa"/>
    <s v="P091828"/>
    <s v="C1"/>
    <s v="S3"/>
    <s v="P091828C1S3"/>
    <x v="0"/>
    <n v="2009"/>
    <x v="2"/>
    <s v=""/>
    <n v="8"/>
    <n v="3.33"/>
    <s v="USD"/>
    <n v="3.33"/>
    <n v="0.41625000000000001"/>
    <s v=""/>
    <s v=""/>
    <s v=""/>
    <s v="x"/>
    <s v="x"/>
    <m/>
  </r>
  <r>
    <s v="Mauritius"/>
    <s v="Sub-Saharan Africa"/>
    <s v="P091828"/>
    <s v="C1"/>
    <s v="S3"/>
    <s v="P091828C1S3"/>
    <x v="1"/>
    <n v="2015"/>
    <x v="2"/>
    <n v="10"/>
    <n v="8"/>
    <n v="6.3849968737007874"/>
    <s v="USD"/>
    <n v="6.3849968737007874"/>
    <n v="0.79812460921259842"/>
    <s v=""/>
    <s v=""/>
    <s v=""/>
    <s v="x"/>
    <s v="x"/>
    <m/>
  </r>
  <r>
    <s v="Mauritius"/>
    <s v="Sub-Saharan Africa"/>
    <s v="P091828"/>
    <s v="C1"/>
    <s v="S3"/>
    <s v="P091828C1S3"/>
    <x v="2"/>
    <s v="2009 / 2015"/>
    <x v="2"/>
    <s v=""/>
    <n v="1"/>
    <m/>
    <m/>
    <n v="1.917416478588825"/>
    <n v="1.917416478588825"/>
    <s v=""/>
    <s v=""/>
    <s v=""/>
    <s v="x"/>
    <s v="x"/>
    <s v="Macroeconomic conditions; Change of project scope; "/>
  </r>
  <r>
    <s v="Mauritius"/>
    <s v="Sub-Saharan Africa"/>
    <s v="P091828"/>
    <s v="C1"/>
    <s v="S4"/>
    <s v="P091828C1S4"/>
    <x v="0"/>
    <n v="2009"/>
    <x v="2"/>
    <s v=""/>
    <n v="4"/>
    <n v="2.4300000000000002"/>
    <s v="USD"/>
    <n v="2.4300000000000002"/>
    <n v="0.60750000000000004"/>
    <s v=""/>
    <s v=""/>
    <s v=""/>
    <s v=""/>
    <s v=""/>
    <m/>
  </r>
  <r>
    <s v="Mauritius"/>
    <s v="Sub-Saharan Africa"/>
    <s v="P091828"/>
    <s v="C1"/>
    <s v="S4"/>
    <s v="P091828C1S4"/>
    <x v="1"/>
    <n v="2015"/>
    <x v="2"/>
    <n v="6"/>
    <n v="4"/>
    <n v="2.2313215644094488"/>
    <s v="USD"/>
    <n v="2.2313215644094488"/>
    <n v="0.55783039110236221"/>
    <s v=""/>
    <s v=""/>
    <s v=""/>
    <s v=""/>
    <s v=""/>
    <m/>
  </r>
  <r>
    <s v="Mauritius"/>
    <s v="Sub-Saharan Africa"/>
    <s v="P091828"/>
    <s v="C1"/>
    <s v="S4"/>
    <s v="P091828C1S4"/>
    <x v="2"/>
    <s v="2009 / 2015"/>
    <x v="2"/>
    <s v=""/>
    <n v="1"/>
    <m/>
    <m/>
    <n v="0.91823932691746857"/>
    <n v="0.91823932691746857"/>
    <s v=""/>
    <s v=""/>
    <s v=""/>
    <s v=""/>
    <s v=""/>
    <s v=""/>
  </r>
  <r>
    <s v="Mexico"/>
    <s v="Latin America and Caribbean"/>
    <s v="P065779"/>
    <s v="C1"/>
    <s v="S1"/>
    <s v="P065779C1S1"/>
    <x v="0"/>
    <n v="2000"/>
    <x v="2"/>
    <s v=""/>
    <n v="14.4"/>
    <n v="1.62"/>
    <s v="USD"/>
    <n v="1.62"/>
    <n v="0.1125"/>
    <s v=""/>
    <s v=""/>
    <s v=""/>
    <s v=""/>
    <s v=""/>
    <m/>
  </r>
  <r>
    <s v="Mexico"/>
    <s v="Latin America and Caribbean"/>
    <s v="P065779"/>
    <s v="C1"/>
    <s v="S1"/>
    <s v="P065779C1S1"/>
    <x v="1"/>
    <n v="2007"/>
    <x v="2"/>
    <s v=""/>
    <n v="14.4"/>
    <n v="1.54"/>
    <s v="USD"/>
    <n v="1.54"/>
    <n v="0.10694444444444444"/>
    <s v=""/>
    <s v=""/>
    <s v=""/>
    <s v=""/>
    <s v=""/>
    <m/>
  </r>
  <r>
    <s v="Mexico"/>
    <s v="Latin America and Caribbean"/>
    <s v="P065779"/>
    <s v="C1"/>
    <s v="S1"/>
    <s v="P065779C1S1"/>
    <x v="2"/>
    <s v="2000 / 2007"/>
    <x v="2"/>
    <s v=""/>
    <n v="1"/>
    <m/>
    <m/>
    <n v="0.95061728395061729"/>
    <n v="0.95061728395061718"/>
    <s v=""/>
    <s v=""/>
    <s v=""/>
    <s v=""/>
    <s v=""/>
    <s v=""/>
  </r>
  <r>
    <s v="Mexico"/>
    <s v="Latin America and Caribbean"/>
    <s v="P065779"/>
    <s v="C1"/>
    <s v="S10"/>
    <s v="P065779C1S10"/>
    <x v="0"/>
    <n v="2000"/>
    <x v="2"/>
    <s v=""/>
    <n v="11.9"/>
    <n v="2.16"/>
    <s v="USD"/>
    <n v="2.16"/>
    <n v="0.1815126050420168"/>
    <s v=""/>
    <s v=""/>
    <s v=""/>
    <s v=""/>
    <s v=""/>
    <m/>
  </r>
  <r>
    <s v="Mexico"/>
    <s v="Latin America and Caribbean"/>
    <s v="P065779"/>
    <s v="C1"/>
    <s v="S10"/>
    <s v="P065779C1S10"/>
    <x v="1"/>
    <n v="2007"/>
    <x v="2"/>
    <s v=""/>
    <n v="11.9"/>
    <n v="3.08"/>
    <s v="USD"/>
    <n v="3.08"/>
    <n v="0.25882352941176473"/>
    <s v=""/>
    <s v=""/>
    <s v=""/>
    <s v=""/>
    <s v=""/>
    <m/>
  </r>
  <r>
    <s v="Mexico"/>
    <s v="Latin America and Caribbean"/>
    <s v="P065779"/>
    <s v="C1"/>
    <s v="S10"/>
    <s v="P065779C1S10"/>
    <x v="2"/>
    <s v="2000 / 2007"/>
    <x v="2"/>
    <s v=""/>
    <n v="1"/>
    <m/>
    <m/>
    <n v="1.4259259259259258"/>
    <n v="1.425925925925926"/>
    <s v=""/>
    <s v=""/>
    <s v=""/>
    <s v=""/>
    <s v=""/>
    <s v=""/>
  </r>
  <r>
    <s v="Mexico"/>
    <s v="Latin America and Caribbean"/>
    <s v="P065779"/>
    <s v="C1"/>
    <s v="S11"/>
    <s v="P065779C1S11"/>
    <x v="0"/>
    <n v="2000"/>
    <x v="2"/>
    <s v=""/>
    <n v="3"/>
    <n v="0.54"/>
    <s v="USD"/>
    <n v="0.54"/>
    <n v="0.18000000000000002"/>
    <s v=""/>
    <s v=""/>
    <s v=""/>
    <s v=""/>
    <s v=""/>
    <m/>
  </r>
  <r>
    <s v="Mexico"/>
    <s v="Latin America and Caribbean"/>
    <s v="P065779"/>
    <s v="C1"/>
    <s v="S11"/>
    <s v="P065779C1S11"/>
    <x v="1"/>
    <n v="2007"/>
    <x v="2"/>
    <s v=""/>
    <n v="3"/>
    <n v="0.74"/>
    <s v="USD"/>
    <n v="0.74"/>
    <n v="0.24666666666666667"/>
    <s v=""/>
    <s v=""/>
    <s v=""/>
    <s v=""/>
    <s v=""/>
    <m/>
  </r>
  <r>
    <s v="Mexico"/>
    <s v="Latin America and Caribbean"/>
    <s v="P065779"/>
    <s v="C1"/>
    <s v="S11"/>
    <s v="P065779C1S11"/>
    <x v="2"/>
    <s v="2000 / 2007"/>
    <x v="2"/>
    <s v=""/>
    <n v="1"/>
    <m/>
    <m/>
    <n v="1.3703703703703702"/>
    <n v="1.3703703703703702"/>
    <s v=""/>
    <s v=""/>
    <s v=""/>
    <s v=""/>
    <s v=""/>
    <s v=""/>
  </r>
  <r>
    <s v="Mexico"/>
    <s v="Latin America and Caribbean"/>
    <s v="P065779"/>
    <s v="C1"/>
    <s v="S12"/>
    <s v="P065779C1S12"/>
    <x v="0"/>
    <n v="2000"/>
    <x v="2"/>
    <s v=""/>
    <n v="12.5"/>
    <n v="1.41"/>
    <s v="USD"/>
    <n v="1.41"/>
    <n v="0.1128"/>
    <s v=""/>
    <s v=""/>
    <s v=""/>
    <s v=""/>
    <s v=""/>
    <m/>
  </r>
  <r>
    <s v="Mexico"/>
    <s v="Latin America and Caribbean"/>
    <s v="P065779"/>
    <s v="C1"/>
    <s v="S12"/>
    <s v="P065779C1S12"/>
    <x v="1"/>
    <n v="2007"/>
    <x v="2"/>
    <s v=""/>
    <n v="12.5"/>
    <n v="1.2"/>
    <s v="USD"/>
    <n v="1.2"/>
    <n v="9.6000000000000002E-2"/>
    <s v=""/>
    <s v=""/>
    <s v=""/>
    <s v=""/>
    <s v=""/>
    <m/>
  </r>
  <r>
    <s v="Mexico"/>
    <s v="Latin America and Caribbean"/>
    <s v="P065779"/>
    <s v="C1"/>
    <s v="S12"/>
    <s v="P065779C1S12"/>
    <x v="2"/>
    <s v="2000 / 2007"/>
    <x v="2"/>
    <s v=""/>
    <n v="1"/>
    <m/>
    <m/>
    <n v="0.85106382978723405"/>
    <n v="0.85106382978723405"/>
    <s v=""/>
    <s v=""/>
    <s v=""/>
    <s v=""/>
    <s v=""/>
    <s v=""/>
  </r>
  <r>
    <s v="Mexico"/>
    <s v="Latin America and Caribbean"/>
    <s v="P065779"/>
    <s v="C1"/>
    <s v="S13"/>
    <s v="P065779C1S13"/>
    <x v="0"/>
    <n v="2000"/>
    <x v="2"/>
    <s v=""/>
    <n v="9"/>
    <n v="1.1499999999999999"/>
    <s v="USD"/>
    <n v="1.1499999999999999"/>
    <n v="0.12777777777777777"/>
    <s v=""/>
    <s v=""/>
    <s v=""/>
    <s v="x"/>
    <s v="x"/>
    <m/>
  </r>
  <r>
    <s v="Mexico"/>
    <s v="Latin America and Caribbean"/>
    <s v="P065779"/>
    <s v="C1"/>
    <s v="S13"/>
    <s v="P065779C1S13"/>
    <x v="1"/>
    <n v="2007"/>
    <x v="2"/>
    <s v=""/>
    <n v="9"/>
    <n v="2.0699999999999998"/>
    <s v="USD"/>
    <n v="2.0699999999999998"/>
    <n v="0.22999999999999998"/>
    <s v=""/>
    <s v=""/>
    <s v=""/>
    <s v="x"/>
    <s v="x"/>
    <m/>
  </r>
  <r>
    <s v="Mexico"/>
    <s v="Latin America and Caribbean"/>
    <s v="P065779"/>
    <s v="C1"/>
    <s v="S13"/>
    <s v="P065779C1S13"/>
    <x v="2"/>
    <s v="2000 / 2007"/>
    <x v="2"/>
    <s v=""/>
    <n v="1"/>
    <m/>
    <m/>
    <n v="1.8"/>
    <n v="1.8"/>
    <s v=""/>
    <s v=""/>
    <s v=""/>
    <s v="x"/>
    <s v="x"/>
    <s v="Capacity of counterpart ; Quality of estimates; "/>
  </r>
  <r>
    <s v="Mexico"/>
    <s v="Latin America and Caribbean"/>
    <s v="P065779"/>
    <s v="C1"/>
    <s v="S14"/>
    <s v="P065779C1S14"/>
    <x v="0"/>
    <n v="2000"/>
    <x v="2"/>
    <s v=""/>
    <n v="4"/>
    <n v="0.6"/>
    <s v="USD"/>
    <n v="0.6"/>
    <n v="0.15"/>
    <s v=""/>
    <s v=""/>
    <s v=""/>
    <s v="x"/>
    <s v="x"/>
    <m/>
  </r>
  <r>
    <s v="Mexico"/>
    <s v="Latin America and Caribbean"/>
    <s v="P065779"/>
    <s v="C1"/>
    <s v="S14"/>
    <s v="P065779C1S14"/>
    <x v="1"/>
    <n v="2007"/>
    <x v="2"/>
    <s v=""/>
    <n v="3.4"/>
    <n v="1.53"/>
    <s v="USD"/>
    <n v="1.53"/>
    <n v="0.45"/>
    <s v=""/>
    <s v=""/>
    <s v=""/>
    <s v="x"/>
    <s v="x"/>
    <m/>
  </r>
  <r>
    <s v="Mexico"/>
    <s v="Latin America and Caribbean"/>
    <s v="P065779"/>
    <s v="C1"/>
    <s v="S14"/>
    <s v="P065779C1S14"/>
    <x v="2"/>
    <s v="2000 / 2007"/>
    <x v="2"/>
    <s v=""/>
    <n v="0.85"/>
    <m/>
    <m/>
    <n v="2.5500000000000003"/>
    <n v="3"/>
    <s v=""/>
    <s v=""/>
    <s v=""/>
    <s v="x"/>
    <s v="x"/>
    <s v="Capacity of counterpart ; Quality of estimates; "/>
  </r>
  <r>
    <s v="Mexico"/>
    <s v="Latin America and Caribbean"/>
    <s v="P065779"/>
    <s v="C1"/>
    <s v="S15"/>
    <s v="P065779C1S15"/>
    <x v="0"/>
    <n v="2000"/>
    <x v="2"/>
    <s v=""/>
    <n v="15.4"/>
    <n v="2.48"/>
    <s v="USD"/>
    <n v="2.48"/>
    <n v="0.16103896103896104"/>
    <s v=""/>
    <s v=""/>
    <s v=""/>
    <s v=""/>
    <s v=""/>
    <m/>
  </r>
  <r>
    <s v="Mexico"/>
    <s v="Latin America and Caribbean"/>
    <s v="P065779"/>
    <s v="C1"/>
    <s v="S15"/>
    <s v="P065779C1S15"/>
    <x v="1"/>
    <n v="2007"/>
    <x v="2"/>
    <s v=""/>
    <n v="15.4"/>
    <n v="1.91"/>
    <s v="USD"/>
    <n v="1.91"/>
    <n v="0.12402597402597401"/>
    <s v=""/>
    <s v=""/>
    <s v=""/>
    <s v=""/>
    <s v=""/>
    <m/>
  </r>
  <r>
    <s v="Mexico"/>
    <s v="Latin America and Caribbean"/>
    <s v="P065779"/>
    <s v="C1"/>
    <s v="S15"/>
    <s v="P065779C1S15"/>
    <x v="2"/>
    <s v="2000 / 2007"/>
    <x v="2"/>
    <s v=""/>
    <n v="1"/>
    <m/>
    <m/>
    <n v="0.77016129032258063"/>
    <n v="0.77016129032258052"/>
    <s v=""/>
    <s v=""/>
    <s v=""/>
    <s v=""/>
    <s v=""/>
    <s v=""/>
  </r>
  <r>
    <s v="Mexico"/>
    <s v="Latin America and Caribbean"/>
    <s v="P065779"/>
    <s v="C1"/>
    <s v="S16"/>
    <s v="P065779C1S16"/>
    <x v="0"/>
    <n v="2000"/>
    <x v="2"/>
    <s v=""/>
    <n v="9.1999999999999993"/>
    <n v="1.38"/>
    <s v="USD"/>
    <n v="1.38"/>
    <n v="0.15"/>
    <s v=""/>
    <s v=""/>
    <s v=""/>
    <s v=""/>
    <s v=""/>
    <m/>
  </r>
  <r>
    <s v="Mexico"/>
    <s v="Latin America and Caribbean"/>
    <s v="P065779"/>
    <s v="C1"/>
    <s v="S16"/>
    <s v="P065779C1S16"/>
    <x v="1"/>
    <n v="2007"/>
    <x v="2"/>
    <s v=""/>
    <n v="9.1999999999999993"/>
    <n v="1.26"/>
    <s v="USD"/>
    <n v="1.26"/>
    <n v="0.13695652173913045"/>
    <s v=""/>
    <s v=""/>
    <s v=""/>
    <s v=""/>
    <s v=""/>
    <m/>
  </r>
  <r>
    <s v="Mexico"/>
    <s v="Latin America and Caribbean"/>
    <s v="P065779"/>
    <s v="C1"/>
    <s v="S16"/>
    <s v="P065779C1S16"/>
    <x v="2"/>
    <s v="2000 / 2007"/>
    <x v="2"/>
    <s v=""/>
    <n v="1"/>
    <m/>
    <m/>
    <n v="0.91304347826086962"/>
    <n v="0.91304347826086973"/>
    <s v=""/>
    <s v=""/>
    <s v=""/>
    <s v=""/>
    <s v=""/>
    <s v=""/>
  </r>
  <r>
    <s v="Mexico"/>
    <s v="Latin America and Caribbean"/>
    <s v="P065779"/>
    <s v="C1"/>
    <s v="S17"/>
    <s v="P065779C1S17"/>
    <x v="0"/>
    <n v="2000"/>
    <x v="2"/>
    <s v=""/>
    <n v="25"/>
    <n v="2.81"/>
    <s v="USD"/>
    <n v="2.81"/>
    <n v="0.1124"/>
    <s v=""/>
    <s v=""/>
    <s v="x"/>
    <s v=""/>
    <s v="x"/>
    <m/>
  </r>
  <r>
    <s v="Mexico"/>
    <s v="Latin America and Caribbean"/>
    <s v="P065779"/>
    <s v="C1"/>
    <s v="S17"/>
    <s v="P065779C1S17"/>
    <x v="1"/>
    <n v="2007"/>
    <x v="2"/>
    <s v=""/>
    <n v="25"/>
    <n v="0.53"/>
    <s v="USD"/>
    <n v="0.53"/>
    <n v="2.12E-2"/>
    <s v=""/>
    <s v=""/>
    <s v="x"/>
    <s v=""/>
    <s v="x"/>
    <m/>
  </r>
  <r>
    <s v="Mexico"/>
    <s v="Latin America and Caribbean"/>
    <s v="P065779"/>
    <s v="C1"/>
    <s v="S17"/>
    <s v="P065779C1S17"/>
    <x v="2"/>
    <s v="2000 / 2007"/>
    <x v="2"/>
    <s v=""/>
    <n v="1"/>
    <m/>
    <m/>
    <n v="0.18861209964412812"/>
    <n v="0.18861209964412812"/>
    <s v=""/>
    <s v=""/>
    <s v="x"/>
    <s v=""/>
    <s v="x"/>
    <s v="Change of project scope; ; "/>
  </r>
  <r>
    <s v="Mexico"/>
    <s v="Latin America and Caribbean"/>
    <s v="P065779"/>
    <s v="C1"/>
    <s v="S18"/>
    <s v="P065779C1S18"/>
    <x v="0"/>
    <n v="2000"/>
    <x v="2"/>
    <s v=""/>
    <n v="11"/>
    <n v="1.24"/>
    <s v="USD"/>
    <n v="1.24"/>
    <n v="0.11272727272727273"/>
    <s v=""/>
    <s v=""/>
    <s v=""/>
    <s v=""/>
    <s v=""/>
    <m/>
  </r>
  <r>
    <s v="Mexico"/>
    <s v="Latin America and Caribbean"/>
    <s v="P065779"/>
    <s v="C1"/>
    <s v="S18"/>
    <s v="P065779C1S18"/>
    <x v="1"/>
    <n v="2007"/>
    <x v="2"/>
    <s v=""/>
    <n v="11"/>
    <n v="1.55"/>
    <s v="USD"/>
    <n v="1.55"/>
    <n v="0.1409090909090909"/>
    <s v=""/>
    <s v=""/>
    <s v=""/>
    <s v=""/>
    <s v=""/>
    <m/>
  </r>
  <r>
    <s v="Mexico"/>
    <s v="Latin America and Caribbean"/>
    <s v="P065779"/>
    <s v="C1"/>
    <s v="S18"/>
    <s v="P065779C1S18"/>
    <x v="2"/>
    <s v="2000 / 2007"/>
    <x v="2"/>
    <s v=""/>
    <n v="1"/>
    <m/>
    <m/>
    <n v="1.25"/>
    <n v="1.2499999999999998"/>
    <s v=""/>
    <s v=""/>
    <s v=""/>
    <s v=""/>
    <s v=""/>
    <s v=""/>
  </r>
  <r>
    <s v="Mexico"/>
    <s v="Latin America and Caribbean"/>
    <s v="P065779"/>
    <s v="C1"/>
    <s v="S19"/>
    <s v="P065779C1S19"/>
    <x v="0"/>
    <n v="2000"/>
    <x v="2"/>
    <s v=""/>
    <n v="10.5"/>
    <n v="1.34"/>
    <s v="USD"/>
    <n v="1.34"/>
    <n v="0.12761904761904763"/>
    <s v=""/>
    <s v=""/>
    <s v=""/>
    <s v="x"/>
    <s v="x"/>
    <m/>
  </r>
  <r>
    <s v="Mexico"/>
    <s v="Latin America and Caribbean"/>
    <s v="P065779"/>
    <s v="C1"/>
    <s v="S19"/>
    <s v="P065779C1S19"/>
    <x v="1"/>
    <n v="2007"/>
    <x v="2"/>
    <s v=""/>
    <n v="10.5"/>
    <n v="2.0499999999999998"/>
    <s v="USD"/>
    <n v="2.0499999999999998"/>
    <n v="0.19523809523809521"/>
    <s v=""/>
    <s v=""/>
    <s v=""/>
    <s v="x"/>
    <s v="x"/>
    <m/>
  </r>
  <r>
    <s v="Mexico"/>
    <s v="Latin America and Caribbean"/>
    <s v="P065779"/>
    <s v="C1"/>
    <s v="S19"/>
    <s v="P065779C1S19"/>
    <x v="2"/>
    <s v="2000 / 2007"/>
    <x v="2"/>
    <s v=""/>
    <n v="1"/>
    <m/>
    <m/>
    <n v="1.5298507462686566"/>
    <n v="1.5298507462686564"/>
    <s v=""/>
    <s v=""/>
    <s v=""/>
    <s v="x"/>
    <s v="x"/>
    <s v="Capacity of counterpart ; Quality of estimates; "/>
  </r>
  <r>
    <s v="Mexico"/>
    <s v="Latin America and Caribbean"/>
    <s v="P065779"/>
    <s v="C1"/>
    <s v="S2"/>
    <s v="P065779C1S2"/>
    <x v="0"/>
    <n v="2000"/>
    <x v="2"/>
    <s v=""/>
    <n v="11"/>
    <n v="1.24"/>
    <s v="USD"/>
    <n v="1.24"/>
    <n v="0.11272727272727273"/>
    <s v=""/>
    <s v=""/>
    <s v=""/>
    <s v=""/>
    <s v=""/>
    <m/>
  </r>
  <r>
    <s v="Mexico"/>
    <s v="Latin America and Caribbean"/>
    <s v="P065779"/>
    <s v="C1"/>
    <s v="S2"/>
    <s v="P065779C1S2"/>
    <x v="1"/>
    <n v="2007"/>
    <x v="2"/>
    <s v=""/>
    <n v="11"/>
    <n v="0.8"/>
    <s v="USD"/>
    <n v="0.8"/>
    <n v="7.2727272727272738E-2"/>
    <s v=""/>
    <s v=""/>
    <s v=""/>
    <s v=""/>
    <s v=""/>
    <m/>
  </r>
  <r>
    <s v="Mexico"/>
    <s v="Latin America and Caribbean"/>
    <s v="P065779"/>
    <s v="C1"/>
    <s v="S2"/>
    <s v="P065779C1S2"/>
    <x v="2"/>
    <s v="2000 / 2007"/>
    <x v="2"/>
    <s v=""/>
    <n v="1"/>
    <m/>
    <m/>
    <n v="0.64516129032258074"/>
    <n v="0.64516129032258074"/>
    <s v=""/>
    <s v=""/>
    <s v=""/>
    <s v=""/>
    <s v=""/>
    <s v=""/>
  </r>
  <r>
    <s v="Mexico"/>
    <s v="Latin America and Caribbean"/>
    <s v="P065779"/>
    <s v="C1"/>
    <s v="S20"/>
    <s v="P065779C1S20"/>
    <x v="0"/>
    <n v="2000"/>
    <x v="2"/>
    <s v=""/>
    <n v="21"/>
    <n v="3.78"/>
    <s v="USD"/>
    <n v="3.78"/>
    <n v="0.18"/>
    <s v=""/>
    <s v=""/>
    <s v=""/>
    <s v=""/>
    <s v=""/>
    <m/>
  </r>
  <r>
    <s v="Mexico"/>
    <s v="Latin America and Caribbean"/>
    <s v="P065779"/>
    <s v="C1"/>
    <s v="S20"/>
    <s v="P065779C1S20"/>
    <x v="1"/>
    <n v="2007"/>
    <x v="2"/>
    <s v=""/>
    <n v="21"/>
    <n v="4.9400000000000004"/>
    <s v="USD"/>
    <n v="4.9400000000000004"/>
    <n v="0.23523809523809525"/>
    <s v=""/>
    <s v=""/>
    <s v=""/>
    <s v=""/>
    <s v=""/>
    <m/>
  </r>
  <r>
    <s v="Mexico"/>
    <s v="Latin America and Caribbean"/>
    <s v="P065779"/>
    <s v="C1"/>
    <s v="S20"/>
    <s v="P065779C1S20"/>
    <x v="2"/>
    <s v="2000 / 2007"/>
    <x v="2"/>
    <s v=""/>
    <n v="1"/>
    <m/>
    <m/>
    <n v="1.306878306878307"/>
    <n v="1.306878306878307"/>
    <s v=""/>
    <s v=""/>
    <s v=""/>
    <s v=""/>
    <s v=""/>
    <s v=""/>
  </r>
  <r>
    <s v="Mexico"/>
    <s v="Latin America and Caribbean"/>
    <s v="P065779"/>
    <s v="C1"/>
    <s v="S21"/>
    <s v="P065779C1S21"/>
    <x v="0"/>
    <n v="2000"/>
    <x v="2"/>
    <s v=""/>
    <n v="21.4"/>
    <n v="3.85"/>
    <s v="USD"/>
    <n v="3.85"/>
    <n v="0.17990654205607479"/>
    <s v="x"/>
    <s v=""/>
    <s v="x"/>
    <s v=""/>
    <s v="x"/>
    <m/>
  </r>
  <r>
    <s v="Mexico"/>
    <s v="Latin America and Caribbean"/>
    <s v="P065779"/>
    <s v="C1"/>
    <s v="S21"/>
    <s v="P065779C1S21"/>
    <x v="1"/>
    <n v="2007"/>
    <x v="5"/>
    <s v=""/>
    <n v="10"/>
    <n v="0.75"/>
    <s v="USD"/>
    <n v="0.75"/>
    <n v="7.4999999999999997E-2"/>
    <s v="x"/>
    <s v=""/>
    <s v="x"/>
    <s v=""/>
    <s v="x"/>
    <m/>
  </r>
  <r>
    <s v="Mexico"/>
    <s v="Latin America and Caribbean"/>
    <s v="P065779"/>
    <s v="C1"/>
    <s v="S21"/>
    <s v="P065779C1S21"/>
    <x v="2"/>
    <s v="2000 / 2007"/>
    <x v="5"/>
    <s v=""/>
    <n v="0.46728971962616828"/>
    <m/>
    <m/>
    <n v="0.19480519480519481"/>
    <n v="0.4168831168831168"/>
    <s v="x"/>
    <s v=""/>
    <s v="x"/>
    <s v=""/>
    <s v="x"/>
    <s v="Change of project scope; ; "/>
  </r>
  <r>
    <s v="Mexico"/>
    <s v="Latin America and Caribbean"/>
    <s v="P065779"/>
    <s v="C1"/>
    <s v="S22"/>
    <s v="P065779C1S22"/>
    <x v="0"/>
    <n v="2000"/>
    <x v="2"/>
    <s v=""/>
    <n v="12"/>
    <n v="2.16"/>
    <s v="USD"/>
    <n v="2.16"/>
    <n v="0.18000000000000002"/>
    <s v=""/>
    <s v=""/>
    <s v=""/>
    <s v=""/>
    <s v=""/>
    <m/>
  </r>
  <r>
    <s v="Mexico"/>
    <s v="Latin America and Caribbean"/>
    <s v="P065779"/>
    <s v="C1"/>
    <s v="S22"/>
    <s v="P065779C1S22"/>
    <x v="1"/>
    <n v="2007"/>
    <x v="5"/>
    <s v=""/>
    <n v="12.1"/>
    <n v="1.4"/>
    <s v="USD"/>
    <n v="1.4"/>
    <n v="0.11570247933884296"/>
    <s v=""/>
    <s v=""/>
    <s v=""/>
    <s v=""/>
    <s v=""/>
    <m/>
  </r>
  <r>
    <s v="Mexico"/>
    <s v="Latin America and Caribbean"/>
    <s v="P065779"/>
    <s v="C1"/>
    <s v="S22"/>
    <s v="P065779C1S22"/>
    <x v="2"/>
    <s v="2000 / 2007"/>
    <x v="5"/>
    <s v=""/>
    <n v="1.0083333333333333"/>
    <m/>
    <m/>
    <n v="0.64814814814814803"/>
    <n v="0.64279155188246084"/>
    <s v=""/>
    <s v=""/>
    <s v=""/>
    <s v=""/>
    <s v=""/>
    <s v=""/>
  </r>
  <r>
    <s v="Mexico"/>
    <s v="Latin America and Caribbean"/>
    <s v="P065779"/>
    <s v="C1"/>
    <s v="S23"/>
    <s v="P065779C1S23"/>
    <x v="0"/>
    <n v="2000"/>
    <x v="2"/>
    <s v=""/>
    <n v="4"/>
    <n v="0.6"/>
    <s v="USD"/>
    <n v="0.6"/>
    <n v="0.15"/>
    <s v=""/>
    <s v=""/>
    <s v=""/>
    <s v=""/>
    <s v=""/>
    <m/>
  </r>
  <r>
    <s v="Mexico"/>
    <s v="Latin America and Caribbean"/>
    <s v="P065779"/>
    <s v="C1"/>
    <s v="S23"/>
    <s v="P065779C1S23"/>
    <x v="1"/>
    <n v="2007"/>
    <x v="2"/>
    <s v=""/>
    <n v="4"/>
    <n v="0.55000000000000004"/>
    <s v="USD"/>
    <n v="0.55000000000000004"/>
    <n v="0.13750000000000001"/>
    <s v=""/>
    <s v=""/>
    <s v=""/>
    <s v=""/>
    <s v=""/>
    <m/>
  </r>
  <r>
    <s v="Mexico"/>
    <s v="Latin America and Caribbean"/>
    <s v="P065779"/>
    <s v="C1"/>
    <s v="S23"/>
    <s v="P065779C1S23"/>
    <x v="2"/>
    <s v="2000 / 2007"/>
    <x v="2"/>
    <s v=""/>
    <n v="1"/>
    <m/>
    <m/>
    <n v="0.91666666666666674"/>
    <n v="0.91666666666666674"/>
    <s v=""/>
    <s v=""/>
    <s v=""/>
    <s v=""/>
    <s v=""/>
    <s v=""/>
  </r>
  <r>
    <s v="Mexico"/>
    <s v="Latin America and Caribbean"/>
    <s v="P065779"/>
    <s v="C1"/>
    <s v="S24"/>
    <s v="P065779C1S24"/>
    <x v="0"/>
    <n v="2000"/>
    <x v="2"/>
    <s v=""/>
    <n v="6.5"/>
    <n v="0.98"/>
    <s v="USD"/>
    <n v="0.98"/>
    <n v="0.15076923076923077"/>
    <s v=""/>
    <s v=""/>
    <s v=""/>
    <s v=""/>
    <s v=""/>
    <m/>
  </r>
  <r>
    <s v="Mexico"/>
    <s v="Latin America and Caribbean"/>
    <s v="P065779"/>
    <s v="C1"/>
    <s v="S24"/>
    <s v="P065779C1S24"/>
    <x v="1"/>
    <n v="2007"/>
    <x v="2"/>
    <s v=""/>
    <n v="6.5"/>
    <n v="0.7"/>
    <s v="USD"/>
    <n v="0.7"/>
    <n v="0.10769230769230768"/>
    <s v=""/>
    <s v=""/>
    <s v=""/>
    <s v=""/>
    <s v=""/>
    <m/>
  </r>
  <r>
    <s v="Mexico"/>
    <s v="Latin America and Caribbean"/>
    <s v="P065779"/>
    <s v="C1"/>
    <s v="S24"/>
    <s v="P065779C1S24"/>
    <x v="2"/>
    <s v="2000 / 2007"/>
    <x v="2"/>
    <s v=""/>
    <n v="1"/>
    <m/>
    <m/>
    <n v="0.7142857142857143"/>
    <n v="0.7142857142857143"/>
    <s v=""/>
    <s v=""/>
    <s v=""/>
    <s v=""/>
    <s v=""/>
    <s v=""/>
  </r>
  <r>
    <s v="Mexico"/>
    <s v="Latin America and Caribbean"/>
    <s v="P065779"/>
    <s v="C1"/>
    <s v="S25"/>
    <s v="P065779C1S25"/>
    <x v="0"/>
    <n v="2000"/>
    <x v="5"/>
    <s v=""/>
    <n v="15.8"/>
    <n v="0.49"/>
    <s v="USD"/>
    <n v="0.49"/>
    <n v="3.10126582278481E-2"/>
    <s v=""/>
    <s v=""/>
    <s v=""/>
    <s v="x"/>
    <s v="x"/>
    <m/>
  </r>
  <r>
    <s v="Mexico"/>
    <s v="Latin America and Caribbean"/>
    <s v="P065779"/>
    <s v="C1"/>
    <s v="S25"/>
    <s v="P065779C1S25"/>
    <x v="1"/>
    <n v="2007"/>
    <x v="5"/>
    <s v=""/>
    <n v="15.2"/>
    <n v="0.84"/>
    <s v="USD"/>
    <n v="0.84"/>
    <n v="5.526315789473684E-2"/>
    <s v=""/>
    <s v=""/>
    <s v=""/>
    <s v="x"/>
    <s v="x"/>
    <m/>
  </r>
  <r>
    <s v="Mexico"/>
    <s v="Latin America and Caribbean"/>
    <s v="P065779"/>
    <s v="C1"/>
    <s v="S25"/>
    <s v="P065779C1S25"/>
    <x v="2"/>
    <s v="2000 / 2007"/>
    <x v="5"/>
    <s v=""/>
    <n v="0.96202531645569611"/>
    <m/>
    <m/>
    <n v="1.7142857142857142"/>
    <n v="1.7819548872180451"/>
    <s v=""/>
    <s v=""/>
    <s v=""/>
    <s v="x"/>
    <s v="x"/>
    <s v="Capacity of counterpart ; Quality of estimates; "/>
  </r>
  <r>
    <s v="Mexico"/>
    <s v="Latin America and Caribbean"/>
    <s v="P065779"/>
    <s v="C1"/>
    <s v="S26"/>
    <s v="P065779C1S26"/>
    <x v="0"/>
    <n v="2000"/>
    <x v="5"/>
    <s v=""/>
    <n v="30"/>
    <n v="0.63"/>
    <s v="USD"/>
    <n v="0.63"/>
    <n v="2.1000000000000001E-2"/>
    <s v=""/>
    <s v=""/>
    <s v=""/>
    <s v=""/>
    <s v=""/>
    <m/>
  </r>
  <r>
    <s v="Mexico"/>
    <s v="Latin America and Caribbean"/>
    <s v="P065779"/>
    <s v="C1"/>
    <s v="S26"/>
    <s v="P065779C1S26"/>
    <x v="1"/>
    <n v="2007"/>
    <x v="5"/>
    <s v=""/>
    <n v="30"/>
    <n v="0.8"/>
    <s v="USD"/>
    <n v="0.8"/>
    <n v="2.6666666666666668E-2"/>
    <s v=""/>
    <s v=""/>
    <s v=""/>
    <s v=""/>
    <s v=""/>
    <m/>
  </r>
  <r>
    <s v="Mexico"/>
    <s v="Latin America and Caribbean"/>
    <s v="P065779"/>
    <s v="C1"/>
    <s v="S26"/>
    <s v="P065779C1S26"/>
    <x v="2"/>
    <s v="2000 / 2007"/>
    <x v="5"/>
    <s v=""/>
    <n v="1"/>
    <m/>
    <m/>
    <n v="1.26984126984127"/>
    <n v="1.2698412698412698"/>
    <s v=""/>
    <s v=""/>
    <s v=""/>
    <s v=""/>
    <s v=""/>
    <s v=""/>
  </r>
  <r>
    <s v="Mexico"/>
    <s v="Latin America and Caribbean"/>
    <s v="P065779"/>
    <s v="C1"/>
    <s v="S27"/>
    <s v="P065779C1S27"/>
    <x v="0"/>
    <n v="2000"/>
    <x v="5"/>
    <s v=""/>
    <n v="17"/>
    <n v="0.55000000000000004"/>
    <s v="USD"/>
    <n v="0.55000000000000004"/>
    <n v="3.2352941176470591E-2"/>
    <s v=""/>
    <s v=""/>
    <s v=""/>
    <s v=""/>
    <s v=""/>
    <m/>
  </r>
  <r>
    <s v="Mexico"/>
    <s v="Latin America and Caribbean"/>
    <s v="P065779"/>
    <s v="C1"/>
    <s v="S27"/>
    <s v="P065779C1S27"/>
    <x v="1"/>
    <n v="2007"/>
    <x v="5"/>
    <s v=""/>
    <n v="17"/>
    <n v="0.69"/>
    <s v="USD"/>
    <n v="0.69"/>
    <n v="4.0588235294117647E-2"/>
    <s v=""/>
    <s v=""/>
    <s v=""/>
    <s v=""/>
    <s v=""/>
    <m/>
  </r>
  <r>
    <s v="Mexico"/>
    <s v="Latin America and Caribbean"/>
    <s v="P065779"/>
    <s v="C1"/>
    <s v="S27"/>
    <s v="P065779C1S27"/>
    <x v="2"/>
    <s v="2000 / 2007"/>
    <x v="5"/>
    <s v=""/>
    <n v="1"/>
    <m/>
    <m/>
    <n v="1.2545454545454544"/>
    <n v="1.2545454545454544"/>
    <s v=""/>
    <s v=""/>
    <s v=""/>
    <s v=""/>
    <s v=""/>
    <s v=""/>
  </r>
  <r>
    <s v="Mexico"/>
    <s v="Latin America and Caribbean"/>
    <s v="P065779"/>
    <s v="C1"/>
    <s v="S28"/>
    <s v="P065779C1S28"/>
    <x v="0"/>
    <n v="2000"/>
    <x v="5"/>
    <s v=""/>
    <n v="17.600000000000001"/>
    <n v="0.49"/>
    <s v="USD"/>
    <n v="0.49"/>
    <n v="2.784090909090909E-2"/>
    <s v=""/>
    <s v=""/>
    <s v=""/>
    <s v="x"/>
    <s v="x"/>
    <m/>
  </r>
  <r>
    <s v="Mexico"/>
    <s v="Latin America and Caribbean"/>
    <s v="P065779"/>
    <s v="C1"/>
    <s v="S28"/>
    <s v="P065779C1S28"/>
    <x v="1"/>
    <n v="2007"/>
    <x v="5"/>
    <s v=""/>
    <n v="17.600000000000001"/>
    <n v="1.17"/>
    <s v="USD"/>
    <n v="1.17"/>
    <n v="6.6477272727272718E-2"/>
    <s v=""/>
    <s v=""/>
    <s v=""/>
    <s v="x"/>
    <s v="x"/>
    <m/>
  </r>
  <r>
    <s v="Mexico"/>
    <s v="Latin America and Caribbean"/>
    <s v="P065779"/>
    <s v="C1"/>
    <s v="S28"/>
    <s v="P065779C1S28"/>
    <x v="2"/>
    <s v="2000 / 2007"/>
    <x v="5"/>
    <s v=""/>
    <n v="1"/>
    <m/>
    <m/>
    <n v="2.3877551020408161"/>
    <n v="2.3877551020408161"/>
    <s v=""/>
    <s v=""/>
    <s v=""/>
    <s v="x"/>
    <s v="x"/>
    <s v="Capacity of counterpart ; Quality of estimates; "/>
  </r>
  <r>
    <s v="Mexico"/>
    <s v="Latin America and Caribbean"/>
    <s v="P065779"/>
    <s v="C1"/>
    <s v="S29"/>
    <s v="P065779C1S29"/>
    <x v="0"/>
    <n v="2000"/>
    <x v="5"/>
    <s v=""/>
    <n v="4"/>
    <n v="0.17"/>
    <s v="USD"/>
    <n v="0.17"/>
    <n v="4.2500000000000003E-2"/>
    <s v=""/>
    <s v=""/>
    <s v=""/>
    <s v="x"/>
    <s v="x"/>
    <m/>
  </r>
  <r>
    <s v="Mexico"/>
    <s v="Latin America and Caribbean"/>
    <s v="P065779"/>
    <s v="C1"/>
    <s v="S29"/>
    <s v="P065779C1S29"/>
    <x v="1"/>
    <n v="2007"/>
    <x v="5"/>
    <s v=""/>
    <n v="4"/>
    <n v="0.34"/>
    <s v="USD"/>
    <n v="0.34"/>
    <n v="8.5000000000000006E-2"/>
    <s v=""/>
    <s v=""/>
    <s v=""/>
    <s v="x"/>
    <s v="x"/>
    <m/>
  </r>
  <r>
    <s v="Mexico"/>
    <s v="Latin America and Caribbean"/>
    <s v="P065779"/>
    <s v="C1"/>
    <s v="S29"/>
    <s v="P065779C1S29"/>
    <x v="2"/>
    <s v="2000 / 2007"/>
    <x v="5"/>
    <s v=""/>
    <n v="1"/>
    <m/>
    <m/>
    <n v="2"/>
    <n v="2"/>
    <s v=""/>
    <s v=""/>
    <s v=""/>
    <s v="x"/>
    <s v="x"/>
    <s v="Capacity of counterpart ; Quality of estimates; "/>
  </r>
  <r>
    <s v="Mexico"/>
    <s v="Latin America and Caribbean"/>
    <s v="P065779"/>
    <s v="C1"/>
    <s v="S3"/>
    <s v="P065779C1S3"/>
    <x v="0"/>
    <n v="2000"/>
    <x v="2"/>
    <s v=""/>
    <n v="3"/>
    <n v="0.34"/>
    <s v="USD"/>
    <n v="0.34"/>
    <n v="0.11333333333333334"/>
    <s v=""/>
    <s v=""/>
    <s v=""/>
    <s v=""/>
    <s v=""/>
    <m/>
  </r>
  <r>
    <s v="Mexico"/>
    <s v="Latin America and Caribbean"/>
    <s v="P065779"/>
    <s v="C1"/>
    <s v="S3"/>
    <s v="P065779C1S3"/>
    <x v="1"/>
    <n v="2007"/>
    <x v="2"/>
    <s v=""/>
    <n v="3"/>
    <n v="0.17"/>
    <s v="USD"/>
    <n v="0.17"/>
    <n v="5.6666666666666671E-2"/>
    <s v=""/>
    <s v=""/>
    <s v=""/>
    <s v=""/>
    <s v=""/>
    <m/>
  </r>
  <r>
    <s v="Mexico"/>
    <s v="Latin America and Caribbean"/>
    <s v="P065779"/>
    <s v="C1"/>
    <s v="S3"/>
    <s v="P065779C1S3"/>
    <x v="2"/>
    <s v="2000 / 2007"/>
    <x v="2"/>
    <s v=""/>
    <n v="1"/>
    <m/>
    <m/>
    <n v="0.5"/>
    <n v="0.5"/>
    <s v=""/>
    <s v=""/>
    <s v=""/>
    <s v=""/>
    <s v=""/>
    <s v=""/>
  </r>
  <r>
    <s v="Mexico"/>
    <s v="Latin America and Caribbean"/>
    <s v="P065779"/>
    <s v="C1"/>
    <s v="S30"/>
    <s v="P065779C1S30"/>
    <x v="0"/>
    <n v="2000"/>
    <x v="5"/>
    <s v=""/>
    <n v="4.5"/>
    <n v="0.17"/>
    <s v="USD"/>
    <n v="0.17"/>
    <n v="3.7777777777777778E-2"/>
    <s v=""/>
    <s v=""/>
    <s v=""/>
    <s v="x"/>
    <s v="x"/>
    <m/>
  </r>
  <r>
    <s v="Mexico"/>
    <s v="Latin America and Caribbean"/>
    <s v="P065779"/>
    <s v="C1"/>
    <s v="S30"/>
    <s v="P065779C1S30"/>
    <x v="1"/>
    <n v="2007"/>
    <x v="5"/>
    <s v=""/>
    <n v="4.5"/>
    <n v="0.33"/>
    <s v="USD"/>
    <n v="0.33"/>
    <n v="7.3333333333333334E-2"/>
    <s v=""/>
    <s v=""/>
    <s v=""/>
    <s v="x"/>
    <s v="x"/>
    <m/>
  </r>
  <r>
    <s v="Mexico"/>
    <s v="Latin America and Caribbean"/>
    <s v="P065779"/>
    <s v="C1"/>
    <s v="S30"/>
    <s v="P065779C1S30"/>
    <x v="2"/>
    <s v="2000 / 2007"/>
    <x v="5"/>
    <s v=""/>
    <n v="1"/>
    <m/>
    <m/>
    <n v="1.9411764705882353"/>
    <n v="1.9411764705882353"/>
    <s v=""/>
    <s v=""/>
    <s v=""/>
    <s v="x"/>
    <s v="x"/>
    <s v="Capacity of counterpart ; Quality of estimates; "/>
  </r>
  <r>
    <s v="Mexico"/>
    <s v="Latin America and Caribbean"/>
    <s v="P065779"/>
    <s v="C1"/>
    <s v="S31"/>
    <s v="P065779C1S31"/>
    <x v="0"/>
    <n v="2000"/>
    <x v="5"/>
    <s v=""/>
    <n v="3"/>
    <n v="0.06"/>
    <s v="USD"/>
    <n v="0.06"/>
    <n v="0.02"/>
    <s v=""/>
    <s v=""/>
    <s v=""/>
    <s v=""/>
    <s v=""/>
    <m/>
  </r>
  <r>
    <s v="Mexico"/>
    <s v="Latin America and Caribbean"/>
    <s v="P065779"/>
    <s v="C1"/>
    <s v="S31"/>
    <s v="P065779C1S31"/>
    <x v="1"/>
    <n v="2007"/>
    <x v="5"/>
    <s v=""/>
    <n v="3"/>
    <n v="7.0000000000000007E-2"/>
    <s v="USD"/>
    <n v="7.0000000000000007E-2"/>
    <n v="2.3333333333333334E-2"/>
    <s v=""/>
    <s v=""/>
    <s v=""/>
    <s v=""/>
    <s v=""/>
    <m/>
  </r>
  <r>
    <s v="Mexico"/>
    <s v="Latin America and Caribbean"/>
    <s v="P065779"/>
    <s v="C1"/>
    <s v="S31"/>
    <s v="P065779C1S31"/>
    <x v="2"/>
    <s v="2000 / 2007"/>
    <x v="5"/>
    <s v=""/>
    <n v="1"/>
    <m/>
    <m/>
    <n v="1.1666666666666667"/>
    <n v="1.1666666666666667"/>
    <s v=""/>
    <s v=""/>
    <s v=""/>
    <s v=""/>
    <s v=""/>
    <s v=""/>
  </r>
  <r>
    <s v="Mexico"/>
    <s v="Latin America and Caribbean"/>
    <s v="P065779"/>
    <s v="C1"/>
    <s v="S32"/>
    <s v="P065779C1S32"/>
    <x v="0"/>
    <n v="2000"/>
    <x v="5"/>
    <s v=""/>
    <n v="30"/>
    <n v="1.08"/>
    <s v="USD"/>
    <n v="1.08"/>
    <n v="3.6000000000000004E-2"/>
    <s v=""/>
    <s v=""/>
    <s v="x"/>
    <s v=""/>
    <s v="x"/>
    <m/>
  </r>
  <r>
    <s v="Mexico"/>
    <s v="Latin America and Caribbean"/>
    <s v="P065779"/>
    <s v="C1"/>
    <s v="S32"/>
    <s v="P065779C1S32"/>
    <x v="1"/>
    <n v="2007"/>
    <x v="5"/>
    <s v=""/>
    <n v="30"/>
    <n v="0.48"/>
    <s v="USD"/>
    <n v="0.48"/>
    <n v="1.6E-2"/>
    <s v=""/>
    <s v=""/>
    <s v="x"/>
    <s v=""/>
    <s v="x"/>
    <m/>
  </r>
  <r>
    <s v="Mexico"/>
    <s v="Latin America and Caribbean"/>
    <s v="P065779"/>
    <s v="C1"/>
    <s v="S32"/>
    <s v="P065779C1S32"/>
    <x v="2"/>
    <s v="2000 / 2007"/>
    <x v="5"/>
    <s v=""/>
    <n v="1"/>
    <m/>
    <m/>
    <n v="0.44444444444444442"/>
    <n v="0.44444444444444442"/>
    <s v=""/>
    <s v=""/>
    <s v="x"/>
    <s v=""/>
    <s v="x"/>
    <s v="Change of project scope; ; "/>
  </r>
  <r>
    <s v="Mexico"/>
    <s v="Latin America and Caribbean"/>
    <s v="P065779"/>
    <s v="C1"/>
    <s v="S33"/>
    <s v="P065779C1S33"/>
    <x v="0"/>
    <n v="2000"/>
    <x v="5"/>
    <s v=""/>
    <n v="22"/>
    <n v="0.71"/>
    <s v="USD"/>
    <n v="0.71"/>
    <n v="3.2272727272727272E-2"/>
    <s v=""/>
    <s v=""/>
    <s v=""/>
    <s v="x"/>
    <s v="x"/>
    <m/>
  </r>
  <r>
    <s v="Mexico"/>
    <s v="Latin America and Caribbean"/>
    <s v="P065779"/>
    <s v="C1"/>
    <s v="S33"/>
    <s v="P065779C1S33"/>
    <x v="1"/>
    <n v="2007"/>
    <x v="5"/>
    <s v=""/>
    <n v="22"/>
    <n v="1.37"/>
    <s v="USD"/>
    <n v="1.37"/>
    <n v="6.2272727272727278E-2"/>
    <s v=""/>
    <s v=""/>
    <s v=""/>
    <s v="x"/>
    <s v="x"/>
    <m/>
  </r>
  <r>
    <s v="Mexico"/>
    <s v="Latin America and Caribbean"/>
    <s v="P065779"/>
    <s v="C1"/>
    <s v="S33"/>
    <s v="P065779C1S33"/>
    <x v="2"/>
    <s v="2000 / 2007"/>
    <x v="5"/>
    <s v=""/>
    <n v="1"/>
    <m/>
    <m/>
    <n v="1.9295774647887327"/>
    <n v="1.9295774647887325"/>
    <s v=""/>
    <s v=""/>
    <s v=""/>
    <s v="x"/>
    <s v="x"/>
    <s v="Change of project scope; Capacity of counterpart (Procurement system); "/>
  </r>
  <r>
    <s v="Mexico"/>
    <s v="Latin America and Caribbean"/>
    <s v="P065779"/>
    <s v="C1"/>
    <s v="S34"/>
    <s v="P065779C1S34"/>
    <x v="0"/>
    <n v="2000"/>
    <x v="5"/>
    <s v=""/>
    <n v="5"/>
    <n v="0.26"/>
    <s v="USD"/>
    <n v="0.26"/>
    <n v="5.2000000000000005E-2"/>
    <s v=""/>
    <s v="x"/>
    <s v=""/>
    <s v="x"/>
    <s v="x"/>
    <m/>
  </r>
  <r>
    <s v="Mexico"/>
    <s v="Latin America and Caribbean"/>
    <s v="P065779"/>
    <s v="C1"/>
    <s v="S34"/>
    <s v="P065779C1S34"/>
    <x v="1"/>
    <n v="2007"/>
    <x v="5"/>
    <s v=""/>
    <n v="8"/>
    <n v="0.84"/>
    <s v="USD"/>
    <n v="0.84"/>
    <n v="0.105"/>
    <s v=""/>
    <s v="x"/>
    <s v=""/>
    <s v="x"/>
    <s v="x"/>
    <m/>
  </r>
  <r>
    <s v="Mexico"/>
    <s v="Latin America and Caribbean"/>
    <s v="P065779"/>
    <s v="C1"/>
    <s v="S34"/>
    <s v="P065779C1S34"/>
    <x v="2"/>
    <s v="2000 / 2007"/>
    <x v="5"/>
    <s v=""/>
    <n v="1.6"/>
    <m/>
    <m/>
    <n v="3.2307692307692304"/>
    <n v="2.0192307692307692"/>
    <s v=""/>
    <s v="x"/>
    <s v=""/>
    <s v="x"/>
    <s v="x"/>
    <s v="Capacity of counterpart ; Quality of estimates; Change of project scope"/>
  </r>
  <r>
    <s v="Mexico"/>
    <s v="Latin America and Caribbean"/>
    <s v="P065779"/>
    <s v="C1"/>
    <s v="S35"/>
    <s v="P065779C1S35"/>
    <x v="0"/>
    <n v="2000"/>
    <x v="5"/>
    <s v=""/>
    <n v="9"/>
    <n v="0.47"/>
    <s v="USD"/>
    <n v="0.47"/>
    <n v="5.2222222222222218E-2"/>
    <s v=""/>
    <s v=""/>
    <s v=""/>
    <s v="x"/>
    <s v="x"/>
    <m/>
  </r>
  <r>
    <s v="Mexico"/>
    <s v="Latin America and Caribbean"/>
    <s v="P065779"/>
    <s v="C1"/>
    <s v="S35"/>
    <s v="P065779C1S35"/>
    <x v="1"/>
    <n v="2007"/>
    <x v="5"/>
    <s v=""/>
    <n v="9"/>
    <n v="1.41"/>
    <s v="USD"/>
    <n v="1.41"/>
    <n v="0.15666666666666665"/>
    <s v=""/>
    <s v=""/>
    <s v=""/>
    <s v="x"/>
    <s v="x"/>
    <m/>
  </r>
  <r>
    <s v="Mexico"/>
    <s v="Latin America and Caribbean"/>
    <s v="P065779"/>
    <s v="C1"/>
    <s v="S35"/>
    <s v="P065779C1S35"/>
    <x v="2"/>
    <s v="2000 / 2007"/>
    <x v="5"/>
    <s v=""/>
    <n v="1"/>
    <m/>
    <m/>
    <n v="3"/>
    <n v="3"/>
    <s v=""/>
    <s v=""/>
    <s v=""/>
    <s v="x"/>
    <s v="x"/>
    <s v="Capacity of counterpart ; Quality of estimates; "/>
  </r>
  <r>
    <s v="Mexico"/>
    <s v="Latin America and Caribbean"/>
    <s v="P065779"/>
    <s v="C1"/>
    <s v="S36"/>
    <s v="P065779C1S36"/>
    <x v="0"/>
    <n v="2000"/>
    <x v="5"/>
    <s v=""/>
    <n v="16"/>
    <n v="0.46"/>
    <s v="USD"/>
    <n v="0.46"/>
    <n v="2.8750000000000001E-2"/>
    <s v=""/>
    <s v=""/>
    <s v=""/>
    <s v="x"/>
    <s v="x"/>
    <m/>
  </r>
  <r>
    <s v="Mexico"/>
    <s v="Latin America and Caribbean"/>
    <s v="P065779"/>
    <s v="C1"/>
    <s v="S36"/>
    <s v="P065779C1S36"/>
    <x v="1"/>
    <n v="2007"/>
    <x v="5"/>
    <s v=""/>
    <n v="17.5"/>
    <n v="1.61"/>
    <s v="USD"/>
    <n v="1.61"/>
    <n v="9.2000000000000012E-2"/>
    <s v=""/>
    <s v=""/>
    <s v=""/>
    <s v="x"/>
    <s v="x"/>
    <m/>
  </r>
  <r>
    <s v="Mexico"/>
    <s v="Latin America and Caribbean"/>
    <s v="P065779"/>
    <s v="C1"/>
    <s v="S36"/>
    <s v="P065779C1S36"/>
    <x v="2"/>
    <s v="2000 / 2007"/>
    <x v="5"/>
    <s v=""/>
    <n v="1.09375"/>
    <m/>
    <m/>
    <n v="3.5"/>
    <n v="3.2"/>
    <s v=""/>
    <s v=""/>
    <s v=""/>
    <s v="x"/>
    <s v="x"/>
    <s v="Capacity of counterpart ; Quality of estimates; "/>
  </r>
  <r>
    <s v="Mexico"/>
    <s v="Latin America and Caribbean"/>
    <s v="P065779"/>
    <s v="C1"/>
    <s v="S37"/>
    <s v="P065779C1S37"/>
    <x v="0"/>
    <n v="2000"/>
    <x v="5"/>
    <s v=""/>
    <n v="31"/>
    <n v="1.33"/>
    <s v="USD"/>
    <n v="1.33"/>
    <n v="4.2903225806451617E-2"/>
    <s v=""/>
    <s v=""/>
    <s v=""/>
    <s v="x"/>
    <s v="x"/>
    <m/>
  </r>
  <r>
    <s v="Mexico"/>
    <s v="Latin America and Caribbean"/>
    <s v="P065779"/>
    <s v="C1"/>
    <s v="S37"/>
    <s v="P065779C1S37"/>
    <x v="1"/>
    <n v="2007"/>
    <x v="5"/>
    <s v=""/>
    <n v="31"/>
    <n v="2"/>
    <s v="USD"/>
    <n v="2"/>
    <n v="6.4516129032258063E-2"/>
    <s v=""/>
    <s v=""/>
    <s v=""/>
    <s v="x"/>
    <s v="x"/>
    <m/>
  </r>
  <r>
    <s v="Mexico"/>
    <s v="Latin America and Caribbean"/>
    <s v="P065779"/>
    <s v="C1"/>
    <s v="S37"/>
    <s v="P065779C1S37"/>
    <x v="2"/>
    <s v="2000 / 2007"/>
    <x v="5"/>
    <s v=""/>
    <n v="1"/>
    <m/>
    <m/>
    <n v="1.5037593984962405"/>
    <n v="1.5037593984962405"/>
    <s v=""/>
    <s v=""/>
    <s v=""/>
    <s v="x"/>
    <s v="x"/>
    <s v="Capacity of counterpart ; Quality of estimates; "/>
  </r>
  <r>
    <s v="Mexico"/>
    <s v="Latin America and Caribbean"/>
    <s v="P065779"/>
    <s v="C1"/>
    <s v="S38"/>
    <s v="P065779C1S38"/>
    <x v="0"/>
    <n v="2000"/>
    <x v="5"/>
    <s v=""/>
    <n v="31"/>
    <n v="1.6"/>
    <s v="USD"/>
    <n v="1.6"/>
    <n v="5.1612903225806452E-2"/>
    <s v=""/>
    <s v=""/>
    <s v=""/>
    <s v=""/>
    <s v=""/>
    <m/>
  </r>
  <r>
    <s v="Mexico"/>
    <s v="Latin America and Caribbean"/>
    <s v="P065779"/>
    <s v="C1"/>
    <s v="S38"/>
    <s v="P065779C1S38"/>
    <x v="1"/>
    <n v="2007"/>
    <x v="5"/>
    <s v=""/>
    <n v="30.7"/>
    <n v="1.41"/>
    <s v="USD"/>
    <n v="1.41"/>
    <n v="4.5928338762214985E-2"/>
    <s v=""/>
    <s v=""/>
    <s v=""/>
    <s v=""/>
    <s v=""/>
    <m/>
  </r>
  <r>
    <s v="Mexico"/>
    <s v="Latin America and Caribbean"/>
    <s v="P065779"/>
    <s v="C1"/>
    <s v="S38"/>
    <s v="P065779C1S38"/>
    <x v="2"/>
    <s v="2000 / 2007"/>
    <x v="5"/>
    <s v=""/>
    <n v="0.99032258064516132"/>
    <m/>
    <m/>
    <n v="0.88124999999999987"/>
    <n v="0.88986156351791534"/>
    <s v=""/>
    <s v=""/>
    <s v=""/>
    <s v=""/>
    <s v=""/>
    <s v=""/>
  </r>
  <r>
    <s v="Mexico"/>
    <s v="Latin America and Caribbean"/>
    <s v="P065779"/>
    <s v="C1"/>
    <s v="S39"/>
    <s v="P065779C1S39"/>
    <x v="0"/>
    <n v="2000"/>
    <x v="5"/>
    <s v=""/>
    <n v="7"/>
    <n v="0.3"/>
    <s v="USD"/>
    <n v="0.3"/>
    <n v="4.2857142857142858E-2"/>
    <s v=""/>
    <s v=""/>
    <s v=""/>
    <s v="x"/>
    <s v="x"/>
    <m/>
  </r>
  <r>
    <s v="Mexico"/>
    <s v="Latin America and Caribbean"/>
    <s v="P065779"/>
    <s v="C1"/>
    <s v="S39"/>
    <s v="P065779C1S39"/>
    <x v="1"/>
    <n v="2007"/>
    <x v="2"/>
    <s v=""/>
    <n v="7"/>
    <n v="2.25"/>
    <s v="USD"/>
    <n v="2.25"/>
    <n v="0.32142857142857145"/>
    <s v=""/>
    <s v=""/>
    <s v=""/>
    <s v="x"/>
    <s v="x"/>
    <m/>
  </r>
  <r>
    <s v="Mexico"/>
    <s v="Latin America and Caribbean"/>
    <s v="P065779"/>
    <s v="C1"/>
    <s v="S39"/>
    <s v="P065779C1S39"/>
    <x v="2"/>
    <s v="2000 / 2007"/>
    <x v="2"/>
    <s v=""/>
    <n v="1"/>
    <m/>
    <m/>
    <n v="7.5"/>
    <n v="7.5000000000000009"/>
    <s v=""/>
    <s v=""/>
    <s v=""/>
    <s v="x"/>
    <s v="x"/>
    <s v="Capacity of counterpart ; Quality of estimates; "/>
  </r>
  <r>
    <s v="Mexico"/>
    <s v="Latin America and Caribbean"/>
    <s v="P065779"/>
    <s v="C1"/>
    <s v="S4"/>
    <s v="P065779C1S4"/>
    <x v="0"/>
    <n v="2000"/>
    <x v="2"/>
    <s v=""/>
    <n v="9"/>
    <n v="1.01"/>
    <s v="USD"/>
    <n v="1.01"/>
    <n v="0.11222222222222222"/>
    <s v=""/>
    <s v=""/>
    <s v=""/>
    <s v=""/>
    <s v=""/>
    <m/>
  </r>
  <r>
    <s v="Mexico"/>
    <s v="Latin America and Caribbean"/>
    <s v="P065779"/>
    <s v="C1"/>
    <s v="S4"/>
    <s v="P065779C1S4"/>
    <x v="1"/>
    <n v="2007"/>
    <x v="2"/>
    <s v=""/>
    <n v="9"/>
    <n v="0.85"/>
    <s v="USD"/>
    <n v="0.85"/>
    <n v="9.4444444444444442E-2"/>
    <s v=""/>
    <s v=""/>
    <s v=""/>
    <s v=""/>
    <s v=""/>
    <m/>
  </r>
  <r>
    <s v="Mexico"/>
    <s v="Latin America and Caribbean"/>
    <s v="P065779"/>
    <s v="C1"/>
    <s v="S4"/>
    <s v="P065779C1S4"/>
    <x v="2"/>
    <s v="2000 / 2007"/>
    <x v="2"/>
    <s v=""/>
    <n v="1"/>
    <m/>
    <m/>
    <n v="0.84158415841584155"/>
    <n v="0.84158415841584155"/>
    <s v=""/>
    <s v=""/>
    <s v=""/>
    <s v=""/>
    <s v=""/>
    <s v=""/>
  </r>
  <r>
    <s v="Mexico"/>
    <s v="Latin America and Caribbean"/>
    <s v="P065779"/>
    <s v="C1"/>
    <s v="S40"/>
    <s v="P065779C1S40"/>
    <x v="0"/>
    <n v="2000"/>
    <x v="5"/>
    <s v=""/>
    <n v="4"/>
    <n v="0.1"/>
    <s v="USD"/>
    <n v="0.1"/>
    <n v="2.5000000000000001E-2"/>
    <s v=""/>
    <s v="x"/>
    <s v=""/>
    <s v="x"/>
    <s v="x"/>
    <m/>
  </r>
  <r>
    <s v="Mexico"/>
    <s v="Latin America and Caribbean"/>
    <s v="P065779"/>
    <s v="C1"/>
    <s v="S40"/>
    <s v="P065779C1S40"/>
    <x v="1"/>
    <n v="2007"/>
    <x v="5"/>
    <s v=""/>
    <n v="16"/>
    <n v="0.66"/>
    <s v="USD"/>
    <n v="0.66"/>
    <n v="4.1250000000000002E-2"/>
    <s v=""/>
    <s v="x"/>
    <s v=""/>
    <s v="x"/>
    <s v="x"/>
    <m/>
  </r>
  <r>
    <s v="Mexico"/>
    <s v="Latin America and Caribbean"/>
    <s v="P065779"/>
    <s v="C1"/>
    <s v="S40"/>
    <s v="P065779C1S40"/>
    <x v="2"/>
    <s v="2000 / 2007"/>
    <x v="5"/>
    <s v=""/>
    <n v="4"/>
    <m/>
    <m/>
    <n v="6.6"/>
    <n v="1.65"/>
    <s v=""/>
    <s v="x"/>
    <s v=""/>
    <s v="x"/>
    <s v="x"/>
    <s v="Capacity of counterpart ; Quality of estimates; Change of project scope"/>
  </r>
  <r>
    <s v="Mexico"/>
    <s v="Latin America and Caribbean"/>
    <s v="P065779"/>
    <s v="C1"/>
    <s v="S41"/>
    <s v="P065779C1S41"/>
    <x v="0"/>
    <n v="2000"/>
    <x v="5"/>
    <s v=""/>
    <n v="30"/>
    <n v="1.29"/>
    <s v="USD"/>
    <n v="1.29"/>
    <n v="4.3000000000000003E-2"/>
    <s v=""/>
    <s v=""/>
    <s v=""/>
    <s v="x"/>
    <s v="x"/>
    <m/>
  </r>
  <r>
    <s v="Mexico"/>
    <s v="Latin America and Caribbean"/>
    <s v="P065779"/>
    <s v="C1"/>
    <s v="S41"/>
    <s v="P065779C1S41"/>
    <x v="1"/>
    <n v="2007"/>
    <x v="2"/>
    <s v=""/>
    <n v="30"/>
    <n v="2.9"/>
    <s v="USD"/>
    <n v="2.9"/>
    <n v="9.6666666666666665E-2"/>
    <s v=""/>
    <s v=""/>
    <s v=""/>
    <s v="x"/>
    <s v="x"/>
    <m/>
  </r>
  <r>
    <s v="Mexico"/>
    <s v="Latin America and Caribbean"/>
    <s v="P065779"/>
    <s v="C1"/>
    <s v="S41"/>
    <s v="P065779C1S41"/>
    <x v="2"/>
    <s v="2000 / 2007"/>
    <x v="2"/>
    <s v=""/>
    <n v="1"/>
    <m/>
    <m/>
    <n v="2.248062015503876"/>
    <n v="2.2480620155038755"/>
    <s v=""/>
    <s v=""/>
    <s v=""/>
    <s v="x"/>
    <s v="x"/>
    <s v="Capacity of counterpart ; Quality of estimates; "/>
  </r>
  <r>
    <s v="Mexico"/>
    <s v="Latin America and Caribbean"/>
    <s v="P065779"/>
    <s v="C1"/>
    <s v="S42"/>
    <s v="P065779C1S42"/>
    <x v="0"/>
    <n v="2000"/>
    <x v="5"/>
    <s v=""/>
    <n v="7"/>
    <n v="0.23"/>
    <s v="USD"/>
    <n v="0.23"/>
    <n v="3.2857142857142856E-2"/>
    <s v=""/>
    <s v=""/>
    <s v=""/>
    <s v="x"/>
    <s v="x"/>
    <m/>
  </r>
  <r>
    <s v="Mexico"/>
    <s v="Latin America and Caribbean"/>
    <s v="P065779"/>
    <s v="C1"/>
    <s v="S42"/>
    <s v="P065779C1S42"/>
    <x v="1"/>
    <n v="2007"/>
    <x v="5"/>
    <s v=""/>
    <n v="7"/>
    <n v="0.47"/>
    <s v="USD"/>
    <n v="0.47"/>
    <n v="6.7142857142857143E-2"/>
    <s v=""/>
    <s v=""/>
    <s v=""/>
    <s v="x"/>
    <s v="x"/>
    <m/>
  </r>
  <r>
    <s v="Mexico"/>
    <s v="Latin America and Caribbean"/>
    <s v="P065779"/>
    <s v="C1"/>
    <s v="S42"/>
    <s v="P065779C1S42"/>
    <x v="2"/>
    <s v="2000 / 2007"/>
    <x v="5"/>
    <s v=""/>
    <n v="1"/>
    <m/>
    <m/>
    <n v="2.043478260869565"/>
    <n v="2.0434782608695654"/>
    <s v=""/>
    <s v=""/>
    <s v=""/>
    <s v="x"/>
    <s v="x"/>
    <s v="Capacity of counterpart ; Quality of estimates; "/>
  </r>
  <r>
    <s v="Mexico"/>
    <s v="Latin America and Caribbean"/>
    <s v="P065779"/>
    <s v="C1"/>
    <s v="S43"/>
    <s v="P065779C1S43"/>
    <x v="0"/>
    <n v="2000"/>
    <x v="5"/>
    <s v=""/>
    <n v="20"/>
    <n v="1.17"/>
    <s v="USD"/>
    <n v="1.17"/>
    <n v="5.8499999999999996E-2"/>
    <s v=""/>
    <s v=""/>
    <s v=""/>
    <s v=""/>
    <s v=""/>
    <m/>
  </r>
  <r>
    <s v="Mexico"/>
    <s v="Latin America and Caribbean"/>
    <s v="P065779"/>
    <s v="C1"/>
    <s v="S43"/>
    <s v="P065779C1S43"/>
    <x v="1"/>
    <n v="2007"/>
    <x v="5"/>
    <s v=""/>
    <n v="20"/>
    <n v="1.3"/>
    <s v="USD"/>
    <n v="1.3"/>
    <n v="6.5000000000000002E-2"/>
    <s v=""/>
    <s v=""/>
    <s v=""/>
    <s v=""/>
    <s v=""/>
    <m/>
  </r>
  <r>
    <s v="Mexico"/>
    <s v="Latin America and Caribbean"/>
    <s v="P065779"/>
    <s v="C1"/>
    <s v="S43"/>
    <s v="P065779C1S43"/>
    <x v="2"/>
    <s v="2000 / 2007"/>
    <x v="5"/>
    <s v=""/>
    <n v="1"/>
    <m/>
    <m/>
    <n v="1.1111111111111112"/>
    <n v="1.1111111111111112"/>
    <s v=""/>
    <s v=""/>
    <s v=""/>
    <s v=""/>
    <s v=""/>
    <s v=""/>
  </r>
  <r>
    <s v="Mexico"/>
    <s v="Latin America and Caribbean"/>
    <s v="P065779"/>
    <s v="C1"/>
    <s v="S44"/>
    <s v="P065779C1S44"/>
    <x v="0"/>
    <n v="2000"/>
    <x v="5"/>
    <s v=""/>
    <n v="12"/>
    <n v="0.52"/>
    <s v="USD"/>
    <n v="0.52"/>
    <n v="4.3333333333333335E-2"/>
    <s v=""/>
    <s v=""/>
    <s v=""/>
    <s v="x"/>
    <s v="x"/>
    <m/>
  </r>
  <r>
    <s v="Mexico"/>
    <s v="Latin America and Caribbean"/>
    <s v="P065779"/>
    <s v="C1"/>
    <s v="S44"/>
    <s v="P065779C1S44"/>
    <x v="1"/>
    <n v="2007"/>
    <x v="2"/>
    <s v=""/>
    <n v="11.5"/>
    <n v="3.6"/>
    <s v="USD"/>
    <n v="3.6"/>
    <n v="0.31304347826086959"/>
    <s v=""/>
    <s v=""/>
    <s v=""/>
    <s v="x"/>
    <s v="x"/>
    <m/>
  </r>
  <r>
    <s v="Mexico"/>
    <s v="Latin America and Caribbean"/>
    <s v="P065779"/>
    <s v="C1"/>
    <s v="S44"/>
    <s v="P065779C1S44"/>
    <x v="2"/>
    <s v="2000 / 2007"/>
    <x v="2"/>
    <s v=""/>
    <n v="0.95833333333333337"/>
    <m/>
    <m/>
    <n v="6.9230769230769234"/>
    <n v="7.2240802675585289"/>
    <s v=""/>
    <s v=""/>
    <s v=""/>
    <s v="x"/>
    <s v="x"/>
    <s v="Capacity of counterpart ; Quality of estimates; "/>
  </r>
  <r>
    <s v="Mexico"/>
    <s v="Latin America and Caribbean"/>
    <s v="P065779"/>
    <s v="C1"/>
    <s v="S45"/>
    <s v="P065779C1S45"/>
    <x v="0"/>
    <n v="2000"/>
    <x v="5"/>
    <s v=""/>
    <n v="9"/>
    <n v="0.39"/>
    <s v="USD"/>
    <n v="0.39"/>
    <n v="4.3333333333333335E-2"/>
    <s v=""/>
    <s v=""/>
    <s v=""/>
    <s v=""/>
    <s v=""/>
    <m/>
  </r>
  <r>
    <s v="Mexico"/>
    <s v="Latin America and Caribbean"/>
    <s v="P065779"/>
    <s v="C1"/>
    <s v="S45"/>
    <s v="P065779C1S45"/>
    <x v="1"/>
    <n v="2007"/>
    <x v="5"/>
    <s v=""/>
    <n v="9"/>
    <n v="0.35"/>
    <s v="USD"/>
    <n v="0.35"/>
    <n v="3.888888888888889E-2"/>
    <s v=""/>
    <s v=""/>
    <s v=""/>
    <s v=""/>
    <s v=""/>
    <m/>
  </r>
  <r>
    <s v="Mexico"/>
    <s v="Latin America and Caribbean"/>
    <s v="P065779"/>
    <s v="C1"/>
    <s v="S45"/>
    <s v="P065779C1S45"/>
    <x v="2"/>
    <s v="2000 / 2007"/>
    <x v="5"/>
    <s v=""/>
    <n v="1"/>
    <m/>
    <m/>
    <n v="0.89743589743589736"/>
    <n v="0.89743589743589747"/>
    <s v=""/>
    <s v=""/>
    <s v=""/>
    <s v=""/>
    <s v=""/>
    <s v=""/>
  </r>
  <r>
    <s v="Mexico"/>
    <s v="Latin America and Caribbean"/>
    <s v="P065779"/>
    <s v="C1"/>
    <s v="S46"/>
    <s v="P065779C1S46"/>
    <x v="0"/>
    <n v="2000"/>
    <x v="5"/>
    <s v=""/>
    <n v="9"/>
    <n v="0.28000000000000003"/>
    <s v="USD"/>
    <n v="0.28000000000000003"/>
    <n v="3.1111111111111114E-2"/>
    <s v=""/>
    <s v=""/>
    <s v=""/>
    <s v="x"/>
    <s v="x"/>
    <m/>
  </r>
  <r>
    <s v="Mexico"/>
    <s v="Latin America and Caribbean"/>
    <s v="P065779"/>
    <s v="C1"/>
    <s v="S46"/>
    <s v="P065779C1S46"/>
    <x v="1"/>
    <n v="2007"/>
    <x v="5"/>
    <s v=""/>
    <n v="9"/>
    <n v="0.45"/>
    <s v="USD"/>
    <n v="0.45"/>
    <n v="0.05"/>
    <s v=""/>
    <s v=""/>
    <s v=""/>
    <s v="x"/>
    <s v="x"/>
    <m/>
  </r>
  <r>
    <s v="Mexico"/>
    <s v="Latin America and Caribbean"/>
    <s v="P065779"/>
    <s v="C1"/>
    <s v="S46"/>
    <s v="P065779C1S46"/>
    <x v="2"/>
    <s v="2000 / 2007"/>
    <x v="5"/>
    <s v=""/>
    <n v="1"/>
    <m/>
    <m/>
    <n v="1.607142857142857"/>
    <n v="1.6071428571428572"/>
    <s v=""/>
    <s v=""/>
    <s v=""/>
    <s v="x"/>
    <s v="x"/>
    <s v="Capacity of counterpart ; Quality of estimates; "/>
  </r>
  <r>
    <s v="Mexico"/>
    <s v="Latin America and Caribbean"/>
    <s v="P065779"/>
    <s v="C1"/>
    <s v="S47"/>
    <s v="P065779C1S47"/>
    <x v="0"/>
    <n v="2000"/>
    <x v="5"/>
    <s v=""/>
    <n v="30"/>
    <n v="0.97"/>
    <s v="USD"/>
    <n v="0.97"/>
    <n v="3.2333333333333332E-2"/>
    <s v=""/>
    <s v=""/>
    <s v=""/>
    <s v="x"/>
    <s v="x"/>
    <m/>
  </r>
  <r>
    <s v="Mexico"/>
    <s v="Latin America and Caribbean"/>
    <s v="P065779"/>
    <s v="C1"/>
    <s v="S47"/>
    <s v="P065779C1S47"/>
    <x v="1"/>
    <n v="2007"/>
    <x v="5"/>
    <s v=""/>
    <n v="23"/>
    <n v="1.1299999999999999"/>
    <s v="USD"/>
    <n v="1.1299999999999999"/>
    <n v="4.9130434782608694E-2"/>
    <s v=""/>
    <s v=""/>
    <s v=""/>
    <s v="x"/>
    <s v="x"/>
    <m/>
  </r>
  <r>
    <s v="Mexico"/>
    <s v="Latin America and Caribbean"/>
    <s v="P065779"/>
    <s v="C1"/>
    <s v="S47"/>
    <s v="P065779C1S47"/>
    <x v="2"/>
    <s v="2000 / 2007"/>
    <x v="5"/>
    <s v=""/>
    <n v="0.76666666666666672"/>
    <m/>
    <m/>
    <n v="1.1649484536082473"/>
    <n v="1.5194979829672792"/>
    <s v=""/>
    <s v=""/>
    <s v=""/>
    <s v="x"/>
    <s v="x"/>
    <s v="Capacity of counterpart ; Quality of estimates; "/>
  </r>
  <r>
    <s v="Mexico"/>
    <s v="Latin America and Caribbean"/>
    <s v="P065779"/>
    <s v="C1"/>
    <s v="S48"/>
    <s v="P065779C1S48"/>
    <x v="0"/>
    <n v="2000"/>
    <x v="5"/>
    <s v=""/>
    <n v="13"/>
    <n v="0.4"/>
    <s v="USD"/>
    <n v="0.4"/>
    <n v="3.0769230769230771E-2"/>
    <s v=""/>
    <s v=""/>
    <s v=""/>
    <s v="x"/>
    <s v="x"/>
    <m/>
  </r>
  <r>
    <s v="Mexico"/>
    <s v="Latin America and Caribbean"/>
    <s v="P065779"/>
    <s v="C1"/>
    <s v="S48"/>
    <s v="P065779C1S48"/>
    <x v="1"/>
    <n v="2007"/>
    <x v="5"/>
    <s v=""/>
    <n v="13"/>
    <n v="1.2"/>
    <s v="USD"/>
    <n v="1.2"/>
    <n v="9.2307692307692299E-2"/>
    <s v=""/>
    <s v=""/>
    <s v=""/>
    <s v="x"/>
    <s v="x"/>
    <m/>
  </r>
  <r>
    <s v="Mexico"/>
    <s v="Latin America and Caribbean"/>
    <s v="P065779"/>
    <s v="C1"/>
    <s v="S48"/>
    <s v="P065779C1S48"/>
    <x v="2"/>
    <s v="2000 / 2007"/>
    <x v="5"/>
    <s v=""/>
    <n v="1"/>
    <m/>
    <m/>
    <n v="2.9999999999999996"/>
    <n v="2.9999999999999996"/>
    <s v=""/>
    <s v=""/>
    <s v=""/>
    <s v="x"/>
    <s v="x"/>
    <s v="Capacity of counterpart ; Quality of estimates; "/>
  </r>
  <r>
    <s v="Mexico"/>
    <s v="Latin America and Caribbean"/>
    <s v="P065779"/>
    <s v="C1"/>
    <s v="S49"/>
    <s v="P065779C1S49"/>
    <x v="0"/>
    <n v="2000"/>
    <x v="5"/>
    <s v=""/>
    <n v="9"/>
    <n v="0.75"/>
    <s v="USD"/>
    <n v="0.75"/>
    <n v="8.3333333333333329E-2"/>
    <s v=""/>
    <s v=""/>
    <s v=""/>
    <s v=""/>
    <s v=""/>
    <m/>
  </r>
  <r>
    <s v="Mexico"/>
    <s v="Latin America and Caribbean"/>
    <s v="P065779"/>
    <s v="C1"/>
    <s v="S49"/>
    <s v="P065779C1S49"/>
    <x v="1"/>
    <n v="2007"/>
    <x v="5"/>
    <s v=""/>
    <n v="9.5"/>
    <n v="0.89"/>
    <s v="USD"/>
    <n v="0.89"/>
    <n v="9.3684210526315786E-2"/>
    <s v=""/>
    <s v=""/>
    <s v=""/>
    <s v=""/>
    <s v=""/>
    <m/>
  </r>
  <r>
    <s v="Mexico"/>
    <s v="Latin America and Caribbean"/>
    <s v="P065779"/>
    <s v="C1"/>
    <s v="S49"/>
    <s v="P065779C1S49"/>
    <x v="2"/>
    <s v="2000 / 2007"/>
    <x v="5"/>
    <s v=""/>
    <n v="1.0555555555555556"/>
    <m/>
    <m/>
    <n v="1.1866666666666668"/>
    <n v="1.1242105263157895"/>
    <s v=""/>
    <s v=""/>
    <s v=""/>
    <s v=""/>
    <s v=""/>
    <s v=""/>
  </r>
  <r>
    <s v="Mexico"/>
    <s v="Latin America and Caribbean"/>
    <s v="P065779"/>
    <s v="C1"/>
    <s v="S5"/>
    <s v="P065779C1S5"/>
    <x v="0"/>
    <n v="2000"/>
    <x v="2"/>
    <s v=""/>
    <n v="16"/>
    <n v="1.8"/>
    <s v="USD"/>
    <n v="1.8"/>
    <n v="0.1125"/>
    <s v=""/>
    <s v=""/>
    <s v=""/>
    <s v=""/>
    <s v=""/>
    <m/>
  </r>
  <r>
    <s v="Mexico"/>
    <s v="Latin America and Caribbean"/>
    <s v="P065779"/>
    <s v="C1"/>
    <s v="S5"/>
    <s v="P065779C1S5"/>
    <x v="1"/>
    <n v="2007"/>
    <x v="2"/>
    <s v=""/>
    <n v="11"/>
    <n v="1.04"/>
    <s v="USD"/>
    <n v="1.04"/>
    <n v="9.4545454545454544E-2"/>
    <s v=""/>
    <s v=""/>
    <s v=""/>
    <s v=""/>
    <s v=""/>
    <m/>
  </r>
  <r>
    <s v="Mexico"/>
    <s v="Latin America and Caribbean"/>
    <s v="P065779"/>
    <s v="C1"/>
    <s v="S5"/>
    <s v="P065779C1S5"/>
    <x v="2"/>
    <s v="2000 / 2007"/>
    <x v="2"/>
    <s v=""/>
    <n v="0.6875"/>
    <m/>
    <m/>
    <n v="0.57777777777777783"/>
    <n v="0.84040404040404038"/>
    <s v=""/>
    <s v=""/>
    <s v=""/>
    <s v=""/>
    <s v=""/>
    <s v=""/>
  </r>
  <r>
    <s v="Mexico"/>
    <s v="Latin America and Caribbean"/>
    <s v="P065779"/>
    <s v="C1"/>
    <s v="S50"/>
    <s v="P065779C1S50"/>
    <x v="0"/>
    <n v="2000"/>
    <x v="5"/>
    <s v=""/>
    <n v="69"/>
    <n v="2.23"/>
    <s v="USD"/>
    <n v="2.23"/>
    <n v="3.2318840579710142E-2"/>
    <s v=""/>
    <s v=""/>
    <s v=""/>
    <s v=""/>
    <s v=""/>
    <m/>
  </r>
  <r>
    <s v="Mexico"/>
    <s v="Latin America and Caribbean"/>
    <s v="P065779"/>
    <s v="C1"/>
    <s v="S50"/>
    <s v="P065779C1S50"/>
    <x v="1"/>
    <n v="2007"/>
    <x v="5"/>
    <s v=""/>
    <n v="69"/>
    <n v="3.26"/>
    <s v="USD"/>
    <n v="3.26"/>
    <n v="4.7246376811594201E-2"/>
    <s v=""/>
    <s v=""/>
    <s v=""/>
    <s v=""/>
    <s v=""/>
    <m/>
  </r>
  <r>
    <s v="Mexico"/>
    <s v="Latin America and Caribbean"/>
    <s v="P065779"/>
    <s v="C1"/>
    <s v="S50"/>
    <s v="P065779C1S50"/>
    <x v="2"/>
    <s v="2000 / 2007"/>
    <x v="5"/>
    <s v=""/>
    <n v="1"/>
    <m/>
    <m/>
    <n v="1.4618834080717489"/>
    <n v="1.4618834080717489"/>
    <s v=""/>
    <s v=""/>
    <s v=""/>
    <s v=""/>
    <s v=""/>
    <s v=""/>
  </r>
  <r>
    <s v="Mexico"/>
    <s v="Latin America and Caribbean"/>
    <s v="P065779"/>
    <s v="C1"/>
    <s v="S51"/>
    <s v="P065779C1S51"/>
    <x v="0"/>
    <n v="2000"/>
    <x v="5"/>
    <s v=""/>
    <n v="20"/>
    <n v="1.38"/>
    <s v="USD"/>
    <n v="1.38"/>
    <n v="6.8999999999999992E-2"/>
    <s v=""/>
    <s v=""/>
    <s v=""/>
    <s v=""/>
    <s v=""/>
    <m/>
  </r>
  <r>
    <s v="Mexico"/>
    <s v="Latin America and Caribbean"/>
    <s v="P065779"/>
    <s v="C1"/>
    <s v="S51"/>
    <s v="P065779C1S51"/>
    <x v="1"/>
    <n v="2007"/>
    <x v="5"/>
    <s v=""/>
    <n v="14"/>
    <n v="0.74"/>
    <s v="USD"/>
    <n v="0.74"/>
    <n v="5.2857142857142859E-2"/>
    <s v=""/>
    <s v=""/>
    <s v=""/>
    <s v=""/>
    <s v=""/>
    <m/>
  </r>
  <r>
    <s v="Mexico"/>
    <s v="Latin America and Caribbean"/>
    <s v="P065779"/>
    <s v="C1"/>
    <s v="S51"/>
    <s v="P065779C1S51"/>
    <x v="2"/>
    <s v="2000 / 2007"/>
    <x v="5"/>
    <s v=""/>
    <n v="0.7"/>
    <m/>
    <m/>
    <n v="0.53623188405797106"/>
    <n v="0.76604554865424446"/>
    <s v=""/>
    <s v=""/>
    <s v=""/>
    <s v=""/>
    <s v=""/>
    <s v=""/>
  </r>
  <r>
    <s v="Mexico"/>
    <s v="Latin America and Caribbean"/>
    <s v="P065779"/>
    <s v="C1"/>
    <s v="S6"/>
    <s v="P065779C1S6"/>
    <x v="0"/>
    <n v="2000"/>
    <x v="2"/>
    <s v=""/>
    <n v="5"/>
    <n v="0.56000000000000005"/>
    <s v="USD"/>
    <n v="0.56000000000000005"/>
    <n v="0.11200000000000002"/>
    <s v=""/>
    <s v="x"/>
    <s v=""/>
    <s v=""/>
    <s v="x"/>
    <m/>
  </r>
  <r>
    <s v="Mexico"/>
    <s v="Latin America and Caribbean"/>
    <s v="P065779"/>
    <s v="C1"/>
    <s v="S6"/>
    <s v="P065779C1S6"/>
    <x v="1"/>
    <n v="2007"/>
    <x v="2"/>
    <s v=""/>
    <n v="10"/>
    <n v="1.54"/>
    <s v="USD"/>
    <n v="1.54"/>
    <n v="0.154"/>
    <s v=""/>
    <s v="x"/>
    <s v=""/>
    <s v=""/>
    <s v="x"/>
    <m/>
  </r>
  <r>
    <s v="Mexico"/>
    <s v="Latin America and Caribbean"/>
    <s v="P065779"/>
    <s v="C1"/>
    <s v="S6"/>
    <s v="P065779C1S6"/>
    <x v="2"/>
    <s v="2000 / 2007"/>
    <x v="2"/>
    <s v=""/>
    <n v="2"/>
    <m/>
    <m/>
    <n v="2.75"/>
    <n v="1.3749999999999998"/>
    <s v=""/>
    <s v="x"/>
    <s v=""/>
    <s v=""/>
    <s v="x"/>
    <s v="Change of project scope; ; "/>
  </r>
  <r>
    <s v="Mexico"/>
    <s v="Latin America and Caribbean"/>
    <s v="P065779"/>
    <s v="C1"/>
    <s v="S7"/>
    <s v="P065779C1S7"/>
    <x v="0"/>
    <n v="2000"/>
    <x v="2"/>
    <s v=""/>
    <n v="5"/>
    <n v="0.75"/>
    <s v="USD"/>
    <n v="0.75"/>
    <n v="0.15"/>
    <s v=""/>
    <s v=""/>
    <s v="x"/>
    <s v=""/>
    <s v="x"/>
    <m/>
  </r>
  <r>
    <s v="Mexico"/>
    <s v="Latin America and Caribbean"/>
    <s v="P065779"/>
    <s v="C1"/>
    <s v="S7"/>
    <s v="P065779C1S7"/>
    <x v="1"/>
    <n v="2007"/>
    <x v="5"/>
    <s v=""/>
    <n v="5"/>
    <n v="0.11"/>
    <s v="USD"/>
    <n v="0.11"/>
    <n v="2.1999999999999999E-2"/>
    <s v=""/>
    <s v=""/>
    <s v="x"/>
    <s v=""/>
    <s v="x"/>
    <m/>
  </r>
  <r>
    <s v="Mexico"/>
    <s v="Latin America and Caribbean"/>
    <s v="P065779"/>
    <s v="C1"/>
    <s v="S7"/>
    <s v="P065779C1S7"/>
    <x v="2"/>
    <s v="2000 / 2007"/>
    <x v="5"/>
    <s v=""/>
    <n v="1"/>
    <m/>
    <m/>
    <n v="0.14666666666666667"/>
    <n v="0.14666666666666667"/>
    <s v=""/>
    <s v=""/>
    <s v="x"/>
    <s v=""/>
    <s v="x"/>
    <s v="Change of project scope; ; "/>
  </r>
  <r>
    <s v="Mexico"/>
    <s v="Latin America and Caribbean"/>
    <s v="P065779"/>
    <s v="C1"/>
    <s v="S8"/>
    <s v="P065779C1S8"/>
    <x v="0"/>
    <n v="2000"/>
    <x v="2"/>
    <s v=""/>
    <n v="17"/>
    <n v="2.5499999999999998"/>
    <s v="USD"/>
    <n v="2.5499999999999998"/>
    <n v="0.15"/>
    <s v=""/>
    <s v=""/>
    <s v="x"/>
    <s v=""/>
    <s v="x"/>
    <m/>
  </r>
  <r>
    <s v="Mexico"/>
    <s v="Latin America and Caribbean"/>
    <s v="P065779"/>
    <s v="C1"/>
    <s v="S8"/>
    <s v="P065779C1S8"/>
    <x v="1"/>
    <n v="2007"/>
    <x v="2"/>
    <s v=""/>
    <n v="17"/>
    <n v="1.1599999999999999"/>
    <s v="USD"/>
    <n v="1.1599999999999999"/>
    <n v="6.8235294117647061E-2"/>
    <s v=""/>
    <s v=""/>
    <s v="x"/>
    <s v=""/>
    <s v="x"/>
    <m/>
  </r>
  <r>
    <s v="Mexico"/>
    <s v="Latin America and Caribbean"/>
    <s v="P065779"/>
    <s v="C1"/>
    <s v="S8"/>
    <s v="P065779C1S8"/>
    <x v="2"/>
    <s v="2000 / 2007"/>
    <x v="2"/>
    <s v=""/>
    <n v="1"/>
    <m/>
    <m/>
    <n v="0.45490196078431372"/>
    <n v="0.45490196078431377"/>
    <s v=""/>
    <s v=""/>
    <s v="x"/>
    <s v=""/>
    <s v="x"/>
    <s v="Change of project scope; ; "/>
  </r>
  <r>
    <s v="Mexico"/>
    <s v="Latin America and Caribbean"/>
    <s v="P065779"/>
    <s v="C1"/>
    <s v="S9"/>
    <s v="P065779C1S9"/>
    <x v="0"/>
    <n v="2000"/>
    <x v="2"/>
    <s v=""/>
    <n v="10"/>
    <n v="1.5"/>
    <s v="USD"/>
    <n v="1.5"/>
    <n v="0.15"/>
    <s v=""/>
    <s v=""/>
    <s v=""/>
    <s v="x"/>
    <s v="x"/>
    <m/>
  </r>
  <r>
    <s v="Mexico"/>
    <s v="Latin America and Caribbean"/>
    <s v="P065779"/>
    <s v="C1"/>
    <s v="S9"/>
    <s v="P065779C1S9"/>
    <x v="1"/>
    <n v="2007"/>
    <x v="2"/>
    <s v=""/>
    <n v="10"/>
    <n v="3.91"/>
    <s v="USD"/>
    <n v="3.91"/>
    <n v="0.39100000000000001"/>
    <s v=""/>
    <s v=""/>
    <s v=""/>
    <s v="x"/>
    <s v="x"/>
    <m/>
  </r>
  <r>
    <s v="Mexico"/>
    <s v="Latin America and Caribbean"/>
    <s v="P065779"/>
    <s v="C1"/>
    <s v="S9"/>
    <s v="P065779C1S9"/>
    <x v="2"/>
    <s v="2000 / 2007"/>
    <x v="2"/>
    <s v=""/>
    <n v="1"/>
    <m/>
    <m/>
    <n v="2.6066666666666669"/>
    <n v="2.6066666666666669"/>
    <s v=""/>
    <s v=""/>
    <s v=""/>
    <s v="x"/>
    <s v="x"/>
    <s v="Capacity of counterpart ; Quality of estimates; "/>
  </r>
  <r>
    <s v="Moldova"/>
    <s v="Europe and Central Asia"/>
    <s v="P100929"/>
    <s v="C1"/>
    <s v=""/>
    <s v="P100929C1"/>
    <x v="0"/>
    <n v="2005"/>
    <x v="11"/>
    <s v=""/>
    <n v="180"/>
    <n v="44"/>
    <s v="USD"/>
    <n v="44"/>
    <n v="0.24444444444444444"/>
    <s v="x"/>
    <s v=""/>
    <s v=""/>
    <s v="x"/>
    <s v="x"/>
    <m/>
  </r>
  <r>
    <s v="Moldova"/>
    <s v="Europe and Central Asia"/>
    <s v="P100929"/>
    <s v="C1"/>
    <s v=""/>
    <s v="P100929C1"/>
    <x v="1"/>
    <n v="2013"/>
    <x v="11"/>
    <s v=""/>
    <n v="87.1"/>
    <n v="67.2"/>
    <s v="USD"/>
    <n v="67.2"/>
    <n v="0.77152698048220447"/>
    <s v="x"/>
    <s v=""/>
    <s v=""/>
    <s v="x"/>
    <s v="x"/>
    <m/>
  </r>
  <r>
    <s v="Moldova"/>
    <s v="Europe and Central Asia"/>
    <s v="P100929"/>
    <s v="C1"/>
    <s v=""/>
    <s v="P100929C1"/>
    <x v="2"/>
    <s v="2005 / 2013"/>
    <x v="11"/>
    <s v=""/>
    <n v="0.48388888888888887"/>
    <n v="1.5272727272727273"/>
    <m/>
    <n v="1.5272727272727273"/>
    <n v="3.1562467383362911"/>
    <s v="x"/>
    <s v=""/>
    <s v=""/>
    <s v="x"/>
    <s v="x"/>
    <s v="Procurement system; Change of project scope; Quality of estimates"/>
  </r>
  <r>
    <s v="Mongolia"/>
    <s v="East Asia and Pacific"/>
    <s v="P056200"/>
    <s v="C1"/>
    <s v=""/>
    <s v="P056200C1"/>
    <x v="0"/>
    <n v="2001"/>
    <x v="1"/>
    <s v=""/>
    <n v="356"/>
    <n v="38.200000000000003"/>
    <s v="USD"/>
    <n v="38.200000000000003"/>
    <n v="0.10730337078651686"/>
    <s v=""/>
    <s v=""/>
    <s v=""/>
    <s v=""/>
    <s v=""/>
    <m/>
  </r>
  <r>
    <s v="Mongolia"/>
    <s v="East Asia and Pacific"/>
    <s v="P056200"/>
    <s v="C1"/>
    <s v=""/>
    <s v="P056200C1"/>
    <x v="1"/>
    <n v="2008"/>
    <x v="1"/>
    <s v=""/>
    <n v="433"/>
    <n v="40.83"/>
    <s v="USD"/>
    <n v="40.83"/>
    <n v="9.4295612009237875E-2"/>
    <s v=""/>
    <s v=""/>
    <s v=""/>
    <s v=""/>
    <s v=""/>
    <m/>
  </r>
  <r>
    <s v="Mongolia"/>
    <s v="East Asia and Pacific"/>
    <s v="P056200"/>
    <s v="C1"/>
    <s v=""/>
    <s v="P056200C1"/>
    <x v="2"/>
    <s v="2001 / 2008"/>
    <x v="1"/>
    <s v=""/>
    <n v="1.2162921348314606"/>
    <n v="1.0688481675392669"/>
    <m/>
    <n v="1.0688481675392669"/>
    <n v="0.87877586060965129"/>
    <s v=""/>
    <s v=""/>
    <s v=""/>
    <s v=""/>
    <s v=""/>
    <s v=""/>
  </r>
  <r>
    <s v="Morocco"/>
    <s v="Middle East and North Africa"/>
    <s v="P082754"/>
    <s v="C1"/>
    <s v=""/>
    <s v="P082754C1"/>
    <x v="0"/>
    <n v="2004"/>
    <x v="2"/>
    <n v="54"/>
    <n v="625"/>
    <n v="379.3"/>
    <s v="MAD"/>
    <n v="40.961123110151192"/>
    <n v="6.5537796976241902E-2"/>
    <s v=""/>
    <s v=""/>
    <s v=""/>
    <s v="x"/>
    <s v="x"/>
    <m/>
  </r>
  <r>
    <s v="Morocco"/>
    <s v="Middle East and North Africa"/>
    <s v="P082754"/>
    <s v="C1"/>
    <s v=""/>
    <s v="P082754C1"/>
    <x v="1"/>
    <n v="2011"/>
    <x v="2"/>
    <n v="69"/>
    <n v="520"/>
    <n v="451.9"/>
    <s v="MAD"/>
    <n v="54.18465227817746"/>
    <n v="0.1042012543811105"/>
    <s v=""/>
    <s v=""/>
    <s v=""/>
    <s v="x"/>
    <s v="x"/>
    <m/>
  </r>
  <r>
    <s v="Morocco"/>
    <s v="Middle East and North Africa"/>
    <s v="P082754"/>
    <s v="C1"/>
    <s v=""/>
    <s v="P082754C1"/>
    <x v="2"/>
    <s v="2004 / 2011"/>
    <x v="2"/>
    <n v="1.2777777777777777"/>
    <n v="0.83199999999999996"/>
    <n v="1.1914052201423675"/>
    <m/>
    <n v="1.3228312156496789"/>
    <n v="1.5899413649635565"/>
    <s v=""/>
    <s v=""/>
    <s v=""/>
    <s v="x"/>
    <s v="x"/>
    <s v="Macroeconomic conditions; Quality of estimates; "/>
  </r>
  <r>
    <s v="Morocco"/>
    <s v="Middle East and North Africa"/>
    <s v="P082754"/>
    <s v="C1"/>
    <s v="S1"/>
    <s v="P082754C1S1"/>
    <x v="0"/>
    <n v="2004"/>
    <x v="2"/>
    <n v="54"/>
    <n v="24"/>
    <n v="14.4"/>
    <s v="MAD"/>
    <n v="1.5550755939524838"/>
    <n v="6.4794816414686832E-2"/>
    <s v=""/>
    <s v=""/>
    <s v=""/>
    <s v=""/>
    <s v=""/>
    <m/>
  </r>
  <r>
    <s v="Morocco"/>
    <s v="Middle East and North Africa"/>
    <s v="P082754"/>
    <s v="C1"/>
    <s v="S1"/>
    <s v="P082754C1S1"/>
    <x v="1"/>
    <n v="2011"/>
    <x v="2"/>
    <n v="69"/>
    <n v="18.7"/>
    <n v="13.19"/>
    <s v="MAD"/>
    <n v="1.5815347721822541"/>
    <n v="8.4574051988355839E-2"/>
    <s v=""/>
    <s v=""/>
    <s v=""/>
    <s v=""/>
    <s v=""/>
    <m/>
  </r>
  <r>
    <s v="Morocco"/>
    <s v="Middle East and North Africa"/>
    <s v="P082754"/>
    <s v="C1"/>
    <s v="S1"/>
    <s v="P082754C1S1"/>
    <x v="2"/>
    <s v="2004 / 2011"/>
    <x v="2"/>
    <n v="1.2777777777777777"/>
    <n v="0.77916666666666667"/>
    <n v="0.91597222222222219"/>
    <m/>
    <n v="1.0170147215560883"/>
    <n v="1.3052595356869583"/>
    <s v=""/>
    <s v=""/>
    <s v=""/>
    <s v=""/>
    <s v=""/>
    <s v=""/>
  </r>
  <r>
    <s v="Morocco"/>
    <s v="Middle East and North Africa"/>
    <s v="P082754"/>
    <s v="C1"/>
    <s v="S10"/>
    <s v="P082754C1S10"/>
    <x v="0"/>
    <n v="2004"/>
    <x v="2"/>
    <n v="54"/>
    <n v="9"/>
    <n v="7.2"/>
    <s v="MAD"/>
    <n v="0.77753779697624192"/>
    <n v="8.6393088552915775E-2"/>
    <s v=""/>
    <s v=""/>
    <s v=""/>
    <s v="x"/>
    <s v="x"/>
    <m/>
  </r>
  <r>
    <s v="Morocco"/>
    <s v="Middle East and North Africa"/>
    <s v="P082754"/>
    <s v="C1"/>
    <s v="S10"/>
    <s v="P082754C1S10"/>
    <x v="1"/>
    <n v="2011"/>
    <x v="2"/>
    <n v="69"/>
    <n v="8.8000000000000007"/>
    <n v="12.04"/>
    <s v="MAD"/>
    <n v="1.4436450839328536"/>
    <n v="0.16405057771964243"/>
    <s v=""/>
    <s v=""/>
    <s v=""/>
    <s v="x"/>
    <s v="x"/>
    <m/>
  </r>
  <r>
    <s v="Morocco"/>
    <s v="Middle East and North Africa"/>
    <s v="P082754"/>
    <s v="C1"/>
    <s v="S10"/>
    <s v="P082754C1S10"/>
    <x v="2"/>
    <s v="2004 / 2011"/>
    <x v="2"/>
    <n v="1.2777777777777777"/>
    <n v="0.97777777777777786"/>
    <n v="1.6722222222222221"/>
    <m/>
    <n v="1.8566879829469756"/>
    <n v="1.8988854371048609"/>
    <s v=""/>
    <s v=""/>
    <s v=""/>
    <s v="x"/>
    <s v="x"/>
    <s v="Macroeconomic conditions; Quality of estimates; "/>
  </r>
  <r>
    <s v="Morocco"/>
    <s v="Middle East and North Africa"/>
    <s v="P082754"/>
    <s v="C1"/>
    <s v="S11"/>
    <s v="P082754C1S11"/>
    <x v="0"/>
    <n v="2004"/>
    <x v="2"/>
    <n v="54"/>
    <n v="10"/>
    <n v="3.4"/>
    <s v="MAD"/>
    <n v="0.367170626349892"/>
    <n v="3.6717062634989202E-2"/>
    <s v=""/>
    <s v=""/>
    <s v=""/>
    <s v="x"/>
    <s v="x"/>
    <m/>
  </r>
  <r>
    <s v="Morocco"/>
    <s v="Middle East and North Africa"/>
    <s v="P082754"/>
    <s v="C1"/>
    <s v="S11"/>
    <s v="P082754C1S11"/>
    <x v="1"/>
    <n v="2011"/>
    <x v="2"/>
    <n v="69"/>
    <n v="9.5"/>
    <n v="7.98"/>
    <s v="MAD"/>
    <n v="0.95683453237410077"/>
    <n v="0.10071942446043165"/>
    <s v=""/>
    <s v=""/>
    <s v=""/>
    <s v="x"/>
    <s v="x"/>
    <m/>
  </r>
  <r>
    <s v="Morocco"/>
    <s v="Middle East and North Africa"/>
    <s v="P082754"/>
    <s v="C1"/>
    <s v="S11"/>
    <s v="P082754C1S11"/>
    <x v="2"/>
    <s v="2004 / 2011"/>
    <x v="2"/>
    <n v="1.2777777777777777"/>
    <n v="0.95"/>
    <n v="2.3470588235294119"/>
    <m/>
    <n v="2.6059669911129921"/>
    <n v="2.7431231485399916"/>
    <s v=""/>
    <s v=""/>
    <s v=""/>
    <s v="x"/>
    <s v="x"/>
    <s v="Macroeconomic conditions; Quality of estimates; "/>
  </r>
  <r>
    <s v="Morocco"/>
    <s v="Middle East and North Africa"/>
    <s v="P082754"/>
    <s v="C1"/>
    <s v="S12"/>
    <s v="P082754C1S12"/>
    <x v="0"/>
    <n v="2004"/>
    <x v="2"/>
    <n v="54"/>
    <n v="28"/>
    <n v="10.56"/>
    <s v="MAD"/>
    <n v="1.1403887688984882"/>
    <n v="4.0728170317803146E-2"/>
    <s v=""/>
    <s v=""/>
    <s v=""/>
    <s v=""/>
    <s v=""/>
    <m/>
  </r>
  <r>
    <s v="Morocco"/>
    <s v="Middle East and North Africa"/>
    <s v="P082754"/>
    <s v="C1"/>
    <s v="S12"/>
    <s v="P082754C1S12"/>
    <x v="1"/>
    <n v="2011"/>
    <x v="2"/>
    <n v="69"/>
    <n v="28.9"/>
    <n v="10.75"/>
    <s v="MAD"/>
    <n v="1.2889688249400479"/>
    <n v="4.4600997402769828E-2"/>
    <s v=""/>
    <s v=""/>
    <s v=""/>
    <s v=""/>
    <s v=""/>
    <m/>
  </r>
  <r>
    <s v="Morocco"/>
    <s v="Middle East and North Africa"/>
    <s v="P082754"/>
    <s v="C1"/>
    <s v="S12"/>
    <s v="P082754C1S12"/>
    <x v="2"/>
    <s v="2004 / 2011"/>
    <x v="2"/>
    <n v="1.2777777777777777"/>
    <n v="1.032142857142857"/>
    <n v="1.0179924242424241"/>
    <m/>
    <n v="1.1302889506576557"/>
    <n v="1.0950896407755835"/>
    <s v=""/>
    <s v=""/>
    <s v=""/>
    <s v=""/>
    <s v=""/>
    <s v=""/>
  </r>
  <r>
    <s v="Morocco"/>
    <s v="Middle East and North Africa"/>
    <s v="P082754"/>
    <s v="C1"/>
    <s v="S2"/>
    <s v="P082754C1S2"/>
    <x v="0"/>
    <n v="2004"/>
    <x v="2"/>
    <n v="54"/>
    <n v="27.5"/>
    <n v="24"/>
    <s v="MAD"/>
    <n v="2.5917926565874732"/>
    <n v="9.4247005694089933E-2"/>
    <s v=""/>
    <s v=""/>
    <s v=""/>
    <s v=""/>
    <s v=""/>
    <m/>
  </r>
  <r>
    <s v="Morocco"/>
    <s v="Middle East and North Africa"/>
    <s v="P082754"/>
    <s v="C1"/>
    <s v="S2"/>
    <s v="P082754C1S2"/>
    <x v="1"/>
    <n v="2011"/>
    <x v="2"/>
    <n v="69"/>
    <n v="27.6"/>
    <n v="26.22"/>
    <s v="MAD"/>
    <n v="3.1438848920863309"/>
    <n v="0.11390887290167866"/>
    <s v=""/>
    <s v=""/>
    <s v=""/>
    <s v=""/>
    <s v=""/>
    <m/>
  </r>
  <r>
    <s v="Morocco"/>
    <s v="Middle East and North Africa"/>
    <s v="P082754"/>
    <s v="C1"/>
    <s v="S2"/>
    <s v="P082754C1S2"/>
    <x v="2"/>
    <s v="2004 / 2011"/>
    <x v="2"/>
    <n v="1.2777777777777777"/>
    <n v="1.0036363636363637"/>
    <n v="1.0925"/>
    <m/>
    <n v="1.213015587529976"/>
    <n v="1.2086206035171863"/>
    <s v=""/>
    <s v=""/>
    <s v=""/>
    <s v=""/>
    <s v=""/>
    <s v=""/>
  </r>
  <r>
    <s v="Morocco"/>
    <s v="Middle East and North Africa"/>
    <s v="P082754"/>
    <s v="C1"/>
    <s v="S3"/>
    <s v="P082754C1S3"/>
    <x v="0"/>
    <n v="2004"/>
    <x v="2"/>
    <n v="54"/>
    <n v="7"/>
    <n v="4.4000000000000004"/>
    <s v="MAD"/>
    <n v="0.47516198704103679"/>
    <n v="6.788028386300525E-2"/>
    <s v=""/>
    <s v=""/>
    <s v=""/>
    <s v=""/>
    <s v=""/>
    <m/>
  </r>
  <r>
    <s v="Morocco"/>
    <s v="Middle East and North Africa"/>
    <s v="P082754"/>
    <s v="C1"/>
    <s v="S3"/>
    <s v="P082754C1S3"/>
    <x v="1"/>
    <n v="2011"/>
    <x v="2"/>
    <n v="69"/>
    <n v="7.7"/>
    <n v="5.98"/>
    <s v="MAD"/>
    <n v="0.71702637889688259"/>
    <n v="9.3120308947647085E-2"/>
    <s v=""/>
    <s v=""/>
    <s v=""/>
    <s v=""/>
    <s v=""/>
    <m/>
  </r>
  <r>
    <s v="Morocco"/>
    <s v="Middle East and North Africa"/>
    <s v="P082754"/>
    <s v="C1"/>
    <s v="S3"/>
    <s v="P082754C1S3"/>
    <x v="2"/>
    <s v="2004 / 2011"/>
    <x v="2"/>
    <n v="1.2777777777777777"/>
    <n v="1.1000000000000001"/>
    <n v="1.3590909090909091"/>
    <m/>
    <n v="1.5090146064966208"/>
    <n v="1.3718314604514736"/>
    <s v=""/>
    <s v=""/>
    <s v=""/>
    <s v=""/>
    <s v=""/>
    <s v=""/>
  </r>
  <r>
    <s v="Morocco"/>
    <s v="Middle East and North Africa"/>
    <s v="P082754"/>
    <s v="C1"/>
    <s v="S4"/>
    <s v="P082754C1S4"/>
    <x v="0"/>
    <n v="2004"/>
    <x v="2"/>
    <n v="54"/>
    <n v="14"/>
    <n v="8.8000000000000007"/>
    <s v="MAD"/>
    <n v="0.95032397408207359"/>
    <n v="6.788028386300525E-2"/>
    <s v=""/>
    <s v=""/>
    <s v=""/>
    <s v=""/>
    <s v=""/>
    <m/>
  </r>
  <r>
    <s v="Morocco"/>
    <s v="Middle East and North Africa"/>
    <s v="P082754"/>
    <s v="C1"/>
    <s v="S4"/>
    <s v="P082754C1S4"/>
    <x v="1"/>
    <n v="2011"/>
    <x v="2"/>
    <n v="69"/>
    <n v="13.7"/>
    <n v="9.5500000000000007"/>
    <s v="MAD"/>
    <n v="1.1450839328537172"/>
    <n v="8.3582768821439224E-2"/>
    <s v=""/>
    <s v=""/>
    <s v=""/>
    <s v=""/>
    <s v=""/>
    <m/>
  </r>
  <r>
    <s v="Morocco"/>
    <s v="Middle East and North Africa"/>
    <s v="P082754"/>
    <s v="C1"/>
    <s v="S4"/>
    <s v="P082754C1S4"/>
    <x v="2"/>
    <s v="2004 / 2011"/>
    <x v="2"/>
    <n v="1.2777777777777777"/>
    <n v="0.97857142857142854"/>
    <n v="1.0852272727272727"/>
    <m/>
    <n v="1.2049405929801613"/>
    <n v="1.2313261534103841"/>
    <s v=""/>
    <s v=""/>
    <s v=""/>
    <s v=""/>
    <s v=""/>
    <s v=""/>
  </r>
  <r>
    <s v="Morocco"/>
    <s v="Middle East and North Africa"/>
    <s v="P082754"/>
    <s v="C1"/>
    <s v="S5"/>
    <s v="P082754C1S5"/>
    <x v="0"/>
    <n v="2004"/>
    <x v="2"/>
    <n v="54"/>
    <n v="10"/>
    <n v="8.32"/>
    <s v="MAD"/>
    <n v="0.89848812095032404"/>
    <n v="8.9848812095032399E-2"/>
    <s v=""/>
    <s v=""/>
    <s v=""/>
    <s v=""/>
    <s v=""/>
    <m/>
  </r>
  <r>
    <s v="Morocco"/>
    <s v="Middle East and North Africa"/>
    <s v="P082754"/>
    <s v="C1"/>
    <s v="S5"/>
    <s v="P082754C1S5"/>
    <x v="1"/>
    <n v="2011"/>
    <x v="2"/>
    <n v="69"/>
    <n v="10.1"/>
    <n v="7.37"/>
    <s v="MAD"/>
    <n v="0.88369304556354922"/>
    <n v="8.7494360946886063E-2"/>
    <s v=""/>
    <s v=""/>
    <s v=""/>
    <s v=""/>
    <s v=""/>
    <m/>
  </r>
  <r>
    <s v="Morocco"/>
    <s v="Middle East and North Africa"/>
    <s v="P082754"/>
    <s v="C1"/>
    <s v="S5"/>
    <s v="P082754C1S5"/>
    <x v="2"/>
    <s v="2004 / 2011"/>
    <x v="2"/>
    <n v="1.2777777777777777"/>
    <n v="1.01"/>
    <n v="0.88581730769230771"/>
    <m/>
    <n v="0.98353336561520011"/>
    <n v="0.97379541150019822"/>
    <s v=""/>
    <s v=""/>
    <s v=""/>
    <s v=""/>
    <s v=""/>
    <s v=""/>
  </r>
  <r>
    <s v="Morocco"/>
    <s v="Middle East and North Africa"/>
    <s v="P082754"/>
    <s v="C1"/>
    <s v="S6"/>
    <s v="P082754C1S6"/>
    <x v="0"/>
    <n v="2004"/>
    <x v="2"/>
    <n v="54"/>
    <n v="20"/>
    <n v="12.32"/>
    <s v="MAD"/>
    <n v="1.3304535637149029"/>
    <n v="6.6522678185745143E-2"/>
    <s v=""/>
    <s v=""/>
    <s v=""/>
    <s v=""/>
    <s v=""/>
    <m/>
  </r>
  <r>
    <s v="Morocco"/>
    <s v="Middle East and North Africa"/>
    <s v="P082754"/>
    <s v="C1"/>
    <s v="S6"/>
    <s v="P082754C1S6"/>
    <x v="1"/>
    <n v="2011"/>
    <x v="2"/>
    <n v="69"/>
    <n v="18.5"/>
    <n v="15.22"/>
    <s v="MAD"/>
    <n v="1.8249400479616309"/>
    <n v="9.8645407997925996E-2"/>
    <s v=""/>
    <s v=""/>
    <s v=""/>
    <s v=""/>
    <s v=""/>
    <m/>
  </r>
  <r>
    <s v="Morocco"/>
    <s v="Middle East and North Africa"/>
    <s v="P082754"/>
    <s v="C1"/>
    <s v="S6"/>
    <s v="P082754C1S6"/>
    <x v="2"/>
    <s v="2004 / 2011"/>
    <x v="2"/>
    <n v="1.2777777777777777"/>
    <n v="0.92500000000000004"/>
    <n v="1.2353896103896105"/>
    <m/>
    <n v="1.3716676009841478"/>
    <n v="1.4828838929558354"/>
    <s v=""/>
    <s v=""/>
    <s v=""/>
    <s v=""/>
    <s v=""/>
    <s v=""/>
  </r>
  <r>
    <s v="Morocco"/>
    <s v="Middle East and North Africa"/>
    <s v="P082754"/>
    <s v="C1"/>
    <s v="S7"/>
    <s v="P082754C1S7"/>
    <x v="0"/>
    <n v="2004"/>
    <x v="2"/>
    <n v="54"/>
    <n v="13"/>
    <n v="8.32"/>
    <s v="MAD"/>
    <n v="0.89848812095032404"/>
    <n v="6.9114470842332618E-2"/>
    <s v=""/>
    <s v=""/>
    <s v=""/>
    <s v=""/>
    <s v=""/>
    <m/>
  </r>
  <r>
    <s v="Morocco"/>
    <s v="Middle East and North Africa"/>
    <s v="P082754"/>
    <s v="C1"/>
    <s v="S7"/>
    <s v="P082754C1S7"/>
    <x v="1"/>
    <n v="2011"/>
    <x v="2"/>
    <n v="69"/>
    <n v="11.5"/>
    <n v="7.82"/>
    <s v="MAD"/>
    <n v="0.93764988009592332"/>
    <n v="8.1534772182254203E-2"/>
    <s v=""/>
    <s v=""/>
    <s v=""/>
    <s v=""/>
    <s v=""/>
    <m/>
  </r>
  <r>
    <s v="Morocco"/>
    <s v="Middle East and North Africa"/>
    <s v="P082754"/>
    <s v="C1"/>
    <s v="S7"/>
    <s v="P082754C1S7"/>
    <x v="2"/>
    <s v="2004 / 2011"/>
    <x v="2"/>
    <n v="1.2777777777777777"/>
    <n v="0.88461538461538458"/>
    <n v="0.93990384615384615"/>
    <m/>
    <n v="1.0435862848182993"/>
    <n v="1.1797062350119905"/>
    <s v=""/>
    <s v=""/>
    <s v=""/>
    <s v=""/>
    <s v=""/>
    <s v=""/>
  </r>
  <r>
    <s v="Morocco"/>
    <s v="Middle East and North Africa"/>
    <s v="P082754"/>
    <s v="C1"/>
    <s v="S8"/>
    <s v="P082754C1S8"/>
    <x v="0"/>
    <n v="2004"/>
    <x v="2"/>
    <n v="54"/>
    <n v="13"/>
    <n v="8.32"/>
    <s v="MAD"/>
    <n v="0.89848812095032404"/>
    <n v="6.9114470842332618E-2"/>
    <s v=""/>
    <s v=""/>
    <s v=""/>
    <s v=""/>
    <s v=""/>
    <m/>
  </r>
  <r>
    <s v="Morocco"/>
    <s v="Middle East and North Africa"/>
    <s v="P082754"/>
    <s v="C1"/>
    <s v="S8"/>
    <s v="P082754C1S8"/>
    <x v="1"/>
    <n v="2011"/>
    <x v="2"/>
    <n v="69"/>
    <n v="11.2"/>
    <n v="7.82"/>
    <s v="MAD"/>
    <n v="0.93764988009592332"/>
    <n v="8.3718739294278879E-2"/>
    <s v=""/>
    <s v=""/>
    <s v=""/>
    <s v=""/>
    <s v=""/>
    <m/>
  </r>
  <r>
    <s v="Morocco"/>
    <s v="Middle East and North Africa"/>
    <s v="P082754"/>
    <s v="C1"/>
    <s v="S8"/>
    <s v="P082754C1S8"/>
    <x v="2"/>
    <s v="2004 / 2011"/>
    <x v="2"/>
    <n v="1.2777777777777777"/>
    <n v="0.86153846153846148"/>
    <n v="0.93990384615384615"/>
    <m/>
    <n v="1.0435862848182993"/>
    <n v="1.2113055091640974"/>
    <s v=""/>
    <s v=""/>
    <s v=""/>
    <s v=""/>
    <s v=""/>
    <s v=""/>
  </r>
  <r>
    <s v="Morocco"/>
    <s v="Middle East and North Africa"/>
    <s v="P082754"/>
    <s v="C1"/>
    <s v="S9"/>
    <s v="P082754C1S9"/>
    <x v="0"/>
    <n v="2004"/>
    <x v="2"/>
    <n v="54"/>
    <n v="9"/>
    <n v="5.76"/>
    <s v="MAD"/>
    <n v="0.62203023758099352"/>
    <n v="6.9114470842332618E-2"/>
    <s v=""/>
    <s v=""/>
    <s v=""/>
    <s v="x"/>
    <s v="x"/>
    <m/>
  </r>
  <r>
    <s v="Morocco"/>
    <s v="Middle East and North Africa"/>
    <s v="P082754"/>
    <s v="C1"/>
    <s v="S9"/>
    <s v="P082754C1S9"/>
    <x v="1"/>
    <n v="2011"/>
    <x v="2"/>
    <n v="69"/>
    <n v="13"/>
    <n v="11.79"/>
    <s v="MAD"/>
    <n v="1.4136690647482013"/>
    <n v="0.10874377421140011"/>
    <s v=""/>
    <s v=""/>
    <s v=""/>
    <s v="x"/>
    <s v="x"/>
    <m/>
  </r>
  <r>
    <s v="Morocco"/>
    <s v="Middle East and North Africa"/>
    <s v="P082754"/>
    <s v="C1"/>
    <s v="S9"/>
    <s v="P082754C1S9"/>
    <x v="2"/>
    <s v="2004 / 2011"/>
    <x v="2"/>
    <n v="1.2777777777777777"/>
    <n v="1.4444444444444444"/>
    <n v="2.046875"/>
    <m/>
    <n v="2.2726693645083933"/>
    <n v="1.5733864831211952"/>
    <s v=""/>
    <s v=""/>
    <s v=""/>
    <s v="x"/>
    <s v="x"/>
    <s v="Macroeconomic conditions; Quality of estimates; "/>
  </r>
  <r>
    <s v="Mozambique"/>
    <s v="Sub-Saharan Africa"/>
    <s v="P001785"/>
    <s v="C1"/>
    <s v=""/>
    <s v="P001785C1"/>
    <x v="0"/>
    <n v="2001"/>
    <x v="2"/>
    <n v="9.4240000000000004E-2"/>
    <n v="1250"/>
    <n v="117.8"/>
    <s v="USD"/>
    <n v="117.8"/>
    <n v="9.4240000000000004E-2"/>
    <s v=""/>
    <s v=""/>
    <s v=""/>
    <s v="x"/>
    <s v="x"/>
    <m/>
  </r>
  <r>
    <s v="Mozambique"/>
    <s v="Sub-Saharan Africa"/>
    <s v="P001785"/>
    <s v="C1"/>
    <s v=""/>
    <s v="P001785C1"/>
    <x v="1"/>
    <n v="2007"/>
    <x v="2"/>
    <s v=""/>
    <n v="827"/>
    <n v="161"/>
    <s v="USD"/>
    <n v="161"/>
    <n v="0.19467956469165659"/>
    <s v=""/>
    <s v=""/>
    <s v=""/>
    <s v="x"/>
    <s v="x"/>
    <m/>
  </r>
  <r>
    <s v="Mozambique"/>
    <s v="Sub-Saharan Africa"/>
    <s v="P001785"/>
    <s v="C1"/>
    <s v=""/>
    <s v="P001785C1"/>
    <x v="2"/>
    <s v="2001 / 2007"/>
    <x v="2"/>
    <s v=""/>
    <n v="0.66159999999999997"/>
    <n v="1.3667232597623091"/>
    <m/>
    <n v="1.3667232597623091"/>
    <n v="2.0657848545379518"/>
    <s v=""/>
    <s v=""/>
    <s v=""/>
    <s v="x"/>
    <s v="x"/>
    <s v="Macroeconomic conditions ; Capacity of contractors; Capacity of counterpart"/>
  </r>
  <r>
    <s v="Nepal"/>
    <s v="South Asia"/>
    <s v="P045052"/>
    <s v="C1"/>
    <s v=""/>
    <s v="P045052C1"/>
    <x v="0"/>
    <n v="1999"/>
    <x v="6"/>
    <s v=""/>
    <n v="160"/>
    <n v="6.15"/>
    <s v="USD"/>
    <n v="6.15"/>
    <n v="3.8437499999999999E-2"/>
    <s v=""/>
    <s v="x"/>
    <s v=""/>
    <s v="x"/>
    <s v="x"/>
    <m/>
  </r>
  <r>
    <s v="Nepal"/>
    <s v="South Asia"/>
    <s v="P045052"/>
    <s v="C1"/>
    <s v=""/>
    <s v="P045052C1"/>
    <x v="1"/>
    <n v="2007"/>
    <x v="6"/>
    <s v=""/>
    <n v="248"/>
    <n v="26.23"/>
    <s v="USD"/>
    <n v="26.23"/>
    <n v="0.10576612903225807"/>
    <s v=""/>
    <s v="x"/>
    <s v=""/>
    <s v="x"/>
    <s v="x"/>
    <m/>
  </r>
  <r>
    <s v="Nepal"/>
    <s v="South Asia"/>
    <s v="P045052"/>
    <s v="C1"/>
    <s v=""/>
    <s v="P045052C1"/>
    <x v="2"/>
    <s v="1999 / 2007"/>
    <x v="6"/>
    <s v=""/>
    <n v="1.55"/>
    <n v="4.2650406504065037"/>
    <m/>
    <n v="4.2650406504065037"/>
    <n v="2.751639129294519"/>
    <s v=""/>
    <s v="x"/>
    <s v=""/>
    <s v="x"/>
    <s v="x"/>
    <s v=" Political events; Quality of estimates ; Change of project scope "/>
  </r>
  <r>
    <s v="Nepal"/>
    <s v="South Asia"/>
    <s v="P045052"/>
    <s v="C2"/>
    <s v=""/>
    <s v="P045052C2"/>
    <x v="0"/>
    <n v="1999"/>
    <x v="6"/>
    <s v=""/>
    <n v="470"/>
    <n v="5.63"/>
    <s v="USD"/>
    <n v="5.63"/>
    <n v="1.1978723404255319E-2"/>
    <s v=""/>
    <s v=""/>
    <s v=""/>
    <s v=""/>
    <s v=""/>
    <m/>
  </r>
  <r>
    <s v="Nepal"/>
    <s v="South Asia"/>
    <s v="P045052"/>
    <s v="C2"/>
    <s v=""/>
    <s v="P045052C2"/>
    <x v="1"/>
    <n v="2007"/>
    <x v="6"/>
    <s v=""/>
    <n v="661"/>
    <n v="11.06"/>
    <s v="USD"/>
    <n v="11.06"/>
    <n v="1.6732223903177006E-2"/>
    <s v=""/>
    <s v=""/>
    <s v=""/>
    <s v=""/>
    <s v=""/>
    <m/>
  </r>
  <r>
    <s v="Nepal"/>
    <s v="South Asia"/>
    <s v="P045052"/>
    <s v="C2"/>
    <s v=""/>
    <s v="P045052C2"/>
    <x v="2"/>
    <s v="1999 / 2007"/>
    <x v="6"/>
    <s v=""/>
    <n v="1.4063829787234043"/>
    <n v="1.9644760213143873"/>
    <m/>
    <n v="1.9644760213143873"/>
    <n v="1.396828638453498"/>
    <s v=""/>
    <s v=""/>
    <s v=""/>
    <s v=""/>
    <s v=""/>
    <s v=""/>
  </r>
  <r>
    <s v="Nepal"/>
    <s v="South Asia"/>
    <s v="P083923"/>
    <s v="C1"/>
    <s v="S1"/>
    <s v="P083923C1S1"/>
    <x v="0"/>
    <n v="2005"/>
    <x v="1"/>
    <n v="17"/>
    <n v="800"/>
    <n v="16.8"/>
    <s v="USD"/>
    <n v="16.8"/>
    <n v="2.1000000000000001E-2"/>
    <s v=""/>
    <s v="x"/>
    <s v=""/>
    <s v=""/>
    <s v="x"/>
    <m/>
  </r>
  <r>
    <s v="Nepal"/>
    <s v="South Asia"/>
    <s v="P083923"/>
    <s v="C1"/>
    <s v="S1"/>
    <s v="P083923C1S1"/>
    <x v="1"/>
    <n v="2014"/>
    <x v="1"/>
    <s v=""/>
    <n v="1741"/>
    <n v="45.62"/>
    <s v="USD"/>
    <n v="45.62"/>
    <n v="2.6203331418724871E-2"/>
    <s v=""/>
    <s v="x"/>
    <s v=""/>
    <s v=""/>
    <s v="x"/>
    <m/>
  </r>
  <r>
    <s v="Nepal"/>
    <s v="South Asia"/>
    <s v="P083923"/>
    <s v="C1"/>
    <s v="S1"/>
    <s v="P083923C1S1"/>
    <x v="2"/>
    <s v="2005 / 2014"/>
    <x v="1"/>
    <s v=""/>
    <n v="2.17625"/>
    <n v="2.7154761904761902"/>
    <m/>
    <n v="2.7154761904761902"/>
    <n v="1.2477776866059462"/>
    <s v=""/>
    <s v="x"/>
    <s v=""/>
    <s v=""/>
    <s v="x"/>
    <s v="Change of project scope ; Macroeconomic conditions; Procurement system"/>
  </r>
  <r>
    <s v="Nepal"/>
    <s v="South Asia"/>
    <s v="P083923"/>
    <s v="C1"/>
    <s v="S2"/>
    <s v="P083923C1S2"/>
    <x v="0"/>
    <n v="2005"/>
    <x v="1"/>
    <n v="17"/>
    <n v="200"/>
    <n v="7"/>
    <s v="USD"/>
    <n v="7"/>
    <n v="3.5000000000000003E-2"/>
    <s v=""/>
    <s v=""/>
    <s v=""/>
    <s v=""/>
    <s v=""/>
    <m/>
  </r>
  <r>
    <s v="Nepal"/>
    <s v="South Asia"/>
    <s v="P083923"/>
    <s v="C1"/>
    <s v="S2"/>
    <s v="P083923C1S2"/>
    <x v="1"/>
    <n v="2014"/>
    <x v="1"/>
    <s v=""/>
    <n v="140"/>
    <n v="5.32"/>
    <s v="USD"/>
    <n v="5.32"/>
    <n v="3.7999999999999999E-2"/>
    <s v=""/>
    <s v=""/>
    <s v=""/>
    <s v=""/>
    <s v=""/>
    <m/>
  </r>
  <r>
    <s v="Nepal"/>
    <s v="South Asia"/>
    <s v="P083923"/>
    <s v="C1"/>
    <s v="S2"/>
    <s v="P083923C1S2"/>
    <x v="2"/>
    <s v="2005 / 2014"/>
    <x v="1"/>
    <s v=""/>
    <n v="0.7"/>
    <n v="0.76"/>
    <m/>
    <n v="0.76"/>
    <n v="1.0857142857142856"/>
    <s v=""/>
    <s v=""/>
    <s v=""/>
    <s v=""/>
    <s v=""/>
    <s v=""/>
  </r>
  <r>
    <s v="Nepal"/>
    <s v="South Asia"/>
    <s v="P083923"/>
    <s v="C1"/>
    <s v="S3"/>
    <s v="P083923C1S3"/>
    <x v="0"/>
    <n v="2005"/>
    <x v="4"/>
    <s v=""/>
    <n v="3500"/>
    <n v="2.63"/>
    <s v="USD"/>
    <n v="2.63"/>
    <n v="7.514285714285714E-4"/>
    <s v=""/>
    <s v=""/>
    <s v=""/>
    <s v="x"/>
    <s v="x"/>
    <m/>
  </r>
  <r>
    <s v="Nepal"/>
    <s v="South Asia"/>
    <s v="P083923"/>
    <s v="C1"/>
    <s v="S3"/>
    <s v="P083923C1S3"/>
    <x v="1"/>
    <n v="2014"/>
    <x v="4"/>
    <s v=""/>
    <n v="4600"/>
    <n v="5.3"/>
    <s v="USD"/>
    <n v="5.3"/>
    <n v="1.1521739130434783E-3"/>
    <s v=""/>
    <s v=""/>
    <s v=""/>
    <s v="x"/>
    <s v="x"/>
    <m/>
  </r>
  <r>
    <s v="Nepal"/>
    <s v="South Asia"/>
    <s v="P083923"/>
    <s v="C1"/>
    <s v="S3"/>
    <s v="P083923C1S3"/>
    <x v="2"/>
    <s v="2005 / 2014"/>
    <x v="4"/>
    <s v=""/>
    <n v="1.3142857142857143"/>
    <n v="2.0152091254752853"/>
    <m/>
    <n v="2.0152091254752853"/>
    <n v="1.5333112911224998"/>
    <s v=""/>
    <s v=""/>
    <s v=""/>
    <s v="x"/>
    <s v="x"/>
    <s v="Quality of estimates; Political events; Capacity"/>
  </r>
  <r>
    <s v="Nicaragua"/>
    <s v="Latin America and Caribbean"/>
    <s v="P068673"/>
    <s v="C1"/>
    <s v=""/>
    <s v="P068673C1"/>
    <x v="0"/>
    <n v="2000"/>
    <x v="15"/>
    <s v=""/>
    <n v="155"/>
    <n v="36.4"/>
    <s v="USD"/>
    <n v="36.4"/>
    <n v="0.23483870967741935"/>
    <s v=""/>
    <s v=""/>
    <s v=""/>
    <s v=""/>
    <s v=""/>
    <m/>
  </r>
  <r>
    <s v="Nicaragua"/>
    <s v="Latin America and Caribbean"/>
    <s v="P068673"/>
    <s v="C1"/>
    <s v=""/>
    <s v="P068673C1"/>
    <x v="1"/>
    <n v="2007"/>
    <x v="15"/>
    <s v=""/>
    <n v="152.9"/>
    <n v="39.700000000000003"/>
    <s v="USD"/>
    <n v="39.700000000000003"/>
    <n v="0.25964682799215172"/>
    <s v=""/>
    <s v=""/>
    <s v=""/>
    <s v=""/>
    <s v=""/>
    <m/>
  </r>
  <r>
    <s v="Nicaragua"/>
    <s v="Latin America and Caribbean"/>
    <s v="P068673"/>
    <s v="C1"/>
    <s v=""/>
    <s v="P068673C1"/>
    <x v="2"/>
    <s v="2000 / 2007"/>
    <x v="15"/>
    <s v=""/>
    <n v="0.98645161290322581"/>
    <n v="1.0906593406593408"/>
    <m/>
    <n v="1.0906593406593408"/>
    <n v="1.1056389653511955"/>
    <s v=""/>
    <s v=""/>
    <s v=""/>
    <s v=""/>
    <s v=""/>
    <s v=""/>
  </r>
  <r>
    <s v="Nicaragua"/>
    <s v="Latin America and Caribbean"/>
    <s v="P068673"/>
    <s v="C2"/>
    <s v=""/>
    <s v="P068673C2"/>
    <x v="0"/>
    <n v="2000"/>
    <x v="1"/>
    <s v=""/>
    <n v="300"/>
    <n v="24.9"/>
    <s v="USD"/>
    <n v="24.9"/>
    <n v="8.299999999999999E-2"/>
    <s v=""/>
    <s v=""/>
    <s v=""/>
    <s v=""/>
    <s v=""/>
    <m/>
  </r>
  <r>
    <s v="Nicaragua"/>
    <s v="Latin America and Caribbean"/>
    <s v="P068673"/>
    <s v="C2"/>
    <s v=""/>
    <s v="P068673C2"/>
    <x v="1"/>
    <n v="2007"/>
    <x v="1"/>
    <s v=""/>
    <n v="287"/>
    <n v="28.3"/>
    <s v="USD"/>
    <n v="28.3"/>
    <n v="9.8606271777003485E-2"/>
    <s v=""/>
    <s v=""/>
    <s v=""/>
    <s v=""/>
    <s v=""/>
    <m/>
  </r>
  <r>
    <s v="Nicaragua"/>
    <s v="Latin America and Caribbean"/>
    <s v="P068673"/>
    <s v="C2"/>
    <s v=""/>
    <s v="P068673C2"/>
    <x v="2"/>
    <s v="2000 / 2007"/>
    <x v="1"/>
    <s v=""/>
    <n v="0.95666666666666667"/>
    <n v="1.136546184738956"/>
    <m/>
    <n v="1.136546184738956"/>
    <n v="1.1880273708072711"/>
    <s v=""/>
    <s v=""/>
    <s v=""/>
    <s v=""/>
    <s v=""/>
    <s v=""/>
  </r>
  <r>
    <s v="Nicaragua"/>
    <s v="Latin America and Caribbean"/>
    <s v="P083952"/>
    <s v="C1"/>
    <s v=""/>
    <s v="P083952C1"/>
    <x v="0"/>
    <n v="2006"/>
    <x v="0"/>
    <n v="36"/>
    <n v="51"/>
    <n v="10.130000000000001"/>
    <s v="USD"/>
    <n v="10.130000000000001"/>
    <n v="0.19862745098039217"/>
    <s v=""/>
    <s v=""/>
    <s v=""/>
    <s v=""/>
    <s v=""/>
    <m/>
  </r>
  <r>
    <s v="Nicaragua"/>
    <s v="Latin America and Caribbean"/>
    <s v="P083952"/>
    <s v="C1"/>
    <s v=""/>
    <s v="P083952C1"/>
    <x v="1"/>
    <n v="2015"/>
    <x v="0"/>
    <s v=""/>
    <n v="51.57"/>
    <n v="13.69"/>
    <s v="USD"/>
    <n v="13.69"/>
    <n v="0.26546441729687803"/>
    <s v=""/>
    <s v=""/>
    <s v=""/>
    <s v=""/>
    <s v=""/>
    <m/>
  </r>
  <r>
    <s v="Nicaragua"/>
    <s v="Latin America and Caribbean"/>
    <s v="P083952"/>
    <s v="C1"/>
    <s v=""/>
    <s v="P083952C1"/>
    <x v="2"/>
    <s v="2006 / 2015"/>
    <x v="0"/>
    <s v=""/>
    <n v="1.0111764705882353"/>
    <n v="1.3514313919052319"/>
    <m/>
    <n v="1.3514313919052319"/>
    <n v="1.3364941048510146"/>
    <s v=""/>
    <s v=""/>
    <s v=""/>
    <s v=""/>
    <s v=""/>
    <s v=""/>
  </r>
  <r>
    <s v="Nicaragua"/>
    <s v="Latin America and Caribbean"/>
    <s v="P083952"/>
    <s v="C2"/>
    <s v=""/>
    <s v="P083952C2"/>
    <x v="0"/>
    <n v="2006"/>
    <x v="2"/>
    <n v="48"/>
    <n v="320"/>
    <n v="41.87"/>
    <s v="USD"/>
    <n v="41.87"/>
    <n v="0.13084374999999998"/>
    <s v=""/>
    <s v=""/>
    <s v=""/>
    <s v="x"/>
    <s v="x"/>
    <m/>
  </r>
  <r>
    <s v="Nicaragua"/>
    <s v="Latin America and Caribbean"/>
    <s v="P083952"/>
    <s v="C2"/>
    <s v=""/>
    <s v="P083952C2"/>
    <x v="1"/>
    <n v="2015"/>
    <x v="2"/>
    <s v=""/>
    <n v="361"/>
    <n v="86.73"/>
    <s v="USD"/>
    <n v="86.73"/>
    <n v="0.24024930747922438"/>
    <s v=""/>
    <s v=""/>
    <s v=""/>
    <s v="x"/>
    <s v="x"/>
    <m/>
  </r>
  <r>
    <s v="Nicaragua"/>
    <s v="Latin America and Caribbean"/>
    <s v="P083952"/>
    <s v="C2"/>
    <s v=""/>
    <s v="P083952C2"/>
    <x v="2"/>
    <s v="2006 / 2015"/>
    <x v="2"/>
    <s v=""/>
    <n v="1.128125"/>
    <n v="2.0714115118223075"/>
    <m/>
    <n v="2.0714115118223075"/>
    <n v="1.8361542487067546"/>
    <s v=""/>
    <s v=""/>
    <s v=""/>
    <s v="x"/>
    <s v="x"/>
    <s v="Macroeconomic conditions; Change of project scope; "/>
  </r>
  <r>
    <s v="Nicaragua"/>
    <s v="Latin America and Caribbean"/>
    <s v="P083952"/>
    <s v="C3"/>
    <s v=""/>
    <s v="P083952C3"/>
    <x v="0"/>
    <n v="2006"/>
    <x v="4"/>
    <s v=""/>
    <n v="2480"/>
    <n v="7.64"/>
    <s v="USD"/>
    <n v="7.64"/>
    <n v="3.0806451612903226E-3"/>
    <s v=""/>
    <s v=""/>
    <s v=""/>
    <s v=""/>
    <s v=""/>
    <m/>
  </r>
  <r>
    <s v="Nicaragua"/>
    <s v="Latin America and Caribbean"/>
    <s v="P083952"/>
    <s v="C3"/>
    <s v=""/>
    <s v="P083952C3"/>
    <x v="1"/>
    <n v="2015"/>
    <x v="4"/>
    <s v=""/>
    <n v="3200"/>
    <n v="12.26"/>
    <s v="USD"/>
    <n v="12.26"/>
    <n v="3.83125E-3"/>
    <s v=""/>
    <s v=""/>
    <s v=""/>
    <s v=""/>
    <s v=""/>
    <m/>
  </r>
  <r>
    <s v="Nicaragua"/>
    <s v="Latin America and Caribbean"/>
    <s v="P083952"/>
    <s v="C3"/>
    <s v=""/>
    <s v="P083952C3"/>
    <x v="2"/>
    <s v="2006 / 2015"/>
    <x v="4"/>
    <s v=""/>
    <n v="1.2903225806451613"/>
    <n v="1.6047120418848169"/>
    <m/>
    <n v="1.6047120418848169"/>
    <n v="1.2436518324607331"/>
    <s v=""/>
    <s v=""/>
    <s v=""/>
    <s v=""/>
    <s v=""/>
    <s v=""/>
  </r>
  <r>
    <s v="Nigeria"/>
    <s v="Sub-Saharan Africa"/>
    <s v="P074963"/>
    <s v="C1"/>
    <s v=""/>
    <s v="P074963C1"/>
    <x v="0"/>
    <n v="2002"/>
    <x v="0"/>
    <s v=""/>
    <n v="660"/>
    <n v="98.5"/>
    <s v="USD"/>
    <n v="98.5"/>
    <n v="0.14924242424242423"/>
    <s v=""/>
    <s v=""/>
    <s v=""/>
    <s v="x"/>
    <s v="x"/>
    <m/>
  </r>
  <r>
    <s v="Nigeria"/>
    <s v="Sub-Saharan Africa"/>
    <s v="P074963"/>
    <s v="C1"/>
    <s v=""/>
    <s v="P074963C1"/>
    <x v="1"/>
    <n v="2011"/>
    <x v="0"/>
    <s v=""/>
    <n v="690.8"/>
    <n v="158.80000000000001"/>
    <s v="USD"/>
    <n v="158.80000000000001"/>
    <n v="0.22987840185292419"/>
    <s v=""/>
    <s v=""/>
    <s v=""/>
    <s v="x"/>
    <s v="x"/>
    <m/>
  </r>
  <r>
    <s v="Nigeria"/>
    <s v="Sub-Saharan Africa"/>
    <s v="P074963"/>
    <s v="C1"/>
    <s v=""/>
    <s v="P074963C1"/>
    <x v="2"/>
    <s v="2002 / 2011"/>
    <x v="0"/>
    <s v=""/>
    <n v="1.0466666666666666"/>
    <m/>
    <m/>
    <n v="1.6121827411167513"/>
    <n v="1.5403019819586798"/>
    <s v=""/>
    <s v=""/>
    <s v=""/>
    <s v="x"/>
    <s v="x"/>
    <s v="Macroeconomic conditions; ; "/>
  </r>
  <r>
    <s v="Nigeria"/>
    <s v="Sub-Saharan Africa"/>
    <s v="P074963"/>
    <s v="C1"/>
    <s v="S1"/>
    <s v="P074963C1S1"/>
    <x v="0"/>
    <n v="2002"/>
    <x v="5"/>
    <s v=""/>
    <n v="567"/>
    <n v="45.53"/>
    <s v="USD"/>
    <n v="45.53"/>
    <n v="8.0299823633156964E-2"/>
    <s v=""/>
    <s v=""/>
    <s v=""/>
    <s v=""/>
    <s v=""/>
    <m/>
  </r>
  <r>
    <s v="Nigeria"/>
    <s v="Sub-Saharan Africa"/>
    <s v="P074963"/>
    <s v="C1"/>
    <s v="S1"/>
    <s v="P074963C1S1"/>
    <x v="1"/>
    <n v="2011"/>
    <x v="5"/>
    <s v=""/>
    <n v="567"/>
    <n v="47"/>
    <s v="USD"/>
    <n v="47"/>
    <n v="8.2892416225749554E-2"/>
    <s v=""/>
    <s v=""/>
    <s v=""/>
    <s v=""/>
    <s v=""/>
    <m/>
  </r>
  <r>
    <s v="Nigeria"/>
    <s v="Sub-Saharan Africa"/>
    <s v="P074963"/>
    <s v="C1"/>
    <s v="S1"/>
    <s v="P074963C1S1"/>
    <x v="2"/>
    <s v="2002 / 2011"/>
    <x v="5"/>
    <s v=""/>
    <n v="1"/>
    <m/>
    <m/>
    <n v="1.0322864045684164"/>
    <n v="1.0322864045684164"/>
    <s v=""/>
    <s v=""/>
    <s v=""/>
    <s v=""/>
    <s v=""/>
    <s v=""/>
  </r>
  <r>
    <s v="Nigeria"/>
    <s v="Sub-Saharan Africa"/>
    <s v="P074963"/>
    <s v="C1"/>
    <s v="S2"/>
    <s v="P074963C1S2"/>
    <x v="0"/>
    <n v="2002"/>
    <x v="5"/>
    <s v=""/>
    <n v="93"/>
    <n v="46.17"/>
    <s v="USD"/>
    <n v="46.17"/>
    <n v="0.49645161290322581"/>
    <s v=""/>
    <s v=""/>
    <s v=""/>
    <s v=""/>
    <s v=""/>
    <m/>
  </r>
  <r>
    <s v="Nigeria"/>
    <s v="Sub-Saharan Africa"/>
    <s v="P074963"/>
    <s v="C1"/>
    <s v="S2"/>
    <s v="P074963C1S2"/>
    <x v="1"/>
    <n v="2011"/>
    <x v="5"/>
    <s v=""/>
    <n v="123.8"/>
    <n v="59.3"/>
    <s v="USD"/>
    <n v="59.3"/>
    <n v="0.4789983844911147"/>
    <s v=""/>
    <s v=""/>
    <s v=""/>
    <s v=""/>
    <s v=""/>
    <m/>
  </r>
  <r>
    <s v="Nigeria"/>
    <s v="Sub-Saharan Africa"/>
    <s v="P074963"/>
    <s v="C1"/>
    <s v="S2"/>
    <s v="P074963C1S2"/>
    <x v="2"/>
    <s v="2002 / 2011"/>
    <x v="5"/>
    <s v=""/>
    <n v="1.3311827956989246"/>
    <m/>
    <m/>
    <n v="1.2843837990036819"/>
    <n v="0.96484404933232981"/>
    <s v=""/>
    <s v=""/>
    <s v=""/>
    <s v=""/>
    <s v=""/>
    <s v=""/>
  </r>
  <r>
    <s v="Pakistan"/>
    <s v="South Asia"/>
    <s v="P010556"/>
    <s v="C1"/>
    <s v="S10"/>
    <s v="P010556C1S10"/>
    <x v="0"/>
    <n v="2003"/>
    <x v="3"/>
    <n v="32"/>
    <n v="72"/>
    <n v="636"/>
    <s v="PKR"/>
    <n v="11.041666666666666"/>
    <n v="0.15335648148148148"/>
    <s v=""/>
    <s v="x"/>
    <s v=""/>
    <s v=""/>
    <s v="x"/>
    <m/>
  </r>
  <r>
    <s v="Pakistan"/>
    <s v="South Asia"/>
    <s v="P010556"/>
    <s v="C1"/>
    <s v="S10"/>
    <s v="P010556C1S10"/>
    <x v="1"/>
    <n v="2013"/>
    <x v="3"/>
    <s v=""/>
    <n v="123"/>
    <n v="2235"/>
    <s v="PKR"/>
    <n v="20.83139155559698"/>
    <n v="0.169360906956073"/>
    <s v=""/>
    <s v="x"/>
    <s v=""/>
    <s v=""/>
    <s v="x"/>
    <m/>
  </r>
  <r>
    <s v="Pakistan"/>
    <s v="South Asia"/>
    <s v="P010556"/>
    <s v="C1"/>
    <s v="S10"/>
    <s v="P010556C1S10"/>
    <x v="2"/>
    <s v="2003 / 2013"/>
    <x v="3"/>
    <s v=""/>
    <n v="1.7083333333333333"/>
    <m/>
    <m/>
    <n v="1.8866165937144437"/>
    <n v="1.1043609329060156"/>
    <s v=""/>
    <s v="x"/>
    <s v=""/>
    <s v=""/>
    <s v="x"/>
    <s v="Change of project scope; Weather shocks; "/>
  </r>
  <r>
    <s v="Pakistan"/>
    <s v="South Asia"/>
    <s v="P010556"/>
    <s v="C1"/>
    <s v="S14"/>
    <s v="P010556C1S14"/>
    <x v="0"/>
    <n v="2003"/>
    <x v="3"/>
    <n v="32"/>
    <n v="62"/>
    <n v="376"/>
    <s v="PKR"/>
    <n v="6.5277777777777777"/>
    <n v="0.10528673835125447"/>
    <s v=""/>
    <s v="x"/>
    <s v=""/>
    <s v=""/>
    <s v="x"/>
    <m/>
  </r>
  <r>
    <s v="Pakistan"/>
    <s v="South Asia"/>
    <s v="P010556"/>
    <s v="C1"/>
    <s v="S14"/>
    <s v="P010556C1S14"/>
    <x v="1"/>
    <n v="2013"/>
    <x v="3"/>
    <s v=""/>
    <n v="111"/>
    <n v="1518"/>
    <s v="PKR"/>
    <n v="14.148569298163855"/>
    <n v="0.12746458827174645"/>
    <s v=""/>
    <s v="x"/>
    <s v=""/>
    <s v=""/>
    <s v="x"/>
    <m/>
  </r>
  <r>
    <s v="Pakistan"/>
    <s v="South Asia"/>
    <s v="P010556"/>
    <s v="C1"/>
    <s v="S14"/>
    <s v="P010556C1S14"/>
    <x v="2"/>
    <s v="2003 / 2013"/>
    <x v="3"/>
    <s v=""/>
    <n v="1.7903225806451613"/>
    <m/>
    <m/>
    <n v="2.1674404031229737"/>
    <n v="1.2106423873299492"/>
    <s v=""/>
    <s v="x"/>
    <s v=""/>
    <s v=""/>
    <s v="x"/>
    <s v="Change of project scope; Weather shocks; "/>
  </r>
  <r>
    <s v="Pakistan"/>
    <s v="South Asia"/>
    <s v="P010556"/>
    <s v="C1"/>
    <s v="S15"/>
    <s v="P010556C1S15"/>
    <x v="0"/>
    <n v="2003"/>
    <x v="2"/>
    <n v="48"/>
    <n v="68"/>
    <n v="604"/>
    <s v="PKR"/>
    <n v="10.486111111111111"/>
    <n v="0.15420751633986929"/>
    <s v=""/>
    <s v=""/>
    <s v=""/>
    <s v=""/>
    <s v=""/>
    <m/>
  </r>
  <r>
    <s v="Pakistan"/>
    <s v="South Asia"/>
    <s v="P010556"/>
    <s v="C1"/>
    <s v="S15"/>
    <s v="P010556C1S15"/>
    <x v="1"/>
    <n v="2013"/>
    <x v="2"/>
    <s v=""/>
    <n v="68"/>
    <n v="1532"/>
    <s v="PKR"/>
    <n v="14.279056762046789"/>
    <n v="0.20998612885362924"/>
    <s v=""/>
    <s v=""/>
    <s v=""/>
    <s v=""/>
    <s v=""/>
    <m/>
  </r>
  <r>
    <s v="Pakistan"/>
    <s v="South Asia"/>
    <s v="P010556"/>
    <s v="C1"/>
    <s v="S15"/>
    <s v="P010556C1S15"/>
    <x v="2"/>
    <s v="2003 / 2013"/>
    <x v="2"/>
    <s v=""/>
    <n v="1"/>
    <m/>
    <m/>
    <n v="1.3617113733342634"/>
    <n v="1.3617113733342632"/>
    <s v=""/>
    <s v=""/>
    <s v=""/>
    <s v=""/>
    <s v=""/>
    <s v=""/>
  </r>
  <r>
    <s v="Pakistan"/>
    <s v="South Asia"/>
    <s v="P010556"/>
    <s v="C1"/>
    <s v="S4"/>
    <s v="P010556C1S4"/>
    <x v="0"/>
    <n v="2003"/>
    <x v="2"/>
    <n v="48"/>
    <n v="89"/>
    <n v="1310"/>
    <s v="PKR"/>
    <n v="22.743055555555554"/>
    <n v="0.25553995006242197"/>
    <s v=""/>
    <s v=""/>
    <s v=""/>
    <s v=""/>
    <s v=""/>
    <m/>
  </r>
  <r>
    <s v="Pakistan"/>
    <s v="South Asia"/>
    <s v="P010556"/>
    <s v="C1"/>
    <s v="S4"/>
    <s v="P010556C1S4"/>
    <x v="1"/>
    <n v="2013"/>
    <x v="2"/>
    <s v=""/>
    <n v="86"/>
    <n v="1757"/>
    <s v="PKR"/>
    <n v="16.37617671730823"/>
    <n v="0.19042065950358406"/>
    <s v=""/>
    <s v=""/>
    <s v=""/>
    <s v=""/>
    <s v=""/>
    <m/>
  </r>
  <r>
    <s v="Pakistan"/>
    <s v="South Asia"/>
    <s v="P010556"/>
    <s v="C1"/>
    <s v="S4"/>
    <s v="P010556C1S4"/>
    <x v="2"/>
    <s v="2003 / 2013"/>
    <x v="2"/>
    <s v=""/>
    <n v="0.9662921348314607"/>
    <m/>
    <m/>
    <n v="0.72005173963126268"/>
    <n v="0.74516982357188799"/>
    <s v=""/>
    <s v=""/>
    <s v=""/>
    <s v=""/>
    <s v=""/>
    <s v=""/>
  </r>
  <r>
    <s v="Pakistan"/>
    <s v="South Asia"/>
    <s v="P010556"/>
    <s v="C1"/>
    <s v="S5"/>
    <s v="P010556C1S5"/>
    <x v="0"/>
    <n v="2003"/>
    <x v="2"/>
    <n v="48"/>
    <n v="53.7"/>
    <n v="951"/>
    <s v="PKR"/>
    <n v="16.510416666666668"/>
    <n v="0.30745654872749845"/>
    <s v=""/>
    <s v=""/>
    <s v=""/>
    <s v=""/>
    <s v=""/>
    <m/>
  </r>
  <r>
    <s v="Pakistan"/>
    <s v="South Asia"/>
    <s v="P010556"/>
    <s v="C1"/>
    <s v="S5"/>
    <s v="P010556C1S5"/>
    <x v="1"/>
    <n v="2013"/>
    <x v="2"/>
    <s v=""/>
    <n v="50"/>
    <n v="1557"/>
    <s v="PKR"/>
    <n v="14.512070090409171"/>
    <n v="0.29024140180818342"/>
    <s v=""/>
    <s v=""/>
    <s v=""/>
    <s v=""/>
    <s v=""/>
    <m/>
  </r>
  <r>
    <s v="Pakistan"/>
    <s v="South Asia"/>
    <s v="P010556"/>
    <s v="C1"/>
    <s v="S5"/>
    <s v="P010556C1S5"/>
    <x v="2"/>
    <s v="2003 / 2013"/>
    <x v="2"/>
    <s v=""/>
    <n v="0.93109869646182486"/>
    <m/>
    <m/>
    <n v="0.87896449758945128"/>
    <n v="0.94400787041107082"/>
    <s v=""/>
    <s v=""/>
    <s v=""/>
    <s v=""/>
    <s v=""/>
    <s v=""/>
  </r>
  <r>
    <s v="Pakistan"/>
    <s v="South Asia"/>
    <s v="P010556"/>
    <s v="C1"/>
    <s v="S6"/>
    <s v="P010556C1S6"/>
    <x v="0"/>
    <n v="2003"/>
    <x v="2"/>
    <n v="48"/>
    <n v="46"/>
    <n v="750"/>
    <s v="PKR"/>
    <n v="13.020833333333332"/>
    <n v="0.2830615942028985"/>
    <s v=""/>
    <s v=""/>
    <s v=""/>
    <s v=""/>
    <s v=""/>
    <m/>
  </r>
  <r>
    <s v="Pakistan"/>
    <s v="South Asia"/>
    <s v="P010556"/>
    <s v="C1"/>
    <s v="S6"/>
    <s v="P010556C1S6"/>
    <x v="1"/>
    <n v="2013"/>
    <x v="2"/>
    <s v=""/>
    <n v="47"/>
    <n v="1195"/>
    <s v="PKR"/>
    <n v="11.138037095721876"/>
    <n v="0.23697951267493353"/>
    <s v=""/>
    <s v=""/>
    <s v=""/>
    <s v=""/>
    <s v=""/>
    <m/>
  </r>
  <r>
    <s v="Pakistan"/>
    <s v="South Asia"/>
    <s v="P010556"/>
    <s v="C1"/>
    <s v="S6"/>
    <s v="P010556C1S6"/>
    <x v="2"/>
    <s v="2003 / 2013"/>
    <x v="2"/>
    <s v=""/>
    <n v="1.0217391304347827"/>
    <m/>
    <m/>
    <n v="0.8554012489514401"/>
    <n v="0.83720122237800532"/>
    <s v=""/>
    <s v=""/>
    <s v=""/>
    <s v=""/>
    <s v=""/>
    <s v=""/>
  </r>
  <r>
    <s v="Pakistan"/>
    <s v="South Asia"/>
    <s v="P010556"/>
    <s v="C1"/>
    <s v="S7"/>
    <s v="P010556C1S7"/>
    <x v="0"/>
    <n v="2003"/>
    <x v="11"/>
    <n v="48"/>
    <n v="100"/>
    <n v="4509"/>
    <s v="PKR"/>
    <n v="78.28125"/>
    <n v="0.78281250000000002"/>
    <s v=""/>
    <s v=""/>
    <s v=""/>
    <s v=""/>
    <s v=""/>
    <m/>
  </r>
  <r>
    <s v="Pakistan"/>
    <s v="South Asia"/>
    <s v="P010556"/>
    <s v="C1"/>
    <s v="S7"/>
    <s v="P010556C1S7"/>
    <x v="1"/>
    <n v="2013"/>
    <x v="11"/>
    <s v=""/>
    <n v="100"/>
    <n v="7657"/>
    <s v="PKR"/>
    <n v="71.367322210830451"/>
    <n v="0.71367322210830453"/>
    <s v=""/>
    <s v=""/>
    <s v=""/>
    <s v=""/>
    <s v=""/>
    <m/>
  </r>
  <r>
    <s v="Pakistan"/>
    <s v="South Asia"/>
    <s v="P010556"/>
    <s v="C1"/>
    <s v="S7"/>
    <s v="P010556C1S7"/>
    <x v="2"/>
    <s v="2003 / 2013"/>
    <x v="11"/>
    <s v=""/>
    <n v="1"/>
    <m/>
    <m/>
    <n v="0.91167836756350273"/>
    <n v="0.91167836756350273"/>
    <s v=""/>
    <s v=""/>
    <s v=""/>
    <s v=""/>
    <s v=""/>
    <s v=""/>
  </r>
  <r>
    <s v="Pakistan"/>
    <s v="South Asia"/>
    <s v="P125584"/>
    <s v="C1"/>
    <s v="S1"/>
    <s v="P125584C1S1"/>
    <x v="0"/>
    <n v="2011"/>
    <x v="15"/>
    <n v="24"/>
    <n v="10.5"/>
    <n v="5.14"/>
    <s v="USD"/>
    <n v="5.14"/>
    <n v="0.48952380952380947"/>
    <s v=""/>
    <s v=""/>
    <s v=""/>
    <s v=""/>
    <s v=""/>
    <m/>
  </r>
  <r>
    <s v="Pakistan"/>
    <s v="South Asia"/>
    <s v="P125584"/>
    <s v="C1"/>
    <s v="S1"/>
    <s v="P125584C1S1"/>
    <x v="1"/>
    <n v="2016"/>
    <x v="15"/>
    <n v="24"/>
    <n v="15.5"/>
    <n v="7.4"/>
    <s v="USD"/>
    <n v="7.4"/>
    <n v="0.47741935483870968"/>
    <s v=""/>
    <s v=""/>
    <s v=""/>
    <s v=""/>
    <s v=""/>
    <m/>
  </r>
  <r>
    <s v="Pakistan"/>
    <s v="South Asia"/>
    <s v="P125584"/>
    <s v="C1"/>
    <s v="S1"/>
    <s v="P125584C1S1"/>
    <x v="2"/>
    <s v="2011 / 2016"/>
    <x v="15"/>
    <n v="1"/>
    <n v="1.4761904761904763"/>
    <m/>
    <m/>
    <n v="1.4396887159533076"/>
    <n v="0.97527300112965998"/>
    <s v=""/>
    <s v=""/>
    <s v=""/>
    <s v=""/>
    <s v=""/>
    <s v=""/>
  </r>
  <r>
    <s v="Pakistan"/>
    <s v="South Asia"/>
    <s v="P128966"/>
    <s v="C1"/>
    <s v=""/>
    <s v="P128966C1"/>
    <x v="0"/>
    <n v="2012"/>
    <x v="1"/>
    <s v=""/>
    <n v="50"/>
    <n v="13.5"/>
    <s v="USD"/>
    <n v="13.5"/>
    <n v="0.27"/>
    <s v=""/>
    <s v=""/>
    <s v=""/>
    <s v=""/>
    <s v=""/>
    <m/>
  </r>
  <r>
    <s v="Pakistan"/>
    <s v="South Asia"/>
    <s v="P128966"/>
    <s v="C1"/>
    <s v=""/>
    <s v="P128966C1"/>
    <x v="1"/>
    <n v="2016"/>
    <x v="1"/>
    <n v="31"/>
    <n v="50"/>
    <n v="13.44"/>
    <s v="USD"/>
    <n v="13.44"/>
    <n v="0.26879999999999998"/>
    <s v=""/>
    <s v=""/>
    <s v=""/>
    <s v=""/>
    <s v=""/>
    <m/>
  </r>
  <r>
    <s v="Pakistan"/>
    <s v="South Asia"/>
    <s v="P128966"/>
    <s v="C1"/>
    <s v=""/>
    <s v="P128966C1"/>
    <x v="2"/>
    <s v="2012 / 2016"/>
    <x v="1"/>
    <s v=""/>
    <n v="1"/>
    <m/>
    <m/>
    <n v="0.99555555555555553"/>
    <n v="0.99555555555555542"/>
    <s v=""/>
    <s v=""/>
    <s v=""/>
    <s v=""/>
    <s v=""/>
    <s v=""/>
  </r>
  <r>
    <s v="Papua New Guinea"/>
    <s v="East Asia and Pacific"/>
    <s v="P054238"/>
    <s v="C1"/>
    <s v=""/>
    <s v="P054238C1"/>
    <x v="0"/>
    <n v="1999"/>
    <x v="2"/>
    <n v="48"/>
    <n v="21"/>
    <n v="8.19"/>
    <s v="USD"/>
    <n v="8.19"/>
    <n v="0.38999999999999996"/>
    <s v=""/>
    <s v=""/>
    <s v=""/>
    <s v="x"/>
    <s v="x"/>
    <m/>
  </r>
  <r>
    <s v="Papua New Guinea"/>
    <s v="East Asia and Pacific"/>
    <s v="P054238"/>
    <s v="C1"/>
    <s v=""/>
    <s v="P054238C1"/>
    <x v="1"/>
    <n v="2008"/>
    <x v="2"/>
    <n v="91.333333333333329"/>
    <n v="21"/>
    <n v="23.09"/>
    <s v="USD"/>
    <n v="23.09"/>
    <n v="1.0995238095238096"/>
    <s v=""/>
    <s v=""/>
    <s v=""/>
    <s v="x"/>
    <s v="x"/>
    <m/>
  </r>
  <r>
    <s v="Papua New Guinea"/>
    <s v="East Asia and Pacific"/>
    <s v="P054238"/>
    <s v="C1"/>
    <s v=""/>
    <s v="P054238C1"/>
    <x v="2"/>
    <s v="1999 / 2008"/>
    <x v="2"/>
    <n v="1.9027777777777777"/>
    <n v="1"/>
    <n v="2.8192918192918195"/>
    <m/>
    <n v="2.8192918192918195"/>
    <n v="2.8192918192918199"/>
    <s v=""/>
    <s v=""/>
    <s v=""/>
    <s v="x"/>
    <s v="x"/>
    <s v="Weather shocks ; Macroeconomic conditions ; Capacity of counterpart "/>
  </r>
  <r>
    <s v="Papua New Guinea"/>
    <s v="East Asia and Pacific"/>
    <s v="P004397"/>
    <s v="C1"/>
    <s v="S1"/>
    <s v="P004397C1S1"/>
    <x v="0"/>
    <n v="2002"/>
    <x v="4"/>
    <n v="12"/>
    <n v="2200"/>
    <n v="5.8599999999999994"/>
    <s v="USD"/>
    <n v="5.8599999999999994"/>
    <n v="2.6636363636363633E-3"/>
    <s v=""/>
    <s v=""/>
    <s v=""/>
    <s v="x"/>
    <s v="x"/>
    <m/>
  </r>
  <r>
    <s v="Papua New Guinea"/>
    <s v="East Asia and Pacific"/>
    <s v="P004397"/>
    <s v="C1"/>
    <s v="S1"/>
    <s v="P004397C1S1"/>
    <x v="1"/>
    <n v="2012"/>
    <x v="4"/>
    <n v="48"/>
    <n v="1788"/>
    <n v="23.7"/>
    <s v="PGK"/>
    <n v="11.504854368932039"/>
    <n v="6.4344823092461062E-3"/>
    <s v=""/>
    <s v=""/>
    <s v=""/>
    <s v="x"/>
    <s v="x"/>
    <m/>
  </r>
  <r>
    <s v="Papua New Guinea"/>
    <s v="East Asia and Pacific"/>
    <s v="P004397"/>
    <s v="C1"/>
    <s v="S1"/>
    <s v="P004397C1S1"/>
    <x v="2"/>
    <s v="2002 / 2012"/>
    <x v="4"/>
    <n v="4"/>
    <n v="0.81272727272727274"/>
    <m/>
    <m/>
    <n v="1.9632857284866962"/>
    <n v="2.4156759522766955"/>
    <s v=""/>
    <s v=""/>
    <s v=""/>
    <s v="x"/>
    <s v="x"/>
    <s v="Macroeconomic conditions; Weather shocks ; "/>
  </r>
  <r>
    <s v="Papua New Guinea"/>
    <s v="East Asia and Pacific"/>
    <s v="P004397"/>
    <s v="C1"/>
    <s v="S2"/>
    <s v="P004397C1S2"/>
    <x v="0"/>
    <n v="2002"/>
    <x v="2"/>
    <s v=""/>
    <n v="440"/>
    <n v="16.66"/>
    <s v="USD"/>
    <n v="16.66"/>
    <n v="3.7863636363636363E-2"/>
    <s v=""/>
    <s v=""/>
    <s v=""/>
    <s v="x"/>
    <s v="x"/>
    <m/>
  </r>
  <r>
    <s v="Papua New Guinea"/>
    <s v="East Asia and Pacific"/>
    <s v="P004397"/>
    <s v="C1"/>
    <s v="S2"/>
    <s v="P004397C1S2"/>
    <x v="1"/>
    <n v="2012"/>
    <x v="2"/>
    <n v="48"/>
    <n v="622.4"/>
    <n v="187.36"/>
    <s v="PGK"/>
    <n v="90.951456310679617"/>
    <n v="0.14613023186163179"/>
    <s v=""/>
    <s v=""/>
    <s v=""/>
    <s v="x"/>
    <s v="x"/>
    <m/>
  </r>
  <r>
    <s v="Papua New Guinea"/>
    <s v="East Asia and Pacific"/>
    <s v="P004397"/>
    <s v="C1"/>
    <s v="S2"/>
    <s v="P004397C1S2"/>
    <x v="2"/>
    <s v="2002 / 2012"/>
    <x v="2"/>
    <s v=""/>
    <n v="1.4145454545454546"/>
    <m/>
    <m/>
    <n v="5.4592710870756074"/>
    <n v="3.8593818738966381"/>
    <s v=""/>
    <s v=""/>
    <s v=""/>
    <s v="x"/>
    <s v="x"/>
    <s v="Macroeconomic conditions; Weather shocks ; "/>
  </r>
  <r>
    <s v="Papua New Guinea"/>
    <s v="East Asia and Pacific"/>
    <s v="P004397"/>
    <s v="C2"/>
    <s v="S1"/>
    <s v="P004397C2S1"/>
    <x v="0"/>
    <n v="2002"/>
    <x v="4"/>
    <n v="12"/>
    <n v="900"/>
    <n v="2.97"/>
    <s v="USD"/>
    <n v="2.97"/>
    <n v="3.3000000000000004E-3"/>
    <s v=""/>
    <s v=""/>
    <s v=""/>
    <s v=""/>
    <s v=""/>
    <m/>
  </r>
  <r>
    <s v="Papua New Guinea"/>
    <s v="East Asia and Pacific"/>
    <s v="P004397"/>
    <s v="C2"/>
    <s v="S1"/>
    <s v="P004397C2S1"/>
    <x v="1"/>
    <n v="2012"/>
    <x v="4"/>
    <n v="48"/>
    <n v="664"/>
    <n v="3.8"/>
    <s v="PGK"/>
    <n v="1.8446601941747571"/>
    <n v="2.7781027020704172E-3"/>
    <s v=""/>
    <s v=""/>
    <s v=""/>
    <s v=""/>
    <s v=""/>
    <m/>
  </r>
  <r>
    <s v="Papua New Guinea"/>
    <s v="East Asia and Pacific"/>
    <s v="P004397"/>
    <s v="C2"/>
    <s v="S1"/>
    <s v="P004397C2S1"/>
    <x v="2"/>
    <s v="2002 / 2012"/>
    <x v="4"/>
    <n v="4"/>
    <n v="0.73777777777777775"/>
    <m/>
    <m/>
    <n v="0.62109770847634915"/>
    <n v="0.84184930365770205"/>
    <s v=""/>
    <s v=""/>
    <s v=""/>
    <s v=""/>
    <s v=""/>
    <s v=""/>
  </r>
  <r>
    <s v="Papua New Guinea"/>
    <s v="East Asia and Pacific"/>
    <s v="P004397"/>
    <s v="C2"/>
    <s v="S2"/>
    <s v="P004397C2S2"/>
    <x v="0"/>
    <n v="2002"/>
    <x v="2"/>
    <s v=""/>
    <n v="200"/>
    <n v="3.4"/>
    <s v="USD"/>
    <n v="3.4"/>
    <n v="1.7000000000000001E-2"/>
    <s v=""/>
    <s v=""/>
    <s v=""/>
    <s v="x"/>
    <s v="x"/>
    <m/>
  </r>
  <r>
    <s v="Papua New Guinea"/>
    <s v="East Asia and Pacific"/>
    <s v="P004397"/>
    <s v="C2"/>
    <s v="S2"/>
    <s v="P004397C2S2"/>
    <x v="1"/>
    <n v="2012"/>
    <x v="2"/>
    <n v="48"/>
    <n v="156"/>
    <n v="32.200000000000003"/>
    <s v="PGK"/>
    <n v="15.63106796116505"/>
    <n v="0.10019915359721186"/>
    <s v=""/>
    <s v=""/>
    <s v=""/>
    <s v="x"/>
    <s v="x"/>
    <m/>
  </r>
  <r>
    <s v="Papua New Guinea"/>
    <s v="East Asia and Pacific"/>
    <s v="P004397"/>
    <s v="C2"/>
    <s v="S2"/>
    <s v="P004397C2S2"/>
    <x v="2"/>
    <s v="2002 / 2012"/>
    <x v="2"/>
    <s v=""/>
    <n v="0.78"/>
    <m/>
    <m/>
    <n v="4.5973729297544264"/>
    <n v="5.894067858659521"/>
    <s v=""/>
    <s v=""/>
    <s v=""/>
    <s v="x"/>
    <s v="x"/>
    <s v="Macroeconomic conditions; Weather shocks; "/>
  </r>
  <r>
    <s v="Paraguay"/>
    <s v="Latin America and Caribbean"/>
    <s v="P082026"/>
    <s v="C1"/>
    <s v=""/>
    <s v="P082026C1"/>
    <x v="0"/>
    <n v="2006"/>
    <x v="0"/>
    <s v=""/>
    <n v="968"/>
    <n v="43.45"/>
    <s v="USD"/>
    <n v="43.45"/>
    <n v="4.4886363636363641E-2"/>
    <s v=""/>
    <s v=""/>
    <s v=""/>
    <s v="x"/>
    <s v="x"/>
    <m/>
  </r>
  <r>
    <s v="Paraguay"/>
    <s v="Latin America and Caribbean"/>
    <s v="P082026"/>
    <s v="C1"/>
    <s v=""/>
    <s v="P082026C1"/>
    <x v="1"/>
    <n v="2016"/>
    <x v="0"/>
    <s v=""/>
    <n v="623"/>
    <n v="73.47"/>
    <s v="USD"/>
    <n v="73.47"/>
    <n v="0.11792937399678972"/>
    <s v=""/>
    <s v=""/>
    <s v=""/>
    <s v="x"/>
    <s v="x"/>
    <m/>
  </r>
  <r>
    <s v="Paraguay"/>
    <s v="Latin America and Caribbean"/>
    <s v="P082026"/>
    <s v="C1"/>
    <s v=""/>
    <s v="P082026C1"/>
    <x v="2"/>
    <s v="2006 / 2016"/>
    <x v="0"/>
    <s v=""/>
    <n v="0.64359504132231404"/>
    <m/>
    <m/>
    <n v="1.6909090909090907"/>
    <n v="2.6272873194221504"/>
    <s v=""/>
    <s v=""/>
    <s v=""/>
    <s v="x"/>
    <s v="x"/>
    <s v="Quality of estimates; ; "/>
  </r>
  <r>
    <s v="Paraguay"/>
    <s v="Latin America and Caribbean"/>
    <s v="P082026"/>
    <s v="C1"/>
    <s v="S1"/>
    <s v="P082026C1S1"/>
    <x v="0"/>
    <n v="2006"/>
    <x v="0"/>
    <n v="48"/>
    <n v="108"/>
    <n v="4.5999999999999996"/>
    <s v="USD"/>
    <n v="4.5999999999999996"/>
    <n v="4.2592592592592592E-2"/>
    <s v=""/>
    <s v=""/>
    <s v=""/>
    <s v=""/>
    <s v=""/>
    <m/>
  </r>
  <r>
    <s v="Paraguay"/>
    <s v="Latin America and Caribbean"/>
    <s v="P082026"/>
    <s v="C1"/>
    <s v="S1"/>
    <s v="P082026C1S1"/>
    <x v="1"/>
    <n v="2016"/>
    <x v="0"/>
    <n v="48"/>
    <n v="108"/>
    <n v="5.47"/>
    <s v="USD"/>
    <n v="5.47"/>
    <n v="5.0648148148148144E-2"/>
    <s v=""/>
    <s v=""/>
    <s v=""/>
    <s v=""/>
    <s v=""/>
    <m/>
  </r>
  <r>
    <s v="Paraguay"/>
    <s v="Latin America and Caribbean"/>
    <s v="P082026"/>
    <s v="C1"/>
    <s v="S1"/>
    <s v="P082026C1S1"/>
    <x v="2"/>
    <s v="2006 / 2016"/>
    <x v="0"/>
    <n v="1"/>
    <n v="1"/>
    <m/>
    <m/>
    <n v="1.1891304347826088"/>
    <n v="1.1891304347826086"/>
    <s v=""/>
    <s v=""/>
    <s v=""/>
    <s v=""/>
    <s v=""/>
    <s v=""/>
  </r>
  <r>
    <s v="Paraguay"/>
    <s v="Latin America and Caribbean"/>
    <s v="P082026"/>
    <s v="C1"/>
    <s v="S2"/>
    <s v="P082026C1S2"/>
    <x v="0"/>
    <n v="2006"/>
    <x v="0"/>
    <n v="48"/>
    <n v="381"/>
    <n v="10.3"/>
    <s v="USD"/>
    <n v="10.3"/>
    <n v="2.703412073490814E-2"/>
    <s v=""/>
    <s v=""/>
    <s v=""/>
    <s v="x"/>
    <s v="x"/>
    <m/>
  </r>
  <r>
    <s v="Paraguay"/>
    <s v="Latin America and Caribbean"/>
    <s v="P082026"/>
    <s v="C1"/>
    <s v="S2"/>
    <s v="P082026C1S2"/>
    <x v="1"/>
    <n v="2016"/>
    <x v="0"/>
    <n v="48"/>
    <n v="381"/>
    <n v="17.97"/>
    <s v="USD"/>
    <n v="17.97"/>
    <n v="4.7165354330708661E-2"/>
    <s v=""/>
    <s v=""/>
    <s v=""/>
    <s v="x"/>
    <s v="x"/>
    <m/>
  </r>
  <r>
    <s v="Paraguay"/>
    <s v="Latin America and Caribbean"/>
    <s v="P082026"/>
    <s v="C1"/>
    <s v="S2"/>
    <s v="P082026C1S2"/>
    <x v="2"/>
    <s v="2006 / 2016"/>
    <x v="0"/>
    <n v="1"/>
    <n v="1"/>
    <m/>
    <m/>
    <n v="1.744660194174757"/>
    <n v="1.744660194174757"/>
    <s v=""/>
    <s v=""/>
    <s v=""/>
    <s v="x"/>
    <s v="x"/>
    <s v="Quality of estimates; ; "/>
  </r>
  <r>
    <s v="Paraguay"/>
    <s v="Latin America and Caribbean"/>
    <s v="P082026"/>
    <s v="C1"/>
    <s v="S3"/>
    <s v="P082026C1S3"/>
    <x v="0"/>
    <n v="2006"/>
    <x v="0"/>
    <n v="20.924855491329481"/>
    <n v="142"/>
    <n v="10.7"/>
    <s v="USD"/>
    <n v="10.7"/>
    <n v="7.5352112676056335E-2"/>
    <s v=""/>
    <s v=""/>
    <s v=""/>
    <s v="x"/>
    <s v="x"/>
    <m/>
  </r>
  <r>
    <s v="Paraguay"/>
    <s v="Latin America and Caribbean"/>
    <s v="P082026"/>
    <s v="C1"/>
    <s v="S3"/>
    <s v="P082026C1S3"/>
    <x v="1"/>
    <n v="2016"/>
    <x v="0"/>
    <n v="36.166666666666664"/>
    <n v="142"/>
    <n v="42.221699999999998"/>
    <s v="USD"/>
    <n v="42.221699999999998"/>
    <n v="0.29733591549295774"/>
    <s v=""/>
    <s v=""/>
    <s v=""/>
    <s v="x"/>
    <s v="x"/>
    <m/>
  </r>
  <r>
    <s v="Paraguay"/>
    <s v="Latin America and Caribbean"/>
    <s v="P082026"/>
    <s v="C1"/>
    <s v="S3"/>
    <s v="P082026C1S3"/>
    <x v="2"/>
    <s v="2006 / 2016"/>
    <x v="0"/>
    <n v="1.7284069981583792"/>
    <n v="1"/>
    <m/>
    <m/>
    <n v="3.9459532710280376"/>
    <n v="3.9459532710280376"/>
    <s v=""/>
    <s v=""/>
    <s v=""/>
    <s v="x"/>
    <s v="x"/>
    <s v="Quality of estimates; ; "/>
  </r>
  <r>
    <s v="Paraguay"/>
    <s v="Latin America and Caribbean"/>
    <s v="P082026"/>
    <s v="C2"/>
    <s v=""/>
    <s v="P082026C2"/>
    <x v="0"/>
    <n v="2006"/>
    <x v="2"/>
    <s v=""/>
    <n v="337.9"/>
    <n v="42.9"/>
    <s v="USD"/>
    <n v="42.9"/>
    <n v="0.12696063924237941"/>
    <s v="x"/>
    <s v=""/>
    <s v=""/>
    <s v=""/>
    <s v="x"/>
    <m/>
  </r>
  <r>
    <s v="Paraguay"/>
    <s v="Latin America and Caribbean"/>
    <s v="P082026"/>
    <s v="C2"/>
    <s v=""/>
    <s v="P082026C2"/>
    <x v="1"/>
    <n v="2016"/>
    <x v="2"/>
    <s v=""/>
    <n v="143"/>
    <n v="26.34"/>
    <s v="USD"/>
    <n v="26.34"/>
    <n v="0.1841958041958042"/>
    <s v="x"/>
    <s v=""/>
    <s v=""/>
    <s v=""/>
    <s v="x"/>
    <m/>
  </r>
  <r>
    <s v="Paraguay"/>
    <s v="Latin America and Caribbean"/>
    <s v="P082026"/>
    <s v="C2"/>
    <s v=""/>
    <s v="P082026C2"/>
    <x v="2"/>
    <s v="2006 / 2016"/>
    <x v="2"/>
    <s v=""/>
    <n v="0.42320213080793134"/>
    <m/>
    <m/>
    <n v="0.61398601398601405"/>
    <n v="1.4508103085725463"/>
    <s v="x"/>
    <s v=""/>
    <s v=""/>
    <s v=""/>
    <s v="x"/>
    <s v="Change of project scope; ; "/>
  </r>
  <r>
    <s v="Paraguay"/>
    <s v="Latin America and Caribbean"/>
    <s v="P082026"/>
    <s v="C2"/>
    <s v="S1"/>
    <s v="P082026C2S1"/>
    <x v="0"/>
    <n v="2006"/>
    <x v="2"/>
    <n v="15.040000000000001"/>
    <n v="121.6"/>
    <n v="4.9000000000000004"/>
    <s v="USD"/>
    <n v="4.9000000000000004"/>
    <n v="4.0296052631578955E-2"/>
    <s v="x"/>
    <s v=""/>
    <s v=""/>
    <s v="x"/>
    <s v="x"/>
    <m/>
  </r>
  <r>
    <s v="Paraguay"/>
    <s v="Latin America and Caribbean"/>
    <s v="P082026"/>
    <s v="C2"/>
    <s v="S1"/>
    <s v="P082026C2S1"/>
    <x v="1"/>
    <n v="2016"/>
    <x v="2"/>
    <n v="18.8"/>
    <n v="35.700000000000003"/>
    <n v="6.87"/>
    <s v="USD"/>
    <n v="6.87"/>
    <n v="0.19243697478991595"/>
    <s v="x"/>
    <s v=""/>
    <s v=""/>
    <s v="x"/>
    <s v="x"/>
    <m/>
  </r>
  <r>
    <s v="Paraguay"/>
    <s v="Latin America and Caribbean"/>
    <s v="P082026"/>
    <s v="C2"/>
    <s v="S1"/>
    <s v="P082026C2S1"/>
    <x v="2"/>
    <s v="2006 / 2016"/>
    <x v="2"/>
    <n v="1.25"/>
    <n v="0.29358552631578949"/>
    <m/>
    <m/>
    <n v="1.4020408163265305"/>
    <n v="4.7755788029497497"/>
    <s v="x"/>
    <s v=""/>
    <s v=""/>
    <s v="x"/>
    <s v="x"/>
    <s v="Change of project scope; Quality of estimates; "/>
  </r>
  <r>
    <s v="Paraguay"/>
    <s v="Latin America and Caribbean"/>
    <s v="P082026"/>
    <s v="C2"/>
    <s v="S2"/>
    <s v="P082026C2S2"/>
    <x v="0"/>
    <n v="2006"/>
    <x v="2"/>
    <n v="20"/>
    <n v="113.4"/>
    <n v="4.2"/>
    <s v="USD"/>
    <n v="4.2"/>
    <n v="3.7037037037037035E-2"/>
    <s v="x"/>
    <s v=""/>
    <s v=""/>
    <s v="x"/>
    <s v="x"/>
    <m/>
  </r>
  <r>
    <s v="Paraguay"/>
    <s v="Latin America and Caribbean"/>
    <s v="P082026"/>
    <s v="C2"/>
    <s v="S2"/>
    <s v="P082026C2S2"/>
    <x v="1"/>
    <n v="2016"/>
    <x v="2"/>
    <n v="21.333333333333332"/>
    <n v="35.5"/>
    <n v="6.19"/>
    <s v="USD"/>
    <n v="6.19"/>
    <n v="0.17436619718309859"/>
    <s v="x"/>
    <s v=""/>
    <s v=""/>
    <s v="x"/>
    <s v="x"/>
    <m/>
  </r>
  <r>
    <s v="Paraguay"/>
    <s v="Latin America and Caribbean"/>
    <s v="P082026"/>
    <s v="C2"/>
    <s v="S2"/>
    <s v="P082026C2S2"/>
    <x v="2"/>
    <s v="2006 / 2016"/>
    <x v="2"/>
    <n v="1.0666666666666667"/>
    <n v="0.31305114638447973"/>
    <m/>
    <m/>
    <n v="1.4738095238095239"/>
    <n v="4.7078873239436625"/>
    <s v="x"/>
    <s v=""/>
    <s v=""/>
    <s v="x"/>
    <s v="x"/>
    <s v="Quality of estimates; Change of project scope; "/>
  </r>
  <r>
    <s v="Paraguay"/>
    <s v="Latin America and Caribbean"/>
    <s v="P082026"/>
    <s v="C2"/>
    <s v="S3"/>
    <s v="P082026C2S3"/>
    <x v="0"/>
    <n v="2006"/>
    <x v="2"/>
    <n v="12.052631578947368"/>
    <n v="102.9"/>
    <n v="3.5"/>
    <s v="USD"/>
    <n v="3.5"/>
    <n v="3.4013605442176867E-2"/>
    <s v="x"/>
    <s v=""/>
    <s v=""/>
    <s v="x"/>
    <s v="x"/>
    <m/>
  </r>
  <r>
    <s v="Paraguay"/>
    <s v="Latin America and Caribbean"/>
    <s v="P082026"/>
    <s v="C2"/>
    <s v="S3"/>
    <s v="P082026C2S3"/>
    <x v="1"/>
    <n v="2016"/>
    <x v="2"/>
    <n v="22.866666666666667"/>
    <n v="14.7"/>
    <n v="3.26"/>
    <s v="USD"/>
    <n v="3.26"/>
    <n v="0.22176870748299318"/>
    <s v="x"/>
    <s v=""/>
    <s v=""/>
    <s v="x"/>
    <s v="x"/>
    <m/>
  </r>
  <r>
    <s v="Paraguay"/>
    <s v="Latin America and Caribbean"/>
    <s v="P082026"/>
    <s v="C2"/>
    <s v="S3"/>
    <s v="P082026C2S3"/>
    <x v="2"/>
    <s v="2006 / 2016"/>
    <x v="2"/>
    <n v="1.8972343522561863"/>
    <n v="0.14285714285714285"/>
    <m/>
    <m/>
    <n v="0.93142857142857138"/>
    <n v="6.5200000000000005"/>
    <s v="x"/>
    <s v=""/>
    <s v=""/>
    <s v="x"/>
    <s v="x"/>
    <s v="Change of project scope; Quality of estimates; "/>
  </r>
  <r>
    <s v="Peru"/>
    <s v="Latin America and Caribbean"/>
    <s v="P044601"/>
    <s v="C1"/>
    <s v=""/>
    <s v="P044601C1"/>
    <x v="0"/>
    <n v="2001"/>
    <x v="2"/>
    <s v=""/>
    <n v="3575"/>
    <n v="61.7"/>
    <s v="USD"/>
    <n v="61.7"/>
    <n v="1.7258741258741259E-2"/>
    <s v=""/>
    <s v=""/>
    <s v=""/>
    <s v=""/>
    <s v=""/>
    <m/>
  </r>
  <r>
    <s v="Peru"/>
    <s v="Latin America and Caribbean"/>
    <s v="P044601"/>
    <s v="C1"/>
    <s v=""/>
    <s v="P044601C1"/>
    <x v="1"/>
    <n v="2007"/>
    <x v="2"/>
    <s v=""/>
    <n v="4692"/>
    <n v="65.33"/>
    <s v="USD"/>
    <n v="65.33"/>
    <n v="1.3923699914748507E-2"/>
    <s v=""/>
    <s v=""/>
    <s v=""/>
    <s v=""/>
    <s v=""/>
    <m/>
  </r>
  <r>
    <s v="Peru"/>
    <s v="Latin America and Caribbean"/>
    <s v="P044601"/>
    <s v="C1"/>
    <s v=""/>
    <s v="P044601C1"/>
    <x v="2"/>
    <s v="2001 / 2007"/>
    <x v="2"/>
    <s v=""/>
    <n v="1.3124475524475525"/>
    <m/>
    <m/>
    <n v="1.0588330632090761"/>
    <n v="0.80676219117059833"/>
    <s v=""/>
    <s v=""/>
    <s v=""/>
    <s v=""/>
    <s v=""/>
    <s v=""/>
  </r>
  <r>
    <s v="Peru"/>
    <s v="Latin America and Caribbean"/>
    <s v="P044601"/>
    <s v="C2"/>
    <s v=""/>
    <s v="P044601C2"/>
    <x v="0"/>
    <n v="2001"/>
    <x v="4"/>
    <s v=""/>
    <n v="13495"/>
    <n v="51.8"/>
    <s v="USD"/>
    <n v="51.8"/>
    <n v="3.8384586884031122E-3"/>
    <s v=""/>
    <s v=""/>
    <s v=""/>
    <s v=""/>
    <s v=""/>
    <m/>
  </r>
  <r>
    <s v="Peru"/>
    <s v="Latin America and Caribbean"/>
    <s v="P044601"/>
    <s v="C2"/>
    <s v=""/>
    <s v="P044601C2"/>
    <x v="1"/>
    <n v="2007"/>
    <x v="4"/>
    <s v=""/>
    <n v="14750"/>
    <n v="38.590000000000003"/>
    <s v="USD"/>
    <n v="38.590000000000003"/>
    <n v="2.6162711864406783E-3"/>
    <s v=""/>
    <s v=""/>
    <s v=""/>
    <s v=""/>
    <s v=""/>
    <m/>
  </r>
  <r>
    <s v="Peru"/>
    <s v="Latin America and Caribbean"/>
    <s v="P044601"/>
    <s v="C2"/>
    <s v=""/>
    <s v="P044601C2"/>
    <x v="2"/>
    <s v="2001 / 2007"/>
    <x v="4"/>
    <s v=""/>
    <n v="1.0929974064468322"/>
    <m/>
    <m/>
    <n v="0.74498069498069508"/>
    <n v="0.6815942019501342"/>
    <s v=""/>
    <s v=""/>
    <s v=""/>
    <s v=""/>
    <s v=""/>
    <s v=""/>
  </r>
  <r>
    <s v="Peru"/>
    <s v="Latin America and Caribbean"/>
    <s v="P078813"/>
    <s v="C1"/>
    <s v=""/>
    <s v="P078813C1"/>
    <x v="0"/>
    <n v="2005"/>
    <x v="2"/>
    <s v=""/>
    <n v="4900"/>
    <n v="138.84"/>
    <s v="USD"/>
    <n v="138.84"/>
    <n v="2.8334693877551023E-2"/>
    <s v=""/>
    <s v=""/>
    <s v=""/>
    <s v=""/>
    <s v=""/>
    <m/>
  </r>
  <r>
    <s v="Peru"/>
    <s v="Latin America and Caribbean"/>
    <s v="P078813"/>
    <s v="C1"/>
    <s v=""/>
    <s v="P078813C1"/>
    <x v="1"/>
    <n v="2014"/>
    <x v="2"/>
    <s v=""/>
    <n v="5103"/>
    <n v="141.49"/>
    <s v="USD"/>
    <n v="141.49"/>
    <n v="2.7726827356456988E-2"/>
    <s v=""/>
    <s v=""/>
    <s v=""/>
    <s v=""/>
    <s v=""/>
    <m/>
  </r>
  <r>
    <s v="Peru"/>
    <s v="Latin America and Caribbean"/>
    <s v="P078813"/>
    <s v="C1"/>
    <s v=""/>
    <s v="P078813C1"/>
    <x v="2"/>
    <s v="2005 / 2014"/>
    <x v="2"/>
    <s v=""/>
    <n v="1.0414285714285714"/>
    <m/>
    <m/>
    <n v="1.0190867185249208"/>
    <n v="0.97854691765081558"/>
    <s v=""/>
    <s v=""/>
    <s v=""/>
    <s v=""/>
    <s v=""/>
    <s v=""/>
  </r>
  <r>
    <s v="Peru"/>
    <s v="Latin America and Caribbean"/>
    <s v="P078813"/>
    <s v="C1"/>
    <s v="S1"/>
    <s v="P078813C1S1"/>
    <x v="0"/>
    <n v="2005"/>
    <x v="2"/>
    <s v=""/>
    <n v="2200"/>
    <n v="110"/>
    <s v="USD"/>
    <n v="110"/>
    <n v="0.05"/>
    <s v=""/>
    <s v=""/>
    <s v=""/>
    <s v=""/>
    <s v=""/>
    <m/>
  </r>
  <r>
    <s v="Peru"/>
    <s v="Latin America and Caribbean"/>
    <s v="P078813"/>
    <s v="C1"/>
    <s v="S1"/>
    <s v="P078813C1S1"/>
    <x v="1"/>
    <n v="2014"/>
    <x v="2"/>
    <s v=""/>
    <n v="1562"/>
    <n v="102.36"/>
    <s v="USD"/>
    <n v="102.36"/>
    <n v="6.5531370038412293E-2"/>
    <s v=""/>
    <s v=""/>
    <s v=""/>
    <s v=""/>
    <s v=""/>
    <m/>
  </r>
  <r>
    <s v="Peru"/>
    <s v="Latin America and Caribbean"/>
    <s v="P078813"/>
    <s v="C1"/>
    <s v="S1"/>
    <s v="P078813C1S1"/>
    <x v="2"/>
    <s v="2005 / 2014"/>
    <x v="2"/>
    <s v=""/>
    <n v="0.71"/>
    <m/>
    <m/>
    <n v="0.93054545454545456"/>
    <n v="1.3106274007682457"/>
    <s v=""/>
    <s v=""/>
    <s v=""/>
    <s v=""/>
    <s v=""/>
    <s v=""/>
  </r>
  <r>
    <s v="Peru"/>
    <s v="Latin America and Caribbean"/>
    <s v="P078813"/>
    <s v="C1"/>
    <s v="S2"/>
    <s v="P078813C1S2"/>
    <x v="0"/>
    <n v="2005"/>
    <x v="13"/>
    <s v=""/>
    <n v="2700"/>
    <n v="18.91"/>
    <s v="USD"/>
    <n v="18.91"/>
    <n v="7.0037037037037038E-3"/>
    <s v=""/>
    <s v=""/>
    <s v=""/>
    <s v=""/>
    <s v=""/>
    <m/>
  </r>
  <r>
    <s v="Peru"/>
    <s v="Latin America and Caribbean"/>
    <s v="P078813"/>
    <s v="C1"/>
    <s v="S2"/>
    <s v="P078813C1S2"/>
    <x v="1"/>
    <n v="2014"/>
    <x v="13"/>
    <s v=""/>
    <n v="3541"/>
    <n v="28.23"/>
    <s v="USD"/>
    <n v="28.23"/>
    <n v="7.9723242022027678E-3"/>
    <s v=""/>
    <s v=""/>
    <s v=""/>
    <s v=""/>
    <s v=""/>
    <m/>
  </r>
  <r>
    <s v="Peru"/>
    <s v="Latin America and Caribbean"/>
    <s v="P078813"/>
    <s v="C1"/>
    <s v="S2"/>
    <s v="P078813C1S2"/>
    <x v="2"/>
    <s v="2005 / 2014"/>
    <x v="13"/>
    <s v=""/>
    <n v="1.3114814814814815"/>
    <m/>
    <m/>
    <n v="1.4928609201480698"/>
    <n v="1.138301181700025"/>
    <s v=""/>
    <s v=""/>
    <s v=""/>
    <s v=""/>
    <s v=""/>
    <s v=""/>
  </r>
  <r>
    <s v="Peru"/>
    <s v="Latin America and Caribbean"/>
    <s v="P095570"/>
    <s v="C1"/>
    <s v=""/>
    <s v="P095570C1"/>
    <x v="0"/>
    <n v="2006"/>
    <x v="13"/>
    <s v=""/>
    <n v="16850"/>
    <n v="99.6"/>
    <s v="USD"/>
    <n v="99.6"/>
    <n v="5.9109792284866465E-3"/>
    <s v=""/>
    <s v=""/>
    <s v=""/>
    <s v="x"/>
    <s v="x"/>
    <m/>
  </r>
  <r>
    <s v="Peru"/>
    <s v="Latin America and Caribbean"/>
    <s v="P095570"/>
    <s v="C1"/>
    <s v=""/>
    <s v="P095570C1"/>
    <x v="1"/>
    <n v="2014"/>
    <x v="13"/>
    <s v=""/>
    <n v="13439"/>
    <n v="129.80000000000001"/>
    <s v="USD"/>
    <n v="129.80000000000001"/>
    <n v="9.6584567304114893E-3"/>
    <s v=""/>
    <s v=""/>
    <s v=""/>
    <s v="x"/>
    <s v="x"/>
    <m/>
  </r>
  <r>
    <s v="Peru"/>
    <s v="Latin America and Caribbean"/>
    <s v="P095570"/>
    <s v="C1"/>
    <s v=""/>
    <s v="P095570C1"/>
    <x v="2"/>
    <s v="2006 / 2014"/>
    <x v="13"/>
    <s v=""/>
    <n v="0.79756676557863504"/>
    <m/>
    <m/>
    <n v="1.3032128514056227"/>
    <n v="1.6339859026850763"/>
    <s v=""/>
    <s v=""/>
    <s v=""/>
    <s v="x"/>
    <s v="x"/>
    <s v="Macroeconomic conditions; ; "/>
  </r>
  <r>
    <s v="Peru"/>
    <s v="Latin America and Caribbean"/>
    <s v="P095570"/>
    <s v="C1"/>
    <s v="S1"/>
    <s v="P095570C1S1"/>
    <x v="0"/>
    <n v="2006"/>
    <x v="2"/>
    <s v=""/>
    <n v="3000"/>
    <n v="47.7"/>
    <s v="USD"/>
    <n v="47.7"/>
    <n v="1.5900000000000001E-2"/>
    <s v=""/>
    <s v=""/>
    <s v=""/>
    <s v="x"/>
    <s v="x"/>
    <m/>
  </r>
  <r>
    <s v="Peru"/>
    <s v="Latin America and Caribbean"/>
    <s v="P095570"/>
    <s v="C1"/>
    <s v="S1"/>
    <s v="P095570C1S1"/>
    <x v="1"/>
    <n v="2014"/>
    <x v="2"/>
    <s v=""/>
    <n v="3277"/>
    <n v="81.374046000000007"/>
    <s v="USD"/>
    <n v="81.374046000000007"/>
    <n v="2.483187244430882E-2"/>
    <s v=""/>
    <s v=""/>
    <s v=""/>
    <s v="x"/>
    <s v="x"/>
    <m/>
  </r>
  <r>
    <s v="Peru"/>
    <s v="Latin America and Caribbean"/>
    <s v="P095570"/>
    <s v="C1"/>
    <s v="S1"/>
    <s v="P095570C1S1"/>
    <x v="2"/>
    <s v="2006 / 2014"/>
    <x v="2"/>
    <s v=""/>
    <n v="1.0923333333333334"/>
    <m/>
    <m/>
    <n v="1.7059548427672957"/>
    <n v="1.5617529839187936"/>
    <s v=""/>
    <s v=""/>
    <s v=""/>
    <s v="x"/>
    <s v="x"/>
    <s v="Macroeconomic conditions; ; "/>
  </r>
  <r>
    <s v="Peru"/>
    <s v="Latin America and Caribbean"/>
    <s v="P095570"/>
    <s v="C1"/>
    <s v="S2"/>
    <s v="P095570C1S2"/>
    <x v="0"/>
    <n v="2006"/>
    <x v="13"/>
    <s v=""/>
    <n v="11200"/>
    <n v="31.4"/>
    <s v="USD"/>
    <n v="31.4"/>
    <n v="2.8035714285714283E-3"/>
    <s v=""/>
    <s v=""/>
    <s v=""/>
    <s v="x"/>
    <s v="x"/>
    <m/>
  </r>
  <r>
    <s v="Peru"/>
    <s v="Latin America and Caribbean"/>
    <s v="P095570"/>
    <s v="C1"/>
    <s v="S2"/>
    <s v="P095570C1S2"/>
    <x v="1"/>
    <n v="2014"/>
    <x v="13"/>
    <s v=""/>
    <n v="7806"/>
    <n v="40.002380000000002"/>
    <s v="USD"/>
    <n v="40.002380000000002"/>
    <n v="5.1245682808096337E-3"/>
    <s v=""/>
    <s v=""/>
    <s v=""/>
    <s v="x"/>
    <s v="x"/>
    <m/>
  </r>
  <r>
    <s v="Peru"/>
    <s v="Latin America and Caribbean"/>
    <s v="P095570"/>
    <s v="C1"/>
    <s v="S2"/>
    <s v="P095570C1S2"/>
    <x v="2"/>
    <s v="2006 / 2014"/>
    <x v="13"/>
    <s v=""/>
    <n v="0.6969642857142857"/>
    <m/>
    <m/>
    <n v="1.2739611464968155"/>
    <n v="1.82787148869643"/>
    <s v=""/>
    <s v=""/>
    <s v=""/>
    <s v="x"/>
    <s v="x"/>
    <s v="Macroeconomic conditions; ; "/>
  </r>
  <r>
    <s v="Peru"/>
    <s v="Latin America and Caribbean"/>
    <s v="P095570"/>
    <s v="C1"/>
    <s v="S3"/>
    <s v="P095570C1S3"/>
    <x v="0"/>
    <n v="2006"/>
    <x v="2"/>
    <s v=""/>
    <n v="2650"/>
    <n v="5"/>
    <s v="USD"/>
    <n v="5"/>
    <n v="1.8867924528301887E-3"/>
    <s v=""/>
    <s v=""/>
    <s v=""/>
    <s v=""/>
    <s v=""/>
    <m/>
  </r>
  <r>
    <s v="Peru"/>
    <s v="Latin America and Caribbean"/>
    <s v="P095570"/>
    <s v="C1"/>
    <s v="S3"/>
    <s v="P095570C1S3"/>
    <x v="1"/>
    <n v="2014"/>
    <x v="2"/>
    <s v=""/>
    <n v="2356"/>
    <n v="6.3991199999999999"/>
    <s v="USD"/>
    <n v="6.3991199999999999"/>
    <n v="2.7160950764006792E-3"/>
    <s v=""/>
    <s v=""/>
    <s v=""/>
    <s v=""/>
    <s v=""/>
    <m/>
  </r>
  <r>
    <s v="Peru"/>
    <s v="Latin America and Caribbean"/>
    <s v="P095570"/>
    <s v="C1"/>
    <s v="S3"/>
    <s v="P095570C1S3"/>
    <x v="2"/>
    <s v="2006 / 2014"/>
    <x v="2"/>
    <s v=""/>
    <n v="0.88905660377358486"/>
    <m/>
    <m/>
    <n v="1.2798240000000001"/>
    <n v="1.43953039049236"/>
    <s v=""/>
    <s v=""/>
    <s v=""/>
    <s v=""/>
    <s v=""/>
    <s v=""/>
  </r>
  <r>
    <s v="Philippines"/>
    <s v="East Asia and Pacific"/>
    <s v="P039019"/>
    <s v="C1"/>
    <s v="S1"/>
    <s v="P039019C1S1"/>
    <x v="0"/>
    <n v="2000"/>
    <x v="1"/>
    <s v=""/>
    <n v="85"/>
    <n v="27.9"/>
    <s v="USD"/>
    <n v="27.9"/>
    <n v="0.32823529411764707"/>
    <s v=""/>
    <s v=""/>
    <s v=""/>
    <s v=""/>
    <s v=""/>
    <m/>
  </r>
  <r>
    <s v="Philippines"/>
    <s v="East Asia and Pacific"/>
    <s v="P039019"/>
    <s v="C1"/>
    <s v="S1"/>
    <s v="P039019C1S1"/>
    <x v="1"/>
    <n v="2008"/>
    <x v="1"/>
    <s v=""/>
    <n v="84.8"/>
    <n v="1038"/>
    <s v="PHP"/>
    <n v="23.299663299663301"/>
    <n v="0.27476018042055783"/>
    <s v=""/>
    <s v=""/>
    <s v=""/>
    <s v=""/>
    <s v=""/>
    <m/>
  </r>
  <r>
    <s v="Philippines"/>
    <s v="East Asia and Pacific"/>
    <s v="P039019"/>
    <s v="C1"/>
    <s v="S1"/>
    <s v="P039019C1S1"/>
    <x v="2"/>
    <s v="2000 / 2008"/>
    <x v="1"/>
    <s v=""/>
    <n v="0.99764705882352933"/>
    <m/>
    <m/>
    <n v="0.83511337991624734"/>
    <n v="0.83708298694435179"/>
    <s v=""/>
    <s v=""/>
    <s v=""/>
    <s v=""/>
    <s v=""/>
    <s v=""/>
  </r>
  <r>
    <s v="Philippines"/>
    <s v="East Asia and Pacific"/>
    <s v="P039019"/>
    <s v="C1"/>
    <s v="S2"/>
    <s v="P039019C1S2"/>
    <x v="0"/>
    <n v="2000"/>
    <x v="1"/>
    <s v=""/>
    <n v="43"/>
    <n v="14.8"/>
    <s v="USD"/>
    <n v="14.8"/>
    <n v="0.34418604651162793"/>
    <s v=""/>
    <s v=""/>
    <s v=""/>
    <s v=""/>
    <s v=""/>
    <m/>
  </r>
  <r>
    <s v="Philippines"/>
    <s v="East Asia and Pacific"/>
    <s v="P039019"/>
    <s v="C1"/>
    <s v="S2"/>
    <s v="P039019C1S2"/>
    <x v="1"/>
    <n v="2008"/>
    <x v="1"/>
    <s v=""/>
    <n v="48.3"/>
    <n v="1000"/>
    <s v="PHP"/>
    <n v="22.446689113355781"/>
    <n v="0.46473476425167248"/>
    <s v=""/>
    <s v=""/>
    <s v=""/>
    <s v=""/>
    <s v=""/>
    <m/>
  </r>
  <r>
    <s v="Philippines"/>
    <s v="East Asia and Pacific"/>
    <s v="P039019"/>
    <s v="C1"/>
    <s v="S2"/>
    <s v="P039019C1S2"/>
    <x v="2"/>
    <s v="2000 / 2008"/>
    <x v="1"/>
    <s v=""/>
    <n v="1.1232558139534883"/>
    <m/>
    <m/>
    <n v="1.5166681833348501"/>
    <n v="1.350242896136616"/>
    <s v=""/>
    <s v=""/>
    <s v=""/>
    <s v=""/>
    <s v=""/>
    <s v=""/>
  </r>
  <r>
    <s v="Philippines"/>
    <s v="East Asia and Pacific"/>
    <s v="P039019"/>
    <s v="C1"/>
    <s v="S3"/>
    <s v="P039019C1S3"/>
    <x v="0"/>
    <n v="2000"/>
    <x v="1"/>
    <s v=""/>
    <n v="46"/>
    <n v="9.8800000000000008"/>
    <s v="USD"/>
    <n v="9.8800000000000008"/>
    <n v="0.21478260869565219"/>
    <s v=""/>
    <s v=""/>
    <s v=""/>
    <s v=""/>
    <s v=""/>
    <m/>
  </r>
  <r>
    <s v="Philippines"/>
    <s v="East Asia and Pacific"/>
    <s v="P039019"/>
    <s v="C1"/>
    <s v="S3"/>
    <s v="P039019C1S3"/>
    <x v="1"/>
    <n v="2008"/>
    <x v="1"/>
    <s v=""/>
    <n v="46.2"/>
    <n v="364"/>
    <s v="PHP"/>
    <n v="8.170594837261504"/>
    <n v="0.17685270210522736"/>
    <s v=""/>
    <s v=""/>
    <s v=""/>
    <s v=""/>
    <s v=""/>
    <m/>
  </r>
  <r>
    <s v="Philippines"/>
    <s v="East Asia and Pacific"/>
    <s v="P039019"/>
    <s v="C1"/>
    <s v="S3"/>
    <s v="P039019C1S3"/>
    <x v="2"/>
    <s v="2000 / 2008"/>
    <x v="1"/>
    <s v=""/>
    <n v="1.0043478260869565"/>
    <m/>
    <m/>
    <n v="0.82698328312363389"/>
    <n v="0.82340326891097748"/>
    <s v=""/>
    <s v=""/>
    <s v=""/>
    <s v=""/>
    <s v=""/>
    <s v=""/>
  </r>
  <r>
    <s v="Philippines"/>
    <s v="East Asia and Pacific"/>
    <s v="P039019"/>
    <s v="C1"/>
    <s v="S4"/>
    <s v="P039019C1S4"/>
    <x v="0"/>
    <n v="2000"/>
    <x v="1"/>
    <s v=""/>
    <n v="142"/>
    <n v="10.9"/>
    <s v="USD"/>
    <n v="10.9"/>
    <n v="7.6760563380281699E-2"/>
    <s v="x"/>
    <s v=""/>
    <s v=""/>
    <s v="x"/>
    <s v="x"/>
    <m/>
  </r>
  <r>
    <s v="Philippines"/>
    <s v="East Asia and Pacific"/>
    <s v="P039019"/>
    <s v="C1"/>
    <s v="S4"/>
    <s v="P039019C1S4"/>
    <x v="1"/>
    <n v="2008"/>
    <x v="1"/>
    <s v=""/>
    <n v="45.2"/>
    <n v="501"/>
    <s v="PHP"/>
    <n v="11.245791245791246"/>
    <n v="0.24880069127856735"/>
    <s v="x"/>
    <s v=""/>
    <s v=""/>
    <s v="x"/>
    <s v="x"/>
    <m/>
  </r>
  <r>
    <s v="Philippines"/>
    <s v="East Asia and Pacific"/>
    <s v="P039019"/>
    <s v="C1"/>
    <s v="S4"/>
    <s v="P039019C1S4"/>
    <x v="2"/>
    <s v="2000 / 2008"/>
    <x v="1"/>
    <s v=""/>
    <n v="0.3183098591549296"/>
    <m/>
    <m/>
    <n v="1.0317239675037839"/>
    <n v="3.2412567120694091"/>
    <s v="x"/>
    <s v=""/>
    <s v=""/>
    <s v="x"/>
    <s v="x"/>
    <s v="Capacity of counterpart (Procurement system); Quality of estimates; Weather shocks"/>
  </r>
  <r>
    <s v="Philippines"/>
    <s v="East Asia and Pacific"/>
    <s v="P039019"/>
    <s v="C1"/>
    <s v="S5"/>
    <s v="P039019C1S5"/>
    <x v="0"/>
    <n v="2000"/>
    <x v="1"/>
    <s v=""/>
    <n v="46"/>
    <n v="2.8"/>
    <s v="USD"/>
    <n v="2.8"/>
    <n v="6.08695652173913E-2"/>
    <s v=""/>
    <s v=""/>
    <s v=""/>
    <s v="x"/>
    <s v="x"/>
    <m/>
  </r>
  <r>
    <s v="Philippines"/>
    <s v="East Asia and Pacific"/>
    <s v="P039019"/>
    <s v="C1"/>
    <s v="S5"/>
    <s v="P039019C1S5"/>
    <x v="1"/>
    <n v="2008"/>
    <x v="1"/>
    <s v=""/>
    <n v="52.6"/>
    <n v="534"/>
    <s v="PHP"/>
    <n v="11.986531986531988"/>
    <n v="0.22788083624585528"/>
    <s v=""/>
    <s v=""/>
    <s v=""/>
    <s v="x"/>
    <s v="x"/>
    <m/>
  </r>
  <r>
    <s v="Philippines"/>
    <s v="East Asia and Pacific"/>
    <s v="P039019"/>
    <s v="C1"/>
    <s v="S5"/>
    <s v="P039019C1S5"/>
    <x v="2"/>
    <s v="2000 / 2008"/>
    <x v="1"/>
    <s v=""/>
    <n v="1.1434782608695653"/>
    <m/>
    <m/>
    <n v="4.2809042809042817"/>
    <n v="3.7437565954676226"/>
    <s v=""/>
    <s v=""/>
    <s v=""/>
    <s v="x"/>
    <s v="x"/>
    <s v="Capacity of counterpart (Procurement system); Quality of estimates; Weather shocks"/>
  </r>
  <r>
    <s v="Philippines"/>
    <s v="East Asia and Pacific"/>
    <s v="P039019"/>
    <s v="C1"/>
    <s v="S8"/>
    <s v="P039019C1S8"/>
    <x v="0"/>
    <n v="2000"/>
    <x v="1"/>
    <s v=""/>
    <n v="46"/>
    <n v="5"/>
    <s v="USD"/>
    <n v="5"/>
    <n v="0.10869565217391304"/>
    <s v=""/>
    <s v=""/>
    <s v=""/>
    <s v="x"/>
    <s v="x"/>
    <m/>
  </r>
  <r>
    <s v="Philippines"/>
    <s v="East Asia and Pacific"/>
    <s v="P039019"/>
    <s v="C1"/>
    <s v="S8"/>
    <s v="P039019C1S8"/>
    <x v="1"/>
    <n v="2008"/>
    <x v="1"/>
    <s v=""/>
    <n v="46.1"/>
    <n v="412"/>
    <s v="PHP"/>
    <n v="9.2480359147025819"/>
    <n v="0.20060815433194321"/>
    <s v=""/>
    <s v=""/>
    <s v=""/>
    <s v="x"/>
    <s v="x"/>
    <m/>
  </r>
  <r>
    <s v="Philippines"/>
    <s v="East Asia and Pacific"/>
    <s v="P039019"/>
    <s v="C1"/>
    <s v="S8"/>
    <s v="P039019C1S8"/>
    <x v="2"/>
    <s v="2000 / 2008"/>
    <x v="1"/>
    <s v=""/>
    <n v="1.0021739130434784"/>
    <m/>
    <m/>
    <n v="1.8496071829405163"/>
    <n v="1.8455950198538775"/>
    <s v=""/>
    <s v=""/>
    <s v=""/>
    <s v="x"/>
    <s v="x"/>
    <s v="Capacity of counterpart (Procurement system); Quality of estimates; Weather shocks"/>
  </r>
  <r>
    <s v="Philippines"/>
    <s v="East Asia and Pacific"/>
    <s v="P039019"/>
    <s v="C1"/>
    <s v="S9"/>
    <s v="P039019C1S9"/>
    <x v="0"/>
    <n v="2000"/>
    <x v="1"/>
    <s v=""/>
    <n v="59"/>
    <n v="12.63"/>
    <s v="USD"/>
    <n v="12.63"/>
    <n v="0.2140677966101695"/>
    <s v=""/>
    <s v=""/>
    <s v=""/>
    <s v=""/>
    <s v=""/>
    <m/>
  </r>
  <r>
    <s v="Philippines"/>
    <s v="East Asia and Pacific"/>
    <s v="P039019"/>
    <s v="C1"/>
    <s v="S9"/>
    <s v="P039019C1S9"/>
    <x v="1"/>
    <n v="2008"/>
    <x v="1"/>
    <s v=""/>
    <n v="59.1"/>
    <n v="766"/>
    <s v="PHP"/>
    <n v="17.194163860830528"/>
    <n v="0.29093339866041501"/>
    <s v=""/>
    <s v=""/>
    <s v=""/>
    <s v=""/>
    <s v=""/>
    <m/>
  </r>
  <r>
    <s v="Philippines"/>
    <s v="East Asia and Pacific"/>
    <s v="P039019"/>
    <s v="C1"/>
    <s v="S9"/>
    <s v="P039019C1S9"/>
    <x v="2"/>
    <s v="2000 / 2008"/>
    <x v="1"/>
    <s v=""/>
    <n v="1.0016949152542374"/>
    <m/>
    <m/>
    <n v="1.3613748108337709"/>
    <n v="1.3590713001555412"/>
    <s v=""/>
    <s v=""/>
    <s v=""/>
    <s v=""/>
    <s v=""/>
    <s v=""/>
  </r>
  <r>
    <s v="Philippines"/>
    <s v="East Asia and Pacific"/>
    <s v="P039019"/>
    <s v="C2"/>
    <s v=""/>
    <s v="P039019C2"/>
    <x v="0"/>
    <n v="2000"/>
    <x v="5"/>
    <s v=""/>
    <n v="900"/>
    <n v="112.29"/>
    <s v="USD"/>
    <n v="112.29"/>
    <n v="0.12476666666666668"/>
    <s v=""/>
    <s v=""/>
    <s v=""/>
    <s v=""/>
    <s v=""/>
    <m/>
  </r>
  <r>
    <s v="Philippines"/>
    <s v="East Asia and Pacific"/>
    <s v="P039019"/>
    <s v="C2"/>
    <s v=""/>
    <s v="P039019C2"/>
    <x v="1"/>
    <n v="2008"/>
    <x v="5"/>
    <s v=""/>
    <n v="721.3"/>
    <n v="99.53"/>
    <s v="USD"/>
    <n v="99.53"/>
    <n v="0.1379869679744905"/>
    <s v=""/>
    <s v=""/>
    <s v=""/>
    <s v=""/>
    <s v=""/>
    <m/>
  </r>
  <r>
    <s v="Philippines"/>
    <s v="East Asia and Pacific"/>
    <s v="P039019"/>
    <s v="C2"/>
    <s v=""/>
    <s v="P039019C2"/>
    <x v="2"/>
    <s v="2000 / 2008"/>
    <x v="5"/>
    <s v=""/>
    <n v="0.8014444444444444"/>
    <m/>
    <m/>
    <n v="0.88636566034375275"/>
    <n v="1.1059602028412276"/>
    <s v=""/>
    <s v=""/>
    <s v=""/>
    <s v=""/>
    <s v=""/>
    <s v=""/>
  </r>
  <r>
    <s v="Philippines"/>
    <s v="East Asia and Pacific"/>
    <s v="P039019"/>
    <s v="C3"/>
    <s v=""/>
    <s v="P039019C3"/>
    <x v="0"/>
    <n v="2000"/>
    <x v="5"/>
    <s v=""/>
    <n v="231"/>
    <n v="9.9600000000000009"/>
    <s v="USD"/>
    <n v="9.9600000000000009"/>
    <n v="4.3116883116883123E-2"/>
    <s v=""/>
    <s v=""/>
    <s v=""/>
    <s v="x"/>
    <s v="x"/>
    <m/>
  </r>
  <r>
    <s v="Philippines"/>
    <s v="East Asia and Pacific"/>
    <s v="P039019"/>
    <s v="C3"/>
    <s v=""/>
    <s v="P039019C3"/>
    <x v="1"/>
    <n v="2008"/>
    <x v="5"/>
    <s v=""/>
    <n v="254"/>
    <n v="20.65"/>
    <s v="USD"/>
    <n v="20.65"/>
    <n v="8.1299212598425194E-2"/>
    <s v=""/>
    <s v=""/>
    <s v=""/>
    <s v="x"/>
    <s v="x"/>
    <m/>
  </r>
  <r>
    <s v="Philippines"/>
    <s v="East Asia and Pacific"/>
    <s v="P039019"/>
    <s v="C3"/>
    <s v=""/>
    <s v="P039019C3"/>
    <x v="2"/>
    <s v="2000 / 2008"/>
    <x v="5"/>
    <s v=""/>
    <n v="1.0995670995670996"/>
    <m/>
    <m/>
    <n v="2.0732931726907626"/>
    <n v="1.8855540271321503"/>
    <s v=""/>
    <s v=""/>
    <s v=""/>
    <s v="x"/>
    <s v="x"/>
    <s v="Capacity of counterpart (Procurement system); Quality of estimates; Weather shocks"/>
  </r>
  <r>
    <s v="Philippines"/>
    <s v="East Asia and Pacific"/>
    <s v="P057731"/>
    <s v="C1"/>
    <s v="S1"/>
    <s v="P057731C1S1"/>
    <x v="0"/>
    <n v="2001"/>
    <x v="2"/>
    <n v="18.5"/>
    <n v="3.6900000000000004"/>
    <n v="1.17"/>
    <s v="USD"/>
    <n v="1.17"/>
    <n v="0.31707317073170727"/>
    <s v=""/>
    <s v=""/>
    <s v=""/>
    <s v=""/>
    <s v=""/>
    <m/>
  </r>
  <r>
    <s v="Philippines"/>
    <s v="East Asia and Pacific"/>
    <s v="P057731"/>
    <s v="C1"/>
    <s v="S1"/>
    <s v="P057731C1S1"/>
    <x v="1"/>
    <n v="2011"/>
    <x v="2"/>
    <s v=""/>
    <n v="3.6900000000000004"/>
    <n v="1.1200000000000001"/>
    <s v="USD"/>
    <n v="1.1200000000000001"/>
    <n v="0.30352303523035229"/>
    <s v=""/>
    <s v=""/>
    <s v=""/>
    <s v=""/>
    <s v=""/>
    <m/>
  </r>
  <r>
    <s v="Philippines"/>
    <s v="East Asia and Pacific"/>
    <s v="P057731"/>
    <s v="C1"/>
    <s v="S1"/>
    <s v="P057731C1S1"/>
    <x v="2"/>
    <s v="2001 / 2011"/>
    <x v="2"/>
    <s v=""/>
    <n v="1"/>
    <m/>
    <m/>
    <n v="0.95726495726495742"/>
    <n v="0.95726495726495742"/>
    <s v=""/>
    <s v=""/>
    <s v=""/>
    <s v=""/>
    <s v=""/>
    <s v=""/>
  </r>
  <r>
    <s v="Philippines"/>
    <s v="East Asia and Pacific"/>
    <s v="P057731"/>
    <s v="C1"/>
    <s v="S2"/>
    <s v="P057731C1S2"/>
    <x v="0"/>
    <n v="2001"/>
    <x v="2"/>
    <n v="16.166666666666668"/>
    <n v="2.42"/>
    <n v="2.9"/>
    <s v="USD"/>
    <n v="2.9"/>
    <n v="1.1983471074380165"/>
    <s v=""/>
    <s v=""/>
    <s v=""/>
    <s v=""/>
    <s v=""/>
    <m/>
  </r>
  <r>
    <s v="Philippines"/>
    <s v="East Asia and Pacific"/>
    <s v="P057731"/>
    <s v="C1"/>
    <s v="S2"/>
    <s v="P057731C1S2"/>
    <x v="1"/>
    <n v="2011"/>
    <x v="2"/>
    <s v=""/>
    <n v="2.42"/>
    <n v="2.1800000000000002"/>
    <s v="USD"/>
    <n v="2.1800000000000002"/>
    <n v="0.90082644628099184"/>
    <s v=""/>
    <s v=""/>
    <s v=""/>
    <s v=""/>
    <s v=""/>
    <m/>
  </r>
  <r>
    <s v="Philippines"/>
    <s v="East Asia and Pacific"/>
    <s v="P057731"/>
    <s v="C1"/>
    <s v="S2"/>
    <s v="P057731C1S2"/>
    <x v="2"/>
    <s v="2001 / 2011"/>
    <x v="2"/>
    <s v=""/>
    <n v="1"/>
    <m/>
    <m/>
    <n v="0.75172413793103454"/>
    <n v="0.75172413793103454"/>
    <s v=""/>
    <s v=""/>
    <s v=""/>
    <s v=""/>
    <s v=""/>
    <s v=""/>
  </r>
  <r>
    <s v="Philippines"/>
    <s v="East Asia and Pacific"/>
    <s v="P057731"/>
    <s v="C1"/>
    <s v="S3"/>
    <s v="P057731C1S3"/>
    <x v="0"/>
    <n v="2001"/>
    <x v="2"/>
    <n v="26.833333333333332"/>
    <n v="27.200000000000003"/>
    <n v="4.67"/>
    <s v="USD"/>
    <n v="4.67"/>
    <n v="0.17169117647058821"/>
    <s v=""/>
    <s v=""/>
    <s v=""/>
    <s v="x"/>
    <s v="x"/>
    <m/>
  </r>
  <r>
    <s v="Philippines"/>
    <s v="East Asia and Pacific"/>
    <s v="P057731"/>
    <s v="C1"/>
    <s v="S3"/>
    <s v="P057731C1S3"/>
    <x v="1"/>
    <n v="2011"/>
    <x v="2"/>
    <s v=""/>
    <n v="27.200000000000003"/>
    <n v="13.51"/>
    <s v="USD"/>
    <n v="13.51"/>
    <n v="0.49669117647058819"/>
    <s v=""/>
    <s v=""/>
    <s v=""/>
    <s v="x"/>
    <s v="x"/>
    <m/>
  </r>
  <r>
    <s v="Philippines"/>
    <s v="East Asia and Pacific"/>
    <s v="P057731"/>
    <s v="C1"/>
    <s v="S3"/>
    <s v="P057731C1S3"/>
    <x v="2"/>
    <s v="2001 / 2011"/>
    <x v="2"/>
    <s v=""/>
    <n v="1"/>
    <m/>
    <m/>
    <n v="2.8929336188436832"/>
    <n v="2.8929336188436832"/>
    <s v=""/>
    <s v=""/>
    <s v=""/>
    <s v="x"/>
    <s v="x"/>
    <s v="Procurement system; Quality of estimates; "/>
  </r>
  <r>
    <s v="Philippines"/>
    <s v="East Asia and Pacific"/>
    <s v="P057731"/>
    <s v="C1"/>
    <s v="S4"/>
    <s v="P057731C1S4"/>
    <x v="0"/>
    <n v="2001"/>
    <x v="2"/>
    <n v="26.6"/>
    <n v="11.8"/>
    <n v="3.44"/>
    <s v="USD"/>
    <n v="3.44"/>
    <n v="0.29152542372881352"/>
    <s v=""/>
    <s v=""/>
    <s v=""/>
    <s v="x"/>
    <s v="x"/>
    <m/>
  </r>
  <r>
    <s v="Philippines"/>
    <s v="East Asia and Pacific"/>
    <s v="P057731"/>
    <s v="C1"/>
    <s v="S4"/>
    <s v="P057731C1S4"/>
    <x v="1"/>
    <n v="2011"/>
    <x v="2"/>
    <s v=""/>
    <n v="11.8"/>
    <n v="12.77"/>
    <s v="USD"/>
    <n v="12.77"/>
    <n v="1.0822033898305083"/>
    <s v=""/>
    <s v=""/>
    <s v=""/>
    <s v="x"/>
    <s v="x"/>
    <m/>
  </r>
  <r>
    <s v="Philippines"/>
    <s v="East Asia and Pacific"/>
    <s v="P057731"/>
    <s v="C1"/>
    <s v="S4"/>
    <s v="P057731C1S4"/>
    <x v="2"/>
    <s v="2001 / 2011"/>
    <x v="2"/>
    <s v=""/>
    <n v="1"/>
    <m/>
    <m/>
    <n v="3.7122093023255816"/>
    <n v="3.7122093023255816"/>
    <s v=""/>
    <s v=""/>
    <s v=""/>
    <s v="x"/>
    <s v="x"/>
    <s v="Procurement system; Quality of estimates; "/>
  </r>
  <r>
    <s v="Poland"/>
    <s v="Europe and Central Asia"/>
    <s v="P096214"/>
    <s v="C1"/>
    <s v=""/>
    <s v="P096214C1"/>
    <x v="0"/>
    <n v="2006"/>
    <x v="5"/>
    <s v=""/>
    <n v="900"/>
    <n v="167"/>
    <s v="USD"/>
    <n v="167"/>
    <n v="0.18555555555555556"/>
    <s v=""/>
    <s v=""/>
    <s v=""/>
    <s v=""/>
    <s v=""/>
    <m/>
  </r>
  <r>
    <s v="Poland"/>
    <s v="Europe and Central Asia"/>
    <s v="P096214"/>
    <s v="C1"/>
    <s v=""/>
    <s v="P096214C1"/>
    <x v="1"/>
    <n v="2012"/>
    <x v="5"/>
    <s v=""/>
    <n v="1103"/>
    <n v="181.92"/>
    <s v="USD"/>
    <n v="181.92"/>
    <n v="0.16493200362647326"/>
    <s v=""/>
    <s v=""/>
    <s v=""/>
    <s v=""/>
    <s v=""/>
    <m/>
  </r>
  <r>
    <s v="Poland"/>
    <s v="Europe and Central Asia"/>
    <s v="P096214"/>
    <s v="C1"/>
    <s v=""/>
    <s v="P096214C1"/>
    <x v="2"/>
    <s v="2006 / 2012"/>
    <x v="5"/>
    <s v=""/>
    <n v="1.2255555555555555"/>
    <n v="1.0893413173652693"/>
    <m/>
    <n v="1.0893413173652693"/>
    <n v="0.88885510936422707"/>
    <s v=""/>
    <s v=""/>
    <s v=""/>
    <s v=""/>
    <s v=""/>
    <s v=""/>
  </r>
  <r>
    <s v="Poland"/>
    <s v="Europe and Central Asia"/>
    <s v="P078170"/>
    <s v="C2"/>
    <s v=""/>
    <s v="P078170C2"/>
    <x v="0"/>
    <n v="2004"/>
    <x v="16"/>
    <s v=""/>
    <n v="917"/>
    <n v="158.6"/>
    <s v="USD"/>
    <n v="158.6"/>
    <n v="0.17295528898582332"/>
    <s v=""/>
    <s v=""/>
    <s v=""/>
    <s v=""/>
    <s v=""/>
    <m/>
  </r>
  <r>
    <s v="Poland"/>
    <s v="Europe and Central Asia"/>
    <s v="P078170"/>
    <s v="C2"/>
    <s v=""/>
    <s v="P078170C2"/>
    <x v="1"/>
    <n v="2009"/>
    <x v="16"/>
    <s v=""/>
    <n v="917"/>
    <n v="133.30000000000001"/>
    <s v="USD"/>
    <n v="133.30000000000001"/>
    <n v="0.14536532170119956"/>
    <s v=""/>
    <s v=""/>
    <s v=""/>
    <s v=""/>
    <s v=""/>
    <m/>
  </r>
  <r>
    <s v="Poland"/>
    <s v="Europe and Central Asia"/>
    <s v="P078170"/>
    <s v="C2"/>
    <s v=""/>
    <s v="P078170C2"/>
    <x v="2"/>
    <s v="2004 / 2009"/>
    <x v="16"/>
    <s v=""/>
    <n v="1"/>
    <m/>
    <m/>
    <n v="0.84047919293820939"/>
    <n v="0.84047919293820939"/>
    <s v=""/>
    <s v=""/>
    <s v=""/>
    <s v=""/>
    <s v=""/>
    <s v=""/>
  </r>
  <r>
    <s v="Romania"/>
    <s v="Europe and Central Asia"/>
    <s v="P093812"/>
    <s v="C1"/>
    <s v=""/>
    <s v="P093812C1"/>
    <x v="0"/>
    <n v="2006"/>
    <x v="6"/>
    <s v=""/>
    <n v="2909"/>
    <n v="112.5"/>
    <s v="USD"/>
    <n v="112.5"/>
    <n v="3.8673083533860432E-2"/>
    <s v=""/>
    <s v=""/>
    <s v=""/>
    <s v=""/>
    <s v=""/>
    <m/>
  </r>
  <r>
    <s v="Romania"/>
    <s v="Europe and Central Asia"/>
    <s v="P093812"/>
    <s v="C1"/>
    <s v=""/>
    <s v="P093812C1"/>
    <x v="1"/>
    <n v="2010"/>
    <x v="6"/>
    <s v=""/>
    <n v="2197"/>
    <n v="125.4"/>
    <s v="USD"/>
    <n v="125.4"/>
    <n v="5.707783340919436E-2"/>
    <s v=""/>
    <s v=""/>
    <s v=""/>
    <s v=""/>
    <s v=""/>
    <m/>
  </r>
  <r>
    <s v="Romania"/>
    <s v="Europe and Central Asia"/>
    <s v="P093812"/>
    <s v="C1"/>
    <s v=""/>
    <s v="P093812C1"/>
    <x v="2"/>
    <s v="2006 / 2010"/>
    <x v="6"/>
    <s v=""/>
    <n v="0.75524235132347883"/>
    <m/>
    <m/>
    <n v="1.1146666666666667"/>
    <n v="1.4759059323319681"/>
    <s v=""/>
    <s v=""/>
    <s v=""/>
    <s v=""/>
    <s v=""/>
    <s v=""/>
  </r>
  <r>
    <s v="Rwanda"/>
    <s v="Sub-Saharan Africa"/>
    <s v="P079414"/>
    <s v="C1"/>
    <s v="S1"/>
    <s v="P079414C1S1"/>
    <x v="0"/>
    <n v="2007"/>
    <x v="15"/>
    <n v="27"/>
    <n v="83"/>
    <n v="38"/>
    <s v="USD"/>
    <n v="38"/>
    <n v="0.45783132530120479"/>
    <s v=""/>
    <s v=""/>
    <s v=""/>
    <s v=""/>
    <s v=""/>
    <m/>
  </r>
  <r>
    <s v="Rwanda"/>
    <s v="Sub-Saharan Africa"/>
    <s v="P079414"/>
    <s v="C1"/>
    <s v="S1"/>
    <s v="P079414C1S1"/>
    <x v="1"/>
    <n v="2015"/>
    <x v="15"/>
    <n v="33"/>
    <n v="83"/>
    <n v="48.09"/>
    <s v="USD"/>
    <n v="48.09"/>
    <n v="0.57939759036144578"/>
    <s v=""/>
    <s v=""/>
    <s v=""/>
    <s v=""/>
    <s v=""/>
    <m/>
  </r>
  <r>
    <s v="Rwanda"/>
    <s v="Sub-Saharan Africa"/>
    <s v="P079414"/>
    <s v="C1"/>
    <s v="S1"/>
    <s v="P079414C1S1"/>
    <x v="2"/>
    <s v="2007 / 2015"/>
    <x v="15"/>
    <n v="1.2222222222222223"/>
    <n v="1"/>
    <n v="1.2655263157894738"/>
    <m/>
    <n v="1.2655263157894738"/>
    <n v="1.2655263157894738"/>
    <s v=""/>
    <s v=""/>
    <s v=""/>
    <s v=""/>
    <s v=""/>
    <s v=""/>
  </r>
  <r>
    <s v="Samoa"/>
    <s v="East Asia and Pacific"/>
    <s v="P075523"/>
    <s v="C1"/>
    <s v="S1"/>
    <s v="P075523C1S1"/>
    <x v="0"/>
    <n v="2003"/>
    <x v="6"/>
    <n v="15"/>
    <n v="32"/>
    <n v="2.8"/>
    <s v="USD"/>
    <n v="2.8"/>
    <n v="8.7499999999999994E-2"/>
    <s v=""/>
    <s v=""/>
    <s v=""/>
    <s v="x"/>
    <s v="x"/>
    <m/>
  </r>
  <r>
    <s v="Samoa"/>
    <s v="East Asia and Pacific"/>
    <s v="P075523"/>
    <s v="C1"/>
    <s v="S1"/>
    <s v="P075523C1S1"/>
    <x v="1"/>
    <n v="2014"/>
    <x v="6"/>
    <n v="19"/>
    <n v="30"/>
    <n v="10.18"/>
    <s v="USD"/>
    <n v="10.18"/>
    <n v="0.33933333333333332"/>
    <s v=""/>
    <s v=""/>
    <s v=""/>
    <s v="x"/>
    <s v="x"/>
    <m/>
  </r>
  <r>
    <s v="Samoa"/>
    <s v="East Asia and Pacific"/>
    <s v="P075523"/>
    <s v="C1"/>
    <s v="S1"/>
    <s v="P075523C1S1"/>
    <x v="2"/>
    <s v="2003 / 2014"/>
    <x v="6"/>
    <n v="1.2666666666666666"/>
    <n v="0.9375"/>
    <m/>
    <m/>
    <n v="3.6357142857142857"/>
    <n v="3.8780952380952383"/>
    <s v=""/>
    <s v=""/>
    <s v=""/>
    <s v="x"/>
    <s v="x"/>
    <s v="Capacity of counterpart; Weather shocks; Quality of estimates"/>
  </r>
  <r>
    <s v="Samoa"/>
    <s v="East Asia and Pacific"/>
    <s v="P075523"/>
    <s v="C1"/>
    <s v="S2"/>
    <s v="P075523C1S2"/>
    <x v="0"/>
    <n v="2003"/>
    <x v="9"/>
    <n v="24"/>
    <n v="3.4000000000000004"/>
    <n v="2.48"/>
    <s v="USD"/>
    <n v="2.48"/>
    <n v="0.72941176470588232"/>
    <s v=""/>
    <s v=""/>
    <s v=""/>
    <s v="x"/>
    <s v="x"/>
    <m/>
  </r>
  <r>
    <s v="Samoa"/>
    <s v="East Asia and Pacific"/>
    <s v="P075523"/>
    <s v="C1"/>
    <s v="S2"/>
    <s v="P075523C1S2"/>
    <x v="1"/>
    <n v="2014"/>
    <x v="9"/>
    <n v="24"/>
    <n v="3.4000000000000004"/>
    <n v="10.93"/>
    <s v="USD"/>
    <n v="10.93"/>
    <n v="3.2147058823529409"/>
    <s v=""/>
    <s v=""/>
    <s v=""/>
    <s v="x"/>
    <s v="x"/>
    <m/>
  </r>
  <r>
    <s v="Samoa"/>
    <s v="East Asia and Pacific"/>
    <s v="P075523"/>
    <s v="C1"/>
    <s v="S2"/>
    <s v="P075523C1S2"/>
    <x v="2"/>
    <s v="2003 / 2014"/>
    <x v="9"/>
    <n v="1"/>
    <n v="1"/>
    <m/>
    <m/>
    <n v="4.407258064516129"/>
    <n v="4.407258064516129"/>
    <s v=""/>
    <s v=""/>
    <s v=""/>
    <s v="x"/>
    <s v="x"/>
    <s v="Capacity of counterpart; Weather shocks; Quality of estimates"/>
  </r>
  <r>
    <s v="Samoa"/>
    <s v="East Asia and Pacific"/>
    <s v="P075523"/>
    <s v="C1"/>
    <s v="S3"/>
    <s v="P075523C1S3"/>
    <x v="0"/>
    <n v="2003"/>
    <x v="1"/>
    <n v="12"/>
    <n v="3.9"/>
    <n v="0.6"/>
    <s v="USD"/>
    <n v="0.6"/>
    <n v="0.15384615384615385"/>
    <s v=""/>
    <s v=""/>
    <s v=""/>
    <s v="x"/>
    <s v="x"/>
    <m/>
  </r>
  <r>
    <s v="Samoa"/>
    <s v="East Asia and Pacific"/>
    <s v="P075523"/>
    <s v="C1"/>
    <s v="S3"/>
    <s v="P075523C1S3"/>
    <x v="1"/>
    <n v="2014"/>
    <x v="1"/>
    <n v="4"/>
    <n v="3.93"/>
    <n v="2.3199999999999998"/>
    <s v="USD"/>
    <n v="2.3199999999999998"/>
    <n v="0.59033078880407119"/>
    <s v=""/>
    <s v=""/>
    <s v=""/>
    <s v="x"/>
    <s v="x"/>
    <m/>
  </r>
  <r>
    <s v="Samoa"/>
    <s v="East Asia and Pacific"/>
    <s v="P075523"/>
    <s v="C1"/>
    <s v="S3"/>
    <s v="P075523C1S3"/>
    <x v="2"/>
    <s v="2003 / 2014"/>
    <x v="1"/>
    <n v="0.33333333333333331"/>
    <n v="1.0076923076923077"/>
    <m/>
    <m/>
    <n v="3.8666666666666667"/>
    <n v="3.8371501272264625"/>
    <s v=""/>
    <s v=""/>
    <s v=""/>
    <s v="x"/>
    <s v="x"/>
    <s v="Capacity of counterpart; Weather shocks; Quality of estimates"/>
  </r>
  <r>
    <s v="Senegal"/>
    <s v="Sub-Saharan Africa"/>
    <s v="P055472"/>
    <s v="C1"/>
    <s v=""/>
    <s v="P055472C1"/>
    <x v="0"/>
    <n v="2000"/>
    <x v="2"/>
    <s v=""/>
    <n v="39"/>
    <n v="37.54"/>
    <s v="USD"/>
    <n v="37.54"/>
    <n v="0.96256410256410252"/>
    <s v=""/>
    <s v=""/>
    <s v=""/>
    <s v="x"/>
    <s v="x"/>
    <m/>
  </r>
  <r>
    <s v="Senegal"/>
    <s v="Sub-Saharan Africa"/>
    <s v="P055472"/>
    <s v="C1"/>
    <s v=""/>
    <s v="P055472C1"/>
    <x v="1"/>
    <n v="2009"/>
    <x v="2"/>
    <s v=""/>
    <n v="27"/>
    <n v="87.74"/>
    <s v="USD"/>
    <n v="87.74"/>
    <n v="3.2496296296296294"/>
    <s v=""/>
    <s v=""/>
    <s v=""/>
    <s v="x"/>
    <s v="x"/>
    <m/>
  </r>
  <r>
    <s v="Senegal"/>
    <s v="Sub-Saharan Africa"/>
    <s v="P055472"/>
    <s v="C1"/>
    <s v=""/>
    <s v="P055472C1"/>
    <x v="2"/>
    <s v="2000 / 2009"/>
    <x v="2"/>
    <s v=""/>
    <n v="0.69230769230769229"/>
    <m/>
    <m/>
    <n v="2.3372402770378264"/>
    <n v="3.3760137334990823"/>
    <s v=""/>
    <s v=""/>
    <s v=""/>
    <s v="x"/>
    <s v="x"/>
    <s v="Quality of estimates; Capacity of counterpart; "/>
  </r>
  <r>
    <s v="Sierra Leone"/>
    <s v="Sub-Saharan Africa"/>
    <s v="P078389"/>
    <s v="C1"/>
    <s v=""/>
    <s v="P078389C1"/>
    <x v="0"/>
    <n v="2005"/>
    <x v="13"/>
    <s v=""/>
    <n v="506"/>
    <n v="21.05"/>
    <s v="USD"/>
    <n v="21.05"/>
    <n v="4.1600790513833995E-2"/>
    <s v=""/>
    <s v=""/>
    <s v=""/>
    <s v="x"/>
    <s v="x"/>
    <m/>
  </r>
  <r>
    <s v="Sierra Leone"/>
    <s v="Sub-Saharan Africa"/>
    <s v="P078389"/>
    <s v="C1"/>
    <s v=""/>
    <s v="P078389C1"/>
    <x v="1"/>
    <n v="2014"/>
    <x v="13"/>
    <s v=""/>
    <n v="376"/>
    <n v="26.28"/>
    <s v="USD"/>
    <n v="26.28"/>
    <n v="6.9893617021276597E-2"/>
    <s v=""/>
    <s v=""/>
    <s v=""/>
    <s v="x"/>
    <s v="x"/>
    <m/>
  </r>
  <r>
    <s v="Sierra Leone"/>
    <s v="Sub-Saharan Africa"/>
    <s v="P078389"/>
    <s v="C1"/>
    <s v=""/>
    <s v="P078389C1"/>
    <x v="2"/>
    <s v="2005 / 2014"/>
    <x v="13"/>
    <s v=""/>
    <n v="0.74308300395256921"/>
    <n v="1.2484560570071259"/>
    <m/>
    <n v="1.2484560570071259"/>
    <n v="1.680103097993632"/>
    <s v=""/>
    <s v=""/>
    <s v=""/>
    <s v="x"/>
    <s v="x"/>
    <s v="Political events; Competition; "/>
  </r>
  <r>
    <s v="South Sudan"/>
    <s v="Sub-Saharan Africa"/>
    <s v="P118579"/>
    <s v="C1"/>
    <s v="S1"/>
    <s v="P118579C1S1"/>
    <x v="0"/>
    <n v="2010"/>
    <x v="4"/>
    <s v=""/>
    <n v="363"/>
    <n v="7.76"/>
    <s v="USD"/>
    <n v="7.76"/>
    <n v="2.137741046831956E-2"/>
    <s v=""/>
    <s v=""/>
    <s v=""/>
    <s v=""/>
    <s v=""/>
    <m/>
  </r>
  <r>
    <s v="South Sudan"/>
    <s v="Sub-Saharan Africa"/>
    <s v="P118579"/>
    <s v="C1"/>
    <s v="S1"/>
    <s v="P118579C1S1"/>
    <x v="1"/>
    <n v="2013"/>
    <x v="4"/>
    <n v="14"/>
    <n v="308"/>
    <n v="7.6363245700000002"/>
    <s v="USD"/>
    <n v="7.6363245700000002"/>
    <n v="2.4793261590909093E-2"/>
    <s v=""/>
    <s v=""/>
    <s v=""/>
    <s v=""/>
    <s v=""/>
    <m/>
  </r>
  <r>
    <s v="South Sudan"/>
    <s v="Sub-Saharan Africa"/>
    <s v="P118579"/>
    <s v="C1"/>
    <s v="S1"/>
    <s v="P118579C1S1"/>
    <x v="2"/>
    <s v="2010 / 2013"/>
    <x v="4"/>
    <s v=""/>
    <n v="0.84848484848484851"/>
    <m/>
    <m/>
    <n v="0.98406244458762893"/>
    <n v="1.1597878811211342"/>
    <s v=""/>
    <s v=""/>
    <s v=""/>
    <s v=""/>
    <s v=""/>
    <s v=""/>
  </r>
  <r>
    <s v="South Sudan"/>
    <s v="Sub-Saharan Africa"/>
    <s v="P118579"/>
    <s v="C1"/>
    <s v="S2"/>
    <s v="P118579C1S2"/>
    <x v="0"/>
    <n v="2010"/>
    <x v="4"/>
    <s v=""/>
    <n v="160"/>
    <n v="4.25"/>
    <s v="USD"/>
    <n v="4.25"/>
    <n v="2.6562499999999999E-2"/>
    <s v=""/>
    <s v=""/>
    <s v=""/>
    <s v=""/>
    <s v=""/>
    <m/>
  </r>
  <r>
    <s v="South Sudan"/>
    <s v="Sub-Saharan Africa"/>
    <s v="P118579"/>
    <s v="C1"/>
    <s v="S2"/>
    <s v="P118579C1S2"/>
    <x v="1"/>
    <n v="2013"/>
    <x v="4"/>
    <n v="13"/>
    <n v="113"/>
    <n v="4.3112166900000002"/>
    <s v="USD"/>
    <n v="4.3112166900000002"/>
    <n v="3.8152360088495575E-2"/>
    <s v=""/>
    <s v=""/>
    <s v=""/>
    <s v=""/>
    <s v=""/>
    <m/>
  </r>
  <r>
    <s v="South Sudan"/>
    <s v="Sub-Saharan Africa"/>
    <s v="P118579"/>
    <s v="C1"/>
    <s v="S2"/>
    <s v="P118579C1S2"/>
    <x v="2"/>
    <s v="2010 / 2013"/>
    <x v="4"/>
    <s v=""/>
    <n v="0.70625000000000004"/>
    <m/>
    <m/>
    <n v="1.0144039270588237"/>
    <n v="1.4363241445080688"/>
    <s v=""/>
    <s v=""/>
    <s v=""/>
    <s v=""/>
    <s v=""/>
    <s v=""/>
  </r>
  <r>
    <s v="South Sudan"/>
    <s v="Sub-Saharan Africa"/>
    <s v="P118579"/>
    <s v="C1"/>
    <s v="S3"/>
    <s v="P118579C1S3"/>
    <x v="0"/>
    <n v="2010"/>
    <x v="4"/>
    <s v=""/>
    <n v="190"/>
    <n v="4.05"/>
    <s v="USD"/>
    <n v="4.05"/>
    <n v="2.1315789473684208E-2"/>
    <s v=""/>
    <s v=""/>
    <s v=""/>
    <s v=""/>
    <s v=""/>
    <m/>
  </r>
  <r>
    <s v="South Sudan"/>
    <s v="Sub-Saharan Africa"/>
    <s v="P118579"/>
    <s v="C1"/>
    <s v="S3"/>
    <s v="P118579C1S3"/>
    <x v="1"/>
    <n v="2013"/>
    <x v="4"/>
    <n v="21"/>
    <n v="151"/>
    <n v="4.5263280899999998"/>
    <s v="USD"/>
    <n v="4.5263280899999998"/>
    <n v="2.9975682715231787E-2"/>
    <s v=""/>
    <s v=""/>
    <s v=""/>
    <s v=""/>
    <s v=""/>
    <m/>
  </r>
  <r>
    <s v="South Sudan"/>
    <s v="Sub-Saharan Africa"/>
    <s v="P118579"/>
    <s v="C1"/>
    <s v="S3"/>
    <s v="P118579C1S3"/>
    <x v="2"/>
    <s v="2010 / 2013"/>
    <x v="4"/>
    <s v=""/>
    <n v="0.79473684210526319"/>
    <m/>
    <m/>
    <n v="1.1176118740740741"/>
    <n v="1.4062665965170469"/>
    <s v=""/>
    <s v=""/>
    <s v=""/>
    <s v=""/>
    <s v=""/>
    <s v=""/>
  </r>
  <r>
    <s v="South Sudan"/>
    <s v="Sub-Saharan Africa"/>
    <s v="P118579"/>
    <s v="C1"/>
    <s v="S4"/>
    <s v="P118579C1S4"/>
    <x v="0"/>
    <n v="2010"/>
    <x v="4"/>
    <s v=""/>
    <n v="245"/>
    <n v="5.4"/>
    <s v="USD"/>
    <n v="5.4"/>
    <n v="2.2040816326530613E-2"/>
    <s v=""/>
    <s v=""/>
    <s v=""/>
    <s v=""/>
    <s v=""/>
    <m/>
  </r>
  <r>
    <s v="South Sudan"/>
    <s v="Sub-Saharan Africa"/>
    <s v="P118579"/>
    <s v="C1"/>
    <s v="S4"/>
    <s v="P118579C1S4"/>
    <x v="1"/>
    <n v="2013"/>
    <x v="4"/>
    <n v="15"/>
    <n v="233"/>
    <n v="5.1730975399999997"/>
    <s v="USD"/>
    <n v="5.1730975399999997"/>
    <n v="2.2202135364806867E-2"/>
    <s v=""/>
    <s v=""/>
    <s v=""/>
    <s v=""/>
    <s v=""/>
    <m/>
  </r>
  <r>
    <s v="South Sudan"/>
    <s v="Sub-Saharan Africa"/>
    <s v="P118579"/>
    <s v="C1"/>
    <s v="S4"/>
    <s v="P118579C1S4"/>
    <x v="2"/>
    <s v="2010 / 2013"/>
    <x v="4"/>
    <s v=""/>
    <n v="0.95102040816326527"/>
    <m/>
    <m/>
    <n v="0.95798102592592582"/>
    <n v="1.0073191045143857"/>
    <s v=""/>
    <s v=""/>
    <s v=""/>
    <s v=""/>
    <s v=""/>
    <s v=""/>
  </r>
  <r>
    <s v="South Sudan"/>
    <s v="Sub-Saharan Africa"/>
    <s v="P118579"/>
    <s v="C1"/>
    <s v="S5"/>
    <s v="P118579C1S5"/>
    <x v="0"/>
    <n v="2010"/>
    <x v="4"/>
    <s v=""/>
    <n v="96"/>
    <n v="2.17"/>
    <s v="USD"/>
    <n v="2.17"/>
    <n v="2.2604166666666665E-2"/>
    <s v="x"/>
    <s v=""/>
    <s v=""/>
    <s v="x"/>
    <s v="x"/>
    <m/>
  </r>
  <r>
    <s v="South Sudan"/>
    <s v="Sub-Saharan Africa"/>
    <s v="P118579"/>
    <s v="C1"/>
    <s v="S5"/>
    <s v="P118579C1S5"/>
    <x v="1"/>
    <n v="2013"/>
    <x v="4"/>
    <n v="9"/>
    <n v="43"/>
    <n v="1.6595076000000002"/>
    <s v="USD"/>
    <n v="1.6595076000000002"/>
    <n v="3.8593200000000001E-2"/>
    <s v="x"/>
    <s v=""/>
    <s v=""/>
    <s v="x"/>
    <s v="x"/>
    <m/>
  </r>
  <r>
    <s v="South Sudan"/>
    <s v="Sub-Saharan Africa"/>
    <s v="P118579"/>
    <s v="C1"/>
    <s v="S5"/>
    <s v="P118579C1S5"/>
    <x v="2"/>
    <s v="2010 / 2013"/>
    <x v="4"/>
    <s v=""/>
    <n v="0.44791666666666669"/>
    <m/>
    <m/>
    <n v="0.76475004608294939"/>
    <n v="1.7073489400921662"/>
    <s v="x"/>
    <s v=""/>
    <s v=""/>
    <s v="x"/>
    <s v="x"/>
    <s v="Capacity of counterpart; Political events; "/>
  </r>
  <r>
    <s v="South Sudan"/>
    <s v="Sub-Saharan Africa"/>
    <s v="P118579"/>
    <s v="C1"/>
    <s v="S6"/>
    <s v="P118579C1S6"/>
    <x v="0"/>
    <n v="2010"/>
    <x v="4"/>
    <s v=""/>
    <n v="85"/>
    <n v="3.1549999999999998"/>
    <s v="USD"/>
    <n v="3.1549999999999998"/>
    <n v="3.7117647058823526E-2"/>
    <s v=""/>
    <s v=""/>
    <s v=""/>
    <s v=""/>
    <s v=""/>
    <m/>
  </r>
  <r>
    <s v="South Sudan"/>
    <s v="Sub-Saharan Africa"/>
    <s v="P118579"/>
    <s v="C1"/>
    <s v="S6"/>
    <s v="P118579C1S6"/>
    <x v="1"/>
    <n v="2013"/>
    <x v="4"/>
    <n v="12"/>
    <n v="85"/>
    <n v="3.0101543199999998"/>
    <s v="USD"/>
    <n v="3.0101543199999998"/>
    <n v="3.5413580235294118E-2"/>
    <s v=""/>
    <s v=""/>
    <s v=""/>
    <s v=""/>
    <s v=""/>
    <m/>
  </r>
  <r>
    <s v="South Sudan"/>
    <s v="Sub-Saharan Africa"/>
    <s v="P118579"/>
    <s v="C1"/>
    <s v="S6"/>
    <s v="P118579C1S6"/>
    <x v="2"/>
    <s v="2010 / 2013"/>
    <x v="4"/>
    <s v=""/>
    <n v="1"/>
    <m/>
    <m/>
    <n v="0.95409011727416804"/>
    <n v="0.95409011727416804"/>
    <s v=""/>
    <s v=""/>
    <s v=""/>
    <s v=""/>
    <s v=""/>
    <s v=""/>
  </r>
  <r>
    <s v="South Sudan"/>
    <s v="Sub-Saharan Africa"/>
    <s v="P118579"/>
    <s v="C1"/>
    <s v="S7"/>
    <s v="P118579C1S7"/>
    <x v="0"/>
    <n v="2010"/>
    <x v="4"/>
    <s v=""/>
    <n v="150"/>
    <n v="3.18"/>
    <s v="USD"/>
    <n v="3.18"/>
    <n v="2.12E-2"/>
    <s v=""/>
    <s v=""/>
    <s v=""/>
    <s v=""/>
    <s v=""/>
    <m/>
  </r>
  <r>
    <s v="South Sudan"/>
    <s v="Sub-Saharan Africa"/>
    <s v="P118579"/>
    <s v="C1"/>
    <s v="S7"/>
    <s v="P118579C1S7"/>
    <x v="1"/>
    <n v="2013"/>
    <x v="4"/>
    <n v="12"/>
    <n v="140"/>
    <n v="3.65480413"/>
    <s v="USD"/>
    <n v="3.65480413"/>
    <n v="2.6105743785714286E-2"/>
    <s v=""/>
    <s v=""/>
    <s v=""/>
    <s v=""/>
    <s v=""/>
    <m/>
  </r>
  <r>
    <s v="South Sudan"/>
    <s v="Sub-Saharan Africa"/>
    <s v="P118579"/>
    <s v="C1"/>
    <s v="S7"/>
    <s v="P118579C1S7"/>
    <x v="2"/>
    <s v="2010 / 2013"/>
    <x v="4"/>
    <s v=""/>
    <n v="0.93333333333333335"/>
    <m/>
    <m/>
    <n v="1.1493094748427672"/>
    <n v="1.2314030087601078"/>
    <s v=""/>
    <s v=""/>
    <s v=""/>
    <s v=""/>
    <s v=""/>
    <s v=""/>
  </r>
  <r>
    <s v="South Sudan"/>
    <s v="Sub-Saharan Africa"/>
    <s v="P118579"/>
    <s v="C1"/>
    <s v="S8"/>
    <s v="P118579C1S8"/>
    <x v="0"/>
    <n v="2010"/>
    <x v="4"/>
    <s v=""/>
    <n v="260"/>
    <n v="2.76"/>
    <s v="USD"/>
    <n v="2.76"/>
    <n v="1.0615384615384615E-2"/>
    <s v="x"/>
    <s v=""/>
    <s v=""/>
    <s v="x"/>
    <s v="x"/>
    <m/>
  </r>
  <r>
    <s v="South Sudan"/>
    <s v="Sub-Saharan Africa"/>
    <s v="P118579"/>
    <s v="C1"/>
    <s v="S8"/>
    <s v="P118579C1S8"/>
    <x v="1"/>
    <n v="2013"/>
    <x v="4"/>
    <n v="7"/>
    <n v="129"/>
    <n v="3.1530038999999999"/>
    <s v="USD"/>
    <n v="3.1530038999999999"/>
    <n v="2.4441890697674419E-2"/>
    <s v="x"/>
    <s v=""/>
    <s v=""/>
    <s v="x"/>
    <s v="x"/>
    <m/>
  </r>
  <r>
    <s v="South Sudan"/>
    <s v="Sub-Saharan Africa"/>
    <s v="P118579"/>
    <s v="C1"/>
    <s v="S8"/>
    <s v="P118579C1S8"/>
    <x v="2"/>
    <s v="2010 / 2013"/>
    <x v="4"/>
    <s v=""/>
    <n v="0.49615384615384617"/>
    <m/>
    <m/>
    <n v="1.1423927173913044"/>
    <n v="2.3024969497809238"/>
    <s v="x"/>
    <s v=""/>
    <s v=""/>
    <s v="x"/>
    <s v="x"/>
    <s v="Quality of estimates; Capacity of counterpart; Political events"/>
  </r>
  <r>
    <s v="Sri Lanka"/>
    <s v="South Asia"/>
    <s v="P086411"/>
    <s v="C1"/>
    <s v=""/>
    <s v="P086411C1"/>
    <x v="0"/>
    <n v="2005"/>
    <x v="1"/>
    <s v=""/>
    <n v="635"/>
    <n v="10.039999999999999"/>
    <s v="USD"/>
    <n v="10.039999999999999"/>
    <n v="1.5811023622047244E-2"/>
    <s v="x"/>
    <s v=""/>
    <s v=""/>
    <s v="x"/>
    <s v="x"/>
    <m/>
  </r>
  <r>
    <s v="Sri Lanka"/>
    <s v="South Asia"/>
    <s v="P086411"/>
    <s v="C1"/>
    <s v=""/>
    <s v="P086411C1"/>
    <x v="1"/>
    <n v="2016"/>
    <x v="1"/>
    <s v=""/>
    <n v="157"/>
    <n v="13.07"/>
    <s v="USD"/>
    <n v="13.07"/>
    <n v="8.3248407643312108E-2"/>
    <s v="x"/>
    <s v=""/>
    <s v=""/>
    <s v="x"/>
    <s v="x"/>
    <m/>
  </r>
  <r>
    <s v="Sri Lanka"/>
    <s v="South Asia"/>
    <s v="P086411"/>
    <s v="C1"/>
    <s v=""/>
    <s v="P086411C1"/>
    <x v="2"/>
    <s v="2005 / 2016"/>
    <x v="1"/>
    <s v=""/>
    <n v="0.24724409448818899"/>
    <n v="1.3017928286852591"/>
    <m/>
    <n v="1.3017928286852591"/>
    <n v="5.2652130332174494"/>
    <s v="x"/>
    <s v=""/>
    <s v=""/>
    <s v="x"/>
    <s v="x"/>
    <s v="Macroeconomic conditions; Quality of estimates; "/>
  </r>
  <r>
    <s v="Sri Lanka"/>
    <s v="South Asia"/>
    <s v="P086411"/>
    <s v="C2"/>
    <s v=""/>
    <s v="P086411C2"/>
    <x v="0"/>
    <n v="2005"/>
    <x v="9"/>
    <s v=""/>
    <n v="620"/>
    <n v="112.51"/>
    <s v="USD"/>
    <n v="112.51"/>
    <n v="0.18146774193548387"/>
    <s v=""/>
    <s v=""/>
    <s v=""/>
    <s v="x"/>
    <s v="x"/>
    <m/>
  </r>
  <r>
    <s v="Sri Lanka"/>
    <s v="South Asia"/>
    <s v="P086411"/>
    <s v="C2"/>
    <s v=""/>
    <s v="P086411C2"/>
    <x v="1"/>
    <n v="2016"/>
    <x v="9"/>
    <s v=""/>
    <n v="617"/>
    <n v="239"/>
    <s v="USD"/>
    <n v="239"/>
    <n v="0.3873581847649919"/>
    <s v=""/>
    <s v=""/>
    <s v=""/>
    <s v="x"/>
    <s v="x"/>
    <m/>
  </r>
  <r>
    <s v="Sri Lanka"/>
    <s v="South Asia"/>
    <s v="P086411"/>
    <s v="C2"/>
    <s v=""/>
    <s v="P086411C2"/>
    <x v="2"/>
    <s v="2005 / 2016"/>
    <x v="9"/>
    <s v=""/>
    <n v="0.99516129032258061"/>
    <n v="2.1242556217225133"/>
    <m/>
    <n v="2.1242556217225133"/>
    <n v="2.1345842552154917"/>
    <s v=""/>
    <s v=""/>
    <s v=""/>
    <s v="x"/>
    <s v="x"/>
    <s v="Macroeconomic conditions; Change of project scope; Quality of estimates"/>
  </r>
  <r>
    <s v="Sri Lanka"/>
    <s v="South Asia"/>
    <s v="P107847"/>
    <s v="C1"/>
    <s v="S1"/>
    <s v="P107847C1S1"/>
    <x v="0"/>
    <n v="2009"/>
    <x v="15"/>
    <n v="60"/>
    <n v="150"/>
    <n v="35.299999999999997"/>
    <s v="USD"/>
    <n v="35.299999999999997"/>
    <n v="0.23533333333333331"/>
    <s v=""/>
    <s v=""/>
    <s v=""/>
    <s v="x"/>
    <s v="x"/>
    <m/>
  </r>
  <r>
    <s v="Sri Lanka"/>
    <s v="South Asia"/>
    <s v="P107847"/>
    <s v="C1"/>
    <s v="S1"/>
    <s v="P107847C1S1"/>
    <x v="1"/>
    <n v="2015"/>
    <x v="15"/>
    <n v="59"/>
    <n v="117.29"/>
    <n v="50"/>
    <s v="USD"/>
    <n v="50"/>
    <n v="0.42629380168812342"/>
    <s v=""/>
    <s v=""/>
    <s v=""/>
    <s v="x"/>
    <s v="x"/>
    <m/>
  </r>
  <r>
    <s v="Sri Lanka"/>
    <s v="South Asia"/>
    <s v="P107847"/>
    <s v="C1"/>
    <s v="S1"/>
    <s v="P107847C1S1"/>
    <x v="2"/>
    <s v="2009 / 2015"/>
    <x v="15"/>
    <n v="0.98333333333333328"/>
    <n v="0.78193333333333337"/>
    <m/>
    <m/>
    <n v="1.41643059490085"/>
    <n v="1.8114467493829609"/>
    <s v=""/>
    <s v=""/>
    <s v=""/>
    <s v="x"/>
    <s v="x"/>
    <s v="Quality of estimates; Macroeconomic conditions; Weather shocks"/>
  </r>
  <r>
    <s v="Sri Lanka"/>
    <s v="South Asia"/>
    <s v="P107847"/>
    <s v="C1"/>
    <s v="S2"/>
    <s v="P107847C1S2"/>
    <x v="0"/>
    <n v="2009"/>
    <x v="15"/>
    <n v="60"/>
    <n v="100"/>
    <n v="14"/>
    <s v="USD"/>
    <n v="14"/>
    <n v="0.14000000000000001"/>
    <s v=""/>
    <s v=""/>
    <s v=""/>
    <s v="x"/>
    <s v="x"/>
    <m/>
  </r>
  <r>
    <s v="Sri Lanka"/>
    <s v="South Asia"/>
    <s v="P107847"/>
    <s v="C1"/>
    <s v="S2"/>
    <s v="P107847C1S2"/>
    <x v="1"/>
    <n v="2015"/>
    <x v="15"/>
    <n v="59"/>
    <n v="59.15"/>
    <n v="20"/>
    <s v="USD"/>
    <n v="20"/>
    <n v="0.33812341504649196"/>
    <s v=""/>
    <s v=""/>
    <s v=""/>
    <s v="x"/>
    <s v="x"/>
    <m/>
  </r>
  <r>
    <s v="Sri Lanka"/>
    <s v="South Asia"/>
    <s v="P107847"/>
    <s v="C1"/>
    <s v="S2"/>
    <s v="P107847C1S2"/>
    <x v="2"/>
    <s v="2009 / 2015"/>
    <x v="15"/>
    <n v="0.98333333333333328"/>
    <n v="0.59150000000000003"/>
    <m/>
    <m/>
    <n v="1.4285714285714286"/>
    <n v="2.4151672503320851"/>
    <s v=""/>
    <s v=""/>
    <s v=""/>
    <s v="x"/>
    <s v="x"/>
    <s v="Macroeconomic conditions; Capacity of counterpart; "/>
  </r>
  <r>
    <s v="Sri Lanka"/>
    <s v="South Asia"/>
    <s v="P107847"/>
    <s v="C1"/>
    <s v="S3"/>
    <s v="P107847C1S3"/>
    <x v="0"/>
    <n v="2009"/>
    <x v="15"/>
    <n v="60"/>
    <n v="100"/>
    <n v="14"/>
    <s v="USD"/>
    <n v="14"/>
    <n v="0.14000000000000001"/>
    <s v=""/>
    <s v=""/>
    <s v=""/>
    <s v="x"/>
    <s v="x"/>
    <m/>
  </r>
  <r>
    <s v="Sri Lanka"/>
    <s v="South Asia"/>
    <s v="P107847"/>
    <s v="C1"/>
    <s v="S3"/>
    <s v="P107847C1S3"/>
    <x v="1"/>
    <n v="2015"/>
    <x v="15"/>
    <n v="59"/>
    <n v="55.72"/>
    <n v="20"/>
    <s v="USD"/>
    <n v="20"/>
    <n v="0.35893754486719309"/>
    <s v=""/>
    <s v=""/>
    <s v=""/>
    <s v="x"/>
    <s v="x"/>
    <m/>
  </r>
  <r>
    <s v="Sri Lanka"/>
    <s v="South Asia"/>
    <s v="P107847"/>
    <s v="C1"/>
    <s v="S3"/>
    <s v="P107847C1S3"/>
    <x v="2"/>
    <s v="2009 / 2015"/>
    <x v="15"/>
    <n v="0.98333333333333328"/>
    <n v="0.55720000000000003"/>
    <m/>
    <m/>
    <n v="1.4285714285714286"/>
    <n v="2.5638396061942363"/>
    <s v=""/>
    <s v=""/>
    <s v=""/>
    <s v="x"/>
    <s v="x"/>
    <s v="Macroeconomic conditions; Capacity of contractors; "/>
  </r>
  <r>
    <s v="Sudan"/>
    <s v="Sub-Saharan Africa"/>
    <s v="P095081"/>
    <s v="C1"/>
    <s v="S1"/>
    <s v="P095081C1S1"/>
    <x v="0"/>
    <n v="2006"/>
    <x v="1"/>
    <s v=""/>
    <n v="250"/>
    <n v="20.16"/>
    <s v="USD"/>
    <n v="20.16"/>
    <n v="8.0640000000000003E-2"/>
    <s v=""/>
    <s v=""/>
    <s v=""/>
    <s v="x"/>
    <s v="x"/>
    <m/>
  </r>
  <r>
    <s v="Sudan"/>
    <s v="Sub-Saharan Africa"/>
    <s v="P095081"/>
    <s v="C1"/>
    <s v="S1"/>
    <s v="P095081C1S1"/>
    <x v="1"/>
    <n v="2013"/>
    <x v="1"/>
    <s v=""/>
    <n v="170"/>
    <n v="29.43"/>
    <s v="USD"/>
    <n v="29.43"/>
    <n v="0.17311764705882352"/>
    <s v=""/>
    <s v=""/>
    <s v=""/>
    <s v="x"/>
    <s v="x"/>
    <m/>
  </r>
  <r>
    <s v="Sudan"/>
    <s v="Sub-Saharan Africa"/>
    <s v="P095081"/>
    <s v="C1"/>
    <s v="S1"/>
    <s v="P095081C1S1"/>
    <x v="2"/>
    <s v="2006 / 2013"/>
    <x v="1"/>
    <s v=""/>
    <n v="0.68"/>
    <n v="1.4598214285714286"/>
    <m/>
    <n v="1.4598214285714286"/>
    <n v="2.1467962184873945"/>
    <s v=""/>
    <s v=""/>
    <s v=""/>
    <s v="x"/>
    <s v="x"/>
    <s v="Capacity; Change of project scope; Political events"/>
  </r>
  <r>
    <s v="Sudan"/>
    <s v="Sub-Saharan Africa"/>
    <s v="P095081"/>
    <s v="C1"/>
    <s v="S2"/>
    <s v="P095081C1S2"/>
    <x v="0"/>
    <n v="2006"/>
    <x v="5"/>
    <s v=""/>
    <n v="100"/>
    <n v="11.85"/>
    <s v="USD"/>
    <n v="11.85"/>
    <n v="0.11849999999999999"/>
    <s v=""/>
    <s v="x"/>
    <s v=""/>
    <s v=""/>
    <s v="x"/>
    <m/>
  </r>
  <r>
    <s v="Sudan"/>
    <s v="Sub-Saharan Africa"/>
    <s v="P095081"/>
    <s v="C1"/>
    <s v="S2"/>
    <s v="P095081C1S2"/>
    <x v="1"/>
    <n v="2013"/>
    <x v="5"/>
    <s v=""/>
    <n v="285"/>
    <n v="17.850000000000001"/>
    <s v="USD"/>
    <n v="17.850000000000001"/>
    <n v="6.2631578947368427E-2"/>
    <s v=""/>
    <s v="x"/>
    <s v=""/>
    <s v=""/>
    <s v="x"/>
    <m/>
  </r>
  <r>
    <s v="Sudan"/>
    <s v="Sub-Saharan Africa"/>
    <s v="P095081"/>
    <s v="C1"/>
    <s v="S2"/>
    <s v="P095081C1S2"/>
    <x v="2"/>
    <s v="2006 / 2013"/>
    <x v="5"/>
    <s v=""/>
    <n v="2.85"/>
    <n v="1.5063291139240509"/>
    <m/>
    <n v="1.5063291139240509"/>
    <n v="0.5285365312014213"/>
    <s v=""/>
    <s v="x"/>
    <s v=""/>
    <s v=""/>
    <s v="x"/>
    <s v="Change of project scope; ; "/>
  </r>
  <r>
    <s v="Sudan"/>
    <s v="Sub-Saharan Africa"/>
    <s v="P095081"/>
    <s v="C1"/>
    <s v="S3"/>
    <s v="P095081C1S3"/>
    <x v="0"/>
    <n v="2006"/>
    <x v="13"/>
    <s v=""/>
    <n v="820"/>
    <n v="3.54"/>
    <s v="USD"/>
    <n v="3.54"/>
    <n v="4.3170731707317077E-3"/>
    <s v=""/>
    <s v=""/>
    <s v=""/>
    <s v="x"/>
    <s v="x"/>
    <m/>
  </r>
  <r>
    <s v="Sudan"/>
    <s v="Sub-Saharan Africa"/>
    <s v="P095081"/>
    <s v="C1"/>
    <s v="S3"/>
    <s v="P095081C1S3"/>
    <x v="1"/>
    <n v="2013"/>
    <x v="13"/>
    <s v=""/>
    <n v="579"/>
    <n v="6.08"/>
    <s v="USD"/>
    <n v="6.08"/>
    <n v="1.0500863557858377E-2"/>
    <s v=""/>
    <s v=""/>
    <s v=""/>
    <s v="x"/>
    <s v="x"/>
    <m/>
  </r>
  <r>
    <s v="Sudan"/>
    <s v="Sub-Saharan Africa"/>
    <s v="P095081"/>
    <s v="C1"/>
    <s v="S3"/>
    <s v="P095081C1S3"/>
    <x v="2"/>
    <s v="2006 / 2013"/>
    <x v="13"/>
    <s v=""/>
    <n v="0.70609756097560972"/>
    <n v="1.7175141242937852"/>
    <m/>
    <n v="1.7175141242937852"/>
    <n v="2.4324034230067424"/>
    <s v=""/>
    <s v=""/>
    <s v=""/>
    <s v="x"/>
    <s v="x"/>
    <s v="Capacity; Change of project scope; Political events"/>
  </r>
  <r>
    <s v="Sudan"/>
    <s v="Sub-Saharan Africa"/>
    <s v="P098837"/>
    <s v="C1"/>
    <s v=""/>
    <s v="P098837C1"/>
    <x v="0"/>
    <n v="2011"/>
    <x v="1"/>
    <s v=""/>
    <n v="298"/>
    <n v="89.27"/>
    <s v="USD"/>
    <n v="89.27"/>
    <n v="0.29956375838926175"/>
    <s v="x"/>
    <s v=""/>
    <s v=""/>
    <s v="x"/>
    <s v="x"/>
    <m/>
  </r>
  <r>
    <s v="Sudan"/>
    <s v="Sub-Saharan Africa"/>
    <s v="P098837"/>
    <s v="C1"/>
    <s v=""/>
    <s v="P098837C1"/>
    <x v="1"/>
    <n v="2013"/>
    <x v="1"/>
    <s v=""/>
    <n v="131"/>
    <n v="101.91"/>
    <s v="USD"/>
    <n v="101.91"/>
    <n v="0.77793893129770986"/>
    <s v="x"/>
    <s v=""/>
    <s v=""/>
    <s v="x"/>
    <s v="x"/>
    <m/>
  </r>
  <r>
    <s v="Sudan"/>
    <s v="Sub-Saharan Africa"/>
    <s v="P098837"/>
    <s v="C1"/>
    <s v=""/>
    <s v="P098837C1"/>
    <x v="2"/>
    <s v="2011 / 2013"/>
    <x v="1"/>
    <s v=""/>
    <n v="0.43959731543624159"/>
    <m/>
    <m/>
    <n v="1.1415929203539823"/>
    <n v="2.596906032560967"/>
    <s v="x"/>
    <s v=""/>
    <s v=""/>
    <s v="x"/>
    <s v="x"/>
    <s v="Change of project scope; Political events; Capacity of Counterpart"/>
  </r>
  <r>
    <s v="Tanzania"/>
    <s v="Sub-Saharan Africa"/>
    <s v="P078387"/>
    <s v="C1"/>
    <s v="S1"/>
    <s v="P078387C1S1"/>
    <x v="0"/>
    <n v="2004"/>
    <x v="1"/>
    <s v=""/>
    <n v="110"/>
    <n v="55.73"/>
    <s v="USD"/>
    <n v="55.73"/>
    <n v="0.50663636363636366"/>
    <s v=""/>
    <s v=""/>
    <s v=""/>
    <s v=""/>
    <s v=""/>
    <m/>
  </r>
  <r>
    <s v="Tanzania"/>
    <s v="Sub-Saharan Africa"/>
    <s v="P078387"/>
    <s v="C1"/>
    <s v="S1"/>
    <s v="P078387C1S1"/>
    <x v="1"/>
    <n v="2010"/>
    <x v="1"/>
    <s v=""/>
    <n v="115.4"/>
    <n v="55.01"/>
    <s v="USD"/>
    <n v="55.01"/>
    <n v="0.47668977469670709"/>
    <s v=""/>
    <s v=""/>
    <s v=""/>
    <s v=""/>
    <s v=""/>
    <m/>
  </r>
  <r>
    <s v="Tanzania"/>
    <s v="Sub-Saharan Africa"/>
    <s v="P078387"/>
    <s v="C1"/>
    <s v="S1"/>
    <s v="P078387C1S1"/>
    <x v="2"/>
    <s v="2004 / 2010"/>
    <x v="1"/>
    <s v=""/>
    <n v="1.0490909090909091"/>
    <m/>
    <m/>
    <n v="0.9870805670195586"/>
    <n v="0.94089135504463983"/>
    <s v=""/>
    <s v=""/>
    <s v=""/>
    <s v=""/>
    <s v=""/>
    <s v=""/>
  </r>
  <r>
    <s v="Tanzania"/>
    <s v="Sub-Saharan Africa"/>
    <s v="P078387"/>
    <s v="C1"/>
    <s v="S2"/>
    <s v="P078387C1S2"/>
    <x v="0"/>
    <n v="2004"/>
    <x v="1"/>
    <n v="18"/>
    <n v="57"/>
    <n v="14.3"/>
    <s v="USD"/>
    <n v="14.3"/>
    <n v="0.25087719298245614"/>
    <s v=""/>
    <s v=""/>
    <s v=""/>
    <s v=""/>
    <s v=""/>
    <m/>
  </r>
  <r>
    <s v="Tanzania"/>
    <s v="Sub-Saharan Africa"/>
    <s v="P078387"/>
    <s v="C1"/>
    <s v="S2"/>
    <s v="P078387C1S2"/>
    <x v="1"/>
    <n v="2010"/>
    <x v="1"/>
    <n v="36"/>
    <n v="56"/>
    <n v="16.28"/>
    <s v="USD"/>
    <n v="16.28"/>
    <n v="0.29071428571428576"/>
    <s v=""/>
    <s v=""/>
    <s v=""/>
    <s v=""/>
    <s v=""/>
    <m/>
  </r>
  <r>
    <s v="Tanzania"/>
    <s v="Sub-Saharan Africa"/>
    <s v="P078387"/>
    <s v="C1"/>
    <s v="S2"/>
    <s v="P078387C1S2"/>
    <x v="2"/>
    <s v="2004 / 2010"/>
    <x v="1"/>
    <n v="2"/>
    <n v="0.98245614035087714"/>
    <m/>
    <m/>
    <n v="1.1384615384615384"/>
    <n v="1.1587912087912089"/>
    <s v=""/>
    <s v=""/>
    <s v=""/>
    <s v=""/>
    <s v=""/>
    <s v=""/>
  </r>
  <r>
    <s v="Thailand"/>
    <s v="East Asia and Pacific"/>
    <s v="P075173"/>
    <s v="C2"/>
    <s v=""/>
    <s v="P075173C2"/>
    <x v="0"/>
    <n v="2003"/>
    <x v="9"/>
    <n v="24"/>
    <n v="73"/>
    <n v="50.32"/>
    <s v="USD"/>
    <n v="50.32"/>
    <n v="0.68931506849315072"/>
    <s v=""/>
    <s v=""/>
    <s v=""/>
    <s v=""/>
    <s v=""/>
    <m/>
  </r>
  <r>
    <s v="Thailand"/>
    <s v="East Asia and Pacific"/>
    <s v="P075173"/>
    <s v="C2"/>
    <s v=""/>
    <s v="P075173C2"/>
    <x v="1"/>
    <n v="2013"/>
    <x v="9"/>
    <n v="24"/>
    <n v="86.27"/>
    <n v="40.54"/>
    <s v="USD"/>
    <n v="40.54"/>
    <n v="0.46992001854642401"/>
    <s v=""/>
    <s v=""/>
    <s v=""/>
    <s v=""/>
    <s v=""/>
    <m/>
  </r>
  <r>
    <s v="Thailand"/>
    <s v="East Asia and Pacific"/>
    <s v="P075173"/>
    <s v="C2"/>
    <s v=""/>
    <s v="P075173C2"/>
    <x v="2"/>
    <s v="2003 / 2013"/>
    <x v="9"/>
    <n v="1"/>
    <n v="1.1817808219178081"/>
    <n v="0.80564387917329094"/>
    <m/>
    <n v="0.80564387917329094"/>
    <n v="0.68172021768459756"/>
    <s v=""/>
    <s v=""/>
    <s v=""/>
    <s v=""/>
    <s v=""/>
    <s v=""/>
  </r>
  <r>
    <s v="Uganda"/>
    <s v="Sub-Saharan Africa"/>
    <s v="P074079"/>
    <s v="C1"/>
    <s v="S1"/>
    <s v="P074079C1S1"/>
    <x v="0"/>
    <n v="2004"/>
    <x v="1"/>
    <s v=""/>
    <n v="125"/>
    <n v="47"/>
    <s v="USD"/>
    <n v="47"/>
    <n v="0.376"/>
    <s v=""/>
    <s v=""/>
    <s v=""/>
    <s v="x"/>
    <s v="x"/>
    <m/>
  </r>
  <r>
    <s v="Uganda"/>
    <s v="Sub-Saharan Africa"/>
    <s v="P074079"/>
    <s v="C1"/>
    <s v="S1"/>
    <s v="P074079C1S1"/>
    <x v="1"/>
    <n v="2012"/>
    <x v="1"/>
    <n v="34"/>
    <n v="123"/>
    <n v="103.51"/>
    <s v="USD"/>
    <n v="103.51"/>
    <n v="0.84154471544715448"/>
    <s v=""/>
    <s v=""/>
    <s v=""/>
    <s v="x"/>
    <s v="x"/>
    <m/>
  </r>
  <r>
    <s v="Uganda"/>
    <s v="Sub-Saharan Africa"/>
    <s v="P074079"/>
    <s v="C1"/>
    <s v="S1"/>
    <s v="P074079C1S1"/>
    <x v="2"/>
    <s v="2004 / 2012"/>
    <x v="1"/>
    <s v=""/>
    <n v="0.98399999999999999"/>
    <n v="2.202340425531915"/>
    <m/>
    <n v="2.202340425531915"/>
    <n v="2.2381508389551983"/>
    <s v=""/>
    <s v=""/>
    <s v=""/>
    <s v="x"/>
    <s v="x"/>
    <s v="Macroeconomic conditions; Political events  ; Quality of estimates "/>
  </r>
  <r>
    <s v="Uganda"/>
    <s v="Sub-Saharan Africa"/>
    <s v="P074079"/>
    <s v="C1"/>
    <s v="S2"/>
    <s v="P074079C1S2"/>
    <x v="0"/>
    <n v="2004"/>
    <x v="1"/>
    <s v=""/>
    <n v="68"/>
    <n v="31.18"/>
    <s v="USD"/>
    <n v="31.18"/>
    <n v="0.45852941176470585"/>
    <s v="x"/>
    <s v=""/>
    <s v=""/>
    <s v="x"/>
    <s v="x"/>
    <m/>
  </r>
  <r>
    <s v="Uganda"/>
    <s v="Sub-Saharan Africa"/>
    <s v="P074079"/>
    <s v="C1"/>
    <s v="S2"/>
    <s v="P074079C1S2"/>
    <x v="1"/>
    <n v="2012"/>
    <x v="1"/>
    <n v="39"/>
    <n v="15"/>
    <n v="57.72"/>
    <s v="USD"/>
    <n v="57.72"/>
    <n v="3.8479999999999999"/>
    <s v="x"/>
    <s v=""/>
    <s v=""/>
    <s v="x"/>
    <s v="x"/>
    <m/>
  </r>
  <r>
    <s v="Uganda"/>
    <s v="Sub-Saharan Africa"/>
    <s v="P074079"/>
    <s v="C1"/>
    <s v="S2"/>
    <s v="P074079C1S2"/>
    <x v="2"/>
    <s v="2004 / 2012"/>
    <x v="1"/>
    <s v=""/>
    <n v="0.22058823529411764"/>
    <n v="1.8511866581141758"/>
    <m/>
    <n v="1.8511866581141758"/>
    <n v="8.3920461834509297"/>
    <s v="x"/>
    <s v=""/>
    <s v=""/>
    <s v="x"/>
    <s v="x"/>
    <s v="Macroeconomic conditions; Political events  ; Quality of estimates "/>
  </r>
  <r>
    <s v="Uganda"/>
    <s v="Sub-Saharan Africa"/>
    <s v="P065436"/>
    <s v="C1"/>
    <s v=""/>
    <s v="P065436C1"/>
    <x v="0"/>
    <n v="2001"/>
    <x v="0"/>
    <s v=""/>
    <n v="271"/>
    <n v="72.47"/>
    <s v="USD"/>
    <n v="72.47"/>
    <n v="0.26741697416974169"/>
    <s v=""/>
    <s v=""/>
    <s v=""/>
    <s v=""/>
    <s v=""/>
    <m/>
  </r>
  <r>
    <s v="Uganda"/>
    <s v="Sub-Saharan Africa"/>
    <s v="P065436"/>
    <s v="C1"/>
    <s v=""/>
    <s v="P065436C1"/>
    <x v="1"/>
    <n v="2009"/>
    <x v="0"/>
    <s v=""/>
    <n v="271"/>
    <n v="84.63"/>
    <s v="USD"/>
    <n v="84.63"/>
    <n v="0.31228782287822876"/>
    <s v=""/>
    <s v=""/>
    <s v=""/>
    <s v=""/>
    <s v=""/>
    <m/>
  </r>
  <r>
    <s v="Uganda"/>
    <s v="Sub-Saharan Africa"/>
    <s v="P065436"/>
    <s v="C1"/>
    <s v=""/>
    <s v="P065436C1"/>
    <x v="2"/>
    <s v="2001 / 2009"/>
    <x v="0"/>
    <s v=""/>
    <n v="1"/>
    <m/>
    <m/>
    <n v="1.1677935697530013"/>
    <n v="1.1677935697530011"/>
    <s v=""/>
    <s v=""/>
    <s v=""/>
    <s v=""/>
    <s v=""/>
    <s v=""/>
  </r>
  <r>
    <s v="Uganda"/>
    <s v="Sub-Saharan Africa"/>
    <s v="P065436"/>
    <s v="C1"/>
    <s v="S1"/>
    <s v="P065436C1S1"/>
    <x v="0"/>
    <n v="2001"/>
    <x v="1"/>
    <n v="36"/>
    <n v="62.5"/>
    <n v="14.2"/>
    <s v="USD"/>
    <n v="14.2"/>
    <n v="0.22719999999999999"/>
    <s v=""/>
    <s v=""/>
    <s v=""/>
    <s v=""/>
    <s v=""/>
    <m/>
  </r>
  <r>
    <s v="Uganda"/>
    <s v="Sub-Saharan Africa"/>
    <s v="P065436"/>
    <s v="C1"/>
    <s v="S1"/>
    <s v="P065436C1S1"/>
    <x v="1"/>
    <n v="2009"/>
    <x v="1"/>
    <n v="40"/>
    <n v="62.5"/>
    <n v="17.53"/>
    <s v="USD"/>
    <n v="17.53"/>
    <n v="0.28048000000000001"/>
    <s v=""/>
    <s v=""/>
    <s v=""/>
    <s v=""/>
    <s v=""/>
    <m/>
  </r>
  <r>
    <s v="Uganda"/>
    <s v="Sub-Saharan Africa"/>
    <s v="P065436"/>
    <s v="C1"/>
    <s v="S1"/>
    <s v="P065436C1S1"/>
    <x v="2"/>
    <s v="2001 / 2009"/>
    <x v="1"/>
    <n v="1.1111111111111112"/>
    <n v="1"/>
    <m/>
    <m/>
    <n v="1.2345070422535214"/>
    <n v="1.2345070422535211"/>
    <s v=""/>
    <s v=""/>
    <s v=""/>
    <s v=""/>
    <s v=""/>
    <s v=""/>
  </r>
  <r>
    <s v="Uganda"/>
    <s v="Sub-Saharan Africa"/>
    <s v="P065436"/>
    <s v="C1"/>
    <s v="S2"/>
    <s v="P065436C1S2"/>
    <x v="0"/>
    <n v="2001"/>
    <x v="1"/>
    <n v="36"/>
    <n v="45.55"/>
    <n v="16.73"/>
    <s v="USD"/>
    <n v="16.73"/>
    <n v="0.36728869374313944"/>
    <s v=""/>
    <s v=""/>
    <s v=""/>
    <s v=""/>
    <s v=""/>
    <m/>
  </r>
  <r>
    <s v="Uganda"/>
    <s v="Sub-Saharan Africa"/>
    <s v="P065436"/>
    <s v="C1"/>
    <s v="S2"/>
    <s v="P065436C1S2"/>
    <x v="1"/>
    <n v="2009"/>
    <x v="1"/>
    <n v="32"/>
    <n v="45.55"/>
    <n v="18.48"/>
    <s v="USD"/>
    <n v="18.48"/>
    <n v="0.40570801317233812"/>
    <s v=""/>
    <s v=""/>
    <s v=""/>
    <s v=""/>
    <s v=""/>
    <m/>
  </r>
  <r>
    <s v="Uganda"/>
    <s v="Sub-Saharan Africa"/>
    <s v="P065436"/>
    <s v="C1"/>
    <s v="S2"/>
    <s v="P065436C1S2"/>
    <x v="2"/>
    <s v="2001 / 2009"/>
    <x v="1"/>
    <n v="0.88888888888888884"/>
    <n v="1"/>
    <m/>
    <m/>
    <n v="1.104602510460251"/>
    <n v="1.104602510460251"/>
    <s v=""/>
    <s v=""/>
    <s v=""/>
    <s v=""/>
    <s v=""/>
    <s v=""/>
  </r>
  <r>
    <s v="Uganda"/>
    <s v="Sub-Saharan Africa"/>
    <s v="P065436"/>
    <s v="C1"/>
    <s v="S3"/>
    <s v="P065436C1S3"/>
    <x v="0"/>
    <n v="2001"/>
    <x v="0"/>
    <n v="24"/>
    <n v="55.2"/>
    <n v="13.14"/>
    <s v="USD"/>
    <n v="13.14"/>
    <n v="0.23804347826086955"/>
    <s v=""/>
    <s v=""/>
    <s v=""/>
    <s v=""/>
    <s v=""/>
    <m/>
  </r>
  <r>
    <s v="Uganda"/>
    <s v="Sub-Saharan Africa"/>
    <s v="P065436"/>
    <s v="C1"/>
    <s v="S3"/>
    <s v="P065436C1S3"/>
    <x v="1"/>
    <n v="2009"/>
    <x v="0"/>
    <n v="48"/>
    <n v="55.2"/>
    <n v="15.84"/>
    <s v="USD"/>
    <n v="15.84"/>
    <n v="0.28695652173913044"/>
    <s v=""/>
    <s v=""/>
    <s v=""/>
    <s v=""/>
    <s v=""/>
    <m/>
  </r>
  <r>
    <s v="Uganda"/>
    <s v="Sub-Saharan Africa"/>
    <s v="P065436"/>
    <s v="C1"/>
    <s v="S3"/>
    <s v="P065436C1S3"/>
    <x v="2"/>
    <s v="2001 / 2009"/>
    <x v="0"/>
    <n v="2"/>
    <n v="1"/>
    <m/>
    <m/>
    <n v="1.2054794520547945"/>
    <n v="1.2054794520547947"/>
    <s v=""/>
    <s v=""/>
    <s v=""/>
    <s v=""/>
    <s v=""/>
    <s v=""/>
  </r>
  <r>
    <s v="Uganda"/>
    <s v="Sub-Saharan Africa"/>
    <s v="P065436"/>
    <s v="C1"/>
    <s v="S4"/>
    <s v="P065436C1S4"/>
    <x v="0"/>
    <n v="2001"/>
    <x v="0"/>
    <n v="24"/>
    <n v="53"/>
    <n v="13.15"/>
    <s v="USD"/>
    <n v="13.15"/>
    <n v="0.24811320754716981"/>
    <s v=""/>
    <s v=""/>
    <s v=""/>
    <s v=""/>
    <s v=""/>
    <m/>
  </r>
  <r>
    <s v="Uganda"/>
    <s v="Sub-Saharan Africa"/>
    <s v="P065436"/>
    <s v="C1"/>
    <s v="S4"/>
    <s v="P065436C1S4"/>
    <x v="1"/>
    <n v="2009"/>
    <x v="0"/>
    <n v="33"/>
    <n v="53"/>
    <n v="16.86"/>
    <s v="USD"/>
    <n v="16.86"/>
    <n v="0.31811320754716982"/>
    <s v=""/>
    <s v=""/>
    <s v=""/>
    <s v=""/>
    <s v=""/>
    <m/>
  </r>
  <r>
    <s v="Uganda"/>
    <s v="Sub-Saharan Africa"/>
    <s v="P065436"/>
    <s v="C1"/>
    <s v="S4"/>
    <s v="P065436C1S4"/>
    <x v="2"/>
    <s v="2001 / 2009"/>
    <x v="0"/>
    <n v="1.375"/>
    <n v="1"/>
    <m/>
    <m/>
    <n v="1.2821292775665398"/>
    <n v="1.28212927756654"/>
    <s v=""/>
    <s v=""/>
    <s v=""/>
    <s v=""/>
    <s v=""/>
    <s v=""/>
  </r>
  <r>
    <s v="Ukraine "/>
    <s v="Europe and Central Asia"/>
    <s v="P100580"/>
    <s v="C1"/>
    <s v=""/>
    <s v="P100580C1"/>
    <x v="0"/>
    <n v="2009"/>
    <x v="2"/>
    <n v="25"/>
    <n v="120"/>
    <n v="1728.32"/>
    <s v="UAH"/>
    <n v="224.45714285714286"/>
    <n v="1.8704761904761904"/>
    <s v=""/>
    <s v=""/>
    <s v=""/>
    <s v=""/>
    <s v=""/>
    <m/>
  </r>
  <r>
    <s v="Ukraine "/>
    <s v="Europe and Central Asia"/>
    <s v="P100580"/>
    <s v="C1"/>
    <s v=""/>
    <s v="P100580C1"/>
    <x v="1"/>
    <n v="2015"/>
    <x v="2"/>
    <n v="31"/>
    <n v="150.6"/>
    <n v="2579"/>
    <s v="UAH"/>
    <n v="171.24833997343956"/>
    <n v="1.1371071711383769"/>
    <s v=""/>
    <s v=""/>
    <s v=""/>
    <s v=""/>
    <s v=""/>
    <m/>
  </r>
  <r>
    <s v="Ukraine "/>
    <s v="Europe and Central Asia"/>
    <s v="P100580"/>
    <s v="C1"/>
    <s v=""/>
    <s v="P100580C1"/>
    <x v="2"/>
    <s v="2009 / 2015"/>
    <x v="2"/>
    <n v="1.24"/>
    <n v="1.2549999999999999"/>
    <n v="1.4922005184225144"/>
    <m/>
    <n v="0.76294448817087379"/>
    <n v="0.6079238949568716"/>
    <s v=""/>
    <s v=""/>
    <s v=""/>
    <s v=""/>
    <s v=""/>
    <s v=""/>
  </r>
  <r>
    <s v="Uruguay"/>
    <s v="Latin America and Caribbean"/>
    <s v="P057481"/>
    <s v=""/>
    <s v=""/>
    <s v="P057481"/>
    <x v="0"/>
    <n v="2005"/>
    <x v="4"/>
    <n v="24"/>
    <n v="9000"/>
    <n v="20"/>
    <s v="USD"/>
    <n v="20"/>
    <n v="2.2222222222222222E-3"/>
    <s v=""/>
    <s v=""/>
    <s v=""/>
    <s v=""/>
    <s v=""/>
    <m/>
  </r>
  <r>
    <s v="Uruguay"/>
    <s v="Latin America and Caribbean"/>
    <s v="P057481"/>
    <s v=""/>
    <s v=""/>
    <s v="P057481"/>
    <x v="1"/>
    <n v="2012"/>
    <x v="4"/>
    <n v="24"/>
    <n v="9000"/>
    <n v="26.914285714285715"/>
    <s v="USD"/>
    <n v="26.914285714285715"/>
    <n v="2.9904761904761905E-3"/>
    <s v=""/>
    <s v=""/>
    <s v=""/>
    <s v=""/>
    <s v=""/>
    <m/>
  </r>
  <r>
    <s v="Uruguay"/>
    <s v="Latin America and Caribbean"/>
    <s v="P057481"/>
    <s v=""/>
    <s v=""/>
    <s v="P057481"/>
    <x v="2"/>
    <s v="2005 / 2012"/>
    <x v="4"/>
    <n v="1"/>
    <n v="1"/>
    <m/>
    <m/>
    <n v="1.3457142857142856"/>
    <n v="1.3457142857142856"/>
    <s v=""/>
    <s v=""/>
    <s v=""/>
    <s v=""/>
    <s v=""/>
    <s v=""/>
  </r>
  <r>
    <s v="Uruguay"/>
    <s v="Latin America and Caribbean"/>
    <s v="P057481"/>
    <s v="C1"/>
    <s v="S1"/>
    <s v="P057481C1S1"/>
    <x v="0"/>
    <n v="2007"/>
    <x v="2"/>
    <s v=""/>
    <n v="15"/>
    <n v="3.5920000000000001"/>
    <s v="USD"/>
    <n v="3.5920000000000001"/>
    <n v="0.23946666666666666"/>
    <s v=""/>
    <s v=""/>
    <s v=""/>
    <s v="x"/>
    <s v="x"/>
    <m/>
  </r>
  <r>
    <s v="Uruguay"/>
    <s v="Latin America and Caribbean"/>
    <s v="P057481"/>
    <s v="C1"/>
    <s v="S1"/>
    <s v="P057481C1S1"/>
    <x v="1"/>
    <n v="2012"/>
    <x v="2"/>
    <s v=""/>
    <n v="15"/>
    <n v="5.69"/>
    <s v="USD"/>
    <n v="5.69"/>
    <n v="0.37933333333333336"/>
    <s v=""/>
    <s v=""/>
    <s v=""/>
    <s v="x"/>
    <s v="x"/>
    <m/>
  </r>
  <r>
    <s v="Uruguay"/>
    <s v="Latin America and Caribbean"/>
    <s v="P057481"/>
    <s v="C1"/>
    <s v="S1"/>
    <s v="P057481C1S1"/>
    <x v="2"/>
    <s v="2007 / 2012"/>
    <x v="2"/>
    <s v=""/>
    <n v="1"/>
    <m/>
    <m/>
    <n v="1.584075723830735"/>
    <n v="1.584075723830735"/>
    <s v=""/>
    <s v=""/>
    <s v=""/>
    <s v="x"/>
    <s v="x"/>
    <s v="Quality of estimates; ; "/>
  </r>
  <r>
    <s v="Uruguay"/>
    <s v="Latin America and Caribbean"/>
    <s v="P057481"/>
    <s v="C1"/>
    <s v="S2"/>
    <s v="P057481C1S2"/>
    <x v="0"/>
    <n v="2007"/>
    <x v="2"/>
    <s v=""/>
    <n v="12.5"/>
    <n v="2.4"/>
    <s v="USD"/>
    <n v="2.4"/>
    <n v="0.192"/>
    <s v=""/>
    <s v=""/>
    <s v=""/>
    <s v=""/>
    <s v=""/>
    <m/>
  </r>
  <r>
    <s v="Uruguay"/>
    <s v="Latin America and Caribbean"/>
    <s v="P057481"/>
    <s v="C1"/>
    <s v="S2"/>
    <s v="P057481C1S2"/>
    <x v="1"/>
    <n v="2012"/>
    <x v="2"/>
    <s v=""/>
    <n v="12.5"/>
    <n v="3.5"/>
    <s v="USD"/>
    <n v="3.5"/>
    <n v="0.28000000000000003"/>
    <s v=""/>
    <s v=""/>
    <s v=""/>
    <s v=""/>
    <s v=""/>
    <m/>
  </r>
  <r>
    <s v="Uruguay"/>
    <s v="Latin America and Caribbean"/>
    <s v="P057481"/>
    <s v="C1"/>
    <s v="S2"/>
    <s v="P057481C1S2"/>
    <x v="2"/>
    <s v="2007 / 2012"/>
    <x v="2"/>
    <s v=""/>
    <n v="1"/>
    <m/>
    <m/>
    <n v="1.4583333333333335"/>
    <n v="1.4583333333333335"/>
    <s v=""/>
    <s v=""/>
    <s v=""/>
    <s v=""/>
    <s v=""/>
    <s v=""/>
  </r>
  <r>
    <s v="Uruguay"/>
    <s v="Latin America and Caribbean"/>
    <s v="P057481"/>
    <s v="C1"/>
    <s v="S3"/>
    <s v="P057481C1S3"/>
    <x v="0"/>
    <n v="2007"/>
    <x v="2"/>
    <s v=""/>
    <n v="22"/>
    <n v="3.74"/>
    <s v="USD"/>
    <n v="3.74"/>
    <n v="0.17"/>
    <s v=""/>
    <s v=""/>
    <s v=""/>
    <s v="x"/>
    <s v="x"/>
    <m/>
  </r>
  <r>
    <s v="Uruguay"/>
    <s v="Latin America and Caribbean"/>
    <s v="P057481"/>
    <s v="C1"/>
    <s v="S3"/>
    <s v="P057481C1S3"/>
    <x v="1"/>
    <n v="2012"/>
    <x v="2"/>
    <s v=""/>
    <n v="22"/>
    <n v="13.257"/>
    <s v="USD"/>
    <n v="13.257"/>
    <n v="0.60259090909090907"/>
    <s v=""/>
    <s v=""/>
    <s v=""/>
    <s v="x"/>
    <s v="x"/>
    <m/>
  </r>
  <r>
    <s v="Uruguay"/>
    <s v="Latin America and Caribbean"/>
    <s v="P057481"/>
    <s v="C1"/>
    <s v="S3"/>
    <s v="P057481C1S3"/>
    <x v="2"/>
    <s v="2007 / 2012"/>
    <x v="2"/>
    <s v=""/>
    <n v="1"/>
    <m/>
    <m/>
    <n v="3.5446524064171121"/>
    <n v="3.5446524064171121"/>
    <s v=""/>
    <s v=""/>
    <s v=""/>
    <s v="x"/>
    <s v="x"/>
    <s v="Change of project scope; Quality of estimates; "/>
  </r>
  <r>
    <s v="Vietnam"/>
    <s v="East Asia and Pacific"/>
    <s v="P042927"/>
    <s v="C1"/>
    <s v=""/>
    <s v="P042927C1"/>
    <x v="0"/>
    <n v="2000"/>
    <x v="9"/>
    <n v="52"/>
    <n v="180"/>
    <n v="76.209999999999994"/>
    <s v="USD"/>
    <n v="76.209999999999994"/>
    <n v="0.42338888888888887"/>
    <s v=""/>
    <s v=""/>
    <s v=""/>
    <s v="x"/>
    <s v="x"/>
    <m/>
  </r>
  <r>
    <s v="Vietnam"/>
    <s v="East Asia and Pacific"/>
    <s v="P042927"/>
    <s v="C1"/>
    <s v=""/>
    <s v="P042927C1"/>
    <x v="1"/>
    <n v="2011"/>
    <x v="9"/>
    <n v="60"/>
    <n v="180"/>
    <n v="130.93"/>
    <s v="USD"/>
    <n v="130.93"/>
    <n v="0.72738888888888897"/>
    <s v=""/>
    <s v=""/>
    <s v=""/>
    <s v="x"/>
    <s v="x"/>
    <m/>
  </r>
  <r>
    <s v="Vietnam"/>
    <s v="East Asia and Pacific"/>
    <s v="P042927"/>
    <s v="C1"/>
    <s v=""/>
    <s v="P042927C1"/>
    <x v="2"/>
    <s v="2000 / 2011"/>
    <x v="9"/>
    <n v="1.1538461538461537"/>
    <n v="1"/>
    <n v="1.7180160083978482"/>
    <m/>
    <n v="1.7180160083978482"/>
    <n v="1.7180160083978484"/>
    <s v=""/>
    <s v=""/>
    <s v=""/>
    <s v="x"/>
    <s v="x"/>
    <s v="Capacity of counterpart; Macroeconomic conditions  ; "/>
  </r>
  <r>
    <s v="Vietnam"/>
    <s v="East Asia and Pacific"/>
    <s v="P075407"/>
    <s v="C1"/>
    <s v=""/>
    <s v="P075407C1"/>
    <x v="0"/>
    <n v="2006"/>
    <x v="6"/>
    <s v=""/>
    <n v="3150"/>
    <n v="127.47"/>
    <s v="USD"/>
    <n v="127.47"/>
    <n v="4.0466666666666665E-2"/>
    <s v=""/>
    <s v=""/>
    <s v=""/>
    <s v="x"/>
    <s v="x"/>
    <m/>
  </r>
  <r>
    <s v="Vietnam"/>
    <s v="East Asia and Pacific"/>
    <s v="P075407"/>
    <s v="C1"/>
    <s v=""/>
    <s v="P075407C1"/>
    <x v="1"/>
    <n v="2014"/>
    <x v="6"/>
    <s v=""/>
    <n v="3283"/>
    <n v="244.07"/>
    <s v="USD"/>
    <n v="244.07"/>
    <n v="7.434358818154127E-2"/>
    <s v=""/>
    <s v=""/>
    <s v=""/>
    <s v="x"/>
    <s v="x"/>
    <m/>
  </r>
  <r>
    <s v="Vietnam"/>
    <s v="East Asia and Pacific"/>
    <s v="P075407"/>
    <s v="C1"/>
    <s v=""/>
    <s v="P075407C1"/>
    <x v="2"/>
    <s v="2006 / 2014"/>
    <x v="6"/>
    <s v=""/>
    <n v="1.0422222222222222"/>
    <n v="1.9147250333411783"/>
    <m/>
    <n v="1.9147250333411783"/>
    <n v="1.8371562153593395"/>
    <s v=""/>
    <s v=""/>
    <s v=""/>
    <s v="x"/>
    <s v="x"/>
    <s v="Macroeconomic conditions ; Change of project scope ; Quality of estimates "/>
  </r>
  <r>
    <s v="Vietnam"/>
    <s v="East Asia and Pacific"/>
    <s v="P075407"/>
    <s v="C2"/>
    <s v=""/>
    <s v="P075407C2"/>
    <x v="0"/>
    <n v="2006"/>
    <x v="4"/>
    <n v="30"/>
    <n v="12000"/>
    <n v="12.38"/>
    <s v="USD"/>
    <n v="12.38"/>
    <n v="1.0316666666666666E-3"/>
    <s v=""/>
    <s v="x"/>
    <s v=""/>
    <s v="x"/>
    <s v="x"/>
    <m/>
  </r>
  <r>
    <s v="Vietnam"/>
    <s v="East Asia and Pacific"/>
    <s v="P075407"/>
    <s v="C2"/>
    <s v=""/>
    <s v="P075407C2"/>
    <x v="1"/>
    <n v="2014"/>
    <x v="4"/>
    <n v="30"/>
    <n v="19902"/>
    <n v="39.39"/>
    <s v="USD"/>
    <n v="39.39"/>
    <n v="1.9791980705456736E-3"/>
    <s v=""/>
    <s v="x"/>
    <s v=""/>
    <s v="x"/>
    <s v="x"/>
    <m/>
  </r>
  <r>
    <s v="Vietnam"/>
    <s v="East Asia and Pacific"/>
    <s v="P075407"/>
    <s v="C2"/>
    <s v=""/>
    <s v="P075407C2"/>
    <x v="2"/>
    <s v="2006 / 2014"/>
    <x v="4"/>
    <n v="1"/>
    <n v="1.6585000000000001"/>
    <n v="3.1817447495961226"/>
    <m/>
    <n v="3.1817447495961226"/>
    <n v="1.9184472412397484"/>
    <s v=""/>
    <s v="x"/>
    <s v=""/>
    <s v="x"/>
    <s v="x"/>
    <s v="Macroeconomic conditions ; Change of project scope; Quality of estimates"/>
  </r>
  <r>
    <s v="Vietnam"/>
    <s v="East Asia and Pacific"/>
    <s v="P083588 "/>
    <s v="C1"/>
    <s v=""/>
    <s v="P083588 C1"/>
    <x v="0"/>
    <n v="2007"/>
    <x v="11"/>
    <n v="36"/>
    <n v="98"/>
    <n v="74.58"/>
    <s v="USD"/>
    <n v="74.58"/>
    <n v="0.76102040816326533"/>
    <s v=""/>
    <s v=""/>
    <s v=""/>
    <s v="x"/>
    <s v="x"/>
    <m/>
  </r>
  <r>
    <s v="Vietnam"/>
    <s v="East Asia and Pacific"/>
    <s v="P083588 "/>
    <s v="C1"/>
    <s v=""/>
    <s v="P083588 C1"/>
    <x v="1"/>
    <n v="2017"/>
    <x v="11"/>
    <n v="79"/>
    <n v="61"/>
    <n v="75.5"/>
    <s v="USD"/>
    <n v="75.5"/>
    <n v="1.2377049180327868"/>
    <s v=""/>
    <s v=""/>
    <s v=""/>
    <s v="x"/>
    <s v="x"/>
    <m/>
  </r>
  <r>
    <s v="Vietnam"/>
    <s v="East Asia and Pacific"/>
    <s v="P083588 "/>
    <s v="C1"/>
    <s v=""/>
    <s v="P083588 C1"/>
    <x v="2"/>
    <s v="2007 / 2017"/>
    <x v="11"/>
    <n v="2.1944444444444446"/>
    <n v="0.62244897959183676"/>
    <n v="1.0123357468490213"/>
    <m/>
    <n v="1.0123357468490213"/>
    <n v="1.6263754621508864"/>
    <s v=""/>
    <s v=""/>
    <s v=""/>
    <s v="x"/>
    <s v="x"/>
    <s v="Macroeconomic conditions; Capacity of Counterpart ; "/>
  </r>
  <r>
    <s v="Vietnam"/>
    <s v="East Asia and Pacific"/>
    <s v="P059663"/>
    <s v="C1"/>
    <s v="S1"/>
    <s v="P059663C1S1"/>
    <x v="0"/>
    <n v="2003"/>
    <x v="5"/>
    <n v="28"/>
    <n v="1100"/>
    <n v="97.2"/>
    <s v="USD"/>
    <n v="97.2"/>
    <n v="8.8363636363636366E-2"/>
    <s v=""/>
    <s v=""/>
    <s v=""/>
    <s v=""/>
    <s v=""/>
    <m/>
  </r>
  <r>
    <s v="Vietnam"/>
    <s v="East Asia and Pacific"/>
    <s v="P059663"/>
    <s v="C1"/>
    <s v="S1"/>
    <s v="P059663C1S1"/>
    <x v="1"/>
    <n v="2012"/>
    <x v="5"/>
    <n v="36.4"/>
    <n v="842"/>
    <n v="90.48"/>
    <s v="USD"/>
    <n v="90.48"/>
    <n v="0.10745843230403801"/>
    <s v=""/>
    <s v=""/>
    <s v=""/>
    <s v=""/>
    <s v=""/>
    <m/>
  </r>
  <r>
    <s v="Vietnam"/>
    <s v="East Asia and Pacific"/>
    <s v="P059663"/>
    <s v="C1"/>
    <s v="S1"/>
    <s v="P059663C1S1"/>
    <x v="2"/>
    <s v="2003 / 2012"/>
    <x v="5"/>
    <n v="1.3"/>
    <n v="0.7654545454545455"/>
    <m/>
    <m/>
    <n v="0.93086419753086425"/>
    <n v="1.2160933696959033"/>
    <s v=""/>
    <s v=""/>
    <s v=""/>
    <s v=""/>
    <s v=""/>
    <s v=""/>
  </r>
  <r>
    <s v="Vietnam"/>
    <s v="East Asia and Pacific"/>
    <s v="P059663"/>
    <s v="C1"/>
    <s v="S2"/>
    <s v="P059663C1S2"/>
    <x v="0"/>
    <n v="2003"/>
    <x v="5"/>
    <n v="16"/>
    <n v="430"/>
    <n v="7"/>
    <s v="USD"/>
    <n v="7"/>
    <n v="1.627906976744186E-2"/>
    <s v=""/>
    <s v=""/>
    <s v=""/>
    <s v="x"/>
    <s v="x"/>
    <m/>
  </r>
  <r>
    <s v="Vietnam"/>
    <s v="East Asia and Pacific"/>
    <s v="P059663"/>
    <s v="C1"/>
    <s v="S2"/>
    <s v="P059663C1S2"/>
    <x v="1"/>
    <n v="2012"/>
    <x v="5"/>
    <n v="36"/>
    <n v="302"/>
    <n v="23.55"/>
    <s v="USD"/>
    <n v="23.55"/>
    <n v="7.7980132450331127E-2"/>
    <s v=""/>
    <s v=""/>
    <s v=""/>
    <s v="x"/>
    <s v="x"/>
    <m/>
  </r>
  <r>
    <s v="Vietnam"/>
    <s v="East Asia and Pacific"/>
    <s v="P059663"/>
    <s v="C1"/>
    <s v="S2"/>
    <s v="P059663C1S2"/>
    <x v="2"/>
    <s v="2003 / 2012"/>
    <x v="5"/>
    <n v="2.25"/>
    <n v="0.70232558139534884"/>
    <m/>
    <m/>
    <n v="3.3642857142857143"/>
    <n v="4.790208136234626"/>
    <s v=""/>
    <s v=""/>
    <s v=""/>
    <s v="x"/>
    <s v="x"/>
    <s v="Macroeconomic conditions; Procurement system; "/>
  </r>
  <r>
    <s v="Vietnam"/>
    <s v="East Asia and Pacific"/>
    <s v="P059663"/>
    <s v="C2"/>
    <s v=""/>
    <s v="P059663C2"/>
    <x v="0"/>
    <n v="2003"/>
    <x v="11"/>
    <n v="40"/>
    <n v="600"/>
    <n v="144.93"/>
    <s v="USD"/>
    <n v="144.93"/>
    <n v="0.24155000000000001"/>
    <s v="x"/>
    <s v=""/>
    <s v=""/>
    <s v="x"/>
    <s v="x"/>
    <m/>
  </r>
  <r>
    <s v="Vietnam"/>
    <s v="East Asia and Pacific"/>
    <s v="P059663"/>
    <s v="C2"/>
    <s v=""/>
    <s v="P059663C2"/>
    <x v="1"/>
    <n v="2012"/>
    <x v="11"/>
    <n v="64"/>
    <n v="265"/>
    <n v="212.74"/>
    <s v="USD"/>
    <n v="212.74"/>
    <n v="0.80279245283018874"/>
    <s v="x"/>
    <s v=""/>
    <s v=""/>
    <s v="x"/>
    <s v="x"/>
    <m/>
  </r>
  <r>
    <s v="Vietnam"/>
    <s v="East Asia and Pacific"/>
    <s v="P059663"/>
    <s v="C2"/>
    <s v=""/>
    <s v="P059663C2"/>
    <x v="2"/>
    <s v="2003 / 2012"/>
    <x v="11"/>
    <n v="1.6"/>
    <n v="0.44166666666666665"/>
    <m/>
    <m/>
    <n v="1.4678810460222176"/>
    <n v="3.3235042551446439"/>
    <s v="x"/>
    <s v=""/>
    <s v=""/>
    <s v="x"/>
    <s v="x"/>
    <s v="Macroeconomic conditions; Quality of estimates; Procurement system"/>
  </r>
  <r>
    <s v="Vietnam"/>
    <s v="East Asia and Pacific"/>
    <s v="P059864"/>
    <s v="C1"/>
    <s v=""/>
    <s v="P059864C1"/>
    <x v="0"/>
    <n v="1999"/>
    <x v="13"/>
    <n v="60"/>
    <n v="10000"/>
    <n v="129.19999999999999"/>
    <s v="USD"/>
    <n v="129.19999999999999"/>
    <n v="1.2919999999999999E-2"/>
    <s v=""/>
    <s v=""/>
    <s v=""/>
    <s v=""/>
    <s v=""/>
    <m/>
  </r>
  <r>
    <s v="Vietnam"/>
    <s v="East Asia and Pacific"/>
    <s v="P059864"/>
    <s v="C1"/>
    <s v=""/>
    <s v="P059864C1"/>
    <x v="1"/>
    <n v="2007"/>
    <x v="13"/>
    <n v="60"/>
    <n v="7599"/>
    <n v="139.38"/>
    <s v="USD"/>
    <n v="139.38"/>
    <n v="1.8341887090406631E-2"/>
    <s v=""/>
    <s v=""/>
    <s v=""/>
    <s v=""/>
    <s v=""/>
    <m/>
  </r>
  <r>
    <s v="Vietnam"/>
    <s v="East Asia and Pacific"/>
    <s v="P059864"/>
    <s v="C1"/>
    <s v=""/>
    <s v="P059864C1"/>
    <x v="2"/>
    <s v="1999 / 2007"/>
    <x v="13"/>
    <n v="1"/>
    <n v="0.75990000000000002"/>
    <m/>
    <m/>
    <n v="1.0787925696594427"/>
    <n v="1.4196507035918446"/>
    <s v=""/>
    <s v=""/>
    <s v=""/>
    <s v=""/>
    <s v=""/>
    <s v=""/>
  </r>
  <r>
    <s v="Yemen, Rep."/>
    <s v="East Asia and Pacific"/>
    <s v="P070391"/>
    <s v="C1"/>
    <s v=""/>
    <s v="P070391C1"/>
    <x v="0"/>
    <n v="2001"/>
    <x v="2"/>
    <s v=""/>
    <n v="114"/>
    <n v="12.24"/>
    <s v="USD"/>
    <n v="12.24"/>
    <n v="0.10736842105263159"/>
    <s v=""/>
    <s v="x"/>
    <s v="x"/>
    <s v=""/>
    <s v="x"/>
    <m/>
  </r>
  <r>
    <s v="Yemen, Rep."/>
    <s v="East Asia and Pacific"/>
    <s v="P070391"/>
    <s v="C1"/>
    <s v=""/>
    <s v="P070391C1"/>
    <x v="1"/>
    <n v="2007"/>
    <x v="2"/>
    <s v=""/>
    <n v="229"/>
    <n v="10.55"/>
    <s v="USD"/>
    <n v="10.55"/>
    <n v="4.6069868995633194E-2"/>
    <s v=""/>
    <s v="x"/>
    <s v="x"/>
    <s v=""/>
    <s v="x"/>
    <m/>
  </r>
  <r>
    <s v="Yemen, Rep."/>
    <s v="East Asia and Pacific"/>
    <s v="P070391"/>
    <s v="C1"/>
    <s v=""/>
    <s v="P070391C1"/>
    <x v="2"/>
    <s v="2001 / 2007"/>
    <x v="2"/>
    <s v=""/>
    <n v="2.0087719298245612"/>
    <n v="0.86192810457516345"/>
    <m/>
    <n v="0.86192810457516345"/>
    <n v="0.42908211319462286"/>
    <s v=""/>
    <s v="x"/>
    <s v="x"/>
    <s v=""/>
    <s v="x"/>
    <s v="Macroeconomic conditions  ; Quality of estimates ; Change of project scope "/>
  </r>
  <r>
    <s v="Yemen, Rep."/>
    <s v="East Asia and Pacific"/>
    <s v="P070391"/>
    <s v="C2"/>
    <s v=""/>
    <s v="P070391C2"/>
    <x v="0"/>
    <n v="2001"/>
    <x v="1"/>
    <s v=""/>
    <n v="244"/>
    <n v="31.6"/>
    <s v="USD"/>
    <n v="31.6"/>
    <n v="0.12950819672131147"/>
    <s v=""/>
    <s v="x"/>
    <s v=""/>
    <s v=""/>
    <s v="x"/>
    <m/>
  </r>
  <r>
    <s v="Yemen, Rep."/>
    <s v="East Asia and Pacific"/>
    <s v="P070391"/>
    <s v="C2"/>
    <s v=""/>
    <s v="P070391C2"/>
    <x v="1"/>
    <n v="2007"/>
    <x v="1"/>
    <s v=""/>
    <n v="397"/>
    <n v="43.68"/>
    <s v="USD"/>
    <n v="43.68"/>
    <n v="0.11002518891687657"/>
    <s v=""/>
    <s v="x"/>
    <s v=""/>
    <s v=""/>
    <s v="x"/>
    <m/>
  </r>
  <r>
    <s v="Yemen, Rep."/>
    <s v="East Asia and Pacific"/>
    <s v="P070391"/>
    <s v="C2"/>
    <s v=""/>
    <s v="P070391C2"/>
    <x v="2"/>
    <s v="2001 / 2007"/>
    <x v="1"/>
    <s v=""/>
    <n v="1.6270491803278688"/>
    <n v="1.3822784810126583"/>
    <m/>
    <n v="1.3822784810126583"/>
    <n v="0.8495615853075279"/>
    <s v=""/>
    <s v="x"/>
    <s v=""/>
    <s v=""/>
    <s v="x"/>
    <s v="Macroeconomic conditions ; Quality of estimates ; "/>
  </r>
  <r>
    <s v="Yugoslavia, FR (Serbia/Montenegro)"/>
    <s v="Europe and Central Asia"/>
    <s v="P075207"/>
    <s v="C1"/>
    <s v="S1"/>
    <s v="P075207C1S1"/>
    <x v="0"/>
    <n v="2004"/>
    <x v="2"/>
    <n v="11"/>
    <n v="20.9"/>
    <n v="2.2000000000000002"/>
    <s v="USD"/>
    <n v="2.2000000000000002"/>
    <n v="0.10526315789473686"/>
    <s v=""/>
    <s v=""/>
    <s v=""/>
    <s v="x"/>
    <s v="x"/>
    <m/>
  </r>
  <r>
    <s v="Yugoslavia, FR (Serbia/Montenegro)"/>
    <s v="Europe and Central Asia"/>
    <s v="P075207"/>
    <s v="C1"/>
    <s v="S1"/>
    <s v="P075207C1S1"/>
    <x v="1"/>
    <n v="2013"/>
    <x v="2"/>
    <s v=""/>
    <n v="20.9"/>
    <n v="4.17"/>
    <s v="USD"/>
    <n v="4.17"/>
    <n v="0.19952153110047849"/>
    <s v=""/>
    <s v=""/>
    <s v=""/>
    <s v="x"/>
    <s v="x"/>
    <m/>
  </r>
  <r>
    <s v="Yugoslavia, FR (Serbia/Montenegro)"/>
    <s v="Europe and Central Asia"/>
    <s v="P075207"/>
    <s v="C1"/>
    <s v="S1"/>
    <s v="P075207C1S1"/>
    <x v="2"/>
    <s v="2004 / 2013"/>
    <x v="2"/>
    <s v=""/>
    <n v="1"/>
    <m/>
    <m/>
    <n v="1.8954545454545453"/>
    <n v="1.8954545454545453"/>
    <s v=""/>
    <s v=""/>
    <s v=""/>
    <s v="x"/>
    <s v="x"/>
    <s v="Quality of estimates; Capacity of counterpart; "/>
  </r>
  <r>
    <s v="Yugoslavia, FR (Serbia/Montenegro)"/>
    <s v="Europe and Central Asia"/>
    <s v="P075207"/>
    <s v="C1"/>
    <s v="S2"/>
    <s v="P075207C1S2"/>
    <x v="0"/>
    <n v="2004"/>
    <x v="2"/>
    <n v="11"/>
    <n v="18.8"/>
    <n v="1.9"/>
    <s v="USD"/>
    <n v="1.9"/>
    <n v="0.10106382978723404"/>
    <s v=""/>
    <s v=""/>
    <s v=""/>
    <s v="x"/>
    <s v="x"/>
    <m/>
  </r>
  <r>
    <s v="Yugoslavia, FR (Serbia/Montenegro)"/>
    <s v="Europe and Central Asia"/>
    <s v="P075207"/>
    <s v="C1"/>
    <s v="S2"/>
    <s v="P075207C1S2"/>
    <x v="1"/>
    <n v="2013"/>
    <x v="2"/>
    <s v=""/>
    <n v="18.8"/>
    <n v="3.43"/>
    <s v="USD"/>
    <n v="3.43"/>
    <n v="0.1824468085106383"/>
    <s v=""/>
    <s v=""/>
    <s v=""/>
    <s v="x"/>
    <s v="x"/>
    <m/>
  </r>
  <r>
    <s v="Yugoslavia, FR (Serbia/Montenegro)"/>
    <s v="Europe and Central Asia"/>
    <s v="P075207"/>
    <s v="C1"/>
    <s v="S2"/>
    <s v="P075207C1S2"/>
    <x v="2"/>
    <s v="2004 / 2013"/>
    <x v="2"/>
    <s v=""/>
    <n v="1"/>
    <m/>
    <m/>
    <n v="1.8052631578947369"/>
    <n v="1.8052631578947369"/>
    <s v=""/>
    <s v=""/>
    <s v=""/>
    <s v="x"/>
    <s v="x"/>
    <s v="Quality of estimates; Capacity of counterpart; "/>
  </r>
  <r>
    <s v="Yugoslavia, FR (Serbia/Montenegro)"/>
    <s v="Europe and Central Asia"/>
    <s v="P075207"/>
    <s v="C1"/>
    <s v="S3"/>
    <s v="P075207C1S3"/>
    <x v="0"/>
    <n v="2004"/>
    <x v="2"/>
    <n v="11"/>
    <n v="10.3"/>
    <n v="2.6"/>
    <s v="USD"/>
    <n v="2.6"/>
    <n v="0.25242718446601942"/>
    <s v=""/>
    <s v=""/>
    <s v=""/>
    <s v=""/>
    <s v=""/>
    <m/>
  </r>
  <r>
    <s v="Yugoslavia, FR (Serbia/Montenegro)"/>
    <s v="Europe and Central Asia"/>
    <s v="P075207"/>
    <s v="C1"/>
    <s v="S3"/>
    <s v="P075207C1S3"/>
    <x v="1"/>
    <n v="2013"/>
    <x v="2"/>
    <s v=""/>
    <n v="10.3"/>
    <n v="3.72"/>
    <s v="USD"/>
    <n v="3.72"/>
    <n v="0.3611650485436893"/>
    <s v=""/>
    <s v=""/>
    <s v=""/>
    <s v=""/>
    <s v=""/>
    <m/>
  </r>
  <r>
    <s v="Yugoslavia, FR (Serbia/Montenegro)"/>
    <s v="Europe and Central Asia"/>
    <s v="P075207"/>
    <s v="C1"/>
    <s v="S3"/>
    <s v="P075207C1S3"/>
    <x v="2"/>
    <s v="2004 / 2013"/>
    <x v="2"/>
    <s v=""/>
    <n v="1"/>
    <m/>
    <m/>
    <n v="1.4307692307692308"/>
    <n v="1.4307692307692308"/>
    <s v=""/>
    <s v=""/>
    <s v=""/>
    <s v=""/>
    <s v=""/>
    <s v=""/>
  </r>
  <r>
    <s v="Yugoslavia, FR (Serbia/Montenegro)"/>
    <s v="Europe and Central Asia"/>
    <s v="P075207"/>
    <s v="C1"/>
    <s v="S4"/>
    <s v="P075207C1S4"/>
    <x v="0"/>
    <n v="2004"/>
    <x v="2"/>
    <n v="18"/>
    <n v="33.9"/>
    <n v="6"/>
    <s v="USD"/>
    <n v="6"/>
    <n v="0.17699115044247787"/>
    <s v=""/>
    <s v=""/>
    <s v=""/>
    <s v=""/>
    <s v=""/>
    <m/>
  </r>
  <r>
    <s v="Yugoslavia, FR (Serbia/Montenegro)"/>
    <s v="Europe and Central Asia"/>
    <s v="P075207"/>
    <s v="C1"/>
    <s v="S4"/>
    <s v="P075207C1S4"/>
    <x v="1"/>
    <n v="2013"/>
    <x v="2"/>
    <s v=""/>
    <n v="33.9"/>
    <n v="4.5"/>
    <s v="USD"/>
    <n v="4.5"/>
    <n v="0.13274336283185842"/>
    <s v=""/>
    <s v=""/>
    <s v=""/>
    <s v=""/>
    <s v=""/>
    <m/>
  </r>
  <r>
    <s v="Yugoslavia, FR (Serbia/Montenegro)"/>
    <s v="Europe and Central Asia"/>
    <s v="P075207"/>
    <s v="C1"/>
    <s v="S4"/>
    <s v="P075207C1S4"/>
    <x v="2"/>
    <s v="2004 / 2013"/>
    <x v="2"/>
    <s v=""/>
    <n v="1"/>
    <m/>
    <m/>
    <n v="0.75"/>
    <n v="0.75000000000000011"/>
    <s v=""/>
    <s v=""/>
    <s v=""/>
    <s v=""/>
    <s v=""/>
    <s v=""/>
  </r>
  <r>
    <s v="Zambia"/>
    <s v="Sub-Saharan Africa"/>
    <s v="P071985"/>
    <s v="C1"/>
    <s v="S1"/>
    <s v="P071985C1S1"/>
    <x v="0"/>
    <n v="2004"/>
    <x v="5"/>
    <n v="37"/>
    <n v="40"/>
    <n v="12.1"/>
    <s v="USD"/>
    <n v="12.1"/>
    <n v="0.30249999999999999"/>
    <s v=""/>
    <s v=""/>
    <s v=""/>
    <s v=""/>
    <s v=""/>
    <m/>
  </r>
  <r>
    <s v="Zambia"/>
    <s v="Sub-Saharan Africa"/>
    <s v="P071985"/>
    <s v="C1"/>
    <s v="S1"/>
    <s v="P071985C1S1"/>
    <x v="1"/>
    <n v="2015"/>
    <x v="5"/>
    <n v="33"/>
    <n v="40"/>
    <n v="10.29"/>
    <s v="USD"/>
    <n v="10.29"/>
    <n v="0.25724999999999998"/>
    <s v=""/>
    <s v=""/>
    <s v=""/>
    <s v=""/>
    <s v=""/>
    <m/>
  </r>
  <r>
    <s v="Zambia"/>
    <s v="Sub-Saharan Africa"/>
    <s v="P071985"/>
    <s v="C1"/>
    <s v="S1"/>
    <s v="P071985C1S1"/>
    <x v="2"/>
    <s v="2004 / 2015"/>
    <x v="5"/>
    <n v="0.89189189189189189"/>
    <n v="1"/>
    <m/>
    <m/>
    <n v="0.85041322314049583"/>
    <n v="0.85041322314049583"/>
    <s v=""/>
    <s v=""/>
    <s v=""/>
    <s v=""/>
    <s v=""/>
    <s v=""/>
  </r>
  <r>
    <s v="Zambia"/>
    <s v="Sub-Saharan Africa"/>
    <s v="P071985"/>
    <s v="C1"/>
    <s v="S2"/>
    <s v="P071985C1S2"/>
    <x v="0"/>
    <n v="2004"/>
    <x v="5"/>
    <n v="18"/>
    <n v="45"/>
    <n v="9.1"/>
    <s v="USD"/>
    <n v="9.1"/>
    <n v="0.20222222222222222"/>
    <s v=""/>
    <s v=""/>
    <s v=""/>
    <s v=""/>
    <s v=""/>
    <m/>
  </r>
  <r>
    <s v="Zambia"/>
    <s v="Sub-Saharan Africa"/>
    <s v="P071985"/>
    <s v="C1"/>
    <s v="S2"/>
    <s v="P071985C1S2"/>
    <x v="1"/>
    <n v="2015"/>
    <x v="5"/>
    <n v="18"/>
    <n v="45"/>
    <n v="7.3"/>
    <s v="USD"/>
    <n v="7.3"/>
    <n v="0.16222222222222221"/>
    <s v=""/>
    <s v=""/>
    <s v=""/>
    <s v=""/>
    <s v=""/>
    <m/>
  </r>
  <r>
    <s v="Zambia"/>
    <s v="Sub-Saharan Africa"/>
    <s v="P071985"/>
    <s v="C1"/>
    <s v="S2"/>
    <s v="P071985C1S2"/>
    <x v="2"/>
    <s v="2004 / 2015"/>
    <x v="5"/>
    <n v="1"/>
    <n v="1"/>
    <m/>
    <m/>
    <n v="0.80219780219780223"/>
    <n v="0.80219780219780212"/>
    <s v=""/>
    <s v=""/>
    <s v=""/>
    <s v=""/>
    <s v=""/>
    <s v=""/>
  </r>
  <r>
    <s v="Zambia"/>
    <s v="Sub-Saharan Africa"/>
    <s v="P071985"/>
    <s v="C1"/>
    <s v="S3"/>
    <s v="P071985C1S3"/>
    <x v="0"/>
    <n v="2004"/>
    <x v="5"/>
    <n v="23"/>
    <n v="34"/>
    <n v="17.5"/>
    <s v="USD"/>
    <n v="17.5"/>
    <n v="0.51470588235294112"/>
    <s v=""/>
    <s v=""/>
    <s v="x"/>
    <s v=""/>
    <s v="x"/>
    <m/>
  </r>
  <r>
    <s v="Zambia"/>
    <s v="Sub-Saharan Africa"/>
    <s v="P071985"/>
    <s v="C1"/>
    <s v="S3"/>
    <s v="P071985C1S3"/>
    <x v="1"/>
    <n v="2015"/>
    <x v="5"/>
    <n v="27"/>
    <n v="34"/>
    <n v="8.0299999999999994"/>
    <s v="USD"/>
    <n v="8.0299999999999994"/>
    <n v="0.23617647058823527"/>
    <s v=""/>
    <s v=""/>
    <s v="x"/>
    <s v=""/>
    <s v="x"/>
    <m/>
  </r>
  <r>
    <s v="Zambia"/>
    <s v="Sub-Saharan Africa"/>
    <s v="P071985"/>
    <s v="C1"/>
    <s v="S3"/>
    <s v="P071985C1S3"/>
    <x v="2"/>
    <s v="2004 / 2015"/>
    <x v="5"/>
    <n v="1.173913043478261"/>
    <n v="1"/>
    <m/>
    <m/>
    <n v="0.4588571428571428"/>
    <n v="0.45885714285714285"/>
    <s v=""/>
    <s v=""/>
    <s v="x"/>
    <s v=""/>
    <s v="x"/>
    <s v="Quality of estimates; ; "/>
  </r>
  <r>
    <s v="Zambia"/>
    <s v="Sub-Saharan Africa"/>
    <s v="P071985"/>
    <s v="C1"/>
    <s v="S4"/>
    <s v="P071985C1S4"/>
    <x v="0"/>
    <n v="2004"/>
    <x v="5"/>
    <s v=""/>
    <n v="20"/>
    <n v="17.2"/>
    <s v="USD"/>
    <n v="17.2"/>
    <n v="0.86"/>
    <s v=""/>
    <s v=""/>
    <s v=""/>
    <s v=""/>
    <m/>
    <m/>
  </r>
  <r>
    <s v="Zambia"/>
    <s v="Sub-Saharan Africa"/>
    <s v="P071985"/>
    <s v="C1"/>
    <s v="S4"/>
    <s v="P071985C1S4"/>
    <x v="1"/>
    <n v="2015"/>
    <x v="5"/>
    <s v=""/>
    <n v="20"/>
    <n v="10.7"/>
    <s v="USD"/>
    <n v="10.7"/>
    <n v="0.53499999999999992"/>
    <s v=""/>
    <s v=""/>
    <s v=""/>
    <s v=""/>
    <m/>
    <m/>
  </r>
  <r>
    <s v="Zambia"/>
    <s v="Sub-Saharan Africa"/>
    <s v="P071985"/>
    <s v="C1"/>
    <s v="S4"/>
    <s v="P071985C1S4"/>
    <x v="2"/>
    <s v="2004 / 2015"/>
    <x v="5"/>
    <s v=""/>
    <n v="1"/>
    <m/>
    <m/>
    <n v="0.62209302325581395"/>
    <n v="0.62209302325581384"/>
    <s v=""/>
    <s v=""/>
    <s v=""/>
    <s v=""/>
    <m/>
    <s v=""/>
  </r>
  <r>
    <s v="Chad"/>
    <s v="Sub-Saharan Africa"/>
    <s v="AfDB project - P-TD-DB0-008"/>
    <s v="C1"/>
    <s v=""/>
    <s v="AfDB project - P-TD-DB0-008C1"/>
    <x v="0"/>
    <n v="2009"/>
    <x v="6"/>
    <n v="28"/>
    <n v="110"/>
    <n v="44.715040999999999"/>
    <s v="UA"/>
    <n v="30.473122478464724"/>
    <n v="0.27702838616786113"/>
    <s v="x"/>
    <s v=""/>
    <s v="x"/>
    <m/>
    <m/>
    <m/>
  </r>
  <r>
    <s v="Chad"/>
    <s v="Sub-Saharan Africa"/>
    <s v="AfDB project - P-TD-DB0-008"/>
    <s v="C1"/>
    <s v=""/>
    <s v="AfDB project - P-TD-DB0-008C1"/>
    <x v="1"/>
    <n v="2017"/>
    <x v="6"/>
    <n v="28"/>
    <n v="110"/>
    <n v="75.256649890000006"/>
    <s v="UA"/>
    <n v="53.169129933164719"/>
    <n v="0.48335572666513382"/>
    <s v="x"/>
    <s v=""/>
    <s v="x"/>
    <m/>
    <m/>
    <m/>
  </r>
  <r>
    <s v="Chad"/>
    <s v="Sub-Saharan Africa"/>
    <s v="AfDB project - P-TD-DB0-008"/>
    <s v="C1"/>
    <s v=""/>
    <s v="AfDB project - P-TD-DB0-008C1"/>
    <x v="2"/>
    <s v="2009 / 2017"/>
    <x v="6"/>
    <n v="1"/>
    <n v="1"/>
    <n v="1.683027639178504"/>
    <m/>
    <n v="1.7447877214006935"/>
    <n v="1.7447877214006935"/>
    <s v="x"/>
    <s v=""/>
    <s v="x"/>
    <s v="Change of project scope "/>
    <s v="The project cost differences are mainly explained by the additional costs of the modification of the roadway structure decided by the Government - The replacement of the two-layer surfacing course with 5 cm of bituminous concrete generated an additional cost of CFAF 11,055,332,234 or 30% of the total basic contract amount. "/>
    <s v="; ; Change of project scope "/>
  </r>
  <r>
    <s v="Swaziland"/>
    <s v="Sub-Saharan Africa"/>
    <s v="Loan numbers: ADB loan: B/SWA/ROD/89/15 and ADF loan: F/SWA/ROD/89/6"/>
    <s v="C1"/>
    <s v=""/>
    <s v="Loan numbers: ADB loan: B/SWA/ROD/89/15 and ADF loan: F/SWA/ROD/89/6C1"/>
    <x v="0"/>
    <n v="1988"/>
    <x v="0"/>
    <n v="24"/>
    <n v="106"/>
    <n v="19.077894899999997"/>
    <s v="SZL"/>
    <n v="8.3932665640123165"/>
    <n v="7.9181760037852045E-2"/>
    <s v="x"/>
    <s v=""/>
    <s v="x"/>
    <m/>
    <m/>
    <m/>
  </r>
  <r>
    <s v="Swaziland"/>
    <s v="Sub-Saharan Africa"/>
    <s v="Loan numbers: ADB loan: B/SWA/ROD/89/15 and ADF loan: F/SWA/ROD/89/6"/>
    <s v="C1"/>
    <s v=""/>
    <s v="Loan numbers: ADB loan: B/SWA/ROD/89/15 and ADF loan: F/SWA/ROD/89/6C1"/>
    <x v="1"/>
    <n v="1994"/>
    <x v="0"/>
    <n v="24"/>
    <n v="106"/>
    <n v="115.27977919999999"/>
    <s v="SZL"/>
    <n v="32.473177239436616"/>
    <n v="0.30635072867393032"/>
    <s v="x"/>
    <s v=""/>
    <s v="x"/>
    <m/>
    <m/>
    <m/>
  </r>
  <r>
    <s v="Swaziland"/>
    <s v="Sub-Saharan Africa"/>
    <s v="Loan numbers: ADB loan: B/SWA/ROD/89/15 and ADF loan: F/SWA/ROD/89/6"/>
    <s v="C1"/>
    <s v=""/>
    <s v="Loan numbers: ADB loan: B/SWA/ROD/89/15 and ADF loan: F/SWA/ROD/89/6C1"/>
    <x v="2"/>
    <s v="1988 / 1994"/>
    <x v="0"/>
    <n v="1"/>
    <n v="1"/>
    <n v="6.0425838282608426"/>
    <m/>
    <n v="3.8689557863765907"/>
    <n v="3.8689557863765902"/>
    <s v="x"/>
    <s v=""/>
    <s v="x"/>
    <s v="Change of project scope; Capacity of Counterpart"/>
    <s v="Major delay occurred during the precontract services, which was mainly attributable to: i) design review leading to substantial modifications in the original design, and ii) lack of familiarity of Bank procurement rules. As a result of the design review, the original project designs, especially the pavement and bridge structures, were significantly modified to accommodate the prevailing traffic loading."/>
    <s v="; ; Change of project scope; Capacity of Counterpart"/>
  </r>
  <r>
    <s v="Niger"/>
    <s v="Sub-Saharan Africa"/>
    <n v="0"/>
    <s v="C1"/>
    <s v=""/>
    <s v="0C1"/>
    <x v="0"/>
    <n v="1989"/>
    <x v="6"/>
    <s v=""/>
    <n v="147.89999999999998"/>
    <n v="3502.5858000000007"/>
    <s v="FCFA"/>
    <n v="10.979892789968654"/>
    <n v="7.4238626030890167E-2"/>
    <s v=""/>
    <s v=""/>
    <s v=""/>
    <m/>
    <m/>
    <m/>
  </r>
  <r>
    <s v="Niger"/>
    <s v="Sub-Saharan Africa"/>
    <n v="0"/>
    <s v="C1"/>
    <s v=""/>
    <s v="0C1"/>
    <x v="1"/>
    <n v="1999"/>
    <x v="6"/>
    <s v=""/>
    <n v="131.80000000000001"/>
    <n v="7898.2903600000009"/>
    <s v="FCFA"/>
    <n v="12.828355763452388"/>
    <n v="9.7331986065647844E-2"/>
    <s v=""/>
    <s v=""/>
    <s v=""/>
    <m/>
    <m/>
    <m/>
  </r>
  <r>
    <s v="Niger"/>
    <s v="Sub-Saharan Africa"/>
    <n v="0"/>
    <s v="C1"/>
    <s v=""/>
    <s v="0C1"/>
    <x v="2"/>
    <s v="1989 / 1999"/>
    <x v="6"/>
    <s v=""/>
    <n v="0.89114266396213682"/>
    <n v="2.2549884031391891"/>
    <m/>
    <n v="0.85590803626214118"/>
    <n v="1.3110693350540821"/>
    <s v=""/>
    <s v=""/>
    <s v=""/>
    <m/>
    <m/>
    <s v=""/>
  </r>
  <r>
    <s v="Zambia"/>
    <s v="Sub-Saharan Africa"/>
    <s v="AfDB project - P –Z1-DB0 -063 "/>
    <s v="C1"/>
    <s v=""/>
    <s v="AfDB project - P –Z1-DB0 -063 C1"/>
    <x v="0"/>
    <n v="2010"/>
    <x v="2"/>
    <n v="24"/>
    <n v="114.7"/>
    <n v="79.372399999999999"/>
    <s v="USD"/>
    <n v="79.372399999999999"/>
    <n v="0.69199999999999995"/>
    <s v=""/>
    <s v=""/>
    <s v=""/>
    <m/>
    <m/>
    <m/>
  </r>
  <r>
    <s v="Zambia"/>
    <s v="Sub-Saharan Africa"/>
    <s v="AfDB project - P –Z1-DB0 -063 "/>
    <s v="C1"/>
    <s v=""/>
    <s v="AfDB project - P –Z1-DB0 -063 C1"/>
    <x v="1"/>
    <n v="2017"/>
    <x v="2"/>
    <n v="26"/>
    <n v="114.7"/>
    <n v="74.555000000000007"/>
    <s v="USD"/>
    <n v="74.555000000000007"/>
    <n v="0.65"/>
    <s v=""/>
    <s v=""/>
    <s v=""/>
    <m/>
    <m/>
    <m/>
  </r>
  <r>
    <s v="Zambia"/>
    <s v="Sub-Saharan Africa"/>
    <s v="AfDB project - P –Z1-DB0 -063 "/>
    <s v="C1"/>
    <s v=""/>
    <s v="AfDB project - P –Z1-DB0 -063 C1"/>
    <x v="2"/>
    <s v="2010 / 2017"/>
    <x v="2"/>
    <n v="1.0833333333333333"/>
    <n v="1"/>
    <n v="0.939306358381503"/>
    <m/>
    <n v="0.939306358381503"/>
    <n v="0.939306358381503"/>
    <s v=""/>
    <s v=""/>
    <s v=""/>
    <m/>
    <m/>
    <s v=""/>
  </r>
  <r>
    <s v="Kenya"/>
    <s v="Sub-Saharan Africa"/>
    <s v="AfDB project P-KE-DB0-019"/>
    <s v="C1"/>
    <s v=""/>
    <s v="AfDB project P-KE-DB0-019C1"/>
    <x v="0"/>
    <n v="2010"/>
    <x v="2"/>
    <n v="24"/>
    <n v="73"/>
    <n v="3831.87961"/>
    <s v="KES"/>
    <n v="48.36216740499539"/>
    <n v="0.66249544390404647"/>
    <s v=""/>
    <s v=""/>
    <s v=""/>
    <m/>
    <m/>
    <m/>
  </r>
  <r>
    <s v="Kenya"/>
    <s v="Sub-Saharan Africa"/>
    <s v="AfDB project P-KE-DB0-019"/>
    <s v="C1"/>
    <s v=""/>
    <s v="AfDB project P-KE-DB0-019C1"/>
    <x v="1"/>
    <n v="2017"/>
    <x v="2"/>
    <n v="34"/>
    <n v="73"/>
    <n v="5001.2773913999999"/>
    <s v="KES"/>
    <n v="48.382290716842405"/>
    <n v="0.66277110571016995"/>
    <s v=""/>
    <s v=""/>
    <s v=""/>
    <m/>
    <m/>
    <m/>
  </r>
  <r>
    <s v="Kenya"/>
    <s v="Sub-Saharan Africa"/>
    <s v="AfDB project P-KE-DB0-019"/>
    <s v="C1"/>
    <s v=""/>
    <s v="AfDB project P-KE-DB0-019C1"/>
    <x v="2"/>
    <s v="2010 / 2017"/>
    <x v="2"/>
    <n v="1.4166666666666667"/>
    <n v="1"/>
    <n v="1.3051760233667675"/>
    <m/>
    <n v="1.0004160961538076"/>
    <n v="1.0004160961538076"/>
    <s v=""/>
    <s v=""/>
    <s v=""/>
    <m/>
    <m/>
    <s v=""/>
  </r>
  <r>
    <s v="Guinea"/>
    <s v="Sub-Saharan Africa"/>
    <s v="AfDB P-GN-AB0-005_x000a_"/>
    <s v="C1"/>
    <s v=""/>
    <s v="AfDB P-GN-AB0-005_x000a_C1"/>
    <x v="0"/>
    <n v="2012"/>
    <x v="5"/>
    <s v=""/>
    <n v="1080"/>
    <n v="8.3000000000000007"/>
    <s v="UA"/>
    <n v="5.3896103896103895"/>
    <n v="4.9903799903799903E-3"/>
    <s v="x"/>
    <s v="x"/>
    <s v="x"/>
    <m/>
    <m/>
    <m/>
  </r>
  <r>
    <s v="Guinea"/>
    <s v="Sub-Saharan Africa"/>
    <s v="AfDB P-GN-AB0-005_x000a_"/>
    <s v="C1"/>
    <s v=""/>
    <s v="AfDB P-GN-AB0-005_x000a_C1"/>
    <x v="1"/>
    <n v="2011"/>
    <x v="5"/>
    <s v=""/>
    <n v="278"/>
    <n v="3.3260000000000001"/>
    <s v="UA"/>
    <n v="2.1184713375796176"/>
    <n v="7.6204004948907111E-3"/>
    <s v="x"/>
    <s v="x"/>
    <s v="x"/>
    <s v="Procurement system"/>
    <s v="Procurement procedures were inadequatelyapplied resulting in poor selection of most service providers, which affected the performance (P.9)"/>
    <m/>
  </r>
  <r>
    <s v="Guinea"/>
    <s v="Sub-Saharan Africa"/>
    <s v="AfDB P-GN-AB0-005_x000a_"/>
    <s v="C1"/>
    <s v=""/>
    <s v="AfDB P-GN-AB0-005_x000a_C1"/>
    <x v="2"/>
    <s v="2012 / 2011"/>
    <x v="5"/>
    <s v=""/>
    <n v="0.25740740740740742"/>
    <n v="0.40072289156626506"/>
    <m/>
    <n v="0.39306576624971218"/>
    <n v="1.5270180847111121"/>
    <s v="x"/>
    <s v="x"/>
    <s v="x"/>
    <s v="Capacity of contractors"/>
    <s v="only 15% of works was completed three years after the beginning of the project (annex p. 1/4)"/>
    <s v="; Procurement system; Capacity of contractors"/>
  </r>
  <r>
    <s v="Benin"/>
    <s v="Sub-Saharan Africa"/>
    <s v="AfDB-P-BJ-DB0-010 "/>
    <s v="C1"/>
    <s v=""/>
    <s v="AfDB-P-BJ-DB0-010 C1"/>
    <x v="0"/>
    <n v="2002"/>
    <x v="7"/>
    <s v=""/>
    <n v="125"/>
    <n v="18918.45"/>
    <s v="CFAF"/>
    <n v="27.143461792303942"/>
    <n v="0.21714769433843154"/>
    <s v="x"/>
    <s v=""/>
    <s v="x"/>
    <s v="macroeconomic conditions"/>
    <s v="Depreciation of the UA (p.10 &amp; 28)"/>
    <m/>
  </r>
  <r>
    <s v="Benin"/>
    <s v="Sub-Saharan Africa"/>
    <s v="AfDB-P-BJ-DB0-010 "/>
    <s v="C1"/>
    <s v=""/>
    <s v="AfDB-P-BJ-DB0-010 C1"/>
    <x v="1"/>
    <n v="2011"/>
    <x v="7"/>
    <s v=""/>
    <n v="125"/>
    <n v="19978.47"/>
    <s v="CFAF"/>
    <n v="42.339825371932356"/>
    <n v="0.33871860297545886"/>
    <s v="x"/>
    <s v=""/>
    <s v="x"/>
    <s v="macroeconomic conditions"/>
    <s v="The cost of works per kilometre rose to CFAF 155 million instead of the CFAF 145 million estimated at appraisal in 2003, owing to a surge in petroleum product prices in 2007 and 2008 (p.28)"/>
    <m/>
  </r>
  <r>
    <s v="Benin"/>
    <s v="Sub-Saharan Africa"/>
    <s v="AfDB-P-BJ-DB0-010 "/>
    <s v="C1"/>
    <s v=""/>
    <s v="AfDB-P-BJ-DB0-010 C1"/>
    <x v="2"/>
    <s v="2002 / 2011"/>
    <x v="7"/>
    <s v=""/>
    <n v="1"/>
    <n v="1.0560310173402154"/>
    <m/>
    <n v="1.5598535550073822"/>
    <n v="1.5598535550073824"/>
    <s v="x"/>
    <s v=""/>
    <s v="x"/>
    <s v="change of project scope"/>
    <s v="line items were revised upwards due to construction of a new bridge and road alignment rectifications (p.28)"/>
    <s v="macroeconomic conditions; macroeconomic conditions; change of project scope"/>
  </r>
  <r>
    <s v="Cameroon"/>
    <s v="Sub-Saharan Africa"/>
    <s v="AfDB loan number: B/CAM/RTE/89/16"/>
    <s v="C1"/>
    <s v="S1"/>
    <s v="AfDB loan number: B/CAM/RTE/89/16C1S1"/>
    <x v="0"/>
    <n v="1988"/>
    <x v="1"/>
    <n v="22"/>
    <n v="15.8"/>
    <n v="2354.1999999999998"/>
    <s v="CFAF"/>
    <n v="7.9042438893365565"/>
    <n v="0.50026860059092126"/>
    <s v=""/>
    <s v=""/>
    <s v=""/>
    <m/>
    <m/>
    <m/>
  </r>
  <r>
    <s v="Cameroon"/>
    <s v="Sub-Saharan Africa"/>
    <s v="AfDB loan number: B/CAM/RTE/89/16"/>
    <s v="C1"/>
    <s v="S1"/>
    <s v="AfDB loan number: B/CAM/RTE/89/16C1S1"/>
    <x v="1"/>
    <n v="1998"/>
    <x v="1"/>
    <n v="44"/>
    <n v="15.8"/>
    <n v="2402.71"/>
    <s v="CFAF"/>
    <n v="4.0727349775404695"/>
    <n v="0.25776803655319425"/>
    <s v=""/>
    <s v=""/>
    <s v=""/>
    <m/>
    <m/>
    <m/>
  </r>
  <r>
    <s v="Cameroon"/>
    <s v="Sub-Saharan Africa"/>
    <s v="AfDB loan number: B/CAM/RTE/89/16"/>
    <s v="C1"/>
    <s v="S1"/>
    <s v="AfDB loan number: B/CAM/RTE/89/16C1S1"/>
    <x v="2"/>
    <s v="1988 / 1998"/>
    <x v="1"/>
    <n v="2"/>
    <n v="1"/>
    <n v="1.0206057259366239"/>
    <m/>
    <n v="0.51525927521478776"/>
    <n v="0.51525927521478776"/>
    <s v=""/>
    <s v=""/>
    <s v=""/>
    <m/>
    <m/>
    <s v=""/>
  </r>
  <r>
    <s v="Cameroon"/>
    <s v="Sub-Saharan Africa"/>
    <s v="AfDB loan number: B/CAM/RTE/89/16"/>
    <s v="C1"/>
    <s v="S2"/>
    <s v="AfDB loan number: B/CAM/RTE/89/16C1S2"/>
    <x v="0"/>
    <n v="1988"/>
    <x v="0"/>
    <n v="22"/>
    <n v="49.6"/>
    <n v="3785.5"/>
    <s v="CFAF"/>
    <n v="12.709844211657266"/>
    <n v="0.25624685910599326"/>
    <s v="x"/>
    <s v=""/>
    <s v="x"/>
    <m/>
    <m/>
    <m/>
  </r>
  <r>
    <s v="Cameroon"/>
    <s v="Sub-Saharan Africa"/>
    <s v="AfDB loan number: B/CAM/RTE/89/16"/>
    <s v="C1"/>
    <s v="S2"/>
    <s v="AfDB loan number: B/CAM/RTE/89/16C1S2"/>
    <x v="1"/>
    <n v="1998"/>
    <x v="0"/>
    <n v="44"/>
    <n v="49.4"/>
    <n v="3565.01"/>
    <s v="CFAF"/>
    <n v="6.0429019408424445"/>
    <n v="0.12232595021948268"/>
    <s v="x"/>
    <s v=""/>
    <s v="x"/>
    <m/>
    <m/>
    <m/>
  </r>
  <r>
    <s v="Cameroon"/>
    <s v="Sub-Saharan Africa"/>
    <s v="AfDB loan number: B/CAM/RTE/89/16"/>
    <s v="C1"/>
    <s v="S2"/>
    <s v="AfDB loan number: B/CAM/RTE/89/16C1S2"/>
    <x v="2"/>
    <s v="1988 / 1998"/>
    <x v="0"/>
    <n v="2"/>
    <n v="0.99596774193548376"/>
    <n v="0.94175406155065389"/>
    <m/>
    <n v="0.47545051223365831"/>
    <n v="0.47737541309290393"/>
    <s v="x"/>
    <s v=""/>
    <s v="x"/>
    <s v="change of project scope"/>
    <s v="Modifications to the layout were made in some areas situated between Bafoussam and the Noun bridge reducing the lehght of the road by 155 meters. This made it possible to to reduce the cost of the expropriations. (annex 5 p. 1 of 2)"/>
    <s v="; ; change of project scope"/>
  </r>
  <r>
    <s v="Burkina Faso"/>
    <s v="Sub-Saharan Africa"/>
    <s v="AfDB loan number: F/BUF/RTE/92/19"/>
    <s v="C1"/>
    <s v=""/>
    <s v="AfDB loan number: F/BUF/RTE/92/19C1"/>
    <x v="0"/>
    <n v="1990"/>
    <x v="1"/>
    <n v="20"/>
    <n v="76.400000000000006"/>
    <n v="3751"/>
    <s v="CFAF"/>
    <n v="13.777271725556453"/>
    <n v="0.18033078174812109"/>
    <s v="x"/>
    <s v="x"/>
    <s v="x"/>
    <m/>
    <m/>
    <m/>
  </r>
  <r>
    <s v="Burkina Faso"/>
    <s v="Sub-Saharan Africa"/>
    <s v="AfDB loan number: F/BUF/RTE/92/19"/>
    <s v="C1"/>
    <s v=""/>
    <s v="AfDB loan number: F/BUF/RTE/92/19C1"/>
    <x v="1"/>
    <n v="1999"/>
    <x v="1"/>
    <n v="44"/>
    <n v="134.4"/>
    <n v="4502"/>
    <s v="CFAF"/>
    <n v="7.3121213597752108"/>
    <n v="5.4405664879279843E-2"/>
    <s v="x"/>
    <s v="x"/>
    <s v="x"/>
    <m/>
    <m/>
    <m/>
  </r>
  <r>
    <s v="Burkina Faso"/>
    <s v="Sub-Saharan Africa"/>
    <s v="AfDB loan number: F/BUF/RTE/92/19"/>
    <s v="C1"/>
    <s v=""/>
    <s v="AfDB loan number: F/BUF/RTE/92/19C1"/>
    <x v="2"/>
    <s v="1990 / 1999"/>
    <x v="1"/>
    <n v="2.2000000000000002"/>
    <n v="1.7591623036649213"/>
    <n v="1.2002132764596107"/>
    <m/>
    <n v="0.53073797958208446"/>
    <n v="0.30169926815529213"/>
    <s v="x"/>
    <s v="x"/>
    <s v="x"/>
    <s v="Quality of estimates"/>
    <m/>
    <s v="; ; Quality of estimates"/>
  </r>
  <r>
    <s v="Lesotho"/>
    <s v="Sub-Saharan Africa"/>
    <s v="AfDB loan number: CS/LES/TR/86/18_x000a_"/>
    <s v="C1"/>
    <s v=""/>
    <s v="AfDB loan number: CS/LES/TR/86/18_x000a_C1"/>
    <x v="0"/>
    <n v="1985"/>
    <x v="1"/>
    <n v="24"/>
    <n v="22"/>
    <n v="13.293357000000002"/>
    <s v="ZAR"/>
    <n v="5.9664977558348298"/>
    <n v="0.2712044434470377"/>
    <s v="x"/>
    <s v=""/>
    <s v="x"/>
    <m/>
    <m/>
    <m/>
  </r>
  <r>
    <s v="Lesotho"/>
    <s v="Sub-Saharan Africa"/>
    <s v="AfDB loan number: CS/LES/TR/86/18_x000a_"/>
    <s v="C1"/>
    <s v=""/>
    <s v="AfDB loan number: CS/LES/TR/86/18_x000a_C1"/>
    <x v="1"/>
    <n v="1991"/>
    <x v="1"/>
    <n v="35"/>
    <n v="22"/>
    <n v="30.614378600000002"/>
    <s v="ZAR"/>
    <n v="11.088148714233974"/>
    <n v="0.50400675973790787"/>
    <s v="x"/>
    <s v=""/>
    <s v="x"/>
    <m/>
    <m/>
    <m/>
  </r>
  <r>
    <s v="Lesotho"/>
    <s v="Sub-Saharan Africa"/>
    <s v="AfDB loan number: CS/LES/TR/86/18_x000a_"/>
    <s v="C1"/>
    <s v=""/>
    <s v="AfDB loan number: CS/LES/TR/86/18_x000a_C1"/>
    <x v="2"/>
    <s v="1985 / 1991"/>
    <x v="1"/>
    <n v="1.4583333333333333"/>
    <n v="1"/>
    <n v="2.3029832569756454"/>
    <m/>
    <n v="1.8584015561541973"/>
    <n v="1.8584015561541973"/>
    <s v="x"/>
    <s v=""/>
    <s v="x"/>
    <s v="Quality of estimates"/>
    <m/>
    <s v="; ; Quality of estimates"/>
  </r>
  <r>
    <s v="Morocco"/>
    <s v="Middle East and North Africa"/>
    <s v="AfDB loan number B/MRC/RTE/90/35"/>
    <s v="C1"/>
    <s v=""/>
    <s v="AfDB loan number B/MRC/RTE/90/35C1"/>
    <x v="0"/>
    <n v="1989"/>
    <x v="0"/>
    <s v=""/>
    <n v="865"/>
    <n v="295.75057800000002"/>
    <s v="MAD"/>
    <n v="34.843376295947223"/>
    <n v="4.0281359879707775E-2"/>
    <s v=""/>
    <s v=""/>
    <s v=""/>
    <m/>
    <m/>
    <m/>
  </r>
  <r>
    <s v="Morocco"/>
    <s v="Middle East and North Africa"/>
    <s v="AfDB loan number B/MRC/RTE/90/35"/>
    <s v="C1"/>
    <s v=""/>
    <s v="AfDB loan number B/MRC/RTE/90/35C1"/>
    <x v="1"/>
    <n v="1998"/>
    <x v="0"/>
    <s v=""/>
    <n v="1184.8800000000001"/>
    <n v="287.0172"/>
    <s v="MAD"/>
    <n v="29.885172844648068"/>
    <n v="2.5222109280811613E-2"/>
    <s v=""/>
    <s v=""/>
    <s v=""/>
    <m/>
    <m/>
    <m/>
  </r>
  <r>
    <s v="Morocco"/>
    <s v="Middle East and North Africa"/>
    <s v="AfDB loan number B/MRC/RTE/90/35"/>
    <s v="C1"/>
    <s v=""/>
    <s v="AfDB loan number B/MRC/RTE/90/35C1"/>
    <x v="2"/>
    <s v="1989 / 1998"/>
    <x v="0"/>
    <s v=""/>
    <n v="1.3698034682080926"/>
    <n v="0.97047046176863261"/>
    <m/>
    <n v="0.85770025817286066"/>
    <n v="0.62614840601539767"/>
    <s v=""/>
    <s v=""/>
    <s v=""/>
    <m/>
    <m/>
    <s v=""/>
  </r>
  <r>
    <s v="Namibia"/>
    <s v="Sub-Saharan Africa"/>
    <s v="AfDB loan number: F/NAM/ROD/92/1_x000a_"/>
    <s v="C1"/>
    <s v=""/>
    <s v="AfDB loan number: F/NAM/ROD/92/1_x000a_C1"/>
    <x v="0"/>
    <n v="1991"/>
    <x v="1"/>
    <s v=""/>
    <n v="75"/>
    <n v="58.480991799999998"/>
    <s v="ZAR"/>
    <n v="21.181090836653386"/>
    <n v="0.28241454448871184"/>
    <s v=""/>
    <s v=""/>
    <s v=""/>
    <m/>
    <m/>
    <m/>
  </r>
  <r>
    <s v="Namibia"/>
    <s v="Sub-Saharan Africa"/>
    <s v="AfDB loan number: F/NAM/ROD/92/1_x000a_"/>
    <s v="C1"/>
    <s v=""/>
    <s v="AfDB loan number: F/NAM/ROD/92/1_x000a_C1"/>
    <x v="1"/>
    <n v="1995"/>
    <x v="1"/>
    <s v=""/>
    <n v="75"/>
    <n v="88.034702600000003"/>
    <s v="ZAR"/>
    <n v="24.272043727598568"/>
    <n v="0.32362724970131423"/>
    <s v=""/>
    <s v=""/>
    <s v=""/>
    <m/>
    <m/>
    <m/>
  </r>
  <r>
    <s v="Namibia"/>
    <s v="Sub-Saharan Africa"/>
    <s v="AfDB loan number: F/NAM/ROD/92/1_x000a_"/>
    <s v="C1"/>
    <s v=""/>
    <s v="AfDB loan number: F/NAM/ROD/92/1_x000a_C1"/>
    <x v="2"/>
    <s v="1991 / 1995"/>
    <x v="1"/>
    <s v=""/>
    <n v="1"/>
    <n v="1.5053558411093844"/>
    <m/>
    <n v="1.1459298255591426"/>
    <n v="1.1459298255591424"/>
    <s v=""/>
    <s v=""/>
    <s v=""/>
    <m/>
    <m/>
    <s v=""/>
  </r>
  <r>
    <s v="Lesotho"/>
    <s v="Sub-Saharan Africa"/>
    <s v="AfDB loan numbers: F/LES/TRA-ROD/87/20 &amp; F/LES/ROD/93/SUP/8_x000a_"/>
    <s v="C1"/>
    <s v=""/>
    <s v="AfDB loan numbers: F/LES/TRA-ROD/87/20 &amp; F/LES/ROD/93/SUP/8_x000a_C1"/>
    <x v="0"/>
    <n v="1987"/>
    <x v="1"/>
    <n v="24"/>
    <n v="109"/>
    <n v="57.466151399999994"/>
    <s v="ZAR"/>
    <n v="28.225025245579566"/>
    <n v="0.25894518573926206"/>
    <s v="x"/>
    <s v=""/>
    <s v="x"/>
    <m/>
    <m/>
    <m/>
  </r>
  <r>
    <s v="Lesotho"/>
    <s v="Sub-Saharan Africa"/>
    <s v="AfDB loan numbers: F/LES/TRA-ROD/87/20 &amp; F/LES/ROD/93/SUP/8_x000a_"/>
    <s v="C1"/>
    <s v=""/>
    <s v="AfDB loan numbers: F/LES/TRA-ROD/87/20 &amp; F/LES/ROD/93/SUP/8_x000a_C1"/>
    <x v="1"/>
    <n v="1997"/>
    <x v="1"/>
    <n v="84"/>
    <n v="109"/>
    <n v="336.66472399999998"/>
    <s v="ZAR"/>
    <n v="73.076779683090948"/>
    <n v="0.67042917140450409"/>
    <s v="x"/>
    <s v=""/>
    <s v="x"/>
    <m/>
    <m/>
    <m/>
  </r>
  <r>
    <s v="Lesotho"/>
    <s v="Sub-Saharan Africa"/>
    <s v="AfDB loan numbers: F/LES/TRA-ROD/87/20 &amp; F/LES/ROD/93/SUP/8_x000a_"/>
    <s v="C1"/>
    <s v=""/>
    <s v="AfDB loan numbers: F/LES/TRA-ROD/87/20 &amp; F/LES/ROD/93/SUP/8_x000a_C1"/>
    <x v="2"/>
    <s v="1987 / 1997"/>
    <x v="1"/>
    <n v="3.5"/>
    <n v="1"/>
    <n v="5.8584874016811224"/>
    <m/>
    <n v="2.5890775667077852"/>
    <n v="2.5890775667077852"/>
    <s v="x"/>
    <s v=""/>
    <s v="x"/>
    <s v="change of project scope"/>
    <s v="The actual project cost exceeded the appraisal estimate mainly because of changes in the design (p.15)"/>
    <s v="; ; change of project scope"/>
  </r>
  <r>
    <s v="Benin"/>
    <s v="Sub-Saharan Africa"/>
    <s v="AfDB loan number: F/BEN/ROD/92/27_x000a_"/>
    <s v="C1"/>
    <s v=""/>
    <s v="AfDB loan number: F/BEN/ROD/92/27_x000a_C1"/>
    <x v="0"/>
    <n v="1992"/>
    <x v="7"/>
    <s v=""/>
    <n v="2.2999999999999998"/>
    <n v="4662"/>
    <s v="FCFA"/>
    <n v="17.613056783407004"/>
    <n v="7.6578507753943503"/>
    <s v=""/>
    <s v=""/>
    <s v=""/>
    <m/>
    <m/>
    <m/>
  </r>
  <r>
    <s v="Benin"/>
    <s v="Sub-Saharan Africa"/>
    <s v="AfDB loan number: F/BEN/ROD/92/27_x000a_"/>
    <s v="C1"/>
    <s v=""/>
    <s v="AfDB loan number: F/BEN/ROD/92/27_x000a_C1"/>
    <x v="1"/>
    <n v="1999"/>
    <x v="7"/>
    <s v=""/>
    <n v="2.2999999999999998"/>
    <n v="6134"/>
    <s v="FCFA"/>
    <n v="9.9628059575435675"/>
    <n v="4.3316547641493779"/>
    <s v=""/>
    <s v=""/>
    <s v=""/>
    <m/>
    <m/>
    <m/>
  </r>
  <r>
    <s v="Benin"/>
    <s v="Sub-Saharan Africa"/>
    <s v="AfDB loan number: F/BEN/ROD/92/27_x000a_"/>
    <s v="C1"/>
    <s v=""/>
    <s v="AfDB loan number: F/BEN/ROD/92/27_x000a_C1"/>
    <x v="2"/>
    <s v="1992 / 1999"/>
    <x v="7"/>
    <s v=""/>
    <n v="1"/>
    <n v="1.3157443157443158"/>
    <m/>
    <n v="1"/>
    <n v="0.56564888650840994"/>
    <s v=""/>
    <s v=""/>
    <s v=""/>
    <m/>
    <m/>
    <s v=""/>
  </r>
  <r>
    <s v="Benin"/>
    <s v="Sub-Saharan Africa"/>
    <s v="AfDB loan number: F/BEN/ROD/92/27_x000a_"/>
    <s v="C2"/>
    <s v=""/>
    <s v="AfDB loan number: F/BEN/ROD/92/27_x000a_C2"/>
    <x v="0"/>
    <n v="1992"/>
    <x v="15"/>
    <s v=""/>
    <n v="4.5"/>
    <n v="1992"/>
    <s v="FCFA"/>
    <n v="7.5257848804261593"/>
    <n v="1.6723966400947021"/>
    <s v=""/>
    <s v=""/>
    <s v=""/>
    <m/>
    <m/>
    <m/>
  </r>
  <r>
    <s v="Benin"/>
    <s v="Sub-Saharan Africa"/>
    <s v="AfDB loan number: F/BEN/ROD/92/27_x000a_"/>
    <s v="C2"/>
    <s v=""/>
    <s v="AfDB loan number: F/BEN/ROD/92/27_x000a_C2"/>
    <x v="1"/>
    <n v="1999"/>
    <x v="15"/>
    <s v=""/>
    <n v="4.5"/>
    <n v="5602"/>
    <s v="FCFA"/>
    <n v="9.0987347528788831"/>
    <n v="2.0219410561953075"/>
    <s v=""/>
    <s v=""/>
    <s v=""/>
    <m/>
    <m/>
    <m/>
  </r>
  <r>
    <s v="Benin"/>
    <s v="Sub-Saharan Africa"/>
    <s v="AfDB loan number: F/BEN/ROD/92/27_x000a_"/>
    <s v="C2"/>
    <s v=""/>
    <s v="AfDB loan number: F/BEN/ROD/92/27_x000a_C2"/>
    <x v="2"/>
    <s v="1992 / 1999"/>
    <x v="15"/>
    <s v=""/>
    <n v="1"/>
    <n v="2.8122489959839356"/>
    <m/>
    <n v="1.209008083202566"/>
    <n v="1.209008083202566"/>
    <s v=""/>
    <s v=""/>
    <s v=""/>
    <m/>
    <m/>
    <s v=""/>
  </r>
  <r>
    <s v="Malawi"/>
    <s v="Sub-Saharan Africa"/>
    <s v="AfDB loan F/MLW/AGR(RD)/87/15"/>
    <s v="C1"/>
    <s v=""/>
    <s v="AfDB loan F/MLW/AGR(RD)/87/15C1"/>
    <x v="0"/>
    <n v="1987"/>
    <x v="1"/>
    <s v=""/>
    <n v="62"/>
    <n v="1.0149999999999999"/>
    <s v="MWK"/>
    <n v="0.46136363636363631"/>
    <n v="7.4413489736070374E-3"/>
    <s v="x"/>
    <s v=""/>
    <s v="x"/>
    <m/>
    <m/>
    <m/>
  </r>
  <r>
    <s v="Malawi"/>
    <s v="Sub-Saharan Africa"/>
    <s v="AfDB loan F/MLW/AGR(RD)/87/15"/>
    <s v="C1"/>
    <s v=""/>
    <s v="AfDB loan F/MLW/AGR(RD)/87/15C1"/>
    <x v="1"/>
    <n v="1999"/>
    <x v="1"/>
    <s v=""/>
    <n v="65"/>
    <n v="1.8939999999999999"/>
    <s v="MWK"/>
    <n v="4.2967332123411979E-2"/>
    <n v="6.6103587882172278E-4"/>
    <s v="x"/>
    <s v=""/>
    <s v="x"/>
    <m/>
    <m/>
    <m/>
  </r>
  <r>
    <s v="Malawi"/>
    <s v="Sub-Saharan Africa"/>
    <s v="AfDB loan F/MLW/AGR(RD)/87/15"/>
    <s v="C1"/>
    <s v=""/>
    <s v="AfDB loan F/MLW/AGR(RD)/87/15C1"/>
    <x v="2"/>
    <s v="1987 / 1999"/>
    <x v="1"/>
    <s v=""/>
    <n v="1.0483870967741935"/>
    <n v="1.8660098522167488"/>
    <m/>
    <n v="9.313116322315898E-2"/>
    <n v="8.8832801843628573E-2"/>
    <s v="x"/>
    <s v=""/>
    <s v="x"/>
    <s v="macroeconomic conditions"/>
    <s v="It should be noted that devaluation of the local currency over the implementation period of the project more than doubled project costs when measured in MWK (PCR p. 3). Instead of improving five roads, totalling 62 km, the project improved four roads, totalling 65 km, exceeding the projected target by nearly 5% while remaining within the original budget [when costs are calculated using the UA currency (AfDB currency)] (PCR p.6). "/>
    <s v="; ; Macroeconomic conditions"/>
  </r>
  <r>
    <s v="Burkina Faso"/>
    <s v="Sub-Saharan Africa"/>
    <s v="AfDB P-BF-DB0-012"/>
    <s v="C1"/>
    <s v=""/>
    <s v="AfDB P-BF-DB0-012C1"/>
    <x v="0"/>
    <n v="2004"/>
    <x v="0"/>
    <s v=""/>
    <n v="975"/>
    <n v="8912.01"/>
    <s v="CFAF"/>
    <n v="16.869860679942455"/>
    <n v="1.7302421210197389E-2"/>
    <s v=""/>
    <s v=""/>
    <s v=""/>
    <m/>
    <m/>
    <m/>
  </r>
  <r>
    <s v="Burkina Faso"/>
    <s v="Sub-Saharan Africa"/>
    <s v="AfDB P-BF-DB0-012"/>
    <s v="C1"/>
    <s v=""/>
    <s v="AfDB P-BF-DB0-012C1"/>
    <x v="1"/>
    <n v="2011"/>
    <x v="0"/>
    <s v=""/>
    <n v="919"/>
    <n v="8286.41"/>
    <s v="CFAF"/>
    <n v="17.561162209129826"/>
    <n v="1.9108990434308842E-2"/>
    <s v=""/>
    <s v=""/>
    <s v=""/>
    <m/>
    <m/>
    <m/>
  </r>
  <r>
    <s v="Burkina Faso"/>
    <s v="Sub-Saharan Africa"/>
    <s v="AfDB P-BF-DB0-012"/>
    <s v="C1"/>
    <s v=""/>
    <s v="AfDB P-BF-DB0-012C1"/>
    <x v="2"/>
    <s v="2004 / 2011"/>
    <x v="0"/>
    <s v=""/>
    <n v="0.94256410256410261"/>
    <n v="0.92980259223227979"/>
    <m/>
    <n v="1.040978496639827"/>
    <n v="1.1044113538888263"/>
    <s v=""/>
    <s v=""/>
    <s v=""/>
    <m/>
    <m/>
    <s v=""/>
  </r>
  <r>
    <s v="China"/>
    <s v="East Asia and Pacific"/>
    <s v="Project number: 42017-013"/>
    <s v="C1"/>
    <s v="S1"/>
    <s v="Project number: 42017-013C1S1"/>
    <x v="0"/>
    <n v="2010"/>
    <x v="8"/>
    <s v=""/>
    <n v="206.26"/>
    <n v="468.87"/>
    <s v="CNY"/>
    <n v="69.257016248153619"/>
    <n v="0.3357753139152217"/>
    <s v=""/>
    <s v=""/>
    <s v=""/>
    <m/>
    <m/>
    <m/>
  </r>
  <r>
    <s v="China"/>
    <s v="East Asia and Pacific"/>
    <s v="Project number: 42017-013"/>
    <s v="C1"/>
    <s v="S1"/>
    <s v="Project number: 42017-013C1S1"/>
    <x v="1"/>
    <n v="2016"/>
    <x v="8"/>
    <s v=""/>
    <n v="206.26"/>
    <n v="571.26"/>
    <s v="CNY"/>
    <n v="86.033132530120483"/>
    <n v="0.41711011601920145"/>
    <s v=""/>
    <s v=""/>
    <s v=""/>
    <m/>
    <m/>
    <m/>
  </r>
  <r>
    <s v="China"/>
    <s v="East Asia and Pacific"/>
    <s v="Project number: 42017-013"/>
    <s v="C1"/>
    <s v="S1"/>
    <s v="Project number: 42017-013C1S1"/>
    <x v="2"/>
    <s v="2010 / 2016"/>
    <x v="8"/>
    <s v=""/>
    <n v="1"/>
    <n v="1.2183760957194958"/>
    <m/>
    <n v="1.2422298445814739"/>
    <n v="1.2422298445814739"/>
    <s v=""/>
    <s v=""/>
    <s v=""/>
    <m/>
    <m/>
    <s v=""/>
  </r>
  <r>
    <s v="China"/>
    <s v="East Asia and Pacific"/>
    <s v="Project number: 42017-013"/>
    <s v="C1"/>
    <s v="S2"/>
    <s v="Project number: 42017-013C1S2"/>
    <x v="0"/>
    <n v="2010"/>
    <x v="1"/>
    <s v=""/>
    <n v="127.92"/>
    <n v="41.15"/>
    <s v="CNY"/>
    <n v="6.0782865583456429"/>
    <n v="4.7516311431720158E-2"/>
    <s v=""/>
    <s v=""/>
    <s v=""/>
    <m/>
    <m/>
    <m/>
  </r>
  <r>
    <s v="China"/>
    <s v="East Asia and Pacific"/>
    <s v="Project number: 42017-013"/>
    <s v="C1"/>
    <s v="S2"/>
    <s v="Project number: 42017-013C1S2"/>
    <x v="1"/>
    <n v="2016"/>
    <x v="1"/>
    <s v=""/>
    <n v="127.92"/>
    <n v="47.25"/>
    <s v="CNY"/>
    <n v="7.1159638554216871"/>
    <n v="5.5628235267524133E-2"/>
    <s v=""/>
    <s v=""/>
    <s v=""/>
    <m/>
    <m/>
    <m/>
  </r>
  <r>
    <s v="China"/>
    <s v="East Asia and Pacific"/>
    <s v="Project number: 42017-013"/>
    <s v="C1"/>
    <s v="S2"/>
    <s v="Project number: 42017-013C1S2"/>
    <x v="2"/>
    <s v="2010 / 2016"/>
    <x v="1"/>
    <s v=""/>
    <n v="1"/>
    <n v="1.1482381530984205"/>
    <m/>
    <n v="1.1707187193488413"/>
    <n v="1.1707187193488413"/>
    <s v=""/>
    <s v=""/>
    <s v=""/>
    <m/>
    <m/>
    <s v=""/>
  </r>
  <r>
    <s v="China"/>
    <s v="East Asia and Pacific"/>
    <s v="Project number: 42017-013"/>
    <s v="C1"/>
    <s v="S3"/>
    <s v="Project number: 42017-013C1S3"/>
    <x v="0"/>
    <n v="2010"/>
    <x v="7"/>
    <s v=""/>
    <n v="12.88"/>
    <n v="78.91"/>
    <s v="CNY"/>
    <n v="11.655834564254063"/>
    <n v="0.90495609970916635"/>
    <s v=""/>
    <s v=""/>
    <s v=""/>
    <m/>
    <m/>
    <m/>
  </r>
  <r>
    <s v="China"/>
    <s v="East Asia and Pacific"/>
    <s v="Project number: 42017-013"/>
    <s v="C1"/>
    <s v="S3"/>
    <s v="Project number: 42017-013C1S3"/>
    <x v="1"/>
    <n v="2016"/>
    <x v="7"/>
    <s v=""/>
    <n v="12.88"/>
    <n v="99.11"/>
    <s v="CNY"/>
    <n v="14.926204819277109"/>
    <n v="1.1588668337948065"/>
    <s v=""/>
    <s v=""/>
    <s v=""/>
    <m/>
    <m/>
    <m/>
  </r>
  <r>
    <s v="China"/>
    <s v="East Asia and Pacific"/>
    <s v="Project number: 42017-013"/>
    <s v="C1"/>
    <s v="S3"/>
    <s v="Project number: 42017-013C1S3"/>
    <x v="2"/>
    <s v="2010 / 2016"/>
    <x v="7"/>
    <s v=""/>
    <n v="1"/>
    <n v="1.2559878342415411"/>
    <m/>
    <n v="1.280577957502294"/>
    <n v="1.280577957502294"/>
    <s v=""/>
    <s v=""/>
    <s v=""/>
    <m/>
    <m/>
    <s v=""/>
  </r>
  <r>
    <s v="Kazakhstan"/>
    <s v="Europe and Central Asia"/>
    <s v="Project numbers 29568 &amp; 32463 "/>
    <s v="C1"/>
    <s v=""/>
    <s v="Project numbers 29568 &amp; 32463 C1"/>
    <x v="0"/>
    <n v="2000"/>
    <x v="6"/>
    <s v=""/>
    <n v="245"/>
    <n v="73.62"/>
    <s v="KAZ"/>
    <n v="0.51797650038696974"/>
    <n v="2.1141897974978358E-3"/>
    <s v="x"/>
    <s v=""/>
    <s v="x"/>
    <m/>
    <m/>
    <m/>
  </r>
  <r>
    <s v="Kazakhstan"/>
    <s v="Europe and Central Asia"/>
    <s v="Project numbers 29568 &amp; 32463 "/>
    <s v="C1"/>
    <s v=""/>
    <s v="Project numbers 29568 &amp; 32463 C1"/>
    <x v="1"/>
    <n v="2007"/>
    <x v="6"/>
    <s v=""/>
    <n v="221"/>
    <n v="111.5"/>
    <s v="KAZ"/>
    <n v="0.90983272133822934"/>
    <n v="4.1168901418019424E-3"/>
    <s v="x"/>
    <s v=""/>
    <s v="x"/>
    <m/>
    <m/>
    <m/>
  </r>
  <r>
    <s v="Kazakhstan"/>
    <s v="Europe and Central Asia"/>
    <s v="Project numbers 29568 &amp; 32463 "/>
    <s v="C1"/>
    <s v=""/>
    <s v="Project numbers 29568 &amp; 32463 C1"/>
    <x v="2"/>
    <s v="2000 / 2007"/>
    <x v="6"/>
    <s v=""/>
    <n v="0.90204081632653066"/>
    <n v="1.5145340939961967"/>
    <m/>
    <n v="1.7565135110540957"/>
    <n v="1.947266109539608"/>
    <s v="x"/>
    <s v=""/>
    <s v="x"/>
    <s v="macroeconomic conditions"/>
    <s v="A contributing factor to cost overruns was the higher than expected price escalation for major construction inputs over a longer implementation period. Particularly, the cost of bitumen increased by 50% per annum during the period 2003–2007, and the rate of price escalation was high for steel, cement, and labor. The price escalation of 2.4% per annum estimated at appraisal was, therefore, far exceeded. (PCR p.5) - The length of the rehabilitated road was reduced due to the increased works on the main road sections as a result of very poor condition of the pavement and major bridges (PCR p. 2)"/>
    <s v="; ; macroeconomic conditions"/>
  </r>
  <r>
    <s v="Cambodia"/>
    <s v="East Asia and Pacific"/>
    <s v="Project Number: 42358-013"/>
    <s v="C1"/>
    <s v=""/>
    <s v="Project Number: 42358-013C1"/>
    <x v="0"/>
    <n v="2009"/>
    <x v="1"/>
    <s v=""/>
    <n v="113"/>
    <n v="23.78"/>
    <s v="KHR"/>
    <n v="5.6646696601912842E-3"/>
    <n v="5.0129820001692782E-5"/>
    <s v="x"/>
    <s v=""/>
    <s v="x"/>
    <m/>
    <m/>
    <m/>
  </r>
  <r>
    <s v="Cambodia"/>
    <s v="East Asia and Pacific"/>
    <s v="Project Number: 42358-013"/>
    <s v="C1"/>
    <s v=""/>
    <s v="Project Number: 42358-013C1"/>
    <x v="1"/>
    <n v="2014"/>
    <x v="1"/>
    <s v=""/>
    <n v="113"/>
    <n v="35.93"/>
    <s v="KHR"/>
    <n v="8.89907120743034E-3"/>
    <n v="7.8752842543631333E-5"/>
    <s v="x"/>
    <s v=""/>
    <s v="x"/>
    <m/>
    <m/>
    <m/>
  </r>
  <r>
    <s v="Cambodia"/>
    <s v="East Asia and Pacific"/>
    <s v="Project Number: 42358-013"/>
    <s v="C1"/>
    <s v=""/>
    <s v="Project Number: 42358-013C1"/>
    <x v="2"/>
    <s v="2009 / 2014"/>
    <x v="1"/>
    <m/>
    <n v="1"/>
    <n v="1.510933557611438"/>
    <m/>
    <n v="1.570977963634659"/>
    <n v="1.5709779636346592"/>
    <s v="x"/>
    <s v=""/>
    <s v="x"/>
    <s v="macroeconomic conditions"/>
    <s v="The difference between total project costs at appraisal and completion is about $2.59 million, which was mainly due to the cost overruns of civil works, as a result of price increases beyond projections (PCR p. 5)"/>
    <s v="; ; macroeconomic conditions"/>
  </r>
  <r>
    <s v="Kazakhstan"/>
    <s v="Europe and Central Asia"/>
    <s v="Project Number: 43439-023 "/>
    <s v="C1"/>
    <s v=""/>
    <s v="Project Number: 43439-023 C1"/>
    <x v="0"/>
    <n v="2010"/>
    <x v="5"/>
    <s v=""/>
    <n v="200.5"/>
    <n v="271.39999999999998"/>
    <s v="USD"/>
    <n v="271.39999999999998"/>
    <n v="1.3536159600997506"/>
    <s v=""/>
    <s v=""/>
    <s v=""/>
    <m/>
    <m/>
    <m/>
  </r>
  <r>
    <s v="Kazakhstan"/>
    <s v="Europe and Central Asia"/>
    <s v="Project Number: 43439-023 "/>
    <s v="C1"/>
    <s v=""/>
    <s v="Project Number: 43439-023 C1"/>
    <x v="1"/>
    <n v="2016"/>
    <x v="5"/>
    <s v=""/>
    <n v="200.5"/>
    <n v="163.51"/>
    <s v="USD"/>
    <n v="163.51"/>
    <n v="0.81551122194513714"/>
    <s v=""/>
    <s v=""/>
    <s v=""/>
    <m/>
    <m/>
    <m/>
  </r>
  <r>
    <s v="Kazakhstan"/>
    <s v="Europe and Central Asia"/>
    <s v="Project Number: 43439-023 "/>
    <s v="C1"/>
    <s v=""/>
    <s v="Project Number: 43439-023 C1"/>
    <x v="2"/>
    <s v="2010 / 2016"/>
    <x v="5"/>
    <m/>
    <n v="1"/>
    <n v="0.60246868091378036"/>
    <m/>
    <n v="0.60246868091378036"/>
    <n v="0.60246868091378036"/>
    <s v=""/>
    <s v=""/>
    <s v=""/>
    <m/>
    <m/>
    <m/>
  </r>
  <r>
    <m/>
    <m/>
    <m/>
    <m/>
    <m/>
    <m/>
    <x v="3"/>
    <m/>
    <x v="17"/>
    <m/>
    <m/>
    <m/>
    <m/>
    <m/>
    <m/>
    <m/>
    <m/>
    <m/>
    <m/>
    <m/>
    <m/>
  </r>
  <r>
    <m/>
    <m/>
    <m/>
    <m/>
    <m/>
    <m/>
    <x v="3"/>
    <m/>
    <x v="17"/>
    <m/>
    <m/>
    <m/>
    <m/>
    <m/>
    <m/>
    <m/>
    <m/>
    <m/>
    <m/>
    <m/>
    <m/>
  </r>
</pivotCacheRecords>
</file>

<file path=xl/pivotCache/pivotCacheRecords4.xml><?xml version="1.0" encoding="utf-8"?>
<pivotCacheRecords xmlns="http://schemas.openxmlformats.org/spreadsheetml/2006/main" xmlns:r="http://schemas.openxmlformats.org/officeDocument/2006/relationships" count="563">
  <r>
    <s v="Mozambique"/>
    <s v="Sub-Saharan Africa"/>
    <s v="P001785"/>
    <s v="C1"/>
    <s v=""/>
    <s v="P001785C1"/>
    <s v="Ratio"/>
    <s v="2001 / 2007"/>
    <x v="0"/>
    <s v=""/>
    <n v="0.66159999999999997"/>
    <n v="1.3667232597623091"/>
    <m/>
    <n v="1.3667232597623091"/>
    <n v="2.0657848545379518"/>
    <s v="x"/>
    <n v="0"/>
    <n v="0"/>
    <x v="0"/>
    <n v="0"/>
    <n v="1"/>
    <s v=""/>
    <s v=""/>
    <s v=""/>
    <s v=""/>
    <n v="1"/>
    <n v="1"/>
    <s v=""/>
    <s v=""/>
    <s v=""/>
    <s v="Macroeconomic conditions ; Capacity of contractors; Capacity of counterpart"/>
  </r>
  <r>
    <s v="Chad"/>
    <s v="Sub-Saharan Africa"/>
    <s v="P035672"/>
    <s v="C1"/>
    <s v="S1"/>
    <s v="P035672C1S1"/>
    <s v="Ratio"/>
    <s v="2000 / 2009"/>
    <x v="1"/>
    <s v=""/>
    <n v="1"/>
    <n v="1.0973550928531233"/>
    <m/>
    <n v="1.0973550928531233"/>
    <n v="1.0973550928531233"/>
    <s v=""/>
    <n v="0"/>
    <n v="0"/>
    <x v="1"/>
    <n v="0"/>
    <s v=""/>
    <s v=""/>
    <s v=""/>
    <s v=""/>
    <s v=""/>
    <s v=""/>
    <s v=""/>
    <s v=""/>
    <s v=""/>
    <s v=""/>
    <s v=""/>
  </r>
  <r>
    <s v="Chad"/>
    <s v="Sub-Saharan Africa"/>
    <s v="P035672"/>
    <s v="C1"/>
    <s v="S2"/>
    <s v="P035672C1S2"/>
    <s v="Ratio"/>
    <s v="2000 / 2009"/>
    <x v="2"/>
    <s v=""/>
    <n v="1"/>
    <n v="1.7350157728706626"/>
    <m/>
    <n v="1.7350157728706626"/>
    <n v="1.7350157728706626"/>
    <s v="x"/>
    <n v="0"/>
    <n v="0"/>
    <x v="0"/>
    <n v="0"/>
    <n v="1"/>
    <s v=""/>
    <s v=""/>
    <s v=""/>
    <s v=""/>
    <s v=""/>
    <n v="1"/>
    <s v=""/>
    <s v=""/>
    <n v="1"/>
    <s v="Change of project scope  ; Capacity of contractors; Macroeconomic conditions "/>
  </r>
  <r>
    <s v="Chad"/>
    <s v="Sub-Saharan Africa"/>
    <s v="P035672"/>
    <s v="C2"/>
    <s v=""/>
    <s v="P035672C2"/>
    <s v="Ratio"/>
    <s v="2000 / 2009"/>
    <x v="3"/>
    <n v="1.1875"/>
    <n v="1"/>
    <n v="1.430761369443025"/>
    <m/>
    <n v="1.430761369443025"/>
    <n v="1.430761369443025"/>
    <s v=""/>
    <n v="0"/>
    <n v="0"/>
    <x v="1"/>
    <n v="0"/>
    <s v=""/>
    <s v=""/>
    <s v=""/>
    <s v=""/>
    <s v=""/>
    <s v=""/>
    <s v=""/>
    <s v=""/>
    <s v=""/>
    <s v=""/>
    <s v=""/>
  </r>
  <r>
    <s v="Estonia"/>
    <s v="Europe and Central Asia"/>
    <s v="P035775"/>
    <s v="C1"/>
    <s v=""/>
    <s v="P035775C1"/>
    <s v="Ratio"/>
    <s v="2000 / 2005"/>
    <x v="0"/>
    <s v=""/>
    <n v="1.3636363636363635"/>
    <n v="1.1383371824480371"/>
    <m/>
    <n v="1.1383371824480371"/>
    <n v="0.83478060046189384"/>
    <s v=""/>
    <n v="0"/>
    <n v="0"/>
    <x v="1"/>
    <n v="0"/>
    <s v=""/>
    <s v=""/>
    <s v=""/>
    <s v=""/>
    <s v=""/>
    <s v=""/>
    <s v=""/>
    <s v=""/>
    <s v=""/>
    <s v=""/>
    <s v=""/>
  </r>
  <r>
    <s v="Georgia"/>
    <s v="Europe and Central Asia"/>
    <s v="P040556"/>
    <s v="C1"/>
    <s v=""/>
    <s v="P040556C1"/>
    <s v="Ratio"/>
    <s v="2000 / 2006"/>
    <x v="1"/>
    <s v=""/>
    <n v="1.0308641975308641"/>
    <n v="1.0113636363636365"/>
    <m/>
    <n v="1.0113636363636365"/>
    <n v="0.98108328796951561"/>
    <s v=""/>
    <n v="0"/>
    <n v="0"/>
    <x v="1"/>
    <n v="0"/>
    <s v=""/>
    <s v=""/>
    <s v=""/>
    <s v=""/>
    <s v=""/>
    <s v=""/>
    <s v=""/>
    <s v=""/>
    <s v=""/>
    <s v=""/>
    <s v=""/>
  </r>
  <r>
    <s v="Vietnam"/>
    <s v="East Asia and Pacific"/>
    <s v="P042927"/>
    <s v="C1"/>
    <s v=""/>
    <s v="P042927C1"/>
    <s v="Ratio"/>
    <s v="2000 / 2011"/>
    <x v="4"/>
    <n v="1.1538461538461537"/>
    <n v="1"/>
    <n v="1.7180160083978482"/>
    <m/>
    <n v="1.7180160083978482"/>
    <n v="1.7180160083978484"/>
    <s v="x"/>
    <n v="0"/>
    <n v="0"/>
    <x v="0"/>
    <n v="0"/>
    <n v="1"/>
    <s v=""/>
    <s v=""/>
    <s v=""/>
    <s v=""/>
    <n v="1"/>
    <s v=""/>
    <s v=""/>
    <s v=""/>
    <s v=""/>
    <s v="Capacity of counterpart; Macroeconomic conditions  ; "/>
  </r>
  <r>
    <s v="Croatia"/>
    <s v="Europe and Central Asia"/>
    <s v="P043195"/>
    <s v="C3"/>
    <s v=""/>
    <s v="P043195C3"/>
    <s v="Ratio"/>
    <s v="2003 / 2013"/>
    <x v="5"/>
    <n v="1.3"/>
    <n v="0.97846153846153849"/>
    <n v="1.3371298405466971"/>
    <m/>
    <n v="1.3371298405466971"/>
    <n v="1.3665635162820018"/>
    <s v=""/>
    <n v="0"/>
    <n v="0"/>
    <x v="1"/>
    <n v="0"/>
    <s v=""/>
    <s v=""/>
    <s v=""/>
    <s v=""/>
    <s v=""/>
    <s v=""/>
    <s v=""/>
    <s v=""/>
    <s v=""/>
    <s v=""/>
    <s v=""/>
  </r>
  <r>
    <s v="Ethiopia"/>
    <s v="Sub-Saharan Africa"/>
    <s v="P044613"/>
    <s v="C1"/>
    <s v="S1"/>
    <s v="P044613C1S1"/>
    <s v="Ratio"/>
    <s v="2003 / 2010"/>
    <x v="2"/>
    <n v="1.4166666666666667"/>
    <n v="1"/>
    <n v="1.4197601370645343"/>
    <m/>
    <n v="1.4197601370645343"/>
    <n v="1.4197601370645343"/>
    <s v=""/>
    <n v="0"/>
    <n v="0"/>
    <x v="1"/>
    <n v="0"/>
    <s v=""/>
    <s v=""/>
    <s v=""/>
    <s v=""/>
    <s v=""/>
    <s v=""/>
    <s v=""/>
    <s v=""/>
    <s v=""/>
    <s v=""/>
    <s v=""/>
  </r>
  <r>
    <s v="Ethiopia"/>
    <s v="Sub-Saharan Africa"/>
    <s v="P044613"/>
    <s v="C1"/>
    <s v="S2"/>
    <s v="P044613C1S2"/>
    <s v="Ratio"/>
    <s v="2003 / 2010"/>
    <x v="6"/>
    <n v="1.1388888888888888"/>
    <n v="1"/>
    <n v="1.505426356589147"/>
    <m/>
    <n v="1.505426356589147"/>
    <n v="1.505426356589147"/>
    <s v="x"/>
    <n v="0"/>
    <n v="0"/>
    <x v="0"/>
    <n v="0"/>
    <n v="1"/>
    <s v=""/>
    <s v=""/>
    <s v=""/>
    <s v=""/>
    <s v=""/>
    <s v=""/>
    <s v=""/>
    <s v=""/>
    <s v=""/>
    <s v="Macroeconomic conditions ; ; "/>
  </r>
  <r>
    <s v="Ethiopia"/>
    <s v="Sub-Saharan Africa"/>
    <s v="P044613"/>
    <s v="C1"/>
    <s v="S3"/>
    <s v="P044613C1S3"/>
    <s v="Ratio"/>
    <s v="2003 / 2010"/>
    <x v="2"/>
    <n v="1.1666666666666667"/>
    <n v="1"/>
    <n v="1.3824139361260888"/>
    <m/>
    <n v="1.3824139361260888"/>
    <n v="1.3824139361260885"/>
    <s v=""/>
    <n v="0"/>
    <n v="0"/>
    <x v="1"/>
    <n v="0"/>
    <s v=""/>
    <s v=""/>
    <s v=""/>
    <s v=""/>
    <s v=""/>
    <s v=""/>
    <s v=""/>
    <s v=""/>
    <s v=""/>
    <s v=""/>
    <s v=""/>
  </r>
  <r>
    <s v="Ethiopia"/>
    <s v="Sub-Saharan Africa"/>
    <s v="P044613"/>
    <s v="C1"/>
    <s v="S4"/>
    <s v="P044613C1S4"/>
    <s v="Ratio"/>
    <s v="2003 / 2010"/>
    <x v="2"/>
    <n v="1.5555555555555556"/>
    <n v="1"/>
    <n v="1.7683912691996768"/>
    <m/>
    <n v="1.7683912691996768"/>
    <n v="1.7683912691996768"/>
    <s v="x"/>
    <n v="0"/>
    <n v="0"/>
    <x v="0"/>
    <n v="0"/>
    <n v="1"/>
    <s v=""/>
    <s v=""/>
    <s v=""/>
    <s v=""/>
    <s v=""/>
    <s v=""/>
    <s v=""/>
    <s v=""/>
    <s v=""/>
    <s v="Macroeconomic conditions ; ; "/>
  </r>
  <r>
    <s v="Ethiopia"/>
    <s v="Sub-Saharan Africa"/>
    <s v="P044613"/>
    <s v="C2"/>
    <s v=""/>
    <s v="P044613C2"/>
    <s v="Ratio"/>
    <s v="2003 / 2010"/>
    <x v="7"/>
    <n v="1.1666666666666667"/>
    <n v="0.82914572864321601"/>
    <n v="0.67794836008374038"/>
    <m/>
    <n v="0.67794836008374038"/>
    <n v="0.81764681004038997"/>
    <s v=""/>
    <n v="0"/>
    <n v="0"/>
    <x v="1"/>
    <n v="0"/>
    <s v=""/>
    <s v=""/>
    <s v=""/>
    <s v=""/>
    <s v=""/>
    <s v=""/>
    <s v=""/>
    <s v=""/>
    <s v=""/>
    <s v=""/>
    <s v=""/>
  </r>
  <r>
    <s v="Nepal"/>
    <s v="South Asia"/>
    <s v="P045052"/>
    <s v="C1"/>
    <s v=""/>
    <s v="P045052C1"/>
    <s v="Ratio"/>
    <s v="1999 / 2007"/>
    <x v="8"/>
    <s v=""/>
    <n v="1.55"/>
    <n v="4.2650406504065037"/>
    <m/>
    <n v="4.2650406504065037"/>
    <n v="2.751639129294519"/>
    <s v="x"/>
    <n v="1"/>
    <n v="0"/>
    <x v="0"/>
    <n v="0"/>
    <s v=""/>
    <n v="1"/>
    <s v=""/>
    <s v=""/>
    <s v=""/>
    <s v=""/>
    <s v=""/>
    <s v=""/>
    <n v="1"/>
    <n v="1"/>
    <s v=" Political events; Quality of estimates ; Change of project scope "/>
  </r>
  <r>
    <s v="Nepal"/>
    <s v="South Asia"/>
    <s v="P045052"/>
    <s v="C2"/>
    <s v=""/>
    <s v="P045052C2"/>
    <s v="Ratio"/>
    <s v="1999 / 2007"/>
    <x v="8"/>
    <s v=""/>
    <n v="1.4063829787234043"/>
    <n v="1.9644760213143873"/>
    <m/>
    <n v="1.9644760213143873"/>
    <n v="1.396828638453498"/>
    <s v=""/>
    <n v="0"/>
    <n v="0"/>
    <x v="1"/>
    <n v="0"/>
    <s v=""/>
    <s v=""/>
    <s v=""/>
    <s v=""/>
    <s v=""/>
    <s v=""/>
    <s v=""/>
    <s v=""/>
    <s v=""/>
    <s v=""/>
    <s v=""/>
  </r>
  <r>
    <s v="China"/>
    <s v="East Asia and Pacific"/>
    <s v="P045915"/>
    <s v="C1"/>
    <s v=""/>
    <s v="P045915C1"/>
    <s v="Ratio"/>
    <s v="2000 / 2008"/>
    <x v="9"/>
    <n v="1"/>
    <n v="1"/>
    <n v="1.1108829568788501"/>
    <m/>
    <n v="1.1108829568788501"/>
    <n v="1.1108829568788501"/>
    <s v=""/>
    <n v="0"/>
    <n v="0"/>
    <x v="1"/>
    <n v="0"/>
    <s v=""/>
    <s v=""/>
    <s v=""/>
    <s v=""/>
    <s v=""/>
    <s v=""/>
    <s v=""/>
    <s v=""/>
    <s v=""/>
    <s v=""/>
    <s v=""/>
  </r>
  <r>
    <s v="Papua New Guinea"/>
    <s v="East Asia and Pacific"/>
    <s v="P054238"/>
    <s v="C1"/>
    <s v=""/>
    <s v="P054238C1"/>
    <s v="Ratio"/>
    <s v="1999 / 2008"/>
    <x v="0"/>
    <n v="1.9027777777777777"/>
    <n v="1"/>
    <n v="2.8192918192918195"/>
    <m/>
    <n v="2.8192918192918195"/>
    <n v="2.8192918192918199"/>
    <s v="x"/>
    <n v="0"/>
    <n v="0"/>
    <x v="0"/>
    <n v="0"/>
    <n v="1"/>
    <s v=""/>
    <n v="1"/>
    <s v=""/>
    <s v=""/>
    <n v="1"/>
    <s v=""/>
    <s v=""/>
    <s v=""/>
    <s v=""/>
    <s v="Weather shocks ; Macroeconomic conditions ; Capacity of counterpart "/>
  </r>
  <r>
    <s v="Brazil"/>
    <s v="Latin America and Caribbean"/>
    <s v="P055954"/>
    <s v="C1"/>
    <s v=""/>
    <s v="P055954C1"/>
    <s v="Ratio"/>
    <s v="2001 / 2006"/>
    <x v="8"/>
    <s v=""/>
    <n v="0.83333333333333337"/>
    <n v="1.2411575562700965"/>
    <m/>
    <n v="1.2411575562700965"/>
    <n v="1.4893890675241159"/>
    <s v=""/>
    <n v="0"/>
    <n v="0"/>
    <x v="1"/>
    <n v="0"/>
    <s v=""/>
    <s v=""/>
    <s v=""/>
    <s v=""/>
    <s v=""/>
    <s v=""/>
    <s v=""/>
    <s v=""/>
    <s v=""/>
    <s v=""/>
    <s v=""/>
  </r>
  <r>
    <s v="Brazil"/>
    <s v="Latin America and Caribbean"/>
    <s v="P055954"/>
    <s v="C2"/>
    <s v=""/>
    <s v="P055954C2"/>
    <s v="Ratio"/>
    <s v="2001 / 2006"/>
    <x v="6"/>
    <s v=""/>
    <n v="0.9"/>
    <n v="0.93765586034912718"/>
    <m/>
    <n v="0.93765586034912718"/>
    <n v="1.0418398448323636"/>
    <s v=""/>
    <n v="0"/>
    <n v="0"/>
    <x v="1"/>
    <n v="0"/>
    <s v=""/>
    <s v=""/>
    <s v=""/>
    <s v=""/>
    <s v=""/>
    <s v=""/>
    <s v=""/>
    <s v=""/>
    <s v=""/>
    <s v=""/>
    <s v=""/>
  </r>
  <r>
    <s v="Mongolia"/>
    <s v="East Asia and Pacific"/>
    <s v="P056200"/>
    <s v="C1"/>
    <s v=""/>
    <s v="P056200C1"/>
    <s v="Ratio"/>
    <s v="2001 / 2008"/>
    <x v="2"/>
    <s v=""/>
    <n v="1.2162921348314606"/>
    <n v="1.0688481675392669"/>
    <m/>
    <n v="1.0688481675392669"/>
    <n v="0.87877586060965129"/>
    <s v=""/>
    <n v="0"/>
    <n v="0"/>
    <x v="1"/>
    <n v="0"/>
    <s v=""/>
    <s v=""/>
    <s v=""/>
    <s v=""/>
    <s v=""/>
    <s v=""/>
    <s v=""/>
    <s v=""/>
    <s v=""/>
    <s v=""/>
    <s v=""/>
  </r>
  <r>
    <s v="China"/>
    <s v="East Asia and Pacific"/>
    <s v="P056596 "/>
    <s v="C1"/>
    <s v=""/>
    <s v="P056596 C1"/>
    <s v="Ratio"/>
    <s v="2001 / 2009"/>
    <x v="4"/>
    <s v=""/>
    <n v="1.3191489361702127"/>
    <n v="1.2008220786846739"/>
    <m/>
    <n v="1.2008220786846739"/>
    <n v="0.91030060803515611"/>
    <s v=""/>
    <n v="0"/>
    <n v="0"/>
    <x v="1"/>
    <n v="0"/>
    <s v=""/>
    <s v=""/>
    <s v=""/>
    <s v=""/>
    <s v=""/>
    <s v=""/>
    <s v=""/>
    <s v=""/>
    <s v=""/>
    <s v=""/>
    <s v=""/>
  </r>
  <r>
    <s v="Congo, Dem. Rep."/>
    <s v="Sub-Saharan Africa"/>
    <s v="P057296"/>
    <s v="C1"/>
    <s v=""/>
    <s v="P057296C1"/>
    <s v="Ratio"/>
    <s v="2007 / 2010"/>
    <x v="1"/>
    <n v="3.4285714285714284"/>
    <n v="0.83359872611464969"/>
    <n v="1.4375"/>
    <m/>
    <n v="1.4375"/>
    <n v="1.7244508118433619"/>
    <s v="x"/>
    <n v="0"/>
    <n v="0"/>
    <x v="0"/>
    <n v="0"/>
    <s v=""/>
    <n v="1"/>
    <s v=""/>
    <s v=""/>
    <s v=""/>
    <n v="1"/>
    <s v=""/>
    <s v=""/>
    <n v="1"/>
    <s v=""/>
    <s v="Political events ; Quality of estimates ; Capacity of counterpart"/>
  </r>
  <r>
    <s v="China"/>
    <s v="East Asia and Pacific"/>
    <s v="P058843"/>
    <s v="C1"/>
    <s v=""/>
    <s v="P058843C1"/>
    <s v="Ratio"/>
    <s v="2000 / 2007"/>
    <x v="6"/>
    <n v="1.25"/>
    <n v="0.97923728813559319"/>
    <n v="0.85701692524682649"/>
    <m/>
    <n v="0.85701692524682649"/>
    <n v="0.87518820579078782"/>
    <s v=""/>
    <n v="0"/>
    <n v="0"/>
    <x v="1"/>
    <n v="0"/>
    <s v=""/>
    <s v=""/>
    <s v=""/>
    <s v=""/>
    <s v=""/>
    <s v=""/>
    <s v=""/>
    <s v=""/>
    <s v=""/>
    <s v=""/>
    <s v=""/>
  </r>
  <r>
    <s v="China"/>
    <s v="East Asia and Pacific"/>
    <s v="P058845"/>
    <s v="C1"/>
    <s v="S1"/>
    <s v="P058845C1S1"/>
    <s v="Ratio"/>
    <s v="2001 / 2007"/>
    <x v="5"/>
    <s v=""/>
    <n v="0.98461538461538467"/>
    <n v="0.68261964735516378"/>
    <m/>
    <n v="0.68261964735516378"/>
    <n v="0.69328557934508817"/>
    <s v=""/>
    <n v="0"/>
    <n v="0"/>
    <x v="1"/>
    <n v="0"/>
    <s v=""/>
    <s v=""/>
    <s v=""/>
    <s v=""/>
    <s v=""/>
    <s v=""/>
    <s v=""/>
    <s v=""/>
    <s v=""/>
    <s v=""/>
    <s v=""/>
  </r>
  <r>
    <s v="China"/>
    <s v="East Asia and Pacific"/>
    <s v="P058845"/>
    <s v="C2"/>
    <s v=""/>
    <s v="P058845C2"/>
    <s v="Ratio"/>
    <s v="2001 / 2007"/>
    <x v="2"/>
    <s v=""/>
    <n v="1.0111111111111111"/>
    <n v="0.7917282127031019"/>
    <m/>
    <n v="0.7917282127031019"/>
    <n v="0.7830279026733975"/>
    <s v=""/>
    <n v="0"/>
    <n v="0"/>
    <x v="1"/>
    <n v="0"/>
    <s v=""/>
    <s v=""/>
    <s v=""/>
    <s v=""/>
    <s v=""/>
    <s v=""/>
    <s v=""/>
    <s v=""/>
    <s v=""/>
    <s v=""/>
    <s v=""/>
  </r>
  <r>
    <s v="Bhutan"/>
    <s v="South Asia"/>
    <s v="P059481"/>
    <s v="C1"/>
    <s v=""/>
    <s v="P059481C1"/>
    <s v="Ratio"/>
    <s v="1999 / 2006"/>
    <x v="7"/>
    <n v="1.2333333333333334"/>
    <n v="1.0554098360655737"/>
    <n v="1.008"/>
    <m/>
    <n v="1.008"/>
    <n v="0.95507921714818267"/>
    <s v=""/>
    <n v="0"/>
    <n v="0"/>
    <x v="1"/>
    <n v="0"/>
    <s v=""/>
    <s v=""/>
    <s v=""/>
    <s v=""/>
    <s v=""/>
    <s v=""/>
    <s v=""/>
    <s v=""/>
    <s v=""/>
    <s v=""/>
    <s v=""/>
  </r>
  <r>
    <s v="Burundi"/>
    <s v="Sub-Saharan Africa"/>
    <s v="P064876"/>
    <s v="C1"/>
    <s v=""/>
    <s v="P064876C1"/>
    <s v="Ratio"/>
    <s v="2004 / 2016"/>
    <x v="0"/>
    <s v=""/>
    <n v="1"/>
    <n v="1.4532862481571638"/>
    <m/>
    <n v="1.4532862481571638"/>
    <n v="1.453286248157164"/>
    <s v=""/>
    <n v="0"/>
    <n v="0"/>
    <x v="1"/>
    <n v="0"/>
    <s v=""/>
    <s v=""/>
    <s v=""/>
    <s v=""/>
    <s v=""/>
    <s v=""/>
    <s v=""/>
    <s v=""/>
    <s v=""/>
    <s v=""/>
    <s v=""/>
  </r>
  <r>
    <s v="Burundi"/>
    <s v="Sub-Saharan Africa"/>
    <s v="P064876"/>
    <s v="C2"/>
    <s v=""/>
    <s v="P064876C2"/>
    <s v="Ratio"/>
    <s v="2004 / 2016"/>
    <x v="10"/>
    <s v=""/>
    <n v="1.0142857142857142"/>
    <n v="0.85256746823480001"/>
    <m/>
    <n v="0.85256746823480001"/>
    <n v="0.84055947572445056"/>
    <s v=""/>
    <n v="0"/>
    <n v="0"/>
    <x v="1"/>
    <n v="0"/>
    <s v=""/>
    <s v=""/>
    <s v=""/>
    <s v=""/>
    <s v=""/>
    <s v=""/>
    <s v=""/>
    <s v=""/>
    <s v=""/>
    <s v=""/>
    <s v=""/>
  </r>
  <r>
    <s v="India"/>
    <s v="South Asia"/>
    <s v="P067606"/>
    <s v="C1"/>
    <s v=""/>
    <s v="P067606C1"/>
    <s v="Ratio"/>
    <s v="2002 / 2011"/>
    <x v="2"/>
    <n v="1.25"/>
    <n v="0.70545829042224506"/>
    <n v="0.75874125874125875"/>
    <m/>
    <n v="0.75874125874125875"/>
    <n v="1.075529579909142"/>
    <s v=""/>
    <n v="0"/>
    <n v="0"/>
    <x v="1"/>
    <n v="0"/>
    <s v=""/>
    <s v=""/>
    <s v=""/>
    <s v=""/>
    <s v=""/>
    <s v=""/>
    <s v=""/>
    <s v=""/>
    <s v=""/>
    <s v=""/>
    <s v=""/>
  </r>
  <r>
    <s v="India"/>
    <s v="South Asia"/>
    <s v="P067606"/>
    <s v="C2"/>
    <s v=""/>
    <s v="P067606C2"/>
    <s v="Ratio"/>
    <s v="2002 / 2011"/>
    <x v="6"/>
    <n v="1.25"/>
    <n v="0.76004775169120575"/>
    <n v="1.2033747779751334"/>
    <m/>
    <n v="1.2033747779751334"/>
    <n v="1.5832883858908426"/>
    <s v="x"/>
    <n v="0"/>
    <n v="0"/>
    <x v="0"/>
    <n v="0"/>
    <n v="1"/>
    <s v=""/>
    <s v=""/>
    <s v=""/>
    <s v=""/>
    <n v="1"/>
    <s v=""/>
    <s v=""/>
    <s v=""/>
    <s v=""/>
    <s v="Capacity of counterpart; Capacity of counterpart ; Macroeconomic conditions"/>
  </r>
  <r>
    <s v="Nicaragua"/>
    <s v="Latin America and Caribbean"/>
    <s v="P068673"/>
    <s v="C1"/>
    <s v=""/>
    <s v="P068673C1"/>
    <s v="Ratio"/>
    <s v="2000 / 2007"/>
    <x v="11"/>
    <s v=""/>
    <n v="0.98645161290322581"/>
    <n v="1.0906593406593408"/>
    <m/>
    <n v="1.0906593406593408"/>
    <n v="1.1056389653511955"/>
    <s v=""/>
    <n v="0"/>
    <n v="0"/>
    <x v="1"/>
    <n v="0"/>
    <s v=""/>
    <s v=""/>
    <s v=""/>
    <s v=""/>
    <s v=""/>
    <s v=""/>
    <s v=""/>
    <s v=""/>
    <s v=""/>
    <s v=""/>
    <s v=""/>
  </r>
  <r>
    <s v="Nicaragua"/>
    <s v="Latin America and Caribbean"/>
    <s v="P068673"/>
    <s v="C2"/>
    <s v=""/>
    <s v="P068673C2"/>
    <s v="Ratio"/>
    <s v="2000 / 2007"/>
    <x v="2"/>
    <s v=""/>
    <n v="0.95666666666666667"/>
    <n v="1.136546184738956"/>
    <m/>
    <n v="1.136546184738956"/>
    <n v="1.1880273708072711"/>
    <s v=""/>
    <n v="0"/>
    <n v="0"/>
    <x v="1"/>
    <n v="0"/>
    <s v=""/>
    <s v=""/>
    <s v=""/>
    <s v=""/>
    <s v=""/>
    <s v=""/>
    <s v=""/>
    <s v=""/>
    <s v=""/>
    <s v=""/>
    <s v=""/>
  </r>
  <r>
    <s v="Albania"/>
    <s v="Europe and Central Asia"/>
    <s v="P068853"/>
    <s v="C1"/>
    <s v="S1"/>
    <s v="P068853C1S1"/>
    <s v="Ratio"/>
    <s v="1999 / 2004"/>
    <x v="3"/>
    <s v=""/>
    <n v="0.55909090909090908"/>
    <n v="1.3697260273972602"/>
    <m/>
    <n v="1.3697260273972602"/>
    <n v="2.4499164717674575"/>
    <s v="x"/>
    <n v="0"/>
    <n v="0"/>
    <x v="0"/>
    <n v="0"/>
    <n v="1"/>
    <s v=""/>
    <n v="1"/>
    <s v=""/>
    <s v=""/>
    <n v="1"/>
    <s v=""/>
    <s v=""/>
    <s v=""/>
    <s v=""/>
    <s v="Capacity of counterpart ; Weather shocks; Macroeconomic conditions "/>
  </r>
  <r>
    <s v="Albania"/>
    <s v="Europe and Central Asia"/>
    <s v="P068853"/>
    <s v="C1"/>
    <s v="S2"/>
    <s v="P068853C1S2"/>
    <s v="Ratio"/>
    <s v="1999 / 2004"/>
    <x v="3"/>
    <s v=""/>
    <n v="0.57307692307692304"/>
    <n v="1.2620689655172415"/>
    <m/>
    <n v="1.2620689655172415"/>
    <n v="2.2022679935200191"/>
    <s v="x"/>
    <n v="0"/>
    <n v="0"/>
    <x v="0"/>
    <n v="0"/>
    <n v="1"/>
    <s v=""/>
    <n v="1"/>
    <s v=""/>
    <s v=""/>
    <n v="1"/>
    <s v=""/>
    <s v=""/>
    <s v=""/>
    <s v=""/>
    <s v="Capacity of counterpart ; Weather shocks; Macroeconomic conditions "/>
  </r>
  <r>
    <s v="Albania"/>
    <s v="Europe and Central Asia"/>
    <s v="P068853"/>
    <s v="C1"/>
    <s v="S3"/>
    <s v="P068853C1S3"/>
    <s v="Ratio"/>
    <s v="1999 / 2004"/>
    <x v="6"/>
    <n v="0.26666666666666666"/>
    <n v="0.96666666666666667"/>
    <n v="9.8947368421052631E-2"/>
    <m/>
    <n v="9.8947368421052631E-2"/>
    <n v="0.10235934664246825"/>
    <s v="x"/>
    <n v="0"/>
    <n v="0"/>
    <x v="1"/>
    <n v="1"/>
    <n v="1"/>
    <s v=""/>
    <n v="1"/>
    <s v=""/>
    <s v=""/>
    <n v="1"/>
    <s v=""/>
    <s v=""/>
    <s v=""/>
    <s v=""/>
    <s v="Capacity of counterpart ; Weather shocks; Macroeconomic conditions "/>
  </r>
  <r>
    <s v="Albania"/>
    <s v="Europe and Central Asia"/>
    <s v="P068853"/>
    <s v="C1"/>
    <s v="S4"/>
    <s v="P068853C1S4"/>
    <s v="Ratio"/>
    <s v="1999 / 2004"/>
    <x v="3"/>
    <n v="0.53333333333333333"/>
    <n v="0.87142857142857144"/>
    <n v="1.1125874125874127"/>
    <m/>
    <n v="1.1125874125874127"/>
    <n v="1.276739653788834"/>
    <s v=""/>
    <n v="0"/>
    <n v="0"/>
    <x v="1"/>
    <n v="0"/>
    <s v=""/>
    <s v=""/>
    <s v=""/>
    <s v=""/>
    <s v=""/>
    <s v=""/>
    <s v=""/>
    <s v=""/>
    <s v=""/>
    <s v=""/>
    <s v=""/>
  </r>
  <r>
    <s v="Albania"/>
    <s v="Europe and Central Asia"/>
    <s v="P068853"/>
    <s v="C1"/>
    <s v="S5"/>
    <s v="P068853C1S5"/>
    <s v="Ratio"/>
    <s v="1999 / 2004"/>
    <x v="6"/>
    <n v="2.9333333333333331"/>
    <n v="0.78999999999999992"/>
    <n v="1.1796296296296294"/>
    <m/>
    <n v="1.1796296296296294"/>
    <n v="1.4932020628223157"/>
    <s v=""/>
    <n v="0"/>
    <n v="0"/>
    <x v="1"/>
    <n v="0"/>
    <s v=""/>
    <s v=""/>
    <s v=""/>
    <s v=""/>
    <s v=""/>
    <s v=""/>
    <s v=""/>
    <s v=""/>
    <s v=""/>
    <s v=""/>
    <s v=""/>
  </r>
  <r>
    <s v="Albania"/>
    <s v="Europe and Central Asia"/>
    <s v="P068853"/>
    <s v="C1"/>
    <s v="S6"/>
    <s v="P068853C1S6"/>
    <s v="Ratio"/>
    <s v="1999 / 2004"/>
    <x v="3"/>
    <n v="0.26666666666666666"/>
    <n v="6.25E-2"/>
    <n v="0.12166666666666666"/>
    <m/>
    <n v="0.12166666666666666"/>
    <n v="1.9466666666666668"/>
    <s v="x"/>
    <n v="0"/>
    <n v="1"/>
    <x v="0"/>
    <n v="0"/>
    <n v="1"/>
    <s v=""/>
    <s v=""/>
    <s v=""/>
    <s v=""/>
    <n v="1"/>
    <s v=""/>
    <s v=""/>
    <s v=""/>
    <s v=""/>
    <s v="Capacity of counterpart ; Capacity of counterpart ; Macroeconomic conditions "/>
  </r>
  <r>
    <s v="India"/>
    <s v="South Asia"/>
    <s v="P069889"/>
    <s v="C1"/>
    <s v=""/>
    <s v="P069889C1"/>
    <s v="Ratio"/>
    <s v="2007 / 2011"/>
    <x v="12"/>
    <s v=""/>
    <n v="0.94565217391304346"/>
    <n v="2.3830250272034821"/>
    <m/>
    <n v="2.3830250272034821"/>
    <n v="2.5199804885370156"/>
    <s v="x"/>
    <n v="0"/>
    <n v="0"/>
    <x v="0"/>
    <n v="0"/>
    <n v="1"/>
    <s v=""/>
    <n v="1"/>
    <s v=""/>
    <s v=""/>
    <s v=""/>
    <n v="1"/>
    <s v=""/>
    <s v=""/>
    <s v=""/>
    <s v=" Capacity of contractors; Weather shocks ; Macroeconomic conditions "/>
  </r>
  <r>
    <s v="India"/>
    <s v="South Asia"/>
    <s v="P069889"/>
    <s v="C2"/>
    <s v=""/>
    <s v="P069889C2"/>
    <s v="Ratio"/>
    <s v="2007 / 2011"/>
    <x v="8"/>
    <s v=""/>
    <n v="0.57692307692307687"/>
    <n v="0.64552661381653453"/>
    <m/>
    <n v="0.64552661381653453"/>
    <n v="1.1189127972819932"/>
    <s v=""/>
    <n v="0"/>
    <n v="0"/>
    <x v="1"/>
    <n v="0"/>
    <s v=""/>
    <s v=""/>
    <s v=""/>
    <s v=""/>
    <s v=""/>
    <s v=""/>
    <s v=""/>
    <s v=""/>
    <s v=""/>
    <s v=""/>
    <s v=""/>
  </r>
  <r>
    <s v="Yemen, Rep."/>
    <s v="East Asia and Pacific"/>
    <s v="P070391"/>
    <s v="C1"/>
    <s v=""/>
    <s v="P070391C1"/>
    <s v="Ratio"/>
    <s v="2001 / 2007"/>
    <x v="0"/>
    <s v=""/>
    <n v="2.0087719298245612"/>
    <n v="0.86192810457516345"/>
    <m/>
    <n v="0.86192810457516345"/>
    <n v="0.42908211319462286"/>
    <s v="x"/>
    <n v="1"/>
    <n v="0"/>
    <x v="1"/>
    <n v="1"/>
    <n v="1"/>
    <s v=""/>
    <s v=""/>
    <s v=""/>
    <s v=""/>
    <s v=""/>
    <s v=""/>
    <s v=""/>
    <n v="1"/>
    <n v="1"/>
    <s v="Macroeconomic conditions  ; Quality of estimates ; Change of project scope "/>
  </r>
  <r>
    <s v="Yemen, Rep."/>
    <s v="East Asia and Pacific"/>
    <s v="P070391"/>
    <s v="C2"/>
    <s v=""/>
    <s v="P070391C2"/>
    <s v="Ratio"/>
    <s v="2001 / 2007"/>
    <x v="2"/>
    <s v=""/>
    <n v="1.6270491803278688"/>
    <n v="1.3822784810126583"/>
    <m/>
    <n v="1.3822784810126583"/>
    <n v="0.8495615853075279"/>
    <s v="x"/>
    <n v="1"/>
    <n v="0"/>
    <x v="1"/>
    <n v="0"/>
    <n v="1"/>
    <s v=""/>
    <s v=""/>
    <s v=""/>
    <s v=""/>
    <s v=""/>
    <s v=""/>
    <s v=""/>
    <n v="1"/>
    <s v=""/>
    <s v="Macroeconomic conditions ; Quality of estimates ; "/>
  </r>
  <r>
    <s v="China"/>
    <s v="East Asia and Pacific"/>
    <s v="P070519"/>
    <s v="C1"/>
    <s v="S1"/>
    <s v="P070519C1S1"/>
    <s v="Ratio"/>
    <s v="2005 / 2013"/>
    <x v="9"/>
    <s v=""/>
    <n v="1"/>
    <n v="2.057450968026739"/>
    <m/>
    <n v="2.057450968026739"/>
    <n v="2.057450968026739"/>
    <s v="x"/>
    <n v="0"/>
    <n v="0"/>
    <x v="0"/>
    <n v="0"/>
    <n v="1"/>
    <s v=""/>
    <s v=""/>
    <s v=""/>
    <s v=""/>
    <s v=""/>
    <s v=""/>
    <s v=""/>
    <n v="1"/>
    <s v=""/>
    <s v="Macroeconomic conditions ; Quality of estimates; "/>
  </r>
  <r>
    <s v="China"/>
    <s v="East Asia and Pacific"/>
    <s v="P070519"/>
    <s v="C1"/>
    <s v="S2"/>
    <s v="P070519C1S2"/>
    <s v="Ratio"/>
    <s v="2005 / 2013"/>
    <x v="5"/>
    <s v=""/>
    <n v="1"/>
    <n v="1.0497911982010921"/>
    <m/>
    <n v="1.0497911982010921"/>
    <n v="1.0497911982010923"/>
    <s v=""/>
    <n v="0"/>
    <n v="0"/>
    <x v="1"/>
    <n v="0"/>
    <s v=""/>
    <s v=""/>
    <s v=""/>
    <s v=""/>
    <s v=""/>
    <s v=""/>
    <s v=""/>
    <s v=""/>
    <s v=""/>
    <s v=""/>
    <s v=""/>
  </r>
  <r>
    <s v="India"/>
    <s v="South Asia"/>
    <s v="P071244"/>
    <s v="C1"/>
    <s v=""/>
    <s v="P071244C1"/>
    <s v="Ratio"/>
    <s v="2001 / 2009"/>
    <x v="4"/>
    <s v=""/>
    <n v="0.99228571428571422"/>
    <n v="1.1235438778151696"/>
    <m/>
    <n v="1.1235438778151696"/>
    <n v="1.1322785984316421"/>
    <s v=""/>
    <n v="0"/>
    <n v="0"/>
    <x v="1"/>
    <n v="0"/>
    <s v=""/>
    <s v=""/>
    <s v=""/>
    <s v=""/>
    <s v=""/>
    <s v=""/>
    <s v=""/>
    <s v=""/>
    <s v=""/>
    <s v=""/>
    <s v=""/>
  </r>
  <r>
    <s v="Bangladesh"/>
    <s v="South Asia"/>
    <s v="P071435"/>
    <s v="C1"/>
    <s v=""/>
    <s v="P071435C1"/>
    <s v="Ratio"/>
    <s v="2003 / 2013"/>
    <x v="13"/>
    <s v=""/>
    <n v="1.0136363636363637"/>
    <n v="1.3595262640173127"/>
    <m/>
    <n v="0.95600782904482673"/>
    <n v="0.94314673717426856"/>
    <s v=""/>
    <n v="0"/>
    <n v="0"/>
    <x v="1"/>
    <n v="0"/>
    <s v=""/>
    <s v=""/>
    <s v=""/>
    <s v=""/>
    <s v=""/>
    <s v=""/>
    <s v=""/>
    <s v=""/>
    <s v=""/>
    <s v=""/>
    <s v=""/>
  </r>
  <r>
    <s v="Bangladesh"/>
    <s v="South Asia"/>
    <s v="P071435"/>
    <s v="C2"/>
    <s v=""/>
    <s v="P071435C2"/>
    <s v="Ratio"/>
    <s v="2003 / 2013"/>
    <x v="2"/>
    <s v=""/>
    <n v="1.03"/>
    <n v="1.5435929694727106"/>
    <m/>
    <n v="1.0854420416372859"/>
    <n v="1.0538272248905687"/>
    <s v=""/>
    <n v="0"/>
    <n v="0"/>
    <x v="1"/>
    <n v="0"/>
    <s v=""/>
    <s v=""/>
    <s v=""/>
    <s v=""/>
    <s v=""/>
    <s v=""/>
    <s v=""/>
    <s v=""/>
    <s v=""/>
    <s v=""/>
    <s v=""/>
  </r>
  <r>
    <s v="Bangladesh"/>
    <s v="South Asia"/>
    <s v="P071435"/>
    <s v="C3"/>
    <s v=""/>
    <s v="P071435C3"/>
    <s v="Ratio"/>
    <s v="2003 / 2013"/>
    <x v="6"/>
    <s v=""/>
    <n v="1.4133333333333333"/>
    <n v="1.5274113712374582"/>
    <m/>
    <n v="1.0740632731582958"/>
    <n v="0.75995042912143573"/>
    <s v=""/>
    <n v="0"/>
    <n v="0"/>
    <x v="1"/>
    <n v="0"/>
    <s v=""/>
    <s v=""/>
    <s v=""/>
    <s v=""/>
    <s v=""/>
    <s v=""/>
    <s v=""/>
    <s v=""/>
    <s v=""/>
    <s v=""/>
    <s v=""/>
  </r>
  <r>
    <s v="Madagascar"/>
    <s v="Sub-Saharan Africa"/>
    <s v="P073689"/>
    <s v="C1"/>
    <s v=""/>
    <s v="P073689C1"/>
    <s v="Ratio"/>
    <s v="2002 / 2013"/>
    <x v="0"/>
    <s v=""/>
    <n v="0.46666666666666667"/>
    <n v="0.93333333333333335"/>
    <m/>
    <n v="0.93333333333333335"/>
    <n v="2"/>
    <s v="x"/>
    <n v="0"/>
    <n v="1"/>
    <x v="0"/>
    <n v="0"/>
    <s v=""/>
    <s v=""/>
    <s v=""/>
    <s v=""/>
    <s v=""/>
    <s v=""/>
    <s v=""/>
    <s v=""/>
    <s v=""/>
    <n v="1"/>
    <s v="Change of project scope ; ; "/>
  </r>
  <r>
    <s v="India"/>
    <s v="South Asia"/>
    <s v="P073776"/>
    <s v="C1"/>
    <s v=""/>
    <s v="P073776C1"/>
    <s v="Ratio"/>
    <s v="2003 / 2010"/>
    <x v="5"/>
    <n v="2.625"/>
    <n v="1.0010860839590121"/>
    <n v="1.2535252277359512"/>
    <m/>
    <n v="1.2535252277359512"/>
    <n v="1.2521652711209548"/>
    <s v=""/>
    <n v="0"/>
    <n v="0"/>
    <x v="1"/>
    <n v="0"/>
    <s v=""/>
    <s v=""/>
    <s v=""/>
    <s v=""/>
    <s v=""/>
    <s v=""/>
    <s v=""/>
    <s v=""/>
    <s v=""/>
    <s v=""/>
    <s v=""/>
  </r>
  <r>
    <s v="Uganda"/>
    <s v="Sub-Saharan Africa"/>
    <s v="P074079"/>
    <s v="C1"/>
    <s v="S1"/>
    <s v="P074079C1S1"/>
    <s v="Ratio"/>
    <s v="2004 / 2012"/>
    <x v="2"/>
    <s v=""/>
    <n v="0.98399999999999999"/>
    <n v="2.202340425531915"/>
    <m/>
    <n v="2.202340425531915"/>
    <n v="2.2381508389551983"/>
    <s v="x"/>
    <n v="0"/>
    <n v="0"/>
    <x v="0"/>
    <n v="0"/>
    <n v="1"/>
    <n v="1"/>
    <s v=""/>
    <s v=""/>
    <s v=""/>
    <s v=""/>
    <s v=""/>
    <s v=""/>
    <n v="1"/>
    <s v=""/>
    <s v="Macroeconomic conditions; Political events  ; Quality of estimates "/>
  </r>
  <r>
    <s v="Uganda"/>
    <s v="Sub-Saharan Africa"/>
    <s v="P074079"/>
    <s v="C1"/>
    <s v="S2"/>
    <s v="P074079C1S2"/>
    <s v="Ratio"/>
    <s v="2004 / 2012"/>
    <x v="2"/>
    <s v=""/>
    <n v="0.22058823529411764"/>
    <n v="1.8511866581141758"/>
    <m/>
    <n v="1.8511866581141758"/>
    <n v="8.3920461834509297"/>
    <s v="x"/>
    <n v="0"/>
    <n v="1"/>
    <x v="0"/>
    <n v="0"/>
    <n v="1"/>
    <n v="1"/>
    <s v=""/>
    <s v=""/>
    <s v=""/>
    <s v=""/>
    <s v=""/>
    <s v=""/>
    <n v="1"/>
    <s v=""/>
    <s v="Macroeconomic conditions; Political events  ; Quality of estimates "/>
  </r>
  <r>
    <s v="Cameroon"/>
    <s v="Sub-Saharan Africa"/>
    <s v="P074490"/>
    <s v="C1"/>
    <s v=""/>
    <s v="P074490C1"/>
    <s v="Ratio"/>
    <s v="2002 / 2010"/>
    <x v="12"/>
    <s v=""/>
    <n v="1.173913043478261"/>
    <n v="1.167727507311199"/>
    <m/>
    <n v="1.167727507311199"/>
    <n v="0.99473083956139163"/>
    <s v=""/>
    <n v="0"/>
    <n v="0"/>
    <x v="1"/>
    <n v="0"/>
    <s v=""/>
    <s v=""/>
    <s v=""/>
    <s v=""/>
    <s v=""/>
    <s v=""/>
    <s v=""/>
    <s v=""/>
    <s v=""/>
    <s v=""/>
    <s v=""/>
  </r>
  <r>
    <s v="Thailand"/>
    <s v="East Asia and Pacific"/>
    <s v="P075173"/>
    <s v="C2"/>
    <s v=""/>
    <s v="P075173C2"/>
    <s v="Ratio"/>
    <s v="2003 / 2013"/>
    <x v="4"/>
    <n v="1"/>
    <n v="1.1817808219178081"/>
    <n v="0.80564387917329094"/>
    <m/>
    <n v="0.80564387917329094"/>
    <n v="0.68172021768459756"/>
    <s v=""/>
    <n v="0"/>
    <n v="0"/>
    <x v="1"/>
    <n v="0"/>
    <s v=""/>
    <s v=""/>
    <s v=""/>
    <s v=""/>
    <s v=""/>
    <s v=""/>
    <s v=""/>
    <s v=""/>
    <s v=""/>
    <s v=""/>
    <s v=""/>
  </r>
  <r>
    <s v="Vietnam"/>
    <s v="East Asia and Pacific"/>
    <s v="P075407"/>
    <s v="C1"/>
    <s v=""/>
    <s v="P075407C1"/>
    <s v="Ratio"/>
    <s v="2006 / 2014"/>
    <x v="8"/>
    <s v=""/>
    <n v="1.0422222222222222"/>
    <n v="1.9147250333411783"/>
    <m/>
    <n v="1.9147250333411783"/>
    <n v="1.8371562153593395"/>
    <s v="x"/>
    <n v="0"/>
    <n v="0"/>
    <x v="0"/>
    <n v="0"/>
    <n v="1"/>
    <s v=""/>
    <s v=""/>
    <s v=""/>
    <s v=""/>
    <s v=""/>
    <s v=""/>
    <s v=""/>
    <n v="1"/>
    <n v="1"/>
    <s v="Macroeconomic conditions ; Change of project scope ; Quality of estimates "/>
  </r>
  <r>
    <s v="Vietnam"/>
    <s v="East Asia and Pacific"/>
    <s v="P075407"/>
    <s v="C2"/>
    <s v=""/>
    <s v="P075407C2"/>
    <s v="Ratio"/>
    <s v="2006 / 2014"/>
    <x v="3"/>
    <n v="1"/>
    <n v="1.6585000000000001"/>
    <n v="3.1817447495961226"/>
    <m/>
    <n v="3.1817447495961226"/>
    <n v="1.9184472412397484"/>
    <s v="x"/>
    <n v="1"/>
    <n v="0"/>
    <x v="0"/>
    <n v="0"/>
    <n v="1"/>
    <s v=""/>
    <s v=""/>
    <s v=""/>
    <s v=""/>
    <s v=""/>
    <s v=""/>
    <s v=""/>
    <n v="1"/>
    <n v="1"/>
    <s v="Macroeconomic conditions ; Change of project scope; Quality of estimates"/>
  </r>
  <r>
    <s v="Lesotho"/>
    <s v="Sub-Saharan Africa"/>
    <s v="P075566"/>
    <s v="C1"/>
    <s v=""/>
    <s v="P075566C1"/>
    <s v="Ratio"/>
    <s v="2006 / 2015"/>
    <x v="1"/>
    <s v=""/>
    <n v="2.0754716981132075"/>
    <n v="3.0051764705882351"/>
    <m/>
    <n v="3.0051764705882351"/>
    <n v="1.4479486631016043"/>
    <s v="x"/>
    <n v="1"/>
    <n v="0"/>
    <x v="1"/>
    <n v="0"/>
    <s v=""/>
    <s v=""/>
    <s v=""/>
    <s v=""/>
    <s v=""/>
    <s v=""/>
    <s v=""/>
    <s v=""/>
    <s v=""/>
    <n v="1"/>
    <s v="Change of project scope; ; "/>
  </r>
  <r>
    <s v="China"/>
    <s v="East Asia and Pacific"/>
    <s v="P076714"/>
    <s v="C1"/>
    <s v=""/>
    <s v="P076714C1"/>
    <s v="Ratio"/>
    <s v="2003 / 2009"/>
    <x v="5"/>
    <n v="0.9285714285714286"/>
    <n v="0.99974171330176498"/>
    <n v="0.84813823314675107"/>
    <m/>
    <n v="1.0257132951379448"/>
    <n v="1.0259782916833646"/>
    <s v=""/>
    <n v="0"/>
    <n v="0"/>
    <x v="1"/>
    <n v="0"/>
    <s v=""/>
    <s v=""/>
    <s v=""/>
    <s v=""/>
    <s v=""/>
    <s v=""/>
    <s v=""/>
    <s v=""/>
    <s v=""/>
    <s v=""/>
    <s v=""/>
  </r>
  <r>
    <s v="China"/>
    <s v="East Asia and Pacific"/>
    <s v="P076714"/>
    <s v="C1"/>
    <s v="S1"/>
    <s v="P076714C1S1"/>
    <s v="Ratio"/>
    <s v="2003 / 2009"/>
    <x v="5"/>
    <s v=""/>
    <n v="1.1415292879691337"/>
    <n v="1.1346423562412342"/>
    <m/>
    <n v="1.3722029081336156"/>
    <n v="1.2020742022089224"/>
    <s v=""/>
    <n v="0"/>
    <n v="0"/>
    <x v="1"/>
    <n v="0"/>
    <s v=""/>
    <s v=""/>
    <s v=""/>
    <s v=""/>
    <s v=""/>
    <s v=""/>
    <s v=""/>
    <s v=""/>
    <s v=""/>
    <s v=""/>
    <s v=""/>
  </r>
  <r>
    <s v="China"/>
    <s v="East Asia and Pacific"/>
    <s v="P076714"/>
    <s v="C1"/>
    <s v="S2"/>
    <s v="P076714C1S2"/>
    <s v="Ratio"/>
    <s v="2003 / 2009"/>
    <x v="5"/>
    <s v=""/>
    <n v="0.84371807967313572"/>
    <n v="1.0787746170678336"/>
    <m/>
    <n v="1.3046381166881855"/>
    <n v="1.5462962666316391"/>
    <s v="x"/>
    <n v="0"/>
    <n v="0"/>
    <x v="0"/>
    <n v="0"/>
    <n v="1"/>
    <s v=""/>
    <s v=""/>
    <s v=""/>
    <s v=""/>
    <s v=""/>
    <s v=""/>
    <n v="1"/>
    <s v=""/>
    <s v=""/>
    <s v="Macroeconomic conditions ; Competition; "/>
  </r>
  <r>
    <s v="China"/>
    <s v="East Asia and Pacific"/>
    <s v="P076714"/>
    <s v="C1"/>
    <s v="S3"/>
    <s v="P076714C1S3"/>
    <s v="Ratio"/>
    <s v="2003 / 2009"/>
    <x v="5"/>
    <s v=""/>
    <n v="0.95579567779960717"/>
    <n v="0.29474485910129472"/>
    <m/>
    <n v="0.35645571539922322"/>
    <n v="0.37294133430257881"/>
    <s v="x"/>
    <n v="0"/>
    <n v="0"/>
    <x v="1"/>
    <n v="1"/>
    <s v=""/>
    <s v=""/>
    <s v=""/>
    <s v=""/>
    <s v=""/>
    <s v=""/>
    <s v=""/>
    <s v=""/>
    <n v="1"/>
    <s v=""/>
    <s v="Quality of estimates; ; "/>
  </r>
  <r>
    <s v="China"/>
    <s v="East Asia and Pacific"/>
    <s v="P076714"/>
    <s v="C2"/>
    <s v=""/>
    <s v="P076714C2"/>
    <s v="Ratio"/>
    <s v="2003 / 2009"/>
    <x v="2"/>
    <s v=""/>
    <n v="0.96090534979423869"/>
    <n v="0.72099999999999997"/>
    <m/>
    <n v="0.87195607613469983"/>
    <n v="0.90743180514232136"/>
    <s v=""/>
    <n v="0"/>
    <n v="0"/>
    <x v="1"/>
    <n v="0"/>
    <s v=""/>
    <s v=""/>
    <s v=""/>
    <s v=""/>
    <s v=""/>
    <s v=""/>
    <s v=""/>
    <s v=""/>
    <s v=""/>
    <s v=""/>
    <s v=""/>
  </r>
  <r>
    <s v="China"/>
    <s v="East Asia and Pacific"/>
    <s v="P076714"/>
    <s v="C2"/>
    <s v="S1"/>
    <s v="P076714C2S1"/>
    <s v="Ratio"/>
    <s v="2003 / 2009"/>
    <x v="2"/>
    <s v=""/>
    <n v="1.0013513513513512"/>
    <n v="0.66418918918918912"/>
    <m/>
    <n v="0.80325076174270893"/>
    <n v="0.80216675261755022"/>
    <s v=""/>
    <n v="0"/>
    <n v="0"/>
    <x v="1"/>
    <n v="0"/>
    <s v=""/>
    <s v=""/>
    <s v=""/>
    <s v=""/>
    <s v=""/>
    <s v=""/>
    <s v=""/>
    <s v=""/>
    <s v=""/>
    <s v=""/>
    <s v=""/>
  </r>
  <r>
    <s v="China"/>
    <s v="East Asia and Pacific"/>
    <s v="P076714"/>
    <s v="C2"/>
    <s v="S2"/>
    <s v="P076714C2S2"/>
    <s v="Ratio"/>
    <s v="2003 / 2009"/>
    <x v="2"/>
    <s v=""/>
    <n v="1.1142857142857143"/>
    <n v="0.94857142857142862"/>
    <m/>
    <n v="1.1471742313323574"/>
    <n v="1.02951533581109"/>
    <s v=""/>
    <n v="0"/>
    <n v="0"/>
    <x v="1"/>
    <n v="0"/>
    <s v=""/>
    <s v=""/>
    <s v=""/>
    <s v=""/>
    <s v=""/>
    <s v=""/>
    <s v=""/>
    <s v=""/>
    <s v=""/>
    <s v=""/>
    <s v=""/>
  </r>
  <r>
    <s v="China"/>
    <s v="East Asia and Pacific"/>
    <s v="P076714"/>
    <s v="C2"/>
    <s v="S3"/>
    <s v="P076714C2S3"/>
    <s v="Ratio"/>
    <s v="2003 / 2009"/>
    <x v="2"/>
    <s v=""/>
    <n v="0.82727272727272727"/>
    <n v="0.84545454545454557"/>
    <m/>
    <n v="1.0224677226141354"/>
    <n v="1.2359499943687351"/>
    <s v=""/>
    <n v="0"/>
    <n v="0"/>
    <x v="1"/>
    <n v="0"/>
    <s v=""/>
    <s v=""/>
    <s v=""/>
    <s v=""/>
    <s v=""/>
    <s v=""/>
    <s v=""/>
    <s v=""/>
    <s v=""/>
    <s v=""/>
    <s v=""/>
  </r>
  <r>
    <s v="China"/>
    <s v="East Asia and Pacific"/>
    <s v="P076714"/>
    <s v="C2"/>
    <s v="S4"/>
    <s v="P076714C2S4"/>
    <s v="Ratio"/>
    <s v="2003 / 2009"/>
    <x v="2"/>
    <s v=""/>
    <n v="0.86052631578947381"/>
    <n v="0.72666666666666668"/>
    <m/>
    <n v="0.8788091752074183"/>
    <n v="1.0212461363266634"/>
    <s v=""/>
    <n v="0"/>
    <n v="0"/>
    <x v="1"/>
    <n v="0"/>
    <s v=""/>
    <s v=""/>
    <s v=""/>
    <s v=""/>
    <s v=""/>
    <s v=""/>
    <s v=""/>
    <s v=""/>
    <s v=""/>
    <s v=""/>
    <s v=""/>
  </r>
  <r>
    <s v="China"/>
    <s v="East Asia and Pacific"/>
    <s v="P076714"/>
    <s v="C2"/>
    <s v="S5"/>
    <s v="P076714C2S5"/>
    <s v="Ratio"/>
    <s v="2003 / 2009"/>
    <x v="2"/>
    <s v=""/>
    <n v="0.98653846153846148"/>
    <n v="0.53846153846153844"/>
    <m/>
    <n v="0.65119945939858093"/>
    <n v="0.66008522200246011"/>
    <s v=""/>
    <n v="0"/>
    <n v="0"/>
    <x v="1"/>
    <n v="0"/>
    <s v=""/>
    <s v=""/>
    <s v=""/>
    <s v=""/>
    <s v=""/>
    <s v=""/>
    <s v=""/>
    <s v=""/>
    <s v=""/>
    <s v=""/>
    <s v=""/>
  </r>
  <r>
    <s v="India"/>
    <s v="South Asia"/>
    <s v="P077856"/>
    <s v="C1"/>
    <s v=""/>
    <s v="P077856C1"/>
    <s v="Ratio"/>
    <s v="2004 / 2012"/>
    <x v="4"/>
    <n v="1.75"/>
    <n v="0.67701863354037262"/>
    <n v="0.99657478794823573"/>
    <m/>
    <n v="0.99657478794823573"/>
    <n v="1.4720049620152837"/>
    <s v=""/>
    <n v="0"/>
    <n v="0"/>
    <x v="1"/>
    <n v="0"/>
    <s v=""/>
    <s v=""/>
    <s v=""/>
    <s v=""/>
    <s v=""/>
    <s v=""/>
    <s v=""/>
    <s v=""/>
    <s v=""/>
    <s v=""/>
    <s v=""/>
  </r>
  <r>
    <s v="Sierra Leone"/>
    <s v="Sub-Saharan Africa"/>
    <s v="P078389"/>
    <s v="C1"/>
    <s v=""/>
    <s v="P078389C1"/>
    <s v="Ratio"/>
    <s v="2005 / 2014"/>
    <x v="10"/>
    <s v=""/>
    <n v="0.74308300395256921"/>
    <n v="1.2484560570071259"/>
    <m/>
    <n v="1.2484560570071259"/>
    <n v="1.680103097993632"/>
    <s v="x"/>
    <n v="0"/>
    <n v="0"/>
    <x v="0"/>
    <n v="0"/>
    <s v=""/>
    <n v="1"/>
    <s v=""/>
    <s v=""/>
    <s v=""/>
    <s v=""/>
    <s v=""/>
    <n v="1"/>
    <s v=""/>
    <s v=""/>
    <s v="Political events; Competition; "/>
  </r>
  <r>
    <s v="Albania"/>
    <s v="Europe and Central Asia"/>
    <s v="P078949"/>
    <s v="C1"/>
    <s v="S1"/>
    <s v="P078949C1S1"/>
    <s v="Ratio"/>
    <s v="2007 / 2011"/>
    <x v="5"/>
    <n v="2.2272727272727271"/>
    <n v="1"/>
    <n v="1.1753246753246753"/>
    <m/>
    <n v="1.1753246753246753"/>
    <n v="1.1753246753246755"/>
    <s v=""/>
    <n v="0"/>
    <n v="0"/>
    <x v="1"/>
    <n v="0"/>
    <s v=""/>
    <s v=""/>
    <s v=""/>
    <s v=""/>
    <s v=""/>
    <s v=""/>
    <s v=""/>
    <s v=""/>
    <s v=""/>
    <s v=""/>
    <s v=""/>
  </r>
  <r>
    <s v="Albania"/>
    <s v="Europe and Central Asia"/>
    <s v="P078949"/>
    <s v="C1"/>
    <s v="S2"/>
    <s v="P078949C1S2"/>
    <s v="Ratio"/>
    <s v="2007 / 2011"/>
    <x v="5"/>
    <n v="3.7272727272727271"/>
    <n v="1"/>
    <n v="0.9662921348314607"/>
    <m/>
    <n v="0.9662921348314607"/>
    <n v="0.96629213483146081"/>
    <s v=""/>
    <n v="0"/>
    <n v="0"/>
    <x v="1"/>
    <n v="0"/>
    <s v=""/>
    <s v=""/>
    <s v=""/>
    <s v=""/>
    <s v=""/>
    <s v=""/>
    <s v=""/>
    <s v=""/>
    <s v=""/>
    <s v=""/>
    <s v=""/>
  </r>
  <r>
    <s v="Albania"/>
    <s v="Europe and Central Asia"/>
    <s v="P078949"/>
    <s v="C1"/>
    <s v="S3"/>
    <s v="P078949C1S3"/>
    <s v="Ratio"/>
    <s v="2007 / 2011"/>
    <x v="5"/>
    <n v="2.1875"/>
    <n v="1"/>
    <n v="1.0333333333333334"/>
    <m/>
    <n v="1.0333333333333334"/>
    <n v="1.0333333333333334"/>
    <s v=""/>
    <n v="0"/>
    <n v="0"/>
    <x v="1"/>
    <n v="0"/>
    <s v=""/>
    <s v=""/>
    <s v=""/>
    <s v=""/>
    <s v=""/>
    <s v=""/>
    <s v=""/>
    <s v=""/>
    <s v=""/>
    <s v=""/>
    <s v=""/>
  </r>
  <r>
    <s v="Rwanda"/>
    <s v="Sub-Saharan Africa"/>
    <s v="P079414"/>
    <s v="C1"/>
    <s v="S1"/>
    <s v="P079414C1S1"/>
    <s v="Ratio"/>
    <s v="2007 / 2015"/>
    <x v="11"/>
    <n v="1.2222222222222223"/>
    <n v="1"/>
    <n v="1.2655263157894738"/>
    <m/>
    <n v="1.2655263157894738"/>
    <n v="1.2655263157894738"/>
    <s v=""/>
    <n v="0"/>
    <n v="0"/>
    <x v="1"/>
    <n v="0"/>
    <s v=""/>
    <s v=""/>
    <s v=""/>
    <s v=""/>
    <s v=""/>
    <s v=""/>
    <s v=""/>
    <s v=""/>
    <s v=""/>
    <s v=""/>
    <s v=""/>
  </r>
  <r>
    <s v="Mali"/>
    <s v="Sub-Saharan Africa"/>
    <s v="P079749_2"/>
    <s v="C1"/>
    <s v="S2"/>
    <s v="P079749_2C1S2"/>
    <s v="Ratio"/>
    <s v="2008 / 2015"/>
    <x v="6"/>
    <s v=""/>
    <n v="1.2922077922077921"/>
    <n v="6.9"/>
    <m/>
    <n v="6.9"/>
    <n v="5.3396984924623112"/>
    <s v="x"/>
    <n v="0"/>
    <n v="0"/>
    <x v="0"/>
    <n v="0"/>
    <s v=""/>
    <s v=""/>
    <s v=""/>
    <s v=""/>
    <s v=""/>
    <s v=""/>
    <s v=""/>
    <s v=""/>
    <n v="1"/>
    <s v=""/>
    <s v="Quality of estimates; ; "/>
  </r>
  <r>
    <s v="China"/>
    <s v="East Asia and Pacific"/>
    <s v="P081749"/>
    <s v="C1"/>
    <s v=""/>
    <s v="P081749C1"/>
    <s v="Ratio"/>
    <s v="2004 / 2010"/>
    <x v="5"/>
    <n v="1"/>
    <n v="1.0123691722169363"/>
    <n v="1.6778436635075067"/>
    <m/>
    <n v="1.6778436635075067"/>
    <n v="1.6573436939345765"/>
    <s v="x"/>
    <n v="0"/>
    <n v="0"/>
    <x v="0"/>
    <n v="0"/>
    <s v=""/>
    <s v=""/>
    <n v="1"/>
    <s v=""/>
    <s v=""/>
    <s v=""/>
    <s v=""/>
    <s v=""/>
    <n v="1"/>
    <s v=""/>
    <s v="Weather shocks; Quality of estimates; "/>
  </r>
  <r>
    <s v="China"/>
    <s v="East Asia and Pacific"/>
    <s v="P081749"/>
    <s v="C2"/>
    <s v="S1"/>
    <s v="P081749C2S1"/>
    <s v="Ratio"/>
    <s v="2004 / 2010"/>
    <x v="2"/>
    <n v="1"/>
    <n v="0.99277389277389294"/>
    <n v="0.84554678692220964"/>
    <m/>
    <n v="1.0250552555952994"/>
    <n v="1.0325163293035533"/>
    <s v=""/>
    <n v="0"/>
    <n v="0"/>
    <x v="1"/>
    <n v="0"/>
    <s v=""/>
    <s v=""/>
    <s v=""/>
    <s v=""/>
    <s v=""/>
    <s v=""/>
    <s v=""/>
    <s v=""/>
    <s v=""/>
    <s v=""/>
    <s v=""/>
  </r>
  <r>
    <s v="Morocco"/>
    <s v="Middle East and North Africa"/>
    <s v="P082754"/>
    <s v="C1"/>
    <s v=""/>
    <s v="P082754C1"/>
    <s v="Ratio"/>
    <s v="2004 / 2011"/>
    <x v="0"/>
    <n v="1.2777777777777777"/>
    <n v="0.83199999999999996"/>
    <n v="1.1914052201423675"/>
    <m/>
    <n v="1.3228312156496789"/>
    <n v="1.5899413649635565"/>
    <s v="x"/>
    <n v="0"/>
    <n v="0"/>
    <x v="0"/>
    <n v="0"/>
    <n v="1"/>
    <s v=""/>
    <s v=""/>
    <s v=""/>
    <s v=""/>
    <s v=""/>
    <s v=""/>
    <s v=""/>
    <n v="1"/>
    <s v=""/>
    <s v="Macroeconomic conditions; Quality of estimates; "/>
  </r>
  <r>
    <s v="Morocco"/>
    <s v="Middle East and North Africa"/>
    <s v="P082754"/>
    <s v="C1"/>
    <s v="S1"/>
    <s v="P082754C1S1"/>
    <s v="Ratio"/>
    <s v="2004 / 2011"/>
    <x v="0"/>
    <n v="1.2777777777777777"/>
    <n v="0.77916666666666667"/>
    <n v="0.91597222222222219"/>
    <m/>
    <n v="1.0170147215560883"/>
    <n v="1.3052595356869583"/>
    <s v=""/>
    <n v="0"/>
    <n v="0"/>
    <x v="1"/>
    <n v="0"/>
    <s v=""/>
    <s v=""/>
    <s v=""/>
    <s v=""/>
    <s v=""/>
    <s v=""/>
    <s v=""/>
    <s v=""/>
    <s v=""/>
    <s v=""/>
    <s v=""/>
  </r>
  <r>
    <s v="Morocco"/>
    <s v="Middle East and North Africa"/>
    <s v="P082754"/>
    <s v="C1"/>
    <s v="S10"/>
    <s v="P082754C1S10"/>
    <s v="Ratio"/>
    <s v="2004 / 2011"/>
    <x v="0"/>
    <n v="1.2777777777777777"/>
    <n v="0.97777777777777786"/>
    <n v="1.6722222222222221"/>
    <m/>
    <n v="1.8566879829469756"/>
    <n v="1.8988854371048609"/>
    <s v="x"/>
    <n v="0"/>
    <n v="0"/>
    <x v="0"/>
    <n v="0"/>
    <n v="1"/>
    <s v=""/>
    <s v=""/>
    <s v=""/>
    <s v=""/>
    <s v=""/>
    <s v=""/>
    <s v=""/>
    <n v="1"/>
    <s v=""/>
    <s v="Macroeconomic conditions; Quality of estimates; "/>
  </r>
  <r>
    <s v="Morocco"/>
    <s v="Middle East and North Africa"/>
    <s v="P082754"/>
    <s v="C1"/>
    <s v="S11"/>
    <s v="P082754C1S11"/>
    <s v="Ratio"/>
    <s v="2004 / 2011"/>
    <x v="0"/>
    <n v="1.2777777777777777"/>
    <n v="0.95"/>
    <n v="2.3470588235294119"/>
    <m/>
    <n v="2.6059669911129921"/>
    <n v="2.7431231485399916"/>
    <s v="x"/>
    <n v="0"/>
    <n v="0"/>
    <x v="0"/>
    <n v="0"/>
    <n v="1"/>
    <s v=""/>
    <s v=""/>
    <s v=""/>
    <s v=""/>
    <s v=""/>
    <s v=""/>
    <s v=""/>
    <n v="1"/>
    <s v=""/>
    <s v="Macroeconomic conditions; Quality of estimates; "/>
  </r>
  <r>
    <s v="Morocco"/>
    <s v="Middle East and North Africa"/>
    <s v="P082754"/>
    <s v="C1"/>
    <s v="S12"/>
    <s v="P082754C1S12"/>
    <s v="Ratio"/>
    <s v="2004 / 2011"/>
    <x v="0"/>
    <n v="1.2777777777777777"/>
    <n v="1.032142857142857"/>
    <n v="1.0179924242424241"/>
    <m/>
    <n v="1.1302889506576557"/>
    <n v="1.0950896407755835"/>
    <s v=""/>
    <n v="0"/>
    <n v="0"/>
    <x v="1"/>
    <n v="0"/>
    <s v=""/>
    <s v=""/>
    <s v=""/>
    <s v=""/>
    <s v=""/>
    <s v=""/>
    <s v=""/>
    <s v=""/>
    <s v=""/>
    <s v=""/>
    <s v=""/>
  </r>
  <r>
    <s v="Morocco"/>
    <s v="Middle East and North Africa"/>
    <s v="P082754"/>
    <s v="C1"/>
    <s v="S2"/>
    <s v="P082754C1S2"/>
    <s v="Ratio"/>
    <s v="2004 / 2011"/>
    <x v="0"/>
    <n v="1.2777777777777777"/>
    <n v="1.0036363636363637"/>
    <n v="1.0925"/>
    <m/>
    <n v="1.213015587529976"/>
    <n v="1.2086206035171863"/>
    <s v=""/>
    <n v="0"/>
    <n v="0"/>
    <x v="1"/>
    <n v="0"/>
    <s v=""/>
    <s v=""/>
    <s v=""/>
    <s v=""/>
    <s v=""/>
    <s v=""/>
    <s v=""/>
    <s v=""/>
    <s v=""/>
    <s v=""/>
    <s v=""/>
  </r>
  <r>
    <s v="Morocco"/>
    <s v="Middle East and North Africa"/>
    <s v="P082754"/>
    <s v="C1"/>
    <s v="S3"/>
    <s v="P082754C1S3"/>
    <s v="Ratio"/>
    <s v="2004 / 2011"/>
    <x v="0"/>
    <n v="1.2777777777777777"/>
    <n v="1.1000000000000001"/>
    <n v="1.3590909090909091"/>
    <m/>
    <n v="1.5090146064966208"/>
    <n v="1.3718314604514736"/>
    <s v=""/>
    <n v="0"/>
    <n v="0"/>
    <x v="1"/>
    <n v="0"/>
    <s v=""/>
    <s v=""/>
    <s v=""/>
    <s v=""/>
    <s v=""/>
    <s v=""/>
    <s v=""/>
    <s v=""/>
    <s v=""/>
    <s v=""/>
    <s v=""/>
  </r>
  <r>
    <s v="Morocco"/>
    <s v="Middle East and North Africa"/>
    <s v="P082754"/>
    <s v="C1"/>
    <s v="S4"/>
    <s v="P082754C1S4"/>
    <s v="Ratio"/>
    <s v="2004 / 2011"/>
    <x v="0"/>
    <n v="1.2777777777777777"/>
    <n v="0.97857142857142854"/>
    <n v="1.0852272727272727"/>
    <m/>
    <n v="1.2049405929801613"/>
    <n v="1.2313261534103841"/>
    <s v=""/>
    <n v="0"/>
    <n v="0"/>
    <x v="1"/>
    <n v="0"/>
    <s v=""/>
    <s v=""/>
    <s v=""/>
    <s v=""/>
    <s v=""/>
    <s v=""/>
    <s v=""/>
    <s v=""/>
    <s v=""/>
    <s v=""/>
    <s v=""/>
  </r>
  <r>
    <s v="Morocco"/>
    <s v="Middle East and North Africa"/>
    <s v="P082754"/>
    <s v="C1"/>
    <s v="S5"/>
    <s v="P082754C1S5"/>
    <s v="Ratio"/>
    <s v="2004 / 2011"/>
    <x v="0"/>
    <n v="1.2777777777777777"/>
    <n v="1.01"/>
    <n v="0.88581730769230771"/>
    <m/>
    <n v="0.98353336561520011"/>
    <n v="0.97379541150019822"/>
    <s v=""/>
    <n v="0"/>
    <n v="0"/>
    <x v="1"/>
    <n v="0"/>
    <s v=""/>
    <s v=""/>
    <s v=""/>
    <s v=""/>
    <s v=""/>
    <s v=""/>
    <s v=""/>
    <s v=""/>
    <s v=""/>
    <s v=""/>
    <s v=""/>
  </r>
  <r>
    <s v="Morocco"/>
    <s v="Middle East and North Africa"/>
    <s v="P082754"/>
    <s v="C1"/>
    <s v="S6"/>
    <s v="P082754C1S6"/>
    <s v="Ratio"/>
    <s v="2004 / 2011"/>
    <x v="0"/>
    <n v="1.2777777777777777"/>
    <n v="0.92500000000000004"/>
    <n v="1.2353896103896105"/>
    <m/>
    <n v="1.3716676009841478"/>
    <n v="1.4828838929558354"/>
    <s v=""/>
    <n v="0"/>
    <n v="0"/>
    <x v="1"/>
    <n v="0"/>
    <s v=""/>
    <s v=""/>
    <s v=""/>
    <s v=""/>
    <s v=""/>
    <s v=""/>
    <s v=""/>
    <s v=""/>
    <s v=""/>
    <s v=""/>
    <s v=""/>
  </r>
  <r>
    <s v="Morocco"/>
    <s v="Middle East and North Africa"/>
    <s v="P082754"/>
    <s v="C1"/>
    <s v="S7"/>
    <s v="P082754C1S7"/>
    <s v="Ratio"/>
    <s v="2004 / 2011"/>
    <x v="0"/>
    <n v="1.2777777777777777"/>
    <n v="0.88461538461538458"/>
    <n v="0.93990384615384615"/>
    <m/>
    <n v="1.0435862848182993"/>
    <n v="1.1797062350119905"/>
    <s v=""/>
    <n v="0"/>
    <n v="0"/>
    <x v="1"/>
    <n v="0"/>
    <s v=""/>
    <s v=""/>
    <s v=""/>
    <s v=""/>
    <s v=""/>
    <s v=""/>
    <s v=""/>
    <s v=""/>
    <s v=""/>
    <s v=""/>
    <s v=""/>
  </r>
  <r>
    <s v="Morocco"/>
    <s v="Middle East and North Africa"/>
    <s v="P082754"/>
    <s v="C1"/>
    <s v="S8"/>
    <s v="P082754C1S8"/>
    <s v="Ratio"/>
    <s v="2004 / 2011"/>
    <x v="0"/>
    <n v="1.2777777777777777"/>
    <n v="0.86153846153846148"/>
    <n v="0.93990384615384615"/>
    <m/>
    <n v="1.0435862848182993"/>
    <n v="1.2113055091640974"/>
    <s v=""/>
    <n v="0"/>
    <n v="0"/>
    <x v="1"/>
    <n v="0"/>
    <s v=""/>
    <s v=""/>
    <s v=""/>
    <s v=""/>
    <s v=""/>
    <s v=""/>
    <s v=""/>
    <s v=""/>
    <s v=""/>
    <s v=""/>
    <s v=""/>
  </r>
  <r>
    <s v="Morocco"/>
    <s v="Middle East and North Africa"/>
    <s v="P082754"/>
    <s v="C1"/>
    <s v="S9"/>
    <s v="P082754C1S9"/>
    <s v="Ratio"/>
    <s v="2004 / 2011"/>
    <x v="0"/>
    <n v="1.2777777777777777"/>
    <n v="1.4444444444444444"/>
    <n v="2.046875"/>
    <m/>
    <n v="2.2726693645083933"/>
    <n v="1.5733864831211952"/>
    <s v="x"/>
    <n v="0"/>
    <n v="0"/>
    <x v="0"/>
    <n v="0"/>
    <n v="1"/>
    <s v=""/>
    <s v=""/>
    <s v=""/>
    <s v=""/>
    <s v=""/>
    <s v=""/>
    <s v=""/>
    <n v="1"/>
    <s v=""/>
    <s v="Macroeconomic conditions; Quality of estimates; "/>
  </r>
  <r>
    <s v="Madagascar"/>
    <s v="Sub-Saharan Africa"/>
    <s v="P082806"/>
    <s v="C1"/>
    <s v="S1"/>
    <s v="P082806C1S1"/>
    <s v="Ratio"/>
    <s v="2003 / 2013"/>
    <x v="6"/>
    <n v="1.625"/>
    <n v="1.2630522088353413"/>
    <n v="6.3794760701283622"/>
    <m/>
    <n v="6.3794760701283622"/>
    <n v="5.0508411493226149"/>
    <s v="x"/>
    <n v="0"/>
    <n v="0"/>
    <x v="0"/>
    <n v="0"/>
    <n v="1"/>
    <s v=""/>
    <n v="1"/>
    <s v=""/>
    <s v=""/>
    <s v=""/>
    <s v=""/>
    <s v=""/>
    <s v=""/>
    <s v=""/>
    <s v="; Weather shocks; Macroeconomic conditions"/>
  </r>
  <r>
    <s v="Madagascar"/>
    <s v="Sub-Saharan Africa"/>
    <s v="P082806"/>
    <s v="C1"/>
    <s v="S2"/>
    <s v="P082806C1S2"/>
    <s v="Ratio"/>
    <s v="2003 / 2013"/>
    <x v="6"/>
    <n v="1"/>
    <n v="0.48779661016949155"/>
    <n v="1.9009688798722191"/>
    <m/>
    <n v="1.9009688798722191"/>
    <n v="3.897052255471193"/>
    <s v="x"/>
    <n v="0"/>
    <n v="1"/>
    <x v="0"/>
    <n v="0"/>
    <n v="1"/>
    <s v=""/>
    <n v="1"/>
    <s v=""/>
    <s v=""/>
    <s v=""/>
    <s v=""/>
    <s v=""/>
    <s v=""/>
    <n v="1"/>
    <s v="Weather shocks; Change of project scope; Macroeconomic conditions"/>
  </r>
  <r>
    <s v="Madagascar"/>
    <s v="Sub-Saharan Africa"/>
    <s v="P082806"/>
    <s v="C1"/>
    <s v="S3"/>
    <s v="P082806C1S3"/>
    <s v="Ratio"/>
    <s v="2003 / 2013"/>
    <x v="10"/>
    <n v="0.27777777777777779"/>
    <n v="1.011049723756906"/>
    <n v="9.8801425665107037E-2"/>
    <m/>
    <n v="9.8801425665107037E-2"/>
    <n v="9.7721628663302584E-2"/>
    <s v="x"/>
    <n v="0"/>
    <n v="0"/>
    <x v="1"/>
    <n v="1"/>
    <s v=""/>
    <s v=""/>
    <s v=""/>
    <s v=""/>
    <s v=""/>
    <s v=""/>
    <s v=""/>
    <s v=""/>
    <s v=""/>
    <n v="1"/>
    <s v="; Change of project scope; "/>
  </r>
  <r>
    <s v="Ethiopia"/>
    <s v="Sub-Saharan Africa"/>
    <s v="P082998"/>
    <s v="C1"/>
    <s v="S1"/>
    <s v="P082998C1S1"/>
    <s v="Ratio"/>
    <s v="2004 / 2012"/>
    <x v="2"/>
    <s v=""/>
    <n v="0.77848101265822789"/>
    <n v="3.1677949709864603"/>
    <m/>
    <n v="3.1677949709864603"/>
    <n v="4.0692000440313878"/>
    <s v="x"/>
    <n v="0"/>
    <n v="0"/>
    <x v="0"/>
    <n v="0"/>
    <s v=""/>
    <s v=""/>
    <s v=""/>
    <s v=""/>
    <s v=""/>
    <s v=""/>
    <s v=""/>
    <s v=""/>
    <n v="1"/>
    <n v="1"/>
    <s v="Quality of estimates; Change of project scope; "/>
  </r>
  <r>
    <s v="Ethiopia"/>
    <s v="Sub-Saharan Africa"/>
    <s v="P082998"/>
    <s v="C1"/>
    <s v="S2"/>
    <s v="P082998C1S2"/>
    <s v="Ratio"/>
    <s v="2004 / 2012"/>
    <x v="2"/>
    <s v=""/>
    <n v="1"/>
    <n v="2.4344999999999999"/>
    <m/>
    <n v="2.4344999999999999"/>
    <n v="2.4344999999999999"/>
    <s v="x"/>
    <n v="0"/>
    <n v="0"/>
    <x v="0"/>
    <n v="0"/>
    <s v=""/>
    <s v=""/>
    <s v=""/>
    <s v=""/>
    <s v=""/>
    <s v=""/>
    <s v=""/>
    <s v=""/>
    <n v="1"/>
    <n v="1"/>
    <s v="Quality of estimates; Change of project scope; "/>
  </r>
  <r>
    <s v="Ethiopia"/>
    <s v="Sub-Saharan Africa"/>
    <s v="P082998"/>
    <s v="C1"/>
    <s v="S3"/>
    <s v="P082998C1S3"/>
    <s v="Ratio"/>
    <s v="2004 / 2012"/>
    <x v="2"/>
    <s v=""/>
    <n v="1"/>
    <n v="3.1646682653876903"/>
    <m/>
    <n v="3.1646682653876903"/>
    <n v="3.1646682653876903"/>
    <s v="x"/>
    <n v="0"/>
    <n v="0"/>
    <x v="0"/>
    <n v="0"/>
    <s v=""/>
    <s v=""/>
    <s v=""/>
    <s v=""/>
    <s v=""/>
    <s v=""/>
    <s v=""/>
    <s v=""/>
    <n v="1"/>
    <n v="1"/>
    <s v="Quality of estimates; Change of project scope; "/>
  </r>
  <r>
    <s v="Ethiopia"/>
    <s v="Sub-Saharan Africa"/>
    <s v="P082998"/>
    <s v="C1"/>
    <s v="S4"/>
    <s v="P082998C1S4"/>
    <s v="Ratio"/>
    <s v="2004 / 2007"/>
    <x v="2"/>
    <n v="1.75"/>
    <n v="1"/>
    <n v="4.2753338570306356"/>
    <m/>
    <n v="4.2753338570306356"/>
    <n v="4.2753338570306365"/>
    <s v="x"/>
    <n v="0"/>
    <n v="0"/>
    <x v="0"/>
    <n v="0"/>
    <s v=""/>
    <s v=""/>
    <s v=""/>
    <s v=""/>
    <s v=""/>
    <s v=""/>
    <s v=""/>
    <s v=""/>
    <n v="1"/>
    <n v="1"/>
    <s v="Quality of estimates; Change of project scope; "/>
  </r>
  <r>
    <s v="Ethiopia"/>
    <s v="Sub-Saharan Africa"/>
    <s v="P082998"/>
    <s v="C2"/>
    <s v="S1"/>
    <s v="P082998C2S1"/>
    <s v="Ratio"/>
    <s v="2004 / 2012"/>
    <x v="14"/>
    <s v=""/>
    <n v="1"/>
    <n v="2.6570644718792868"/>
    <m/>
    <n v="2.6570644718792868"/>
    <n v="2.6570644718792868"/>
    <s v="x"/>
    <n v="0"/>
    <n v="0"/>
    <x v="0"/>
    <n v="0"/>
    <s v=""/>
    <s v=""/>
    <s v=""/>
    <s v=""/>
    <s v=""/>
    <s v=""/>
    <s v=""/>
    <s v=""/>
    <n v="1"/>
    <n v="1"/>
    <s v="Quality of estimates; Change of project scope; "/>
  </r>
  <r>
    <s v="Ethiopia"/>
    <s v="Sub-Saharan Africa"/>
    <s v="P082998"/>
    <s v="C2"/>
    <s v="S2"/>
    <s v="P082998C2S2"/>
    <s v="Ratio"/>
    <s v="2004 / 2012"/>
    <x v="14"/>
    <s v=""/>
    <n v="1"/>
    <n v="3.950755456071628"/>
    <m/>
    <n v="3.950755456071628"/>
    <n v="3.950755456071628"/>
    <s v="x"/>
    <n v="0"/>
    <n v="0"/>
    <x v="0"/>
    <n v="0"/>
    <s v=""/>
    <s v=""/>
    <s v=""/>
    <s v=""/>
    <s v=""/>
    <s v=""/>
    <s v=""/>
    <s v=""/>
    <n v="1"/>
    <n v="1"/>
    <s v="Quality of estimates; Change of project scope; "/>
  </r>
  <r>
    <s v="Vietnam"/>
    <s v="East Asia and Pacific"/>
    <s v="P083588 "/>
    <s v="C1"/>
    <s v=""/>
    <s v="P083588 C1"/>
    <s v="Ratio"/>
    <s v="2007 / 2017"/>
    <x v="12"/>
    <n v="2.1944444444444446"/>
    <n v="0.62244897959183676"/>
    <n v="1.0123357468490213"/>
    <m/>
    <n v="1.0123357468490213"/>
    <n v="1.6263754621508864"/>
    <s v="x"/>
    <n v="0"/>
    <n v="0"/>
    <x v="0"/>
    <n v="0"/>
    <n v="1"/>
    <s v=""/>
    <s v=""/>
    <s v=""/>
    <s v=""/>
    <n v="1"/>
    <s v=""/>
    <s v=""/>
    <s v=""/>
    <s v=""/>
    <s v="Macroeconomic conditions; Capacity of Counterpart ; "/>
  </r>
  <r>
    <s v="Nepal"/>
    <s v="South Asia"/>
    <s v="P083923"/>
    <s v="C1"/>
    <s v="S1"/>
    <s v="P083923C1S1"/>
    <s v="Ratio"/>
    <s v="2005 / 2014"/>
    <x v="2"/>
    <s v=""/>
    <n v="2.17625"/>
    <n v="2.7154761904761902"/>
    <m/>
    <n v="2.7154761904761902"/>
    <n v="1.2477776866059462"/>
    <s v="x"/>
    <n v="1"/>
    <n v="0"/>
    <x v="1"/>
    <n v="0"/>
    <n v="1"/>
    <s v=""/>
    <s v=""/>
    <n v="1"/>
    <s v=""/>
    <s v=""/>
    <s v=""/>
    <s v=""/>
    <s v=""/>
    <n v="1"/>
    <s v="Change of project scope ; Macroeconomic conditions; Procurement system"/>
  </r>
  <r>
    <s v="Nepal"/>
    <s v="South Asia"/>
    <s v="P083923"/>
    <s v="C1"/>
    <s v="S2"/>
    <s v="P083923C1S2"/>
    <s v="Ratio"/>
    <s v="2005 / 2014"/>
    <x v="2"/>
    <s v=""/>
    <n v="0.7"/>
    <n v="0.76"/>
    <m/>
    <n v="0.76"/>
    <n v="1.0857142857142856"/>
    <s v=""/>
    <n v="0"/>
    <n v="0"/>
    <x v="1"/>
    <n v="0"/>
    <s v=""/>
    <s v=""/>
    <s v=""/>
    <s v=""/>
    <s v=""/>
    <s v=""/>
    <s v=""/>
    <s v=""/>
    <s v=""/>
    <s v=""/>
    <s v=""/>
  </r>
  <r>
    <s v="Nepal"/>
    <s v="South Asia"/>
    <s v="P083923"/>
    <s v="C1"/>
    <s v="S3"/>
    <s v="P083923C1S3"/>
    <s v="Ratio"/>
    <s v="2005 / 2014"/>
    <x v="3"/>
    <s v=""/>
    <n v="1.3142857142857143"/>
    <n v="2.0152091254752853"/>
    <m/>
    <n v="2.0152091254752853"/>
    <n v="1.5333112911224998"/>
    <s v="x"/>
    <n v="0"/>
    <n v="0"/>
    <x v="0"/>
    <n v="0"/>
    <s v=""/>
    <n v="1"/>
    <s v=""/>
    <s v=""/>
    <s v=""/>
    <s v=""/>
    <s v=""/>
    <s v=""/>
    <n v="1"/>
    <s v=""/>
    <s v="Quality of estimates; Political events; Capacity"/>
  </r>
  <r>
    <s v="Nicaragua"/>
    <s v="Latin America and Caribbean"/>
    <s v="P083952"/>
    <s v="C1"/>
    <s v=""/>
    <s v="P083952C1"/>
    <s v="Ratio"/>
    <s v="2006 / 2015"/>
    <x v="1"/>
    <s v=""/>
    <n v="1.0111764705882353"/>
    <n v="1.3514313919052319"/>
    <m/>
    <n v="1.3514313919052319"/>
    <n v="1.3364941048510146"/>
    <s v=""/>
    <n v="0"/>
    <n v="0"/>
    <x v="1"/>
    <n v="0"/>
    <s v=""/>
    <s v=""/>
    <s v=""/>
    <s v=""/>
    <s v=""/>
    <s v=""/>
    <s v=""/>
    <s v=""/>
    <s v=""/>
    <s v=""/>
    <s v=""/>
  </r>
  <r>
    <s v="Nicaragua"/>
    <s v="Latin America and Caribbean"/>
    <s v="P083952"/>
    <s v="C2"/>
    <s v=""/>
    <s v="P083952C2"/>
    <s v="Ratio"/>
    <s v="2006 / 2015"/>
    <x v="0"/>
    <s v=""/>
    <n v="1.128125"/>
    <n v="2.0714115118223075"/>
    <m/>
    <n v="2.0714115118223075"/>
    <n v="1.8361542487067546"/>
    <s v="x"/>
    <n v="0"/>
    <n v="0"/>
    <x v="0"/>
    <n v="0"/>
    <n v="1"/>
    <s v=""/>
    <s v=""/>
    <s v=""/>
    <s v=""/>
    <s v=""/>
    <s v=""/>
    <s v=""/>
    <s v=""/>
    <n v="1"/>
    <s v="Macroeconomic conditions; Change of project scope; "/>
  </r>
  <r>
    <s v="Nicaragua"/>
    <s v="Latin America and Caribbean"/>
    <s v="P083952"/>
    <s v="C3"/>
    <s v=""/>
    <s v="P083952C3"/>
    <s v="Ratio"/>
    <s v="2006 / 2015"/>
    <x v="3"/>
    <s v=""/>
    <n v="1.2903225806451613"/>
    <n v="1.6047120418848169"/>
    <m/>
    <n v="1.6047120418848169"/>
    <n v="1.2436518324607331"/>
    <s v=""/>
    <n v="0"/>
    <n v="0"/>
    <x v="1"/>
    <n v="0"/>
    <s v=""/>
    <s v=""/>
    <s v=""/>
    <s v=""/>
    <s v=""/>
    <s v=""/>
    <s v=""/>
    <s v=""/>
    <s v=""/>
    <s v=""/>
    <s v=""/>
  </r>
  <r>
    <s v="Sri Lanka"/>
    <s v="South Asia"/>
    <s v="P086411"/>
    <s v="C1"/>
    <s v=""/>
    <s v="P086411C1"/>
    <s v="Ratio"/>
    <s v="2005 / 2016"/>
    <x v="2"/>
    <s v=""/>
    <n v="0.24724409448818899"/>
    <n v="1.3017928286852591"/>
    <m/>
    <n v="1.3017928286852591"/>
    <n v="5.2652130332174494"/>
    <s v="x"/>
    <n v="0"/>
    <n v="1"/>
    <x v="0"/>
    <n v="0"/>
    <n v="1"/>
    <s v=""/>
    <s v=""/>
    <s v=""/>
    <s v=""/>
    <s v=""/>
    <s v=""/>
    <s v=""/>
    <n v="1"/>
    <s v=""/>
    <s v="Macroeconomic conditions; Quality of estimates; "/>
  </r>
  <r>
    <s v="Sri Lanka"/>
    <s v="South Asia"/>
    <s v="P086411"/>
    <s v="C2"/>
    <s v=""/>
    <s v="P086411C2"/>
    <s v="Ratio"/>
    <s v="2005 / 2016"/>
    <x v="4"/>
    <s v=""/>
    <n v="0.99516129032258061"/>
    <n v="2.1242556217225133"/>
    <m/>
    <n v="2.1242556217225133"/>
    <n v="2.1345842552154917"/>
    <s v="x"/>
    <n v="0"/>
    <n v="0"/>
    <x v="0"/>
    <n v="0"/>
    <n v="1"/>
    <s v=""/>
    <s v=""/>
    <s v=""/>
    <s v=""/>
    <s v=""/>
    <s v=""/>
    <s v=""/>
    <n v="1"/>
    <n v="1"/>
    <s v="Macroeconomic conditions; Change of project scope; Quality of estimates"/>
  </r>
  <r>
    <s v="Mali"/>
    <s v="Sub-Saharan Africa"/>
    <s v="P090075"/>
    <s v="C1"/>
    <s v=""/>
    <s v="P090075C1"/>
    <s v="Ratio"/>
    <s v="2007 / 2016"/>
    <x v="10"/>
    <s v=""/>
    <n v="1.155813953488372"/>
    <n v="0.94777777777777772"/>
    <m/>
    <n v="0.94777777777777772"/>
    <n v="0.8200089425441538"/>
    <s v=""/>
    <n v="0"/>
    <n v="0"/>
    <x v="1"/>
    <n v="0"/>
    <s v=""/>
    <s v=""/>
    <s v=""/>
    <s v=""/>
    <s v=""/>
    <s v=""/>
    <s v=""/>
    <s v=""/>
    <s v=""/>
    <s v=""/>
    <s v=""/>
  </r>
  <r>
    <s v="China"/>
    <s v="East Asia and Pacific"/>
    <s v="P091020"/>
    <s v="C1"/>
    <s v=""/>
    <s v="P091020C1"/>
    <s v="Ratio"/>
    <s v="2006 / 2015"/>
    <x v="5"/>
    <s v=""/>
    <n v="1"/>
    <n v="1.5870193224865778"/>
    <m/>
    <n v="1.5870193224865778"/>
    <n v="1.5870193224865778"/>
    <s v="x"/>
    <n v="0"/>
    <n v="0"/>
    <x v="0"/>
    <n v="0"/>
    <s v=""/>
    <n v="1"/>
    <n v="1"/>
    <s v=""/>
    <s v=""/>
    <s v=""/>
    <s v=""/>
    <s v=""/>
    <s v=""/>
    <s v=""/>
    <s v="Weather shocks; Political events; Capacity"/>
  </r>
  <r>
    <s v="China"/>
    <s v="East Asia and Pacific"/>
    <s v="P091020"/>
    <s v="C2"/>
    <s v=""/>
    <s v="P091020C2"/>
    <s v="Ratio"/>
    <s v="2006 / 2015"/>
    <x v="1"/>
    <s v=""/>
    <n v="2.4368557036728293"/>
    <n v="2.6955416794291316"/>
    <m/>
    <n v="3.5514092503117034"/>
    <n v="1.4573736331449656"/>
    <s v="x"/>
    <n v="1"/>
    <n v="0"/>
    <x v="1"/>
    <n v="0"/>
    <s v=""/>
    <s v=""/>
    <s v=""/>
    <s v=""/>
    <s v=""/>
    <s v=""/>
    <s v=""/>
    <s v=""/>
    <s v=""/>
    <s v=""/>
    <s v="Capacity; ; "/>
  </r>
  <r>
    <s v="China"/>
    <s v="East Asia and Pacific"/>
    <s v="P091020"/>
    <s v="C2"/>
    <s v="S1"/>
    <s v="P091020C2S1"/>
    <s v="Ratio"/>
    <s v="2006 / 2015"/>
    <x v="1"/>
    <s v=""/>
    <n v="3.5906546256946719"/>
    <n v="5.2831890097011529"/>
    <m/>
    <n v="6.9606663712101939"/>
    <n v="1.938550792771816"/>
    <s v="x"/>
    <n v="1"/>
    <n v="0"/>
    <x v="0"/>
    <n v="0"/>
    <s v=""/>
    <s v=""/>
    <s v=""/>
    <s v=""/>
    <s v=""/>
    <s v=""/>
    <s v=""/>
    <s v=""/>
    <s v=""/>
    <n v="1"/>
    <s v="Change of project scope; ; "/>
  </r>
  <r>
    <s v="China"/>
    <s v="East Asia and Pacific"/>
    <s v="P091020"/>
    <s v="C2"/>
    <s v="S2"/>
    <s v="P091020C2S2"/>
    <s v="Ratio"/>
    <s v="2006 / 2015"/>
    <x v="1"/>
    <s v=""/>
    <n v="2.1986594937825203"/>
    <n v="2.0245805458618427"/>
    <m/>
    <n v="2.6674097208163392"/>
    <n v="1.2131981911520973"/>
    <s v="x"/>
    <n v="1"/>
    <n v="0"/>
    <x v="1"/>
    <n v="0"/>
    <s v=""/>
    <s v=""/>
    <s v=""/>
    <s v=""/>
    <s v=""/>
    <s v=""/>
    <s v=""/>
    <s v=""/>
    <s v=""/>
    <s v=""/>
    <s v="Capacity; ; "/>
  </r>
  <r>
    <s v="China"/>
    <s v="East Asia and Pacific"/>
    <s v="P091020"/>
    <s v="C2"/>
    <s v="S3"/>
    <s v="P091020C2S3"/>
    <s v="Ratio"/>
    <s v="2006 / 2015"/>
    <x v="1"/>
    <s v=""/>
    <n v="1.6798525210734438"/>
    <n v="1.7897825567502987"/>
    <m/>
    <n v="2.3580604880261715"/>
    <n v="1.4037306599506398"/>
    <s v="x"/>
    <n v="1"/>
    <n v="0"/>
    <x v="1"/>
    <n v="0"/>
    <s v=""/>
    <s v=""/>
    <s v=""/>
    <s v=""/>
    <s v=""/>
    <s v=""/>
    <s v=""/>
    <s v=""/>
    <s v=""/>
    <s v=""/>
    <s v="Capacity; ; "/>
  </r>
  <r>
    <s v="China"/>
    <s v="East Asia and Pacific"/>
    <s v="P091020"/>
    <s v="C2"/>
    <s v="S4"/>
    <s v="P091020C2S4"/>
    <s v="Ratio"/>
    <s v="2006 / 2015"/>
    <x v="1"/>
    <s v=""/>
    <n v="2.8277243589743586"/>
    <n v="3.0553857301360865"/>
    <m/>
    <n v="4.0255082041891157"/>
    <n v="1.4235857860096393"/>
    <s v="x"/>
    <n v="1"/>
    <n v="0"/>
    <x v="1"/>
    <n v="0"/>
    <s v=""/>
    <s v=""/>
    <s v=""/>
    <s v=""/>
    <s v=""/>
    <s v=""/>
    <s v=""/>
    <s v=""/>
    <s v=""/>
    <s v=""/>
    <s v="Capacity; ; "/>
  </r>
  <r>
    <s v="China"/>
    <s v="East Asia and Pacific"/>
    <s v="P091020"/>
    <s v="C2"/>
    <s v="S5"/>
    <s v="P091020C2S5"/>
    <s v="Ratio"/>
    <s v="2006 / 2015"/>
    <x v="1"/>
    <s v=""/>
    <n v="2.1733047248670152"/>
    <n v="2.3721244925575098"/>
    <m/>
    <n v="3.1253031366756061"/>
    <n v="1.4380418451751371"/>
    <s v="x"/>
    <n v="1"/>
    <n v="0"/>
    <x v="1"/>
    <n v="0"/>
    <s v=""/>
    <s v=""/>
    <s v=""/>
    <s v=""/>
    <s v=""/>
    <s v=""/>
    <s v=""/>
    <s v=""/>
    <s v=""/>
    <s v=""/>
    <s v="Capacity; ; "/>
  </r>
  <r>
    <s v="China"/>
    <s v="East Asia and Pacific"/>
    <s v="P091020"/>
    <s v="C2"/>
    <s v="S6"/>
    <s v="P091020C2S6"/>
    <s v="Ratio"/>
    <s v="2006 / 2015"/>
    <x v="1"/>
    <s v=""/>
    <n v="4.8700071528065347"/>
    <n v="5.8877673761832536"/>
    <m/>
    <n v="7.7572057902250728"/>
    <n v="1.5928530589025265"/>
    <s v="x"/>
    <n v="1"/>
    <n v="0"/>
    <x v="0"/>
    <n v="0"/>
    <s v=""/>
    <s v=""/>
    <s v=""/>
    <s v=""/>
    <s v=""/>
    <s v=""/>
    <s v=""/>
    <s v=""/>
    <s v=""/>
    <n v="1"/>
    <s v="Change of project scope; ; "/>
  </r>
  <r>
    <s v="China"/>
    <s v="East Asia and Pacific"/>
    <s v="P091020"/>
    <s v="C2"/>
    <s v="S7"/>
    <s v="P091020C2S7"/>
    <s v="Ratio"/>
    <s v="2006 / 2015"/>
    <x v="1"/>
    <s v=""/>
    <n v="1.3628405500042702"/>
    <n v="1.3804635088432609"/>
    <m/>
    <n v="1.8187776180340836"/>
    <n v="1.3345490916221894"/>
    <s v=""/>
    <n v="0"/>
    <n v="0"/>
    <x v="1"/>
    <n v="0"/>
    <s v=""/>
    <s v=""/>
    <s v=""/>
    <s v=""/>
    <s v=""/>
    <s v=""/>
    <s v=""/>
    <s v=""/>
    <s v=""/>
    <s v=""/>
    <s v=""/>
  </r>
  <r>
    <s v="Macedonia, FYR"/>
    <s v="Europe and Central Asia"/>
    <s v="P091723"/>
    <s v="C1"/>
    <s v=""/>
    <s v="P091723C1"/>
    <s v="Ratio"/>
    <s v="2007 / 2012"/>
    <x v="4"/>
    <n v="1.2692307692307692"/>
    <n v="1"/>
    <n v="1.3844393592677344"/>
    <m/>
    <n v="1.3844393592677344"/>
    <n v="1.3844393592677346"/>
    <s v=""/>
    <n v="0"/>
    <n v="0"/>
    <x v="1"/>
    <n v="0"/>
    <s v=""/>
    <s v=""/>
    <s v=""/>
    <s v=""/>
    <s v=""/>
    <s v=""/>
    <s v=""/>
    <s v=""/>
    <s v=""/>
    <s v=""/>
    <s v=""/>
  </r>
  <r>
    <s v="Bulgaria"/>
    <s v="Europe and Central Asia"/>
    <s v="P094018"/>
    <s v="C1"/>
    <s v=""/>
    <s v="P094018C1"/>
    <s v="Ratio"/>
    <s v="2007 / 2014"/>
    <x v="5"/>
    <n v="1.368421052631579"/>
    <n v="1"/>
    <n v="1.14031007751938"/>
    <m/>
    <n v="1.14031007751938"/>
    <n v="1.14031007751938"/>
    <s v=""/>
    <n v="0"/>
    <n v="0"/>
    <x v="1"/>
    <n v="0"/>
    <s v=""/>
    <s v=""/>
    <s v=""/>
    <s v=""/>
    <s v=""/>
    <s v=""/>
    <s v=""/>
    <s v=""/>
    <s v=""/>
    <s v=""/>
    <s v=""/>
  </r>
  <r>
    <s v="Sudan"/>
    <s v="Sub-Saharan Africa"/>
    <s v="P095081"/>
    <s v="C1"/>
    <s v="S1"/>
    <s v="P095081C1S1"/>
    <s v="Ratio"/>
    <s v="2006 / 2013"/>
    <x v="2"/>
    <s v=""/>
    <n v="0.68"/>
    <n v="1.4598214285714286"/>
    <m/>
    <n v="1.4598214285714286"/>
    <n v="2.1467962184873945"/>
    <s v="x"/>
    <n v="0"/>
    <n v="0"/>
    <x v="0"/>
    <n v="0"/>
    <s v=""/>
    <n v="1"/>
    <s v=""/>
    <s v=""/>
    <s v=""/>
    <s v=""/>
    <s v=""/>
    <s v=""/>
    <s v=""/>
    <n v="1"/>
    <s v="Capacity; Change of project scope; Political events"/>
  </r>
  <r>
    <s v="Sudan"/>
    <s v="Sub-Saharan Africa"/>
    <s v="P095081"/>
    <s v="C1"/>
    <s v="S2"/>
    <s v="P095081C1S2"/>
    <s v="Ratio"/>
    <s v="2006 / 2013"/>
    <x v="6"/>
    <s v=""/>
    <n v="2.85"/>
    <n v="1.5063291139240509"/>
    <m/>
    <n v="1.5063291139240509"/>
    <n v="0.5285365312014213"/>
    <s v="x"/>
    <n v="1"/>
    <n v="0"/>
    <x v="1"/>
    <n v="0"/>
    <s v=""/>
    <s v=""/>
    <s v=""/>
    <s v=""/>
    <s v=""/>
    <s v=""/>
    <s v=""/>
    <s v=""/>
    <s v=""/>
    <n v="1"/>
    <s v="Change of project scope; ; "/>
  </r>
  <r>
    <s v="Sudan"/>
    <s v="Sub-Saharan Africa"/>
    <s v="P095081"/>
    <s v="C1"/>
    <s v="S3"/>
    <s v="P095081C1S3"/>
    <s v="Ratio"/>
    <s v="2006 / 2013"/>
    <x v="10"/>
    <s v=""/>
    <n v="0.70609756097560972"/>
    <n v="1.7175141242937852"/>
    <m/>
    <n v="1.7175141242937852"/>
    <n v="2.4324034230067424"/>
    <s v="x"/>
    <n v="0"/>
    <n v="0"/>
    <x v="0"/>
    <n v="0"/>
    <s v=""/>
    <n v="1"/>
    <s v=""/>
    <s v=""/>
    <s v=""/>
    <s v=""/>
    <s v=""/>
    <s v=""/>
    <s v=""/>
    <n v="1"/>
    <s v="Capacity; Change of project scope; Political events"/>
  </r>
  <r>
    <s v="Brazil"/>
    <s v="Latin America and Caribbean"/>
    <s v="P095460"/>
    <s v="C1"/>
    <s v=""/>
    <s v="P095460C1"/>
    <s v="Ratio"/>
    <s v="2006 / 2014"/>
    <x v="6"/>
    <s v=""/>
    <n v="0.59799999999999998"/>
    <n v="1.3802987197724039"/>
    <m/>
    <n v="1.3802987197724039"/>
    <n v="2.3081918390842877"/>
    <s v="x"/>
    <n v="0"/>
    <n v="0"/>
    <x v="0"/>
    <n v="0"/>
    <n v="1"/>
    <s v=""/>
    <s v=""/>
    <s v=""/>
    <s v=""/>
    <n v="1"/>
    <s v=""/>
    <s v=""/>
    <n v="1"/>
    <s v=""/>
    <s v="Macroeconomic conditions; Quality of estimates; Capacity of Counterpart "/>
  </r>
  <r>
    <s v="Poland"/>
    <s v="Europe and Central Asia"/>
    <s v="P096214"/>
    <s v="C1"/>
    <s v=""/>
    <s v="P096214C1"/>
    <s v="Ratio"/>
    <s v="2006 / 2012"/>
    <x v="6"/>
    <s v=""/>
    <n v="1.2255555555555555"/>
    <n v="1.0893413173652693"/>
    <m/>
    <n v="1.0893413173652693"/>
    <n v="0.88885510936422707"/>
    <s v=""/>
    <n v="0"/>
    <n v="0"/>
    <x v="1"/>
    <n v="0"/>
    <s v=""/>
    <s v=""/>
    <s v=""/>
    <s v=""/>
    <s v=""/>
    <s v=""/>
    <s v=""/>
    <s v=""/>
    <s v=""/>
    <s v=""/>
    <s v=""/>
  </r>
  <r>
    <s v="China"/>
    <s v="East Asia and Pacific"/>
    <s v="P099112"/>
    <s v="C1"/>
    <s v=""/>
    <s v="P099112C1"/>
    <s v="Ratio"/>
    <s v="2008 / 2012"/>
    <x v="1"/>
    <n v="0.91666666666666663"/>
    <n v="0.94946364046973808"/>
    <n v="1.174296996382886"/>
    <m/>
    <n v="1.174296996382886"/>
    <n v="1.2368003853227214"/>
    <s v=""/>
    <n v="0"/>
    <n v="0"/>
    <x v="1"/>
    <n v="0"/>
    <s v=""/>
    <s v=""/>
    <s v=""/>
    <s v=""/>
    <s v=""/>
    <s v=""/>
    <s v=""/>
    <s v=""/>
    <s v=""/>
    <s v=""/>
    <s v=""/>
  </r>
  <r>
    <s v="China"/>
    <s v="East Asia and Pacific"/>
    <s v="P099112"/>
    <s v="C2"/>
    <s v=""/>
    <s v="P099112C2"/>
    <s v="Ratio"/>
    <s v="2008 / 2012"/>
    <x v="2"/>
    <s v=""/>
    <n v="1.0018750000000001"/>
    <n v="1.291366279244557"/>
    <m/>
    <n v="1.291366279244557"/>
    <n v="1.2889494989340555"/>
    <s v=""/>
    <n v="0"/>
    <n v="0"/>
    <x v="1"/>
    <n v="0"/>
    <s v=""/>
    <s v=""/>
    <s v=""/>
    <s v=""/>
    <s v=""/>
    <s v=""/>
    <s v=""/>
    <s v=""/>
    <s v=""/>
    <s v=""/>
    <s v=""/>
  </r>
  <r>
    <s v="Argentina"/>
    <s v="Latin America and Caribbean"/>
    <s v="P099585"/>
    <s v="C1"/>
    <s v=""/>
    <s v="P099585C1"/>
    <s v="Ratio"/>
    <s v="2006 / 2014"/>
    <x v="1"/>
    <s v=""/>
    <n v="0.7173189486973488"/>
    <n v="1.197109689647003"/>
    <m/>
    <n v="1.197109689647003"/>
    <n v="1.6688666761430939"/>
    <s v="x"/>
    <n v="0"/>
    <n v="0"/>
    <x v="0"/>
    <n v="0"/>
    <n v="1"/>
    <s v=""/>
    <s v=""/>
    <s v=""/>
    <s v=""/>
    <s v=""/>
    <s v=""/>
    <s v=""/>
    <n v="1"/>
    <s v=""/>
    <s v="Quality of estimates; Macroeconomic conditions; "/>
  </r>
  <r>
    <s v="Argentina"/>
    <s v="Latin America and Caribbean"/>
    <s v="P099585"/>
    <s v="C2"/>
    <s v=""/>
    <s v="P099585C2"/>
    <s v="Ratio"/>
    <s v="2006 / 2014"/>
    <x v="1"/>
    <s v=""/>
    <n v="0.32294811320754718"/>
    <n v="1.2289855072463767"/>
    <m/>
    <n v="1.2289855072463767"/>
    <n v="3.8055200107534053"/>
    <s v="x"/>
    <n v="0"/>
    <n v="1"/>
    <x v="0"/>
    <n v="0"/>
    <n v="1"/>
    <n v="1"/>
    <s v=""/>
    <s v=""/>
    <s v=""/>
    <s v=""/>
    <s v=""/>
    <s v=""/>
    <n v="1"/>
    <s v=""/>
    <s v="Quality of estimates; Macroeconomic conditions; Political events"/>
  </r>
  <r>
    <s v="China"/>
    <s v="East Asia and Pacific"/>
    <s v="P099992"/>
    <s v="C1"/>
    <s v=""/>
    <s v="P099992C1"/>
    <s v="Ratio"/>
    <s v="2006 / 2014"/>
    <x v="12"/>
    <s v=""/>
    <n v="0.5977653631284916"/>
    <n v="0.488502100142024"/>
    <m/>
    <n v="0.488502100142024"/>
    <n v="0.81721379369553548"/>
    <s v=""/>
    <n v="0"/>
    <n v="0"/>
    <x v="1"/>
    <n v="0"/>
    <s v=""/>
    <s v=""/>
    <s v=""/>
    <s v=""/>
    <s v=""/>
    <s v=""/>
    <s v=""/>
    <s v=""/>
    <s v=""/>
    <s v=""/>
    <s v=""/>
  </r>
  <r>
    <s v="Ukraine "/>
    <s v="Europe and Central Asia"/>
    <s v="P100580"/>
    <s v="C1"/>
    <s v=""/>
    <s v="P100580C1"/>
    <s v="Ratio"/>
    <s v="2009 / 2015"/>
    <x v="0"/>
    <n v="1.24"/>
    <n v="1.2549999999999999"/>
    <n v="1.4922005184225144"/>
    <m/>
    <n v="0.76294448817087379"/>
    <n v="0.6079238949568716"/>
    <s v=""/>
    <n v="0"/>
    <n v="0"/>
    <x v="1"/>
    <n v="0"/>
    <s v=""/>
    <s v=""/>
    <s v=""/>
    <s v=""/>
    <s v=""/>
    <s v=""/>
    <s v=""/>
    <s v=""/>
    <s v=""/>
    <s v=""/>
    <s v=""/>
  </r>
  <r>
    <s v="Moldova"/>
    <s v="Europe and Central Asia"/>
    <s v="P100929"/>
    <s v="C1"/>
    <s v=""/>
    <s v="P100929C1"/>
    <s v="Ratio"/>
    <s v="2005 / 2013"/>
    <x v="12"/>
    <s v=""/>
    <n v="0.48388888888888887"/>
    <n v="1.5272727272727273"/>
    <m/>
    <n v="1.5272727272727273"/>
    <n v="3.1562467383362911"/>
    <s v="x"/>
    <n v="0"/>
    <n v="1"/>
    <x v="0"/>
    <n v="0"/>
    <s v=""/>
    <s v=""/>
    <s v=""/>
    <n v="1"/>
    <s v=""/>
    <s v=""/>
    <s v=""/>
    <s v=""/>
    <n v="1"/>
    <n v="1"/>
    <s v="Procurement system; Change of project scope; Quality of estimates"/>
  </r>
  <r>
    <s v="Brazil"/>
    <s v="Latin America and Caribbean"/>
    <s v="P106663"/>
    <s v="C1"/>
    <s v=""/>
    <s v="P106663C1"/>
    <s v="Ratio"/>
    <s v="2009 / 2015"/>
    <x v="0"/>
    <s v=""/>
    <n v="2.0674193548387096"/>
    <n v="2.1177469394600035"/>
    <m/>
    <n v="2.1177469394600035"/>
    <n v="1.0243431911883305"/>
    <s v="x"/>
    <n v="1"/>
    <n v="0"/>
    <x v="1"/>
    <n v="0"/>
    <s v=""/>
    <s v=""/>
    <s v=""/>
    <s v=""/>
    <s v=""/>
    <s v=""/>
    <s v=""/>
    <s v=""/>
    <s v=""/>
    <n v="1"/>
    <s v="; Change of project scope; "/>
  </r>
  <r>
    <s v="Kyrgyz Republic"/>
    <s v="Europe and Central Asia"/>
    <s v="P107608"/>
    <s v="C1"/>
    <s v="S1"/>
    <s v="P107608C1S1"/>
    <s v="Ratio"/>
    <s v="2009 / 2015"/>
    <x v="2"/>
    <n v="1.0833333333333333"/>
    <n v="1.0666666666666667"/>
    <n v="0.93447072508724316"/>
    <m/>
    <n v="0.93447072508724316"/>
    <n v="0.87606630476929048"/>
    <s v=""/>
    <n v="0"/>
    <n v="0"/>
    <x v="1"/>
    <n v="0"/>
    <s v=""/>
    <s v=""/>
    <s v=""/>
    <s v=""/>
    <s v=""/>
    <s v=""/>
    <s v=""/>
    <s v=""/>
    <s v=""/>
    <s v=""/>
    <s v=""/>
  </r>
  <r>
    <s v="Kyrgyz Republic"/>
    <s v="Europe and Central Asia"/>
    <s v="P107608"/>
    <s v="C1"/>
    <s v="S2"/>
    <s v="P107608C1S2"/>
    <s v="Ratio"/>
    <s v="2015 / 2011"/>
    <x v="2"/>
    <s v=""/>
    <n v="1.0055555555555555"/>
    <n v="1.0984848484848486"/>
    <m/>
    <n v="1.0984848484848486"/>
    <n v="1.0924158714213963"/>
    <s v=""/>
    <n v="0"/>
    <n v="0"/>
    <x v="1"/>
    <n v="0"/>
    <s v=""/>
    <s v=""/>
    <s v=""/>
    <s v=""/>
    <s v=""/>
    <s v=""/>
    <s v=""/>
    <s v=""/>
    <s v=""/>
    <s v=""/>
    <s v=""/>
  </r>
  <r>
    <s v="Albania"/>
    <s v="Europe and Central Asia"/>
    <s v="P107833"/>
    <s v="C1"/>
    <s v="S1"/>
    <s v="P107833C1S1"/>
    <s v="Ratio"/>
    <s v="2008 / 2013"/>
    <x v="0"/>
    <n v="2.4"/>
    <n v="1"/>
    <n v="0.7396694214876034"/>
    <m/>
    <n v="0.7396694214876034"/>
    <n v="0.7396694214876034"/>
    <s v=""/>
    <n v="0"/>
    <n v="0"/>
    <x v="1"/>
    <n v="0"/>
    <s v=""/>
    <s v=""/>
    <s v=""/>
    <s v=""/>
    <s v=""/>
    <s v=""/>
    <s v=""/>
    <s v=""/>
    <s v=""/>
    <s v=""/>
    <s v=""/>
  </r>
  <r>
    <s v="Albania"/>
    <s v="Europe and Central Asia"/>
    <s v="P107833"/>
    <s v="C1"/>
    <s v="S2"/>
    <s v="P107833C1S2"/>
    <s v="Ratio"/>
    <s v="2008 / 2013"/>
    <x v="0"/>
    <n v="1.5"/>
    <n v="1"/>
    <n v="0.97572815533980572"/>
    <m/>
    <n v="0.97572815533980572"/>
    <n v="0.97572815533980572"/>
    <s v=""/>
    <n v="0"/>
    <n v="0"/>
    <x v="1"/>
    <n v="0"/>
    <s v=""/>
    <s v=""/>
    <s v=""/>
    <s v=""/>
    <s v=""/>
    <s v=""/>
    <s v=""/>
    <s v=""/>
    <s v=""/>
    <s v=""/>
    <s v=""/>
  </r>
  <r>
    <s v="Albania"/>
    <s v="Europe and Central Asia"/>
    <s v="P107833"/>
    <s v="C1"/>
    <s v="S3"/>
    <s v="P107833C1S3"/>
    <s v="Ratio"/>
    <s v="2008 / 2013"/>
    <x v="0"/>
    <n v="1.2"/>
    <n v="1"/>
    <n v="0.83268482490272389"/>
    <m/>
    <n v="0.83268482490272389"/>
    <n v="0.83268482490272389"/>
    <s v=""/>
    <n v="0"/>
    <n v="0"/>
    <x v="1"/>
    <n v="0"/>
    <s v=""/>
    <s v=""/>
    <s v=""/>
    <s v=""/>
    <s v=""/>
    <s v=""/>
    <s v=""/>
    <s v=""/>
    <s v=""/>
    <s v=""/>
    <s v=""/>
  </r>
  <r>
    <s v="Albania"/>
    <s v="Europe and Central Asia"/>
    <s v="P107833"/>
    <s v="C2"/>
    <s v="S1"/>
    <s v="P107833C2S1"/>
    <s v="Ratio"/>
    <s v="2008 / 2013"/>
    <x v="0"/>
    <n v="1.0909090909090908"/>
    <n v="1"/>
    <n v="0.58704453441295545"/>
    <m/>
    <n v="0.58704453441295545"/>
    <n v="0.58704453441295534"/>
    <s v=""/>
    <n v="0"/>
    <n v="0"/>
    <x v="1"/>
    <n v="0"/>
    <s v=""/>
    <s v=""/>
    <s v=""/>
    <s v=""/>
    <s v=""/>
    <s v=""/>
    <s v=""/>
    <s v=""/>
    <s v=""/>
    <s v=""/>
    <s v=""/>
  </r>
  <r>
    <s v="Albania"/>
    <s v="Europe and Central Asia"/>
    <s v="P107833"/>
    <s v="C2"/>
    <s v="S2"/>
    <s v="P107833C2S2"/>
    <s v="Ratio"/>
    <s v="2008 / 2013"/>
    <x v="0"/>
    <n v="2"/>
    <n v="1"/>
    <n v="0.88127853881278539"/>
    <m/>
    <n v="0.88127853881278539"/>
    <n v="0.88127853881278528"/>
    <s v=""/>
    <n v="0"/>
    <n v="0"/>
    <x v="1"/>
    <n v="0"/>
    <s v=""/>
    <s v=""/>
    <s v=""/>
    <s v=""/>
    <s v=""/>
    <s v=""/>
    <s v=""/>
    <s v=""/>
    <s v=""/>
    <s v=""/>
    <s v=""/>
  </r>
  <r>
    <s v="Albania"/>
    <s v="Europe and Central Asia"/>
    <s v="P107833"/>
    <s v="C2"/>
    <s v="S3"/>
    <s v="P107833C2S3"/>
    <s v="Ratio"/>
    <s v="2008 / 2013"/>
    <x v="0"/>
    <n v="0.92307692307692313"/>
    <n v="1"/>
    <n v="0.89206349206349211"/>
    <m/>
    <n v="0.89206349206349211"/>
    <n v="0.89206349206349211"/>
    <s v=""/>
    <n v="0"/>
    <n v="0"/>
    <x v="1"/>
    <n v="0"/>
    <s v=""/>
    <s v=""/>
    <s v=""/>
    <s v=""/>
    <s v=""/>
    <s v=""/>
    <s v=""/>
    <s v=""/>
    <s v=""/>
    <s v=""/>
    <s v=""/>
  </r>
  <r>
    <s v="Albania"/>
    <s v="Europe and Central Asia"/>
    <s v="P107833"/>
    <s v="C2"/>
    <s v="S4"/>
    <s v="P107833C2S4"/>
    <s v="Ratio"/>
    <s v="2008 / 2013"/>
    <x v="0"/>
    <n v="1.7142857142857142"/>
    <n v="1"/>
    <n v="1.3971291866028708"/>
    <m/>
    <n v="1.3971291866028708"/>
    <n v="1.397129186602871"/>
    <s v=""/>
    <n v="0"/>
    <n v="0"/>
    <x v="1"/>
    <n v="0"/>
    <s v=""/>
    <s v=""/>
    <s v=""/>
    <s v=""/>
    <s v=""/>
    <s v=""/>
    <s v=""/>
    <s v=""/>
    <s v=""/>
    <s v=""/>
    <s v=""/>
  </r>
  <r>
    <s v="Albania"/>
    <s v="Europe and Central Asia"/>
    <s v="P107833"/>
    <s v="C2"/>
    <s v="S5"/>
    <s v="P107833C2S5"/>
    <s v="Ratio"/>
    <s v="2008 / 2013"/>
    <x v="0"/>
    <n v="1"/>
    <n v="1"/>
    <n v="1.0895522388059702"/>
    <m/>
    <n v="1.0895522388059702"/>
    <n v="1.0895522388059702"/>
    <s v=""/>
    <n v="0"/>
    <n v="0"/>
    <x v="1"/>
    <n v="0"/>
    <s v=""/>
    <s v=""/>
    <s v=""/>
    <s v=""/>
    <s v=""/>
    <s v=""/>
    <s v=""/>
    <s v=""/>
    <s v=""/>
    <s v=""/>
    <s v=""/>
  </r>
  <r>
    <s v="Albania"/>
    <s v="Europe and Central Asia"/>
    <s v="P107833"/>
    <s v="C2"/>
    <s v="S6"/>
    <s v="P107833C2S6"/>
    <s v="Ratio"/>
    <s v="2008 / 2013"/>
    <x v="0"/>
    <n v="1.2"/>
    <n v="1"/>
    <n v="0.64313725490196083"/>
    <m/>
    <n v="0.64313725490196083"/>
    <n v="0.64313725490196072"/>
    <s v=""/>
    <n v="0"/>
    <n v="0"/>
    <x v="1"/>
    <n v="0"/>
    <s v=""/>
    <s v=""/>
    <s v=""/>
    <s v=""/>
    <s v=""/>
    <s v=""/>
    <s v=""/>
    <s v=""/>
    <s v=""/>
    <s v=""/>
    <s v=""/>
  </r>
  <r>
    <s v="Albania"/>
    <s v="Europe and Central Asia"/>
    <s v="P107833"/>
    <s v="C2"/>
    <s v="S7"/>
    <s v="P107833C2S7"/>
    <s v="Ratio"/>
    <s v="2008 / 2013"/>
    <x v="0"/>
    <n v="1.5"/>
    <n v="1"/>
    <n v="0.95631067961165039"/>
    <m/>
    <n v="0.95631067961165039"/>
    <n v="0.95631067961165039"/>
    <s v=""/>
    <n v="0"/>
    <n v="0"/>
    <x v="1"/>
    <n v="0"/>
    <s v=""/>
    <s v=""/>
    <s v=""/>
    <s v=""/>
    <s v=""/>
    <s v=""/>
    <s v=""/>
    <s v=""/>
    <s v=""/>
    <s v=""/>
    <s v=""/>
  </r>
  <r>
    <s v="Albania"/>
    <s v="Europe and Central Asia"/>
    <s v="P107833"/>
    <s v="C2"/>
    <s v="S8"/>
    <s v="P107833C2S8"/>
    <s v="Ratio"/>
    <s v="2008 / 2013"/>
    <x v="0"/>
    <n v="2"/>
    <n v="1"/>
    <n v="0.69354838709677413"/>
    <m/>
    <n v="0.69354838709677413"/>
    <n v="0.69354838709677424"/>
    <s v=""/>
    <n v="0"/>
    <n v="0"/>
    <x v="1"/>
    <n v="0"/>
    <s v=""/>
    <s v=""/>
    <s v=""/>
    <s v=""/>
    <s v=""/>
    <s v=""/>
    <s v=""/>
    <s v=""/>
    <s v=""/>
    <s v=""/>
    <s v=""/>
  </r>
  <r>
    <s v="Armenia"/>
    <s v="Europe and Central Asia"/>
    <s v="P115486"/>
    <s v="C1"/>
    <s v=""/>
    <s v="P115486C1"/>
    <s v="Ratio"/>
    <s v="2009 / 2014"/>
    <x v="0"/>
    <n v="6.1428571428571432"/>
    <n v="4.4689378757515028"/>
    <n v="4.3025175645756457"/>
    <m/>
    <n v="4.3025175645756457"/>
    <n v="0.96276065682656797"/>
    <s v="x"/>
    <n v="1"/>
    <n v="0"/>
    <x v="1"/>
    <n v="0"/>
    <s v=""/>
    <s v=""/>
    <s v=""/>
    <s v=""/>
    <s v=""/>
    <s v=""/>
    <n v="1"/>
    <s v=""/>
    <s v=""/>
    <n v="1"/>
    <s v="Capacity of contractors; Change of project scope; "/>
  </r>
  <r>
    <s v="Papua New Guinea"/>
    <s v="East Asia and Pacific"/>
    <s v="P004397"/>
    <s v="C1"/>
    <s v="S1"/>
    <s v="P004397C1S1"/>
    <s v="Ratio"/>
    <s v="2002 / 2012"/>
    <x v="3"/>
    <n v="4"/>
    <n v="0.81272727272727274"/>
    <m/>
    <m/>
    <n v="1.9632857284866962"/>
    <n v="2.4156759522766955"/>
    <s v="x"/>
    <n v="0"/>
    <n v="0"/>
    <x v="0"/>
    <n v="0"/>
    <n v="1"/>
    <s v=""/>
    <n v="1"/>
    <s v=""/>
    <s v=""/>
    <s v=""/>
    <s v=""/>
    <s v=""/>
    <s v=""/>
    <s v=""/>
    <s v="Macroeconomic conditions; Weather shocks ; "/>
  </r>
  <r>
    <s v="Papua New Guinea"/>
    <s v="East Asia and Pacific"/>
    <s v="P004397"/>
    <s v="C1"/>
    <s v="S2"/>
    <s v="P004397C1S2"/>
    <s v="Ratio"/>
    <s v="2002 / 2012"/>
    <x v="0"/>
    <s v=""/>
    <n v="1.4145454545454546"/>
    <m/>
    <m/>
    <n v="5.4592710870756074"/>
    <n v="3.8593818738966381"/>
    <s v="x"/>
    <n v="0"/>
    <n v="0"/>
    <x v="0"/>
    <n v="0"/>
    <n v="1"/>
    <s v=""/>
    <n v="1"/>
    <s v=""/>
    <s v=""/>
    <s v=""/>
    <s v=""/>
    <s v=""/>
    <s v=""/>
    <s v=""/>
    <s v="Macroeconomic conditions; Weather shocks ; "/>
  </r>
  <r>
    <s v="Papua New Guinea"/>
    <s v="East Asia and Pacific"/>
    <s v="P004397"/>
    <s v="C2"/>
    <s v="S1"/>
    <s v="P004397C2S1"/>
    <s v="Ratio"/>
    <s v="2002 / 2012"/>
    <x v="3"/>
    <n v="4"/>
    <n v="0.73777777777777775"/>
    <m/>
    <m/>
    <n v="0.62109770847634915"/>
    <n v="0.84184930365770205"/>
    <s v=""/>
    <n v="0"/>
    <n v="0"/>
    <x v="1"/>
    <n v="0"/>
    <s v=""/>
    <s v=""/>
    <s v=""/>
    <s v=""/>
    <s v=""/>
    <s v=""/>
    <s v=""/>
    <s v=""/>
    <s v=""/>
    <s v=""/>
    <s v=""/>
  </r>
  <r>
    <s v="Papua New Guinea"/>
    <s v="East Asia and Pacific"/>
    <s v="P004397"/>
    <s v="C2"/>
    <s v="S2"/>
    <s v="P004397C2S2"/>
    <s v="Ratio"/>
    <s v="2002 / 2012"/>
    <x v="0"/>
    <s v=""/>
    <n v="0.78"/>
    <m/>
    <m/>
    <n v="4.5973729297544264"/>
    <n v="5.894067858659521"/>
    <s v="x"/>
    <n v="0"/>
    <n v="0"/>
    <x v="0"/>
    <n v="0"/>
    <n v="1"/>
    <s v=""/>
    <n v="1"/>
    <s v=""/>
    <s v=""/>
    <s v=""/>
    <s v=""/>
    <s v=""/>
    <s v=""/>
    <s v=""/>
    <s v="Macroeconomic conditions; Weather shocks; "/>
  </r>
  <r>
    <s v="India"/>
    <s v="South Asia"/>
    <s v="P009972"/>
    <s v="C1"/>
    <s v="S1"/>
    <s v="P009972C1S1"/>
    <s v="Ratio"/>
    <s v="2000 / 2008"/>
    <x v="12"/>
    <n v="1.8333333333333333"/>
    <n v="1"/>
    <m/>
    <m/>
    <n v="0.7224986014544873"/>
    <n v="0.7224986014544873"/>
    <s v=""/>
    <n v="0"/>
    <n v="0"/>
    <x v="1"/>
    <n v="0"/>
    <s v=""/>
    <s v=""/>
    <s v=""/>
    <s v=""/>
    <s v=""/>
    <s v=""/>
    <s v=""/>
    <s v=""/>
    <s v=""/>
    <s v=""/>
    <s v=""/>
  </r>
  <r>
    <s v="India"/>
    <s v="South Asia"/>
    <s v="P009972"/>
    <s v="C1"/>
    <s v="S2"/>
    <s v="P009972C1S2"/>
    <s v="Ratio"/>
    <s v="2000 / 2008"/>
    <x v="12"/>
    <n v="2.3250000000000002"/>
    <n v="1"/>
    <m/>
    <m/>
    <n v="0.62411935245162131"/>
    <n v="0.62411935245162142"/>
    <s v=""/>
    <n v="0"/>
    <n v="0"/>
    <x v="1"/>
    <n v="0"/>
    <s v=""/>
    <s v=""/>
    <s v=""/>
    <s v=""/>
    <s v=""/>
    <s v=""/>
    <s v=""/>
    <s v=""/>
    <s v=""/>
    <s v=""/>
    <s v=""/>
  </r>
  <r>
    <s v="India"/>
    <s v="South Asia"/>
    <s v="P009972"/>
    <s v="C1"/>
    <s v="S3"/>
    <s v="P009972C1S3"/>
    <s v="Ratio"/>
    <s v="2000 / 2008"/>
    <x v="12"/>
    <n v="1.2777777777777777"/>
    <n v="1"/>
    <m/>
    <m/>
    <n v="0.76798658222486382"/>
    <n v="0.76798658222486382"/>
    <s v=""/>
    <n v="0"/>
    <n v="0"/>
    <x v="1"/>
    <n v="0"/>
    <s v=""/>
    <s v=""/>
    <s v=""/>
    <s v=""/>
    <s v=""/>
    <s v=""/>
    <s v=""/>
    <s v=""/>
    <s v=""/>
    <s v=""/>
    <s v=""/>
  </r>
  <r>
    <s v="India"/>
    <s v="South Asia"/>
    <s v="P009972"/>
    <s v="C1"/>
    <s v="S4"/>
    <s v="P009972C1S4"/>
    <s v="Ratio"/>
    <s v="2000 / 2008"/>
    <x v="12"/>
    <n v="2.1282051282051282"/>
    <n v="1"/>
    <m/>
    <m/>
    <n v="0.73477964360364201"/>
    <n v="0.7347796436036419"/>
    <s v=""/>
    <n v="0"/>
    <n v="0"/>
    <x v="1"/>
    <n v="0"/>
    <s v=""/>
    <s v=""/>
    <s v=""/>
    <s v=""/>
    <s v=""/>
    <s v=""/>
    <s v=""/>
    <s v=""/>
    <s v=""/>
    <s v=""/>
    <s v=""/>
  </r>
  <r>
    <s v="India"/>
    <s v="South Asia"/>
    <s v="P009972"/>
    <s v="C1"/>
    <s v="S5"/>
    <s v="P009972C1S5"/>
    <s v="Ratio"/>
    <s v="2000 / 2008"/>
    <x v="12"/>
    <n v="1.75"/>
    <n v="1.125"/>
    <m/>
    <m/>
    <n v="0.72632403476854646"/>
    <n v="0.64562136423870797"/>
    <s v=""/>
    <n v="0"/>
    <n v="0"/>
    <x v="1"/>
    <n v="0"/>
    <s v=""/>
    <s v=""/>
    <s v=""/>
    <s v=""/>
    <s v=""/>
    <s v=""/>
    <s v=""/>
    <s v=""/>
    <s v=""/>
    <s v=""/>
    <s v=""/>
  </r>
  <r>
    <s v="India"/>
    <s v="South Asia"/>
    <s v="P009972"/>
    <s v="C1"/>
    <s v="S6"/>
    <s v="P009972C1S6"/>
    <s v="Ratio"/>
    <s v="2000 / 2008"/>
    <x v="12"/>
    <n v="1.5833333333333333"/>
    <n v="0.88888888888888884"/>
    <m/>
    <m/>
    <n v="0.71588926721103008"/>
    <n v="0.80537542561240882"/>
    <s v=""/>
    <n v="0"/>
    <n v="0"/>
    <x v="1"/>
    <n v="0"/>
    <s v=""/>
    <s v=""/>
    <s v=""/>
    <s v=""/>
    <s v=""/>
    <s v=""/>
    <s v=""/>
    <s v=""/>
    <s v=""/>
    <s v=""/>
    <s v=""/>
  </r>
  <r>
    <s v="India"/>
    <s v="South Asia"/>
    <s v="P009972"/>
    <s v="C1"/>
    <s v="S7"/>
    <s v="P009972C1S7"/>
    <s v="Ratio"/>
    <s v="2000 / 2008"/>
    <x v="12"/>
    <n v="2"/>
    <n v="1"/>
    <m/>
    <m/>
    <n v="0.77599673348370335"/>
    <n v="0.77599673348370335"/>
    <s v=""/>
    <n v="0"/>
    <n v="0"/>
    <x v="1"/>
    <n v="0"/>
    <s v=""/>
    <s v=""/>
    <s v=""/>
    <s v=""/>
    <s v=""/>
    <s v=""/>
    <s v=""/>
    <s v=""/>
    <s v=""/>
    <s v=""/>
    <s v=""/>
  </r>
  <r>
    <s v="Pakistan"/>
    <s v="South Asia"/>
    <s v="P010556"/>
    <s v="C1"/>
    <s v="S10"/>
    <s v="P010556C1S10"/>
    <s v="Ratio"/>
    <s v="2003 / 2013"/>
    <x v="15"/>
    <s v=""/>
    <n v="1.7083333333333333"/>
    <m/>
    <m/>
    <n v="1.8866165937144437"/>
    <n v="1.1043609329060156"/>
    <s v="x"/>
    <n v="1"/>
    <n v="0"/>
    <x v="1"/>
    <n v="0"/>
    <s v=""/>
    <s v=""/>
    <n v="1"/>
    <s v=""/>
    <s v=""/>
    <s v=""/>
    <s v=""/>
    <s v=""/>
    <s v=""/>
    <n v="1"/>
    <s v="Change of project scope; Weather shocks; "/>
  </r>
  <r>
    <s v="Pakistan"/>
    <s v="South Asia"/>
    <s v="P010556"/>
    <s v="C1"/>
    <s v="S14"/>
    <s v="P010556C1S14"/>
    <s v="Ratio"/>
    <s v="2003 / 2013"/>
    <x v="15"/>
    <s v=""/>
    <n v="1.7903225806451613"/>
    <m/>
    <m/>
    <n v="2.1674404031229737"/>
    <n v="1.2106423873299492"/>
    <s v="x"/>
    <n v="1"/>
    <n v="0"/>
    <x v="1"/>
    <n v="0"/>
    <s v=""/>
    <s v=""/>
    <n v="1"/>
    <s v=""/>
    <s v=""/>
    <s v=""/>
    <s v=""/>
    <s v=""/>
    <s v=""/>
    <n v="1"/>
    <s v="Change of project scope; Weather shocks; "/>
  </r>
  <r>
    <s v="Pakistan"/>
    <s v="South Asia"/>
    <s v="P010556"/>
    <s v="C1"/>
    <s v="S15"/>
    <s v="P010556C1S15"/>
    <s v="Ratio"/>
    <s v="2003 / 2013"/>
    <x v="0"/>
    <s v=""/>
    <n v="1"/>
    <m/>
    <m/>
    <n v="1.3617113733342634"/>
    <n v="1.3617113733342632"/>
    <s v=""/>
    <n v="0"/>
    <n v="0"/>
    <x v="1"/>
    <n v="0"/>
    <s v=""/>
    <s v=""/>
    <s v=""/>
    <s v=""/>
    <s v=""/>
    <s v=""/>
    <s v=""/>
    <s v=""/>
    <s v=""/>
    <s v=""/>
    <s v=""/>
  </r>
  <r>
    <s v="Pakistan"/>
    <s v="South Asia"/>
    <s v="P010556"/>
    <s v="C1"/>
    <s v="S4"/>
    <s v="P010556C1S4"/>
    <s v="Ratio"/>
    <s v="2003 / 2013"/>
    <x v="0"/>
    <s v=""/>
    <n v="0.9662921348314607"/>
    <m/>
    <m/>
    <n v="0.72005173963126268"/>
    <n v="0.74516982357188799"/>
    <s v=""/>
    <n v="0"/>
    <n v="0"/>
    <x v="1"/>
    <n v="0"/>
    <s v=""/>
    <s v=""/>
    <s v=""/>
    <s v=""/>
    <s v=""/>
    <s v=""/>
    <s v=""/>
    <s v=""/>
    <s v=""/>
    <s v=""/>
    <s v=""/>
  </r>
  <r>
    <s v="Pakistan"/>
    <s v="South Asia"/>
    <s v="P010556"/>
    <s v="C1"/>
    <s v="S5"/>
    <s v="P010556C1S5"/>
    <s v="Ratio"/>
    <s v="2003 / 2013"/>
    <x v="0"/>
    <s v=""/>
    <n v="0.93109869646182486"/>
    <m/>
    <m/>
    <n v="0.87896449758945128"/>
    <n v="0.94400787041107082"/>
    <s v=""/>
    <n v="0"/>
    <n v="0"/>
    <x v="1"/>
    <n v="0"/>
    <s v=""/>
    <s v=""/>
    <s v=""/>
    <s v=""/>
    <s v=""/>
    <s v=""/>
    <s v=""/>
    <s v=""/>
    <s v=""/>
    <s v=""/>
    <s v=""/>
  </r>
  <r>
    <s v="Pakistan"/>
    <s v="South Asia"/>
    <s v="P010556"/>
    <s v="C1"/>
    <s v="S6"/>
    <s v="P010556C1S6"/>
    <s v="Ratio"/>
    <s v="2003 / 2013"/>
    <x v="0"/>
    <s v=""/>
    <n v="1.0217391304347827"/>
    <m/>
    <m/>
    <n v="0.8554012489514401"/>
    <n v="0.83720122237800532"/>
    <s v=""/>
    <n v="0"/>
    <n v="0"/>
    <x v="1"/>
    <n v="0"/>
    <s v=""/>
    <s v=""/>
    <s v=""/>
    <s v=""/>
    <s v=""/>
    <s v=""/>
    <s v=""/>
    <s v=""/>
    <s v=""/>
    <s v=""/>
    <s v=""/>
  </r>
  <r>
    <s v="Pakistan"/>
    <s v="South Asia"/>
    <s v="P010556"/>
    <s v="C1"/>
    <s v="S7"/>
    <s v="P010556C1S7"/>
    <s v="Ratio"/>
    <s v="2003 / 2013"/>
    <x v="12"/>
    <s v=""/>
    <n v="1"/>
    <m/>
    <m/>
    <n v="0.91167836756350273"/>
    <n v="0.91167836756350273"/>
    <s v=""/>
    <n v="0"/>
    <n v="0"/>
    <x v="1"/>
    <n v="0"/>
    <s v=""/>
    <s v=""/>
    <s v=""/>
    <s v=""/>
    <s v=""/>
    <s v=""/>
    <s v=""/>
    <s v=""/>
    <s v=""/>
    <s v=""/>
    <s v=""/>
  </r>
  <r>
    <s v="Philippines"/>
    <s v="East Asia and Pacific"/>
    <s v="P039019"/>
    <s v="C1"/>
    <s v="S1"/>
    <s v="P039019C1S1"/>
    <s v="Ratio"/>
    <s v="2000 / 2008"/>
    <x v="2"/>
    <s v=""/>
    <n v="0.99764705882352933"/>
    <m/>
    <m/>
    <n v="0.83511337991624734"/>
    <n v="0.83708298694435179"/>
    <s v=""/>
    <n v="0"/>
    <n v="0"/>
    <x v="1"/>
    <n v="0"/>
    <s v=""/>
    <s v=""/>
    <s v=""/>
    <s v=""/>
    <s v=""/>
    <s v=""/>
    <s v=""/>
    <s v=""/>
    <s v=""/>
    <s v=""/>
    <s v=""/>
  </r>
  <r>
    <s v="Philippines"/>
    <s v="East Asia and Pacific"/>
    <s v="P039019"/>
    <s v="C1"/>
    <s v="S2"/>
    <s v="P039019C1S2"/>
    <s v="Ratio"/>
    <s v="2000 / 2008"/>
    <x v="2"/>
    <s v=""/>
    <n v="1.1232558139534883"/>
    <m/>
    <m/>
    <n v="1.5166681833348501"/>
    <n v="1.350242896136616"/>
    <s v=""/>
    <n v="0"/>
    <n v="0"/>
    <x v="1"/>
    <n v="0"/>
    <s v=""/>
    <s v=""/>
    <s v=""/>
    <s v=""/>
    <s v=""/>
    <s v=""/>
    <s v=""/>
    <s v=""/>
    <s v=""/>
    <s v=""/>
    <s v=""/>
  </r>
  <r>
    <s v="Philippines"/>
    <s v="East Asia and Pacific"/>
    <s v="P039019"/>
    <s v="C1"/>
    <s v="S3"/>
    <s v="P039019C1S3"/>
    <s v="Ratio"/>
    <s v="2000 / 2008"/>
    <x v="2"/>
    <s v=""/>
    <n v="1.0043478260869565"/>
    <m/>
    <m/>
    <n v="0.82698328312363389"/>
    <n v="0.82340326891097748"/>
    <s v=""/>
    <n v="0"/>
    <n v="0"/>
    <x v="1"/>
    <n v="0"/>
    <s v=""/>
    <s v=""/>
    <s v=""/>
    <s v=""/>
    <s v=""/>
    <s v=""/>
    <s v=""/>
    <s v=""/>
    <s v=""/>
    <s v=""/>
    <s v=""/>
  </r>
  <r>
    <s v="Philippines"/>
    <s v="East Asia and Pacific"/>
    <s v="P039019"/>
    <s v="C1"/>
    <s v="S4"/>
    <s v="P039019C1S4"/>
    <s v="Ratio"/>
    <s v="2000 / 2008"/>
    <x v="2"/>
    <s v=""/>
    <n v="0.3183098591549296"/>
    <m/>
    <m/>
    <n v="1.0317239675037839"/>
    <n v="3.2412567120694091"/>
    <s v="x"/>
    <n v="0"/>
    <n v="1"/>
    <x v="0"/>
    <n v="0"/>
    <s v=""/>
    <s v=""/>
    <n v="1"/>
    <n v="1"/>
    <s v=""/>
    <n v="1"/>
    <s v=""/>
    <s v=""/>
    <n v="1"/>
    <s v=""/>
    <s v="Capacity of counterpart (Procurement system); Quality of estimates; Weather shocks"/>
  </r>
  <r>
    <s v="Philippines"/>
    <s v="East Asia and Pacific"/>
    <s v="P039019"/>
    <s v="C1"/>
    <s v="S5"/>
    <s v="P039019C1S5"/>
    <s v="Ratio"/>
    <s v="2000 / 2008"/>
    <x v="2"/>
    <s v=""/>
    <n v="1.1434782608695653"/>
    <m/>
    <m/>
    <n v="4.2809042809042817"/>
    <n v="3.7437565954676226"/>
    <s v="x"/>
    <n v="0"/>
    <n v="0"/>
    <x v="0"/>
    <n v="0"/>
    <s v=""/>
    <s v=""/>
    <n v="1"/>
    <n v="1"/>
    <s v=""/>
    <n v="1"/>
    <s v=""/>
    <s v=""/>
    <n v="1"/>
    <s v=""/>
    <s v="Capacity of counterpart (Procurement system); Quality of estimates; Weather shocks"/>
  </r>
  <r>
    <s v="Philippines"/>
    <s v="East Asia and Pacific"/>
    <s v="P039019"/>
    <s v="C1"/>
    <s v="S8"/>
    <s v="P039019C1S8"/>
    <s v="Ratio"/>
    <s v="2000 / 2008"/>
    <x v="2"/>
    <s v=""/>
    <n v="1.0021739130434784"/>
    <m/>
    <m/>
    <n v="1.8496071829405163"/>
    <n v="1.8455950198538775"/>
    <s v="x"/>
    <n v="0"/>
    <n v="0"/>
    <x v="0"/>
    <n v="0"/>
    <s v=""/>
    <s v=""/>
    <n v="1"/>
    <n v="1"/>
    <s v=""/>
    <n v="1"/>
    <s v=""/>
    <s v=""/>
    <n v="1"/>
    <s v=""/>
    <s v="Capacity of counterpart (Procurement system); Quality of estimates; Weather shocks"/>
  </r>
  <r>
    <s v="Philippines"/>
    <s v="East Asia and Pacific"/>
    <s v="P039019"/>
    <s v="C1"/>
    <s v="S9"/>
    <s v="P039019C1S9"/>
    <s v="Ratio"/>
    <s v="2000 / 2008"/>
    <x v="2"/>
    <s v=""/>
    <n v="1.0016949152542374"/>
    <m/>
    <m/>
    <n v="1.3613748108337709"/>
    <n v="1.3590713001555412"/>
    <s v=""/>
    <n v="0"/>
    <n v="0"/>
    <x v="1"/>
    <n v="0"/>
    <s v=""/>
    <s v=""/>
    <s v=""/>
    <s v=""/>
    <s v=""/>
    <s v=""/>
    <s v=""/>
    <s v=""/>
    <s v=""/>
    <s v=""/>
    <s v=""/>
  </r>
  <r>
    <s v="Philippines"/>
    <s v="East Asia and Pacific"/>
    <s v="P039019"/>
    <s v="C2"/>
    <s v=""/>
    <s v="P039019C2"/>
    <s v="Ratio"/>
    <s v="2000 / 2008"/>
    <x v="6"/>
    <s v=""/>
    <n v="0.8014444444444444"/>
    <m/>
    <m/>
    <n v="0.88636566034375275"/>
    <n v="1.1059602028412276"/>
    <s v=""/>
    <n v="0"/>
    <n v="0"/>
    <x v="1"/>
    <n v="0"/>
    <s v=""/>
    <s v=""/>
    <s v=""/>
    <s v=""/>
    <s v=""/>
    <s v=""/>
    <s v=""/>
    <s v=""/>
    <s v=""/>
    <s v=""/>
    <s v=""/>
  </r>
  <r>
    <s v="Philippines"/>
    <s v="East Asia and Pacific"/>
    <s v="P039019"/>
    <s v="C3"/>
    <s v=""/>
    <s v="P039019C3"/>
    <s v="Ratio"/>
    <s v="2000 / 2008"/>
    <x v="6"/>
    <s v=""/>
    <n v="1.0995670995670996"/>
    <m/>
    <m/>
    <n v="2.0732931726907626"/>
    <n v="1.8855540271321503"/>
    <s v="x"/>
    <n v="0"/>
    <n v="0"/>
    <x v="0"/>
    <n v="0"/>
    <s v=""/>
    <s v=""/>
    <n v="1"/>
    <n v="1"/>
    <s v=""/>
    <n v="1"/>
    <s v=""/>
    <s v=""/>
    <n v="1"/>
    <s v=""/>
    <s v="Capacity of counterpart (Procurement system); Quality of estimates; Weather shocks"/>
  </r>
  <r>
    <s v="Belize"/>
    <s v="Latin America and Caribbean"/>
    <s v="P040150"/>
    <s v="C1"/>
    <s v="S1"/>
    <s v="P040150C1S1"/>
    <s v="Ratio"/>
    <s v="2000 / 2006"/>
    <x v="2"/>
    <s v=""/>
    <n v="1"/>
    <m/>
    <m/>
    <n v="1.276470588235294"/>
    <n v="1.2764705882352942"/>
    <s v=""/>
    <n v="0"/>
    <n v="0"/>
    <x v="1"/>
    <n v="0"/>
    <s v=""/>
    <s v=""/>
    <s v=""/>
    <s v=""/>
    <s v=""/>
    <s v=""/>
    <s v=""/>
    <s v=""/>
    <s v=""/>
    <s v=""/>
    <s v=""/>
  </r>
  <r>
    <s v="Indonesia"/>
    <s v="East Asia and Pacific"/>
    <s v="P040578"/>
    <s v="C1"/>
    <s v="S1"/>
    <s v="P040578C1S1"/>
    <s v="Ratio"/>
    <s v="2001 / 2006"/>
    <x v="6"/>
    <s v=""/>
    <n v="1.111"/>
    <m/>
    <m/>
    <n v="1.1239392585975883"/>
    <n v="1.0116464973875681"/>
    <s v=""/>
    <n v="0"/>
    <n v="0"/>
    <x v="1"/>
    <n v="0"/>
    <s v=""/>
    <s v=""/>
    <s v=""/>
    <s v=""/>
    <s v=""/>
    <s v=""/>
    <s v=""/>
    <s v=""/>
    <s v=""/>
    <s v=""/>
    <s v=""/>
  </r>
  <r>
    <s v="Indonesia"/>
    <s v="East Asia and Pacific"/>
    <s v="P040578"/>
    <s v="C1"/>
    <s v="S2"/>
    <s v="P040578C1S2"/>
    <s v="Ratio"/>
    <s v="2001 / 2006"/>
    <x v="0"/>
    <s v=""/>
    <n v="1.3640000000000001"/>
    <m/>
    <m/>
    <n v="1.4030568105354226"/>
    <n v="1.0286340253192245"/>
    <s v=""/>
    <n v="0"/>
    <n v="0"/>
    <x v="1"/>
    <n v="0"/>
    <s v=""/>
    <s v=""/>
    <s v=""/>
    <s v=""/>
    <s v=""/>
    <s v=""/>
    <s v=""/>
    <s v=""/>
    <s v=""/>
    <s v=""/>
    <s v=""/>
  </r>
  <r>
    <s v="Azerbaijan"/>
    <s v="Europe and Central Asia"/>
    <s v="P040716"/>
    <s v="C1"/>
    <s v="S1"/>
    <s v="P040716C1S1"/>
    <s v="Ratio"/>
    <s v="2001 / 2009"/>
    <x v="0"/>
    <s v=""/>
    <n v="1"/>
    <m/>
    <m/>
    <n v="0.83240843507214213"/>
    <n v="0.83240843507214213"/>
    <s v=""/>
    <n v="0"/>
    <n v="0"/>
    <x v="1"/>
    <n v="0"/>
    <s v=""/>
    <s v=""/>
    <s v=""/>
    <s v=""/>
    <s v=""/>
    <s v=""/>
    <s v=""/>
    <s v=""/>
    <s v=""/>
    <s v=""/>
    <s v=""/>
  </r>
  <r>
    <s v="Azerbaijan"/>
    <s v="Europe and Central Asia"/>
    <s v="P040716"/>
    <s v="C1"/>
    <s v="S2"/>
    <s v="P040716C1S2"/>
    <s v="Ratio"/>
    <s v="2001 / 2009"/>
    <x v="0"/>
    <s v=""/>
    <n v="1"/>
    <m/>
    <m/>
    <n v="0.89456869009584672"/>
    <n v="0.89456869009584672"/>
    <s v=""/>
    <n v="0"/>
    <n v="0"/>
    <x v="1"/>
    <n v="0"/>
    <s v=""/>
    <s v=""/>
    <s v=""/>
    <s v=""/>
    <s v=""/>
    <s v=""/>
    <s v=""/>
    <s v=""/>
    <s v=""/>
    <s v=""/>
    <s v=""/>
  </r>
  <r>
    <s v="Peru"/>
    <s v="Latin America and Caribbean"/>
    <s v="P044601"/>
    <s v="C1"/>
    <s v=""/>
    <s v="P044601C1"/>
    <s v="Ratio"/>
    <s v="2001 / 2007"/>
    <x v="0"/>
    <s v=""/>
    <n v="1.3124475524475525"/>
    <m/>
    <m/>
    <n v="1.0588330632090761"/>
    <n v="0.80676219117059833"/>
    <s v=""/>
    <n v="0"/>
    <n v="0"/>
    <x v="1"/>
    <n v="0"/>
    <s v=""/>
    <s v=""/>
    <s v=""/>
    <s v=""/>
    <s v=""/>
    <s v=""/>
    <s v=""/>
    <s v=""/>
    <s v=""/>
    <s v=""/>
    <s v=""/>
  </r>
  <r>
    <s v="Peru"/>
    <s v="Latin America and Caribbean"/>
    <s v="P044601"/>
    <s v="C2"/>
    <s v=""/>
    <s v="P044601C2"/>
    <s v="Ratio"/>
    <s v="2001 / 2007"/>
    <x v="3"/>
    <s v=""/>
    <n v="1.0929974064468322"/>
    <m/>
    <m/>
    <n v="0.74498069498069508"/>
    <n v="0.6815942019501342"/>
    <s v=""/>
    <n v="0"/>
    <n v="0"/>
    <x v="1"/>
    <n v="0"/>
    <s v=""/>
    <s v=""/>
    <s v=""/>
    <s v=""/>
    <s v=""/>
    <s v=""/>
    <s v=""/>
    <s v=""/>
    <s v=""/>
    <s v=""/>
    <s v=""/>
  </r>
  <r>
    <s v="Armenia"/>
    <s v="Europe and Central Asia"/>
    <s v="P044829"/>
    <s v="C1"/>
    <s v=""/>
    <s v="P044829C1"/>
    <s v="Ratio"/>
    <s v="2000 / 2005"/>
    <x v="6"/>
    <s v=""/>
    <n v="0.64727687482178498"/>
    <m/>
    <m/>
    <n v="1.2425373134328357"/>
    <n v="1.9196380432638569"/>
    <s v="x"/>
    <n v="0"/>
    <n v="0"/>
    <x v="0"/>
    <n v="0"/>
    <s v=""/>
    <n v="1"/>
    <s v=""/>
    <s v=""/>
    <s v=""/>
    <s v=""/>
    <s v=""/>
    <s v=""/>
    <s v=""/>
    <s v=""/>
    <s v="Political events ; ; "/>
  </r>
  <r>
    <s v="Armenia"/>
    <s v="Europe and Central Asia"/>
    <s v="P044829"/>
    <s v="C1"/>
    <s v="S1"/>
    <s v="P044829C1S1"/>
    <s v="Ratio"/>
    <s v="2000 / 2005"/>
    <x v="8"/>
    <s v=""/>
    <n v="1"/>
    <m/>
    <m/>
    <n v="1.008403361344538"/>
    <n v="1.008403361344538"/>
    <s v=""/>
    <n v="0"/>
    <n v="0"/>
    <x v="1"/>
    <n v="0"/>
    <s v=""/>
    <s v=""/>
    <s v=""/>
    <s v=""/>
    <s v=""/>
    <s v=""/>
    <s v=""/>
    <s v=""/>
    <s v=""/>
    <s v=""/>
    <s v=""/>
  </r>
  <r>
    <s v="Armenia"/>
    <s v="Europe and Central Asia"/>
    <s v="P044829"/>
    <s v="C1"/>
    <s v="S2"/>
    <s v="P044829C1S2"/>
    <s v="Ratio"/>
    <s v="2000 / 2005"/>
    <x v="6"/>
    <s v=""/>
    <n v="1"/>
    <m/>
    <m/>
    <n v="1.1767605633802818"/>
    <n v="1.1767605633802818"/>
    <s v=""/>
    <n v="0"/>
    <n v="0"/>
    <x v="1"/>
    <n v="0"/>
    <s v=""/>
    <s v=""/>
    <s v=""/>
    <s v=""/>
    <s v=""/>
    <s v=""/>
    <s v=""/>
    <s v=""/>
    <s v=""/>
    <s v=""/>
    <s v=""/>
  </r>
  <r>
    <s v="Armenia"/>
    <s v="Europe and Central Asia"/>
    <s v="P044829"/>
    <s v="C1"/>
    <s v="S3"/>
    <s v="P044829C1S3"/>
    <s v="Ratio"/>
    <s v="2000 / 2005"/>
    <x v="6"/>
    <s v=""/>
    <n v="1"/>
    <m/>
    <m/>
    <n v="1.1359223300970873"/>
    <n v="1.1359223300970871"/>
    <s v=""/>
    <n v="0"/>
    <n v="0"/>
    <x v="1"/>
    <n v="0"/>
    <s v=""/>
    <s v=""/>
    <s v=""/>
    <s v=""/>
    <s v=""/>
    <s v=""/>
    <s v=""/>
    <s v=""/>
    <s v=""/>
    <s v=""/>
    <s v=""/>
  </r>
  <r>
    <s v="Armenia"/>
    <s v="Europe and Central Asia"/>
    <s v="P044829"/>
    <s v="C1"/>
    <s v="S4"/>
    <s v="P044829C1S4"/>
    <s v="Ratio"/>
    <s v="2000 / 2005"/>
    <x v="6"/>
    <s v=""/>
    <n v="1"/>
    <m/>
    <m/>
    <n v="0.92666666666666675"/>
    <n v="0.92666666666666675"/>
    <s v=""/>
    <n v="0"/>
    <n v="0"/>
    <x v="1"/>
    <n v="0"/>
    <s v=""/>
    <s v=""/>
    <s v=""/>
    <s v=""/>
    <s v=""/>
    <s v=""/>
    <s v=""/>
    <s v=""/>
    <s v=""/>
    <s v=""/>
    <s v=""/>
  </r>
  <r>
    <s v="Armenia"/>
    <s v="Europe and Central Asia"/>
    <s v="P044829"/>
    <s v="C1"/>
    <s v="S5"/>
    <s v="P044829C1S5"/>
    <s v="Ratio"/>
    <s v="2000 / 2005"/>
    <x v="6"/>
    <s v=""/>
    <n v="1"/>
    <m/>
    <m/>
    <n v="1.086857142857143"/>
    <n v="1.086857142857143"/>
    <s v=""/>
    <n v="0"/>
    <n v="0"/>
    <x v="1"/>
    <n v="0"/>
    <s v=""/>
    <s v=""/>
    <s v=""/>
    <s v=""/>
    <s v=""/>
    <s v=""/>
    <s v=""/>
    <s v=""/>
    <s v=""/>
    <s v=""/>
    <s v=""/>
  </r>
  <r>
    <s v="Armenia"/>
    <s v="Europe and Central Asia"/>
    <s v="P044829"/>
    <s v="C1"/>
    <s v="S6"/>
    <s v="P044829C1S6"/>
    <s v="Ratio"/>
    <s v="2000 / 2005"/>
    <x v="6"/>
    <s v=""/>
    <n v="1"/>
    <m/>
    <m/>
    <n v="0.90322580645161299"/>
    <n v="0.90322580645161299"/>
    <s v=""/>
    <n v="0"/>
    <n v="0"/>
    <x v="1"/>
    <n v="0"/>
    <s v=""/>
    <s v=""/>
    <s v=""/>
    <s v=""/>
    <s v=""/>
    <s v=""/>
    <s v=""/>
    <s v=""/>
    <s v=""/>
    <s v=""/>
    <s v=""/>
  </r>
  <r>
    <s v="India"/>
    <s v="South Asia"/>
    <s v="P050649"/>
    <s v="C1"/>
    <s v=""/>
    <s v="P050649C1"/>
    <s v="Ratio"/>
    <s v="2003 / 2012"/>
    <x v="12"/>
    <s v=""/>
    <n v="0.96533333333333338"/>
    <m/>
    <m/>
    <n v="1.2020749602766612"/>
    <n v="1.2452433980766517"/>
    <s v=""/>
    <n v="0"/>
    <n v="0"/>
    <x v="1"/>
    <n v="0"/>
    <s v=""/>
    <s v=""/>
    <s v=""/>
    <s v=""/>
    <s v=""/>
    <s v=""/>
    <s v=""/>
    <s v=""/>
    <s v=""/>
    <s v=""/>
    <s v=""/>
  </r>
  <r>
    <s v="India"/>
    <s v="South Asia"/>
    <s v="P050649"/>
    <s v="C1"/>
    <s v="S1"/>
    <s v="P050649C1S1"/>
    <s v="Ratio"/>
    <s v="2003 / 2012"/>
    <x v="12"/>
    <s v=""/>
    <n v="0.94413965087281804"/>
    <m/>
    <m/>
    <n v="0.96374115353406276"/>
    <n v="1.0207612323485449"/>
    <s v=""/>
    <n v="0"/>
    <n v="0"/>
    <x v="1"/>
    <n v="0"/>
    <s v=""/>
    <s v=""/>
    <s v=""/>
    <s v=""/>
    <s v=""/>
    <s v=""/>
    <s v=""/>
    <s v=""/>
    <s v=""/>
    <s v=""/>
    <s v=""/>
  </r>
  <r>
    <s v="India"/>
    <s v="South Asia"/>
    <s v="P050649"/>
    <s v="C1"/>
    <s v="S2"/>
    <s v="P050649C1S2"/>
    <s v="Ratio"/>
    <s v="2003 / 2012"/>
    <x v="12"/>
    <s v=""/>
    <n v="1.0224137931034483"/>
    <m/>
    <m/>
    <n v="1.6075888053896636"/>
    <n v="1.572346555018558"/>
    <s v="x"/>
    <n v="0"/>
    <n v="0"/>
    <x v="0"/>
    <n v="0"/>
    <n v="1"/>
    <s v=""/>
    <n v="1"/>
    <s v=""/>
    <s v=""/>
    <s v=""/>
    <s v=""/>
    <s v=""/>
    <n v="1"/>
    <s v=""/>
    <s v="Macroeconomic conditions ; Weather shocks; Quality of estimates"/>
  </r>
  <r>
    <s v="India"/>
    <s v="South Asia"/>
    <s v="P050649"/>
    <s v="C1"/>
    <s v="S3"/>
    <s v="P050649C1S3"/>
    <s v="Ratio"/>
    <s v="2003 / 2012"/>
    <x v="12"/>
    <s v=""/>
    <n v="1"/>
    <m/>
    <m/>
    <n v="2.0096642167656591"/>
    <n v="2.0096642167656595"/>
    <s v="x"/>
    <n v="0"/>
    <n v="0"/>
    <x v="0"/>
    <n v="0"/>
    <n v="1"/>
    <s v=""/>
    <n v="1"/>
    <s v=""/>
    <s v=""/>
    <s v=""/>
    <s v=""/>
    <s v=""/>
    <n v="1"/>
    <s v=""/>
    <s v="Macroeconomic conditions ; Weather shocks; Quality of estimates"/>
  </r>
  <r>
    <s v="India"/>
    <s v="South Asia"/>
    <s v="P050649"/>
    <s v="C1"/>
    <s v="S4"/>
    <s v="P050649C1S4"/>
    <s v="Ratio"/>
    <s v="2003 / 2012"/>
    <x v="12"/>
    <s v=""/>
    <n v="0.971186440677966"/>
    <m/>
    <m/>
    <n v="1.773256672056571"/>
    <n v="1.8258663813496978"/>
    <s v="x"/>
    <n v="0"/>
    <n v="0"/>
    <x v="0"/>
    <n v="0"/>
    <n v="1"/>
    <s v=""/>
    <n v="1"/>
    <s v=""/>
    <s v=""/>
    <s v=""/>
    <s v=""/>
    <s v=""/>
    <n v="1"/>
    <s v=""/>
    <s v="Macroeconomic conditions ; Weather shocks; Quality of estimates"/>
  </r>
  <r>
    <s v="India"/>
    <s v="South Asia"/>
    <s v="P050649"/>
    <s v="C2"/>
    <s v=""/>
    <s v="P050649C2"/>
    <s v="Ratio"/>
    <s v="2003 / 2012"/>
    <x v="0"/>
    <s v=""/>
    <n v="0.66500000000000004"/>
    <m/>
    <m/>
    <n v="0.95899566473988451"/>
    <n v="1.4420987439697512"/>
    <s v=""/>
    <n v="0"/>
    <n v="0"/>
    <x v="1"/>
    <n v="0"/>
    <s v=""/>
    <s v=""/>
    <s v=""/>
    <s v=""/>
    <s v=""/>
    <s v=""/>
    <s v=""/>
    <s v=""/>
    <s v=""/>
    <s v=""/>
    <s v=""/>
  </r>
  <r>
    <s v="Kyrgyz Republic"/>
    <s v="Europe and Central Asia"/>
    <s v="P050719"/>
    <s v="C1"/>
    <s v=""/>
    <s v="P050719C1"/>
    <s v="Ratio"/>
    <s v="2000 / 2006"/>
    <x v="1"/>
    <s v=""/>
    <n v="1.0714285714285714"/>
    <m/>
    <m/>
    <n v="0.94896551724137934"/>
    <n v="0.88570114942528733"/>
    <s v=""/>
    <n v="0"/>
    <n v="0"/>
    <x v="1"/>
    <n v="0"/>
    <s v=""/>
    <s v=""/>
    <s v=""/>
    <s v=""/>
    <s v=""/>
    <s v=""/>
    <s v=""/>
    <s v=""/>
    <s v=""/>
    <s v=""/>
    <s v=""/>
  </r>
  <r>
    <s v="Kyrgyz Republic"/>
    <s v="Europe and Central Asia"/>
    <s v="P050719"/>
    <s v="C1"/>
    <s v="S1"/>
    <s v="P050719C1S1"/>
    <s v="Ratio"/>
    <s v="2000 / 2006"/>
    <x v="1"/>
    <s v=""/>
    <n v="1.1111111111111112"/>
    <m/>
    <m/>
    <n v="0.92727272727272736"/>
    <n v="0.83454545454545459"/>
    <s v=""/>
    <n v="0"/>
    <n v="0"/>
    <x v="1"/>
    <n v="0"/>
    <s v=""/>
    <s v=""/>
    <s v=""/>
    <s v=""/>
    <s v=""/>
    <s v=""/>
    <s v=""/>
    <s v=""/>
    <s v=""/>
    <s v=""/>
    <s v=""/>
  </r>
  <r>
    <s v="Kyrgyz Republic"/>
    <s v="Europe and Central Asia"/>
    <s v="P050719"/>
    <s v="C1"/>
    <s v="S2"/>
    <s v="P050719C1S2"/>
    <s v="Ratio"/>
    <s v="2000 / 2006"/>
    <x v="1"/>
    <s v=""/>
    <n v="1"/>
    <m/>
    <m/>
    <n v="1.0147058823529413"/>
    <n v="1.0147058823529413"/>
    <s v=""/>
    <n v="0"/>
    <n v="0"/>
    <x v="1"/>
    <n v="0"/>
    <s v=""/>
    <s v=""/>
    <s v=""/>
    <s v=""/>
    <s v=""/>
    <s v=""/>
    <s v=""/>
    <s v=""/>
    <s v=""/>
    <s v=""/>
    <s v=""/>
  </r>
  <r>
    <s v="Kyrgyz Republic"/>
    <s v="Europe and Central Asia"/>
    <s v="P050719"/>
    <s v="C1"/>
    <s v="S3"/>
    <s v="P050719C1S3"/>
    <s v="Ratio"/>
    <s v="2000 / 2006"/>
    <x v="1"/>
    <s v=""/>
    <n v="0.91666666666666663"/>
    <m/>
    <m/>
    <n v="0.99473684210526314"/>
    <n v="1.0851674641148326"/>
    <s v=""/>
    <n v="0"/>
    <n v="0"/>
    <x v="1"/>
    <n v="0"/>
    <s v=""/>
    <s v=""/>
    <s v=""/>
    <s v=""/>
    <s v=""/>
    <s v=""/>
    <s v=""/>
    <s v=""/>
    <s v=""/>
    <s v=""/>
    <s v=""/>
  </r>
  <r>
    <s v="Madagascar"/>
    <s v="Sub-Saharan Africa"/>
    <s v="P052208"/>
    <s v="C1"/>
    <s v="S1"/>
    <s v="P052208C1S1"/>
    <s v="Ratio"/>
    <s v="2000 / 2006"/>
    <x v="8"/>
    <s v=""/>
    <n v="1"/>
    <m/>
    <m/>
    <n v="2.2234042553191489"/>
    <n v="2.2234042553191489"/>
    <s v="x"/>
    <n v="0"/>
    <n v="0"/>
    <x v="0"/>
    <n v="0"/>
    <n v="1"/>
    <n v="1"/>
    <n v="1"/>
    <s v=""/>
    <s v=""/>
    <s v=""/>
    <s v=""/>
    <s v=""/>
    <s v=""/>
    <s v=""/>
    <s v="Political events ; Weather shocks ; Macroeconomic conditions"/>
  </r>
  <r>
    <s v="Senegal"/>
    <s v="Sub-Saharan Africa"/>
    <s v="P055472"/>
    <s v="C1"/>
    <s v=""/>
    <s v="P055472C1"/>
    <s v="Ratio"/>
    <s v="2000 / 2009"/>
    <x v="0"/>
    <s v=""/>
    <n v="0.69230769230769229"/>
    <m/>
    <m/>
    <n v="2.3372402770378264"/>
    <n v="3.3760137334990823"/>
    <s v="x"/>
    <n v="0"/>
    <n v="0"/>
    <x v="0"/>
    <n v="0"/>
    <s v=""/>
    <s v=""/>
    <s v=""/>
    <s v=""/>
    <s v=""/>
    <n v="1"/>
    <s v=""/>
    <s v=""/>
    <n v="1"/>
    <s v=""/>
    <s v="Quality of estimates; Capacity of counterpart; "/>
  </r>
  <r>
    <s v="Uruguay"/>
    <s v="Latin America and Caribbean"/>
    <s v="P057481"/>
    <s v=""/>
    <s v=""/>
    <s v="P057481"/>
    <s v="Ratio"/>
    <s v="2005 / 2012"/>
    <x v="3"/>
    <n v="1"/>
    <n v="1"/>
    <m/>
    <m/>
    <n v="1.3457142857142856"/>
    <n v="1.3457142857142856"/>
    <s v=""/>
    <n v="0"/>
    <n v="0"/>
    <x v="1"/>
    <n v="0"/>
    <s v=""/>
    <s v=""/>
    <s v=""/>
    <s v=""/>
    <s v=""/>
    <s v=""/>
    <s v=""/>
    <s v=""/>
    <s v=""/>
    <s v=""/>
    <s v=""/>
  </r>
  <r>
    <s v="Uruguay"/>
    <s v="Latin America and Caribbean"/>
    <s v="P057481"/>
    <s v="C1"/>
    <s v="S1"/>
    <s v="P057481C1S1"/>
    <s v="Ratio"/>
    <s v="2007 / 2012"/>
    <x v="0"/>
    <s v=""/>
    <n v="1"/>
    <m/>
    <m/>
    <n v="1.584075723830735"/>
    <n v="1.584075723830735"/>
    <s v="x"/>
    <n v="0"/>
    <n v="0"/>
    <x v="0"/>
    <n v="0"/>
    <s v=""/>
    <s v=""/>
    <s v=""/>
    <s v=""/>
    <s v=""/>
    <s v=""/>
    <s v=""/>
    <s v=""/>
    <n v="1"/>
    <s v=""/>
    <s v="Quality of estimates; ; "/>
  </r>
  <r>
    <s v="Uruguay"/>
    <s v="Latin America and Caribbean"/>
    <s v="P057481"/>
    <s v="C1"/>
    <s v="S2"/>
    <s v="P057481C1S2"/>
    <s v="Ratio"/>
    <s v="2007 / 2012"/>
    <x v="0"/>
    <s v=""/>
    <n v="1"/>
    <m/>
    <m/>
    <n v="1.4583333333333335"/>
    <n v="1.4583333333333335"/>
    <s v=""/>
    <n v="0"/>
    <n v="0"/>
    <x v="1"/>
    <n v="0"/>
    <s v=""/>
    <s v=""/>
    <s v=""/>
    <s v=""/>
    <s v=""/>
    <s v=""/>
    <s v=""/>
    <s v=""/>
    <s v=""/>
    <s v=""/>
    <s v=""/>
  </r>
  <r>
    <s v="Uruguay"/>
    <s v="Latin America and Caribbean"/>
    <s v="P057481"/>
    <s v="C1"/>
    <s v="S3"/>
    <s v="P057481C1S3"/>
    <s v="Ratio"/>
    <s v="2007 / 2012"/>
    <x v="0"/>
    <s v=""/>
    <n v="1"/>
    <m/>
    <m/>
    <n v="3.5446524064171121"/>
    <n v="3.5446524064171121"/>
    <s v="x"/>
    <n v="0"/>
    <n v="0"/>
    <x v="0"/>
    <n v="0"/>
    <s v=""/>
    <s v=""/>
    <s v=""/>
    <s v=""/>
    <s v=""/>
    <s v=""/>
    <s v=""/>
    <s v=""/>
    <n v="1"/>
    <n v="1"/>
    <s v="Change of project scope; Quality of estimates; "/>
  </r>
  <r>
    <s v="Honduras"/>
    <s v="Latin America and Caribbean"/>
    <s v="P057538"/>
    <s v="C1"/>
    <s v="S1"/>
    <s v="P057538C1S1"/>
    <s v="Ratio"/>
    <s v="2000 / 2007"/>
    <x v="1"/>
    <s v=""/>
    <n v="0.59523809523809523"/>
    <m/>
    <m/>
    <n v="1.0625"/>
    <n v="1.7849999999999999"/>
    <s v="x"/>
    <n v="0"/>
    <n v="0"/>
    <x v="0"/>
    <n v="0"/>
    <n v="1"/>
    <s v=""/>
    <s v=""/>
    <s v=""/>
    <s v=""/>
    <s v=""/>
    <s v=""/>
    <s v=""/>
    <n v="1"/>
    <s v=""/>
    <s v="Macroeconomic conditions; Quality of estimates; "/>
  </r>
  <r>
    <s v="Honduras"/>
    <s v="Latin America and Caribbean"/>
    <s v="P057538"/>
    <s v="C1"/>
    <s v="S2"/>
    <s v="P057538C1S2"/>
    <s v="Ratio"/>
    <s v="2000 / 2007"/>
    <x v="1"/>
    <s v=""/>
    <n v="1"/>
    <m/>
    <m/>
    <n v="1.6031746031746033"/>
    <n v="1.6031746031746033"/>
    <s v="x"/>
    <n v="0"/>
    <n v="0"/>
    <x v="0"/>
    <n v="0"/>
    <n v="1"/>
    <s v=""/>
    <s v=""/>
    <s v=""/>
    <s v=""/>
    <s v=""/>
    <s v=""/>
    <s v=""/>
    <n v="1"/>
    <s v=""/>
    <s v="Macroeconomic conditions; Quality of estimates; "/>
  </r>
  <r>
    <s v="Honduras"/>
    <s v="Latin America and Caribbean"/>
    <s v="P057538"/>
    <s v="C1"/>
    <s v="S3"/>
    <s v="P057538C1S3"/>
    <s v="Ratio"/>
    <s v="2000 / 2007"/>
    <x v="2"/>
    <s v=""/>
    <n v="1.0021505376344086"/>
    <m/>
    <m/>
    <n v="1.0277777777777777"/>
    <n v="1.0255722460658083"/>
    <s v=""/>
    <n v="0"/>
    <n v="0"/>
    <x v="1"/>
    <n v="0"/>
    <s v=""/>
    <s v=""/>
    <s v=""/>
    <s v=""/>
    <s v=""/>
    <s v=""/>
    <s v=""/>
    <s v=""/>
    <s v=""/>
    <s v=""/>
    <s v=""/>
  </r>
  <r>
    <s v="Honduras"/>
    <s v="Latin America and Caribbean"/>
    <s v="P057538"/>
    <s v="C1"/>
    <s v="S4"/>
    <s v="P057538C1S4"/>
    <s v="Ratio"/>
    <s v="2000 / 2007"/>
    <x v="2"/>
    <s v=""/>
    <n v="1"/>
    <m/>
    <m/>
    <n v="1.0740740740740742"/>
    <n v="1.074074074074074"/>
    <s v=""/>
    <n v="0"/>
    <n v="0"/>
    <x v="1"/>
    <n v="0"/>
    <s v=""/>
    <s v=""/>
    <s v=""/>
    <s v=""/>
    <s v=""/>
    <s v=""/>
    <s v=""/>
    <s v=""/>
    <s v=""/>
    <s v=""/>
    <s v=""/>
  </r>
  <r>
    <s v="Honduras"/>
    <s v="Latin America and Caribbean"/>
    <s v="P057538"/>
    <s v="C2"/>
    <s v=""/>
    <s v="P057538C2"/>
    <s v="Ratio"/>
    <s v="2000 / 2007"/>
    <x v="0"/>
    <s v=""/>
    <n v="1.02"/>
    <m/>
    <m/>
    <n v="0.57647058823529418"/>
    <n v="0.56516724336793545"/>
    <s v=""/>
    <n v="0"/>
    <n v="0"/>
    <x v="1"/>
    <n v="0"/>
    <s v=""/>
    <s v=""/>
    <s v=""/>
    <s v=""/>
    <s v=""/>
    <s v=""/>
    <s v=""/>
    <s v=""/>
    <s v=""/>
    <s v=""/>
    <s v=""/>
  </r>
  <r>
    <s v="Honduras"/>
    <s v="Latin America and Caribbean"/>
    <s v="P057538"/>
    <s v="C3"/>
    <s v=""/>
    <s v="P057538C3"/>
    <s v="Ratio"/>
    <s v="2000 / 2007"/>
    <x v="3"/>
    <s v=""/>
    <n v="1.8555555555555556"/>
    <m/>
    <m/>
    <n v="1.95"/>
    <n v="1.0508982035928143"/>
    <s v="x"/>
    <n v="1"/>
    <n v="0"/>
    <x v="1"/>
    <n v="0"/>
    <s v=""/>
    <s v=""/>
    <s v=""/>
    <s v=""/>
    <s v=""/>
    <s v=""/>
    <s v=""/>
    <s v=""/>
    <s v=""/>
    <n v="1"/>
    <s v="Change of project scope; ; "/>
  </r>
  <r>
    <s v="Philippines"/>
    <s v="East Asia and Pacific"/>
    <s v="P057731"/>
    <s v="C1"/>
    <s v="S1"/>
    <s v="P057731C1S1"/>
    <s v="Ratio"/>
    <s v="2001 / 2011"/>
    <x v="0"/>
    <s v=""/>
    <n v="1"/>
    <m/>
    <m/>
    <n v="0.95726495726495742"/>
    <n v="0.95726495726495742"/>
    <s v=""/>
    <n v="0"/>
    <n v="0"/>
    <x v="1"/>
    <n v="0"/>
    <s v=""/>
    <s v=""/>
    <s v=""/>
    <s v=""/>
    <s v=""/>
    <s v=""/>
    <s v=""/>
    <s v=""/>
    <s v=""/>
    <s v=""/>
    <s v=""/>
  </r>
  <r>
    <s v="Philippines"/>
    <s v="East Asia and Pacific"/>
    <s v="P057731"/>
    <s v="C1"/>
    <s v="S2"/>
    <s v="P057731C1S2"/>
    <s v="Ratio"/>
    <s v="2001 / 2011"/>
    <x v="0"/>
    <s v=""/>
    <n v="1"/>
    <m/>
    <m/>
    <n v="0.75172413793103454"/>
    <n v="0.75172413793103454"/>
    <s v=""/>
    <n v="0"/>
    <n v="0"/>
    <x v="1"/>
    <n v="0"/>
    <s v=""/>
    <s v=""/>
    <s v=""/>
    <s v=""/>
    <s v=""/>
    <s v=""/>
    <s v=""/>
    <s v=""/>
    <s v=""/>
    <s v=""/>
    <s v=""/>
  </r>
  <r>
    <s v="Philippines"/>
    <s v="East Asia and Pacific"/>
    <s v="P057731"/>
    <s v="C1"/>
    <s v="S3"/>
    <s v="P057731C1S3"/>
    <s v="Ratio"/>
    <s v="2001 / 2011"/>
    <x v="0"/>
    <s v=""/>
    <n v="1"/>
    <m/>
    <m/>
    <n v="2.8929336188436832"/>
    <n v="2.8929336188436832"/>
    <s v="x"/>
    <n v="0"/>
    <n v="0"/>
    <x v="0"/>
    <n v="0"/>
    <s v=""/>
    <s v=""/>
    <s v=""/>
    <n v="1"/>
    <s v=""/>
    <s v=""/>
    <s v=""/>
    <s v=""/>
    <n v="1"/>
    <s v=""/>
    <s v="Procurement system; Quality of estimates; "/>
  </r>
  <r>
    <s v="Philippines"/>
    <s v="East Asia and Pacific"/>
    <s v="P057731"/>
    <s v="C1"/>
    <s v="S4"/>
    <s v="P057731C1S4"/>
    <s v="Ratio"/>
    <s v="2001 / 2011"/>
    <x v="0"/>
    <s v=""/>
    <n v="1"/>
    <m/>
    <m/>
    <n v="3.7122093023255816"/>
    <n v="3.7122093023255816"/>
    <s v="x"/>
    <n v="0"/>
    <n v="0"/>
    <x v="0"/>
    <n v="0"/>
    <s v=""/>
    <s v=""/>
    <s v=""/>
    <n v="1"/>
    <s v=""/>
    <s v=""/>
    <s v=""/>
    <s v=""/>
    <n v="1"/>
    <s v=""/>
    <s v="Procurement system; Quality of estimates; "/>
  </r>
  <r>
    <s v="China"/>
    <s v="East Asia and Pacific"/>
    <s v="P058844"/>
    <s v="C1"/>
    <s v=""/>
    <s v="P058844C1"/>
    <s v="Ratio"/>
    <s v="2000 / 2007"/>
    <x v="5"/>
    <n v="1.48"/>
    <n v="1"/>
    <m/>
    <m/>
    <n v="0.90739484396200809"/>
    <n v="0.90739484396200809"/>
    <s v=""/>
    <n v="0"/>
    <n v="0"/>
    <x v="1"/>
    <n v="0"/>
    <s v=""/>
    <s v=""/>
    <s v=""/>
    <s v=""/>
    <s v=""/>
    <s v=""/>
    <s v=""/>
    <s v=""/>
    <s v=""/>
    <s v=""/>
    <s v=""/>
  </r>
  <r>
    <s v="China"/>
    <s v="East Asia and Pacific"/>
    <s v="P058844"/>
    <s v="C2"/>
    <s v=""/>
    <s v="P058844C2"/>
    <s v="Ratio"/>
    <s v="2000 / 2007"/>
    <x v="2"/>
    <s v=""/>
    <n v="0.9325"/>
    <m/>
    <m/>
    <n v="0.88610478359908884"/>
    <n v="0.95024641672824539"/>
    <s v=""/>
    <n v="0"/>
    <n v="0"/>
    <x v="1"/>
    <n v="0"/>
    <s v=""/>
    <s v=""/>
    <s v=""/>
    <s v=""/>
    <s v=""/>
    <s v=""/>
    <s v=""/>
    <s v=""/>
    <s v=""/>
    <s v=""/>
    <s v=""/>
  </r>
  <r>
    <s v="China"/>
    <s v="East Asia and Pacific"/>
    <s v="P058847"/>
    <s v="C1"/>
    <s v=""/>
    <s v="P058847C1"/>
    <s v="Ratio"/>
    <s v="2002 / 2010"/>
    <x v="12"/>
    <s v=""/>
    <n v="1"/>
    <m/>
    <m/>
    <n v="1.3175646908557643"/>
    <n v="1.3175646908557643"/>
    <s v=""/>
    <n v="0"/>
    <n v="0"/>
    <x v="1"/>
    <n v="0"/>
    <s v=""/>
    <s v=""/>
    <s v=""/>
    <s v=""/>
    <s v=""/>
    <s v=""/>
    <s v=""/>
    <s v=""/>
    <s v=""/>
    <s v=""/>
    <s v=""/>
  </r>
  <r>
    <s v="China"/>
    <s v="East Asia and Pacific"/>
    <s v="P058847"/>
    <s v="C2"/>
    <s v=""/>
    <s v="P058847C2"/>
    <s v="Ratio"/>
    <s v="2002 / 2010"/>
    <x v="2"/>
    <s v=""/>
    <n v="1.0333333333333334"/>
    <m/>
    <m/>
    <n v="1.2401913875598087"/>
    <n v="1.2001852137675568"/>
    <s v=""/>
    <n v="0"/>
    <n v="0"/>
    <x v="1"/>
    <n v="0"/>
    <s v=""/>
    <s v=""/>
    <s v=""/>
    <s v=""/>
    <s v=""/>
    <s v=""/>
    <s v=""/>
    <s v=""/>
    <s v=""/>
    <s v=""/>
    <s v=""/>
  </r>
  <r>
    <s v="Vietnam"/>
    <s v="East Asia and Pacific"/>
    <s v="P059663"/>
    <s v="C1"/>
    <s v="S1"/>
    <s v="P059663C1S1"/>
    <s v="Ratio"/>
    <s v="2003 / 2012"/>
    <x v="6"/>
    <n v="1.3"/>
    <n v="0.7654545454545455"/>
    <m/>
    <m/>
    <n v="0.93086419753086425"/>
    <n v="1.2160933696959033"/>
    <s v=""/>
    <n v="0"/>
    <n v="0"/>
    <x v="1"/>
    <n v="0"/>
    <s v=""/>
    <s v=""/>
    <s v=""/>
    <s v=""/>
    <s v=""/>
    <s v=""/>
    <s v=""/>
    <s v=""/>
    <s v=""/>
    <s v=""/>
    <s v=""/>
  </r>
  <r>
    <s v="Vietnam"/>
    <s v="East Asia and Pacific"/>
    <s v="P059663"/>
    <s v="C1"/>
    <s v="S2"/>
    <s v="P059663C1S2"/>
    <s v="Ratio"/>
    <s v="2003 / 2012"/>
    <x v="6"/>
    <n v="2.25"/>
    <n v="0.70232558139534884"/>
    <m/>
    <m/>
    <n v="3.3642857142857143"/>
    <n v="4.790208136234626"/>
    <s v="x"/>
    <n v="0"/>
    <n v="0"/>
    <x v="0"/>
    <n v="0"/>
    <n v="1"/>
    <s v=""/>
    <s v=""/>
    <n v="1"/>
    <s v=""/>
    <s v=""/>
    <s v=""/>
    <s v=""/>
    <s v=""/>
    <s v=""/>
    <s v="Macroeconomic conditions; Procurement system; "/>
  </r>
  <r>
    <s v="Vietnam"/>
    <s v="East Asia and Pacific"/>
    <s v="P059663"/>
    <s v="C2"/>
    <s v=""/>
    <s v="P059663C2"/>
    <s v="Ratio"/>
    <s v="2003 / 2012"/>
    <x v="12"/>
    <n v="1.6"/>
    <n v="0.44166666666666665"/>
    <m/>
    <m/>
    <n v="1.4678810460222176"/>
    <n v="3.3235042551446439"/>
    <s v="x"/>
    <n v="0"/>
    <n v="1"/>
    <x v="0"/>
    <n v="0"/>
    <n v="1"/>
    <s v=""/>
    <s v=""/>
    <n v="1"/>
    <s v=""/>
    <s v=""/>
    <s v=""/>
    <s v=""/>
    <n v="1"/>
    <s v=""/>
    <s v="Macroeconomic conditions; Quality of estimates; Procurement system"/>
  </r>
  <r>
    <s v="Vietnam"/>
    <s v="East Asia and Pacific"/>
    <s v="P059864"/>
    <s v="C1"/>
    <s v=""/>
    <s v="P059864C1"/>
    <s v="Ratio"/>
    <s v="1999 / 2007"/>
    <x v="10"/>
    <n v="1"/>
    <n v="0.75990000000000002"/>
    <m/>
    <m/>
    <n v="1.0787925696594427"/>
    <n v="1.4196507035918446"/>
    <s v=""/>
    <n v="0"/>
    <n v="0"/>
    <x v="1"/>
    <n v="0"/>
    <s v=""/>
    <s v=""/>
    <s v=""/>
    <s v=""/>
    <s v=""/>
    <s v=""/>
    <s v=""/>
    <s v=""/>
    <s v=""/>
    <s v=""/>
    <s v=""/>
  </r>
  <r>
    <s v="Lao PDR"/>
    <s v="East Asia and Pacific"/>
    <s v="P064821"/>
    <s v="C1"/>
    <s v="S1"/>
    <s v="P064821C1S1"/>
    <s v="Ratio"/>
    <s v="2001 / 2005"/>
    <x v="15"/>
    <s v=""/>
    <n v="1.9728571428571429"/>
    <m/>
    <m/>
    <n v="1.0945069941999317"/>
    <n v="0.55478269076028408"/>
    <s v="x"/>
    <n v="1"/>
    <n v="0"/>
    <x v="1"/>
    <n v="0"/>
    <s v=""/>
    <s v=""/>
    <s v=""/>
    <s v=""/>
    <s v=""/>
    <s v=""/>
    <s v=""/>
    <s v=""/>
    <s v=""/>
    <n v="1"/>
    <s v="Change of project scope; ; "/>
  </r>
  <r>
    <s v="Lao PDR"/>
    <s v="East Asia and Pacific"/>
    <s v="P064821"/>
    <s v="C1"/>
    <s v="S10"/>
    <s v="P064821C1S10"/>
    <s v="Ratio"/>
    <s v="2001 / 2005"/>
    <x v="15"/>
    <s v=""/>
    <n v="1"/>
    <m/>
    <m/>
    <n v="0.82051282051282048"/>
    <n v="0.82051282051282048"/>
    <s v=""/>
    <n v="0"/>
    <n v="0"/>
    <x v="1"/>
    <n v="0"/>
    <s v=""/>
    <s v=""/>
    <s v=""/>
    <s v=""/>
    <s v=""/>
    <s v=""/>
    <s v=""/>
    <s v=""/>
    <s v=""/>
    <s v=""/>
    <s v=""/>
  </r>
  <r>
    <s v="Lao PDR"/>
    <s v="East Asia and Pacific"/>
    <s v="P064821"/>
    <s v="C1"/>
    <s v="S11"/>
    <s v="P064821C1S11"/>
    <s v="Ratio"/>
    <s v="2001 / 2005"/>
    <x v="10"/>
    <s v=""/>
    <n v="1"/>
    <m/>
    <m/>
    <n v="0.83636363636363631"/>
    <n v="0.83636363636363631"/>
    <s v=""/>
    <n v="0"/>
    <n v="0"/>
    <x v="1"/>
    <n v="0"/>
    <s v=""/>
    <s v=""/>
    <s v=""/>
    <s v=""/>
    <s v=""/>
    <s v=""/>
    <s v=""/>
    <s v=""/>
    <s v=""/>
    <s v=""/>
    <s v=""/>
  </r>
  <r>
    <s v="Lao PDR"/>
    <s v="East Asia and Pacific"/>
    <s v="P064821"/>
    <s v="C1"/>
    <s v="S2"/>
    <s v="P064821C1S2"/>
    <s v="Ratio"/>
    <s v="2001 / 2005"/>
    <x v="3"/>
    <s v=""/>
    <n v="1.6411803278688524"/>
    <m/>
    <m/>
    <n v="0.42654735272184935"/>
    <n v="0.25990279403101335"/>
    <s v="x"/>
    <n v="1"/>
    <n v="0"/>
    <x v="1"/>
    <n v="1"/>
    <s v=""/>
    <s v=""/>
    <s v=""/>
    <n v="1"/>
    <s v=""/>
    <n v="1"/>
    <s v=""/>
    <s v=""/>
    <n v="1"/>
    <n v="1"/>
    <s v="Capacity of counterpart (Procurement system); Quality of estimates; Change of project scope"/>
  </r>
  <r>
    <s v="Lao PDR"/>
    <s v="East Asia and Pacific"/>
    <s v="P064821"/>
    <s v="C1"/>
    <s v="S3"/>
    <s v="P064821C1S3"/>
    <s v="Ratio"/>
    <s v="2001 / 2005"/>
    <x v="10"/>
    <s v=""/>
    <n v="1"/>
    <m/>
    <m/>
    <n v="0.8292682926829269"/>
    <n v="0.82926829268292701"/>
    <s v=""/>
    <n v="0"/>
    <n v="0"/>
    <x v="1"/>
    <n v="0"/>
    <s v=""/>
    <s v=""/>
    <s v=""/>
    <s v=""/>
    <s v=""/>
    <s v=""/>
    <s v=""/>
    <s v=""/>
    <s v=""/>
    <s v=""/>
    <s v=""/>
  </r>
  <r>
    <s v="Lao PDR"/>
    <s v="East Asia and Pacific"/>
    <s v="P064821"/>
    <s v="C1"/>
    <s v="S4"/>
    <s v="P064821C1S4"/>
    <s v="Ratio"/>
    <s v="2001 / 2005"/>
    <x v="15"/>
    <s v=""/>
    <n v="1"/>
    <m/>
    <m/>
    <n v="0.92857142857142871"/>
    <n v="0.92857142857142871"/>
    <s v=""/>
    <n v="0"/>
    <n v="0"/>
    <x v="1"/>
    <n v="0"/>
    <s v=""/>
    <s v=""/>
    <s v=""/>
    <s v=""/>
    <s v=""/>
    <s v=""/>
    <s v=""/>
    <s v=""/>
    <s v=""/>
    <s v=""/>
    <s v=""/>
  </r>
  <r>
    <s v="Lao PDR"/>
    <s v="East Asia and Pacific"/>
    <s v="P064821"/>
    <s v="C1"/>
    <s v="S5"/>
    <s v="P064821C1S5"/>
    <s v="Ratio"/>
    <s v="2001 / 2005"/>
    <x v="15"/>
    <s v=""/>
    <n v="1"/>
    <m/>
    <m/>
    <n v="0.82558139534883723"/>
    <n v="0.82558139534883712"/>
    <s v=""/>
    <n v="0"/>
    <n v="0"/>
    <x v="1"/>
    <n v="0"/>
    <s v=""/>
    <s v=""/>
    <s v=""/>
    <s v=""/>
    <s v=""/>
    <s v=""/>
    <s v=""/>
    <s v=""/>
    <s v=""/>
    <s v=""/>
    <s v=""/>
  </r>
  <r>
    <s v="Lao PDR"/>
    <s v="East Asia and Pacific"/>
    <s v="P064821"/>
    <s v="C1"/>
    <s v="S6"/>
    <s v="P064821C1S6"/>
    <s v="Ratio"/>
    <s v="2001 / 2005"/>
    <x v="15"/>
    <s v=""/>
    <n v="1"/>
    <m/>
    <m/>
    <n v="0.82653061224489799"/>
    <n v="0.8265306122448981"/>
    <s v=""/>
    <n v="0"/>
    <n v="0"/>
    <x v="1"/>
    <n v="0"/>
    <s v=""/>
    <s v=""/>
    <s v=""/>
    <s v=""/>
    <s v=""/>
    <s v=""/>
    <s v=""/>
    <s v=""/>
    <s v=""/>
    <s v=""/>
    <s v=""/>
  </r>
  <r>
    <s v="Lao PDR"/>
    <s v="East Asia and Pacific"/>
    <s v="P064821"/>
    <s v="C1"/>
    <s v="S7"/>
    <s v="P064821C1S7"/>
    <s v="Ratio"/>
    <s v="2001 / 2005"/>
    <x v="10"/>
    <s v=""/>
    <n v="1"/>
    <m/>
    <m/>
    <n v="0.84090909090909094"/>
    <n v="0.84090909090909094"/>
    <s v=""/>
    <n v="0"/>
    <n v="0"/>
    <x v="1"/>
    <n v="0"/>
    <s v=""/>
    <s v=""/>
    <s v=""/>
    <s v=""/>
    <s v=""/>
    <s v=""/>
    <s v=""/>
    <s v=""/>
    <s v=""/>
    <s v=""/>
    <s v=""/>
  </r>
  <r>
    <s v="Lao PDR"/>
    <s v="East Asia and Pacific"/>
    <s v="P064821"/>
    <s v="C1"/>
    <s v="S8"/>
    <s v="P064821C1S8"/>
    <s v="Ratio"/>
    <s v="2001 / 2005"/>
    <x v="15"/>
    <s v=""/>
    <n v="1"/>
    <m/>
    <m/>
    <n v="0.82758620689655171"/>
    <n v="0.82758620689655182"/>
    <s v=""/>
    <n v="0"/>
    <n v="0"/>
    <x v="1"/>
    <n v="0"/>
    <s v=""/>
    <s v=""/>
    <s v=""/>
    <s v=""/>
    <s v=""/>
    <s v=""/>
    <s v=""/>
    <s v=""/>
    <s v=""/>
    <s v=""/>
    <s v=""/>
  </r>
  <r>
    <s v="Lao PDR"/>
    <s v="East Asia and Pacific"/>
    <s v="P064821"/>
    <s v="C1"/>
    <s v="S9"/>
    <s v="P064821C1S9"/>
    <s v="Ratio"/>
    <s v="2001 / 2005"/>
    <x v="15"/>
    <s v=""/>
    <n v="1"/>
    <m/>
    <m/>
    <n v="0.79487179487179482"/>
    <n v="0.79487179487179482"/>
    <s v=""/>
    <n v="0"/>
    <n v="0"/>
    <x v="1"/>
    <n v="0"/>
    <s v=""/>
    <s v=""/>
    <s v=""/>
    <s v=""/>
    <s v=""/>
    <s v=""/>
    <s v=""/>
    <s v=""/>
    <s v=""/>
    <s v=""/>
    <s v=""/>
  </r>
  <r>
    <s v="Guinea"/>
    <s v="Sub-Saharan Africa"/>
    <s v="P065127"/>
    <s v="C1"/>
    <s v=""/>
    <s v="P065127C1"/>
    <s v="Ratio"/>
    <s v="2004 / 2013"/>
    <x v="2"/>
    <s v=""/>
    <n v="0.62992125984251968"/>
    <m/>
    <m/>
    <n v="0.79497907949790803"/>
    <n v="1.262029288702929"/>
    <s v=""/>
    <n v="0"/>
    <n v="0"/>
    <x v="1"/>
    <n v="0"/>
    <s v=""/>
    <s v=""/>
    <s v=""/>
    <s v=""/>
    <s v=""/>
    <s v=""/>
    <s v=""/>
    <s v=""/>
    <s v=""/>
    <s v=""/>
    <s v=""/>
  </r>
  <r>
    <s v="Uganda"/>
    <s v="Sub-Saharan Africa"/>
    <s v="P065436"/>
    <s v="C1"/>
    <s v=""/>
    <s v="P065436C1"/>
    <s v="Ratio"/>
    <s v="2001 / 2009"/>
    <x v="1"/>
    <s v=""/>
    <n v="1"/>
    <m/>
    <m/>
    <n v="1.1677935697530013"/>
    <n v="1.1677935697530011"/>
    <s v=""/>
    <n v="0"/>
    <n v="0"/>
    <x v="1"/>
    <n v="0"/>
    <s v=""/>
    <s v=""/>
    <s v=""/>
    <s v=""/>
    <s v=""/>
    <s v=""/>
    <s v=""/>
    <s v=""/>
    <s v=""/>
    <s v=""/>
    <s v=""/>
  </r>
  <r>
    <s v="Uganda"/>
    <s v="Sub-Saharan Africa"/>
    <s v="P065436"/>
    <s v="C1"/>
    <s v="S1"/>
    <s v="P065436C1S1"/>
    <s v="Ratio"/>
    <s v="2001 / 2009"/>
    <x v="2"/>
    <n v="1.1111111111111112"/>
    <n v="1"/>
    <m/>
    <m/>
    <n v="1.2345070422535214"/>
    <n v="1.2345070422535211"/>
    <s v=""/>
    <n v="0"/>
    <n v="0"/>
    <x v="1"/>
    <n v="0"/>
    <s v=""/>
    <s v=""/>
    <s v=""/>
    <s v=""/>
    <s v=""/>
    <s v=""/>
    <s v=""/>
    <s v=""/>
    <s v=""/>
    <s v=""/>
    <s v=""/>
  </r>
  <r>
    <s v="Uganda"/>
    <s v="Sub-Saharan Africa"/>
    <s v="P065436"/>
    <s v="C1"/>
    <s v="S2"/>
    <s v="P065436C1S2"/>
    <s v="Ratio"/>
    <s v="2001 / 2009"/>
    <x v="2"/>
    <n v="0.88888888888888884"/>
    <n v="1"/>
    <m/>
    <m/>
    <n v="1.104602510460251"/>
    <n v="1.104602510460251"/>
    <s v=""/>
    <n v="0"/>
    <n v="0"/>
    <x v="1"/>
    <n v="0"/>
    <s v=""/>
    <s v=""/>
    <s v=""/>
    <s v=""/>
    <s v=""/>
    <s v=""/>
    <s v=""/>
    <s v=""/>
    <s v=""/>
    <s v=""/>
    <s v=""/>
  </r>
  <r>
    <s v="Uganda"/>
    <s v="Sub-Saharan Africa"/>
    <s v="P065436"/>
    <s v="C1"/>
    <s v="S3"/>
    <s v="P065436C1S3"/>
    <s v="Ratio"/>
    <s v="2001 / 2009"/>
    <x v="1"/>
    <n v="2"/>
    <n v="1"/>
    <m/>
    <m/>
    <n v="1.2054794520547945"/>
    <n v="1.2054794520547947"/>
    <s v=""/>
    <n v="0"/>
    <n v="0"/>
    <x v="1"/>
    <n v="0"/>
    <s v=""/>
    <s v=""/>
    <s v=""/>
    <s v=""/>
    <s v=""/>
    <s v=""/>
    <s v=""/>
    <s v=""/>
    <s v=""/>
    <s v=""/>
    <s v=""/>
  </r>
  <r>
    <s v="Uganda"/>
    <s v="Sub-Saharan Africa"/>
    <s v="P065436"/>
    <s v="C1"/>
    <s v="S4"/>
    <s v="P065436C1S4"/>
    <s v="Ratio"/>
    <s v="2001 / 2009"/>
    <x v="1"/>
    <n v="1.375"/>
    <n v="1"/>
    <m/>
    <m/>
    <n v="1.2821292775665398"/>
    <n v="1.28212927756654"/>
    <s v=""/>
    <n v="0"/>
    <n v="0"/>
    <x v="1"/>
    <n v="0"/>
    <s v=""/>
    <s v=""/>
    <s v=""/>
    <s v=""/>
    <s v=""/>
    <s v=""/>
    <s v=""/>
    <s v=""/>
    <s v=""/>
    <s v=""/>
    <s v=""/>
  </r>
  <r>
    <s v="Mexico"/>
    <s v="Latin America and Caribbean"/>
    <s v="P065779"/>
    <s v="C1"/>
    <s v="S1"/>
    <s v="P065779C1S1"/>
    <s v="Ratio"/>
    <s v="2000 / 2007"/>
    <x v="0"/>
    <s v=""/>
    <n v="1"/>
    <m/>
    <m/>
    <n v="0.95061728395061729"/>
    <n v="0.95061728395061718"/>
    <s v=""/>
    <n v="0"/>
    <n v="0"/>
    <x v="1"/>
    <n v="0"/>
    <s v=""/>
    <s v=""/>
    <s v=""/>
    <s v=""/>
    <s v=""/>
    <s v=""/>
    <s v=""/>
    <s v=""/>
    <s v=""/>
    <s v=""/>
    <s v=""/>
  </r>
  <r>
    <s v="Mexico"/>
    <s v="Latin America and Caribbean"/>
    <s v="P065779"/>
    <s v="C1"/>
    <s v="S10"/>
    <s v="P065779C1S10"/>
    <s v="Ratio"/>
    <s v="2000 / 2007"/>
    <x v="0"/>
    <s v=""/>
    <n v="1"/>
    <m/>
    <m/>
    <n v="1.4259259259259258"/>
    <n v="1.425925925925926"/>
    <s v=""/>
    <n v="0"/>
    <n v="0"/>
    <x v="1"/>
    <n v="0"/>
    <s v=""/>
    <s v=""/>
    <s v=""/>
    <s v=""/>
    <s v=""/>
    <s v=""/>
    <s v=""/>
    <s v=""/>
    <s v=""/>
    <s v=""/>
    <s v=""/>
  </r>
  <r>
    <s v="Mexico"/>
    <s v="Latin America and Caribbean"/>
    <s v="P065779"/>
    <s v="C1"/>
    <s v="S11"/>
    <s v="P065779C1S11"/>
    <s v="Ratio"/>
    <s v="2000 / 2007"/>
    <x v="0"/>
    <s v=""/>
    <n v="1"/>
    <m/>
    <m/>
    <n v="1.3703703703703702"/>
    <n v="1.3703703703703702"/>
    <s v=""/>
    <n v="0"/>
    <n v="0"/>
    <x v="1"/>
    <n v="0"/>
    <s v=""/>
    <s v=""/>
    <s v=""/>
    <s v=""/>
    <s v=""/>
    <s v=""/>
    <s v=""/>
    <s v=""/>
    <s v=""/>
    <s v=""/>
    <s v=""/>
  </r>
  <r>
    <s v="Mexico"/>
    <s v="Latin America and Caribbean"/>
    <s v="P065779"/>
    <s v="C1"/>
    <s v="S12"/>
    <s v="P065779C1S12"/>
    <s v="Ratio"/>
    <s v="2000 / 2007"/>
    <x v="0"/>
    <s v=""/>
    <n v="1"/>
    <m/>
    <m/>
    <n v="0.85106382978723405"/>
    <n v="0.85106382978723405"/>
    <s v=""/>
    <n v="0"/>
    <n v="0"/>
    <x v="1"/>
    <n v="0"/>
    <s v=""/>
    <s v=""/>
    <s v=""/>
    <s v=""/>
    <s v=""/>
    <s v=""/>
    <s v=""/>
    <s v=""/>
    <s v=""/>
    <s v=""/>
    <s v=""/>
  </r>
  <r>
    <s v="Mexico"/>
    <s v="Latin America and Caribbean"/>
    <s v="P065779"/>
    <s v="C1"/>
    <s v="S13"/>
    <s v="P065779C1S13"/>
    <s v="Ratio"/>
    <s v="2000 / 2007"/>
    <x v="0"/>
    <s v=""/>
    <n v="1"/>
    <m/>
    <m/>
    <n v="1.8"/>
    <n v="1.8"/>
    <s v="x"/>
    <n v="0"/>
    <n v="0"/>
    <x v="0"/>
    <n v="0"/>
    <s v=""/>
    <s v=""/>
    <s v=""/>
    <s v=""/>
    <s v=""/>
    <n v="1"/>
    <s v=""/>
    <s v=""/>
    <n v="1"/>
    <s v=""/>
    <s v="Capacity of counterpart ; Quality of estimates; "/>
  </r>
  <r>
    <s v="Mexico"/>
    <s v="Latin America and Caribbean"/>
    <s v="P065779"/>
    <s v="C1"/>
    <s v="S14"/>
    <s v="P065779C1S14"/>
    <s v="Ratio"/>
    <s v="2000 / 2007"/>
    <x v="0"/>
    <s v=""/>
    <n v="0.85"/>
    <m/>
    <m/>
    <n v="2.5500000000000003"/>
    <n v="3"/>
    <s v="x"/>
    <n v="0"/>
    <n v="0"/>
    <x v="0"/>
    <n v="0"/>
    <s v=""/>
    <s v=""/>
    <s v=""/>
    <s v=""/>
    <s v=""/>
    <n v="1"/>
    <s v=""/>
    <s v=""/>
    <n v="1"/>
    <s v=""/>
    <s v="Capacity of counterpart ; Quality of estimates; "/>
  </r>
  <r>
    <s v="Mexico"/>
    <s v="Latin America and Caribbean"/>
    <s v="P065779"/>
    <s v="C1"/>
    <s v="S15"/>
    <s v="P065779C1S15"/>
    <s v="Ratio"/>
    <s v="2000 / 2007"/>
    <x v="0"/>
    <s v=""/>
    <n v="1"/>
    <m/>
    <m/>
    <n v="0.77016129032258063"/>
    <n v="0.77016129032258052"/>
    <s v=""/>
    <n v="0"/>
    <n v="0"/>
    <x v="1"/>
    <n v="0"/>
    <s v=""/>
    <s v=""/>
    <s v=""/>
    <s v=""/>
    <s v=""/>
    <s v=""/>
    <s v=""/>
    <s v=""/>
    <s v=""/>
    <s v=""/>
    <s v=""/>
  </r>
  <r>
    <s v="Mexico"/>
    <s v="Latin America and Caribbean"/>
    <s v="P065779"/>
    <s v="C1"/>
    <s v="S16"/>
    <s v="P065779C1S16"/>
    <s v="Ratio"/>
    <s v="2000 / 2007"/>
    <x v="0"/>
    <s v=""/>
    <n v="1"/>
    <m/>
    <m/>
    <n v="0.91304347826086962"/>
    <n v="0.91304347826086973"/>
    <s v=""/>
    <n v="0"/>
    <n v="0"/>
    <x v="1"/>
    <n v="0"/>
    <s v=""/>
    <s v=""/>
    <s v=""/>
    <s v=""/>
    <s v=""/>
    <s v=""/>
    <s v=""/>
    <s v=""/>
    <s v=""/>
    <s v=""/>
    <s v=""/>
  </r>
  <r>
    <s v="Mexico"/>
    <s v="Latin America and Caribbean"/>
    <s v="P065779"/>
    <s v="C1"/>
    <s v="S17"/>
    <s v="P065779C1S17"/>
    <s v="Ratio"/>
    <s v="2000 / 2007"/>
    <x v="6"/>
    <s v=""/>
    <n v="1"/>
    <m/>
    <m/>
    <n v="0.18861209964412812"/>
    <n v="0.18861209964412812"/>
    <s v="x"/>
    <n v="0"/>
    <n v="0"/>
    <x v="1"/>
    <n v="1"/>
    <s v=""/>
    <s v=""/>
    <s v=""/>
    <s v=""/>
    <s v=""/>
    <s v=""/>
    <s v=""/>
    <s v=""/>
    <s v=""/>
    <n v="1"/>
    <s v="Change of project scope; ; "/>
  </r>
  <r>
    <s v="Mexico"/>
    <s v="Latin America and Caribbean"/>
    <s v="P065779"/>
    <s v="C1"/>
    <s v="S18"/>
    <s v="P065779C1S18"/>
    <s v="Ratio"/>
    <s v="2000 / 2007"/>
    <x v="0"/>
    <s v=""/>
    <n v="1"/>
    <m/>
    <m/>
    <n v="1.25"/>
    <n v="1.2499999999999998"/>
    <s v=""/>
    <n v="0"/>
    <n v="0"/>
    <x v="1"/>
    <n v="0"/>
    <s v=""/>
    <s v=""/>
    <s v=""/>
    <s v=""/>
    <s v=""/>
    <s v=""/>
    <s v=""/>
    <s v=""/>
    <s v=""/>
    <s v=""/>
    <s v=""/>
  </r>
  <r>
    <s v="Mexico"/>
    <s v="Latin America and Caribbean"/>
    <s v="P065779"/>
    <s v="C1"/>
    <s v="S19"/>
    <s v="P065779C1S19"/>
    <s v="Ratio"/>
    <s v="2000 / 2007"/>
    <x v="0"/>
    <s v=""/>
    <n v="1"/>
    <m/>
    <m/>
    <n v="1.5298507462686566"/>
    <n v="1.5298507462686564"/>
    <s v="x"/>
    <n v="0"/>
    <n v="0"/>
    <x v="0"/>
    <n v="0"/>
    <s v=""/>
    <s v=""/>
    <s v=""/>
    <s v=""/>
    <s v=""/>
    <n v="1"/>
    <s v=""/>
    <s v=""/>
    <n v="1"/>
    <s v=""/>
    <s v="Capacity of counterpart ; Quality of estimates; "/>
  </r>
  <r>
    <s v="Mexico"/>
    <s v="Latin America and Caribbean"/>
    <s v="P065779"/>
    <s v="C1"/>
    <s v="S2"/>
    <s v="P065779C1S2"/>
    <s v="Ratio"/>
    <s v="2000 / 2007"/>
    <x v="0"/>
    <s v=""/>
    <n v="1"/>
    <m/>
    <m/>
    <n v="0.64516129032258074"/>
    <n v="0.64516129032258074"/>
    <s v=""/>
    <n v="0"/>
    <n v="0"/>
    <x v="1"/>
    <n v="0"/>
    <s v=""/>
    <s v=""/>
    <s v=""/>
    <s v=""/>
    <s v=""/>
    <s v=""/>
    <s v=""/>
    <s v=""/>
    <s v=""/>
    <s v=""/>
    <s v=""/>
  </r>
  <r>
    <s v="Mexico"/>
    <s v="Latin America and Caribbean"/>
    <s v="P065779"/>
    <s v="C1"/>
    <s v="S20"/>
    <s v="P065779C1S20"/>
    <s v="Ratio"/>
    <s v="2000 / 2007"/>
    <x v="0"/>
    <s v=""/>
    <n v="1"/>
    <m/>
    <m/>
    <n v="1.306878306878307"/>
    <n v="1.306878306878307"/>
    <s v=""/>
    <n v="0"/>
    <n v="0"/>
    <x v="1"/>
    <n v="0"/>
    <s v=""/>
    <s v=""/>
    <s v=""/>
    <s v=""/>
    <s v=""/>
    <s v=""/>
    <s v=""/>
    <s v=""/>
    <s v=""/>
    <s v=""/>
    <s v=""/>
  </r>
  <r>
    <s v="Mexico"/>
    <s v="Latin America and Caribbean"/>
    <s v="P065779"/>
    <s v="C1"/>
    <s v="S21"/>
    <s v="P065779C1S21"/>
    <s v="Ratio"/>
    <s v="2000 / 2007"/>
    <x v="6"/>
    <s v=""/>
    <n v="0.46728971962616828"/>
    <m/>
    <m/>
    <n v="0.19480519480519481"/>
    <n v="0.4168831168831168"/>
    <s v="x"/>
    <n v="0"/>
    <n v="1"/>
    <x v="1"/>
    <n v="1"/>
    <s v=""/>
    <s v=""/>
    <s v=""/>
    <s v=""/>
    <s v=""/>
    <s v=""/>
    <s v=""/>
    <s v=""/>
    <s v=""/>
    <n v="1"/>
    <s v="Change of project scope; ; "/>
  </r>
  <r>
    <s v="Mexico"/>
    <s v="Latin America and Caribbean"/>
    <s v="P065779"/>
    <s v="C1"/>
    <s v="S22"/>
    <s v="P065779C1S22"/>
    <s v="Ratio"/>
    <s v="2000 / 2007"/>
    <x v="6"/>
    <s v=""/>
    <n v="1.0083333333333333"/>
    <m/>
    <m/>
    <n v="0.64814814814814803"/>
    <n v="0.64279155188246084"/>
    <s v=""/>
    <n v="0"/>
    <n v="0"/>
    <x v="1"/>
    <n v="0"/>
    <s v=""/>
    <s v=""/>
    <s v=""/>
    <s v=""/>
    <s v=""/>
    <s v=""/>
    <s v=""/>
    <s v=""/>
    <s v=""/>
    <s v=""/>
    <s v=""/>
  </r>
  <r>
    <s v="Mexico"/>
    <s v="Latin America and Caribbean"/>
    <s v="P065779"/>
    <s v="C1"/>
    <s v="S23"/>
    <s v="P065779C1S23"/>
    <s v="Ratio"/>
    <s v="2000 / 2007"/>
    <x v="0"/>
    <s v=""/>
    <n v="1"/>
    <m/>
    <m/>
    <n v="0.91666666666666674"/>
    <n v="0.91666666666666674"/>
    <s v=""/>
    <n v="0"/>
    <n v="0"/>
    <x v="1"/>
    <n v="0"/>
    <s v=""/>
    <s v=""/>
    <s v=""/>
    <s v=""/>
    <s v=""/>
    <s v=""/>
    <s v=""/>
    <s v=""/>
    <s v=""/>
    <s v=""/>
    <s v=""/>
  </r>
  <r>
    <s v="Mexico"/>
    <s v="Latin America and Caribbean"/>
    <s v="P065779"/>
    <s v="C1"/>
    <s v="S24"/>
    <s v="P065779C1S24"/>
    <s v="Ratio"/>
    <s v="2000 / 2007"/>
    <x v="0"/>
    <s v=""/>
    <n v="1"/>
    <m/>
    <m/>
    <n v="0.7142857142857143"/>
    <n v="0.7142857142857143"/>
    <s v=""/>
    <n v="0"/>
    <n v="0"/>
    <x v="1"/>
    <n v="0"/>
    <s v=""/>
    <s v=""/>
    <s v=""/>
    <s v=""/>
    <s v=""/>
    <s v=""/>
    <s v=""/>
    <s v=""/>
    <s v=""/>
    <s v=""/>
    <s v=""/>
  </r>
  <r>
    <s v="Mexico"/>
    <s v="Latin America and Caribbean"/>
    <s v="P065779"/>
    <s v="C1"/>
    <s v="S25"/>
    <s v="P065779C1S25"/>
    <s v="Ratio"/>
    <s v="2000 / 2007"/>
    <x v="6"/>
    <s v=""/>
    <n v="0.96202531645569611"/>
    <m/>
    <m/>
    <n v="1.7142857142857142"/>
    <n v="1.7819548872180451"/>
    <s v="x"/>
    <n v="0"/>
    <n v="0"/>
    <x v="0"/>
    <n v="0"/>
    <s v=""/>
    <s v=""/>
    <s v=""/>
    <s v=""/>
    <s v=""/>
    <n v="1"/>
    <s v=""/>
    <s v=""/>
    <n v="1"/>
    <s v=""/>
    <s v="Capacity of counterpart ; Quality of estimates; "/>
  </r>
  <r>
    <s v="Mexico"/>
    <s v="Latin America and Caribbean"/>
    <s v="P065779"/>
    <s v="C1"/>
    <s v="S26"/>
    <s v="P065779C1S26"/>
    <s v="Ratio"/>
    <s v="2000 / 2007"/>
    <x v="6"/>
    <s v=""/>
    <n v="1"/>
    <m/>
    <m/>
    <n v="1.26984126984127"/>
    <n v="1.2698412698412698"/>
    <s v=""/>
    <n v="0"/>
    <n v="0"/>
    <x v="1"/>
    <n v="0"/>
    <s v=""/>
    <s v=""/>
    <s v=""/>
    <s v=""/>
    <s v=""/>
    <s v=""/>
    <s v=""/>
    <s v=""/>
    <s v=""/>
    <s v=""/>
    <s v=""/>
  </r>
  <r>
    <s v="Mexico"/>
    <s v="Latin America and Caribbean"/>
    <s v="P065779"/>
    <s v="C1"/>
    <s v="S27"/>
    <s v="P065779C1S27"/>
    <s v="Ratio"/>
    <s v="2000 / 2007"/>
    <x v="6"/>
    <s v=""/>
    <n v="1"/>
    <m/>
    <m/>
    <n v="1.2545454545454544"/>
    <n v="1.2545454545454544"/>
    <s v=""/>
    <n v="0"/>
    <n v="0"/>
    <x v="1"/>
    <n v="0"/>
    <s v=""/>
    <s v=""/>
    <s v=""/>
    <s v=""/>
    <s v=""/>
    <s v=""/>
    <s v=""/>
    <s v=""/>
    <s v=""/>
    <s v=""/>
    <s v=""/>
  </r>
  <r>
    <s v="Mexico"/>
    <s v="Latin America and Caribbean"/>
    <s v="P065779"/>
    <s v="C1"/>
    <s v="S28"/>
    <s v="P065779C1S28"/>
    <s v="Ratio"/>
    <s v="2000 / 2007"/>
    <x v="6"/>
    <s v=""/>
    <n v="1"/>
    <m/>
    <m/>
    <n v="2.3877551020408161"/>
    <n v="2.3877551020408161"/>
    <s v="x"/>
    <n v="0"/>
    <n v="0"/>
    <x v="0"/>
    <n v="0"/>
    <s v=""/>
    <s v=""/>
    <s v=""/>
    <s v=""/>
    <s v=""/>
    <n v="1"/>
    <s v=""/>
    <s v=""/>
    <n v="1"/>
    <s v=""/>
    <s v="Capacity of counterpart ; Quality of estimates; "/>
  </r>
  <r>
    <s v="Mexico"/>
    <s v="Latin America and Caribbean"/>
    <s v="P065779"/>
    <s v="C1"/>
    <s v="S29"/>
    <s v="P065779C1S29"/>
    <s v="Ratio"/>
    <s v="2000 / 2007"/>
    <x v="6"/>
    <s v=""/>
    <n v="1"/>
    <m/>
    <m/>
    <n v="2"/>
    <n v="2"/>
    <s v="x"/>
    <n v="0"/>
    <n v="0"/>
    <x v="0"/>
    <n v="0"/>
    <s v=""/>
    <s v=""/>
    <s v=""/>
    <s v=""/>
    <s v=""/>
    <n v="1"/>
    <s v=""/>
    <s v=""/>
    <n v="1"/>
    <s v=""/>
    <s v="Capacity of counterpart ; Quality of estimates; "/>
  </r>
  <r>
    <s v="Mexico"/>
    <s v="Latin America and Caribbean"/>
    <s v="P065779"/>
    <s v="C1"/>
    <s v="S3"/>
    <s v="P065779C1S3"/>
    <s v="Ratio"/>
    <s v="2000 / 2007"/>
    <x v="0"/>
    <s v=""/>
    <n v="1"/>
    <m/>
    <m/>
    <n v="0.5"/>
    <n v="0.5"/>
    <s v=""/>
    <n v="0"/>
    <n v="0"/>
    <x v="1"/>
    <n v="0"/>
    <s v=""/>
    <s v=""/>
    <s v=""/>
    <s v=""/>
    <s v=""/>
    <s v=""/>
    <s v=""/>
    <s v=""/>
    <s v=""/>
    <s v=""/>
    <s v=""/>
  </r>
  <r>
    <s v="Mexico"/>
    <s v="Latin America and Caribbean"/>
    <s v="P065779"/>
    <s v="C1"/>
    <s v="S30"/>
    <s v="P065779C1S30"/>
    <s v="Ratio"/>
    <s v="2000 / 2007"/>
    <x v="6"/>
    <s v=""/>
    <n v="1"/>
    <m/>
    <m/>
    <n v="1.9411764705882353"/>
    <n v="1.9411764705882353"/>
    <s v="x"/>
    <n v="0"/>
    <n v="0"/>
    <x v="0"/>
    <n v="0"/>
    <s v=""/>
    <s v=""/>
    <s v=""/>
    <s v=""/>
    <s v=""/>
    <n v="1"/>
    <s v=""/>
    <s v=""/>
    <n v="1"/>
    <s v=""/>
    <s v="Capacity of counterpart ; Quality of estimates; "/>
  </r>
  <r>
    <s v="Mexico"/>
    <s v="Latin America and Caribbean"/>
    <s v="P065779"/>
    <s v="C1"/>
    <s v="S31"/>
    <s v="P065779C1S31"/>
    <s v="Ratio"/>
    <s v="2000 / 2007"/>
    <x v="6"/>
    <s v=""/>
    <n v="1"/>
    <m/>
    <m/>
    <n v="1.1666666666666667"/>
    <n v="1.1666666666666667"/>
    <s v=""/>
    <n v="0"/>
    <n v="0"/>
    <x v="1"/>
    <n v="0"/>
    <s v=""/>
    <s v=""/>
    <s v=""/>
    <s v=""/>
    <s v=""/>
    <s v=""/>
    <s v=""/>
    <s v=""/>
    <s v=""/>
    <s v=""/>
    <s v=""/>
  </r>
  <r>
    <s v="Mexico"/>
    <s v="Latin America and Caribbean"/>
    <s v="P065779"/>
    <s v="C1"/>
    <s v="S32"/>
    <s v="P065779C1S32"/>
    <s v="Ratio"/>
    <s v="2000 / 2007"/>
    <x v="6"/>
    <s v=""/>
    <n v="1"/>
    <m/>
    <m/>
    <n v="0.44444444444444442"/>
    <n v="0.44444444444444442"/>
    <s v="x"/>
    <n v="0"/>
    <n v="0"/>
    <x v="1"/>
    <n v="1"/>
    <s v=""/>
    <s v=""/>
    <s v=""/>
    <s v=""/>
    <s v=""/>
    <s v=""/>
    <s v=""/>
    <s v=""/>
    <s v=""/>
    <n v="1"/>
    <s v="Change of project scope; ; "/>
  </r>
  <r>
    <s v="Mexico"/>
    <s v="Latin America and Caribbean"/>
    <s v="P065779"/>
    <s v="C1"/>
    <s v="S33"/>
    <s v="P065779C1S33"/>
    <s v="Ratio"/>
    <s v="2000 / 2007"/>
    <x v="6"/>
    <s v=""/>
    <n v="1"/>
    <m/>
    <m/>
    <n v="1.9295774647887327"/>
    <n v="1.9295774647887325"/>
    <s v="x"/>
    <n v="0"/>
    <n v="0"/>
    <x v="0"/>
    <n v="0"/>
    <s v=""/>
    <s v=""/>
    <s v=""/>
    <n v="1"/>
    <s v=""/>
    <n v="1"/>
    <s v=""/>
    <s v=""/>
    <s v=""/>
    <n v="1"/>
    <s v="Change of project scope; Capacity of counterpart (Procurement system); "/>
  </r>
  <r>
    <s v="Mexico"/>
    <s v="Latin America and Caribbean"/>
    <s v="P065779"/>
    <s v="C1"/>
    <s v="S34"/>
    <s v="P065779C1S34"/>
    <s v="Ratio"/>
    <s v="2000 / 2007"/>
    <x v="6"/>
    <s v=""/>
    <n v="1.6"/>
    <m/>
    <m/>
    <n v="3.2307692307692304"/>
    <n v="2.0192307692307692"/>
    <s v="x"/>
    <n v="1"/>
    <n v="0"/>
    <x v="0"/>
    <n v="0"/>
    <s v=""/>
    <s v=""/>
    <s v=""/>
    <s v=""/>
    <s v=""/>
    <n v="1"/>
    <s v=""/>
    <s v=""/>
    <n v="1"/>
    <n v="1"/>
    <s v="Capacity of counterpart ; Quality of estimates; Change of project scope"/>
  </r>
  <r>
    <s v="Mexico"/>
    <s v="Latin America and Caribbean"/>
    <s v="P065779"/>
    <s v="C1"/>
    <s v="S35"/>
    <s v="P065779C1S35"/>
    <s v="Ratio"/>
    <s v="2000 / 2007"/>
    <x v="6"/>
    <s v=""/>
    <n v="1"/>
    <m/>
    <m/>
    <n v="3"/>
    <n v="3"/>
    <s v="x"/>
    <n v="0"/>
    <n v="0"/>
    <x v="0"/>
    <n v="0"/>
    <s v=""/>
    <s v=""/>
    <s v=""/>
    <s v=""/>
    <s v=""/>
    <n v="1"/>
    <s v=""/>
    <s v=""/>
    <n v="1"/>
    <s v=""/>
    <s v="Capacity of counterpart ; Quality of estimates; "/>
  </r>
  <r>
    <s v="Mexico"/>
    <s v="Latin America and Caribbean"/>
    <s v="P065779"/>
    <s v="C1"/>
    <s v="S36"/>
    <s v="P065779C1S36"/>
    <s v="Ratio"/>
    <s v="2000 / 2007"/>
    <x v="6"/>
    <s v=""/>
    <n v="1.09375"/>
    <m/>
    <m/>
    <n v="3.5"/>
    <n v="3.2"/>
    <s v="x"/>
    <n v="0"/>
    <n v="0"/>
    <x v="0"/>
    <n v="0"/>
    <s v=""/>
    <s v=""/>
    <s v=""/>
    <s v=""/>
    <s v=""/>
    <n v="1"/>
    <s v=""/>
    <s v=""/>
    <n v="1"/>
    <s v=""/>
    <s v="Capacity of counterpart ; Quality of estimates; "/>
  </r>
  <r>
    <s v="Mexico"/>
    <s v="Latin America and Caribbean"/>
    <s v="P065779"/>
    <s v="C1"/>
    <s v="S37"/>
    <s v="P065779C1S37"/>
    <s v="Ratio"/>
    <s v="2000 / 2007"/>
    <x v="6"/>
    <s v=""/>
    <n v="1"/>
    <m/>
    <m/>
    <n v="1.5037593984962405"/>
    <n v="1.5037593984962405"/>
    <s v="x"/>
    <n v="0"/>
    <n v="0"/>
    <x v="0"/>
    <n v="0"/>
    <s v=""/>
    <s v=""/>
    <s v=""/>
    <s v=""/>
    <s v=""/>
    <n v="1"/>
    <s v=""/>
    <s v=""/>
    <n v="1"/>
    <s v=""/>
    <s v="Capacity of counterpart ; Quality of estimates; "/>
  </r>
  <r>
    <s v="Mexico"/>
    <s v="Latin America and Caribbean"/>
    <s v="P065779"/>
    <s v="C1"/>
    <s v="S38"/>
    <s v="P065779C1S38"/>
    <s v="Ratio"/>
    <s v="2000 / 2007"/>
    <x v="6"/>
    <s v=""/>
    <n v="0.99032258064516132"/>
    <m/>
    <m/>
    <n v="0.88124999999999987"/>
    <n v="0.88986156351791534"/>
    <s v=""/>
    <n v="0"/>
    <n v="0"/>
    <x v="1"/>
    <n v="0"/>
    <s v=""/>
    <s v=""/>
    <s v=""/>
    <s v=""/>
    <s v=""/>
    <s v=""/>
    <s v=""/>
    <s v=""/>
    <s v=""/>
    <s v=""/>
    <s v=""/>
  </r>
  <r>
    <s v="Mexico"/>
    <s v="Latin America and Caribbean"/>
    <s v="P065779"/>
    <s v="C1"/>
    <s v="S39"/>
    <s v="P065779C1S39"/>
    <s v="Ratio"/>
    <s v="2000 / 2007"/>
    <x v="0"/>
    <s v=""/>
    <n v="1"/>
    <m/>
    <m/>
    <n v="7.5"/>
    <n v="7.5000000000000009"/>
    <s v="x"/>
    <n v="0"/>
    <n v="0"/>
    <x v="0"/>
    <n v="0"/>
    <s v=""/>
    <s v=""/>
    <s v=""/>
    <s v=""/>
    <s v=""/>
    <n v="1"/>
    <s v=""/>
    <s v=""/>
    <n v="1"/>
    <s v=""/>
    <s v="Capacity of counterpart ; Quality of estimates; "/>
  </r>
  <r>
    <s v="Mexico"/>
    <s v="Latin America and Caribbean"/>
    <s v="P065779"/>
    <s v="C1"/>
    <s v="S4"/>
    <s v="P065779C1S4"/>
    <s v="Ratio"/>
    <s v="2000 / 2007"/>
    <x v="0"/>
    <s v=""/>
    <n v="1"/>
    <m/>
    <m/>
    <n v="0.84158415841584155"/>
    <n v="0.84158415841584155"/>
    <s v=""/>
    <n v="0"/>
    <n v="0"/>
    <x v="1"/>
    <n v="0"/>
    <s v=""/>
    <s v=""/>
    <s v=""/>
    <s v=""/>
    <s v=""/>
    <s v=""/>
    <s v=""/>
    <s v=""/>
    <s v=""/>
    <s v=""/>
    <s v=""/>
  </r>
  <r>
    <s v="Mexico"/>
    <s v="Latin America and Caribbean"/>
    <s v="P065779"/>
    <s v="C1"/>
    <s v="S40"/>
    <s v="P065779C1S40"/>
    <s v="Ratio"/>
    <s v="2000 / 2007"/>
    <x v="6"/>
    <s v=""/>
    <n v="4"/>
    <m/>
    <m/>
    <n v="6.6"/>
    <n v="1.65"/>
    <s v="x"/>
    <n v="1"/>
    <n v="0"/>
    <x v="0"/>
    <n v="0"/>
    <s v=""/>
    <s v=""/>
    <s v=""/>
    <s v=""/>
    <s v=""/>
    <n v="1"/>
    <s v=""/>
    <s v=""/>
    <n v="1"/>
    <n v="1"/>
    <s v="Capacity of counterpart ; Quality of estimates; Change of project scope"/>
  </r>
  <r>
    <s v="Mexico"/>
    <s v="Latin America and Caribbean"/>
    <s v="P065779"/>
    <s v="C1"/>
    <s v="S41"/>
    <s v="P065779C1S41"/>
    <s v="Ratio"/>
    <s v="2000 / 2007"/>
    <x v="0"/>
    <s v=""/>
    <n v="1"/>
    <m/>
    <m/>
    <n v="2.248062015503876"/>
    <n v="2.2480620155038755"/>
    <s v="x"/>
    <n v="0"/>
    <n v="0"/>
    <x v="0"/>
    <n v="0"/>
    <s v=""/>
    <s v=""/>
    <s v=""/>
    <s v=""/>
    <s v=""/>
    <n v="1"/>
    <s v=""/>
    <s v=""/>
    <n v="1"/>
    <s v=""/>
    <s v="Capacity of counterpart ; Quality of estimates; "/>
  </r>
  <r>
    <s v="Mexico"/>
    <s v="Latin America and Caribbean"/>
    <s v="P065779"/>
    <s v="C1"/>
    <s v="S42"/>
    <s v="P065779C1S42"/>
    <s v="Ratio"/>
    <s v="2000 / 2007"/>
    <x v="6"/>
    <s v=""/>
    <n v="1"/>
    <m/>
    <m/>
    <n v="2.043478260869565"/>
    <n v="2.0434782608695654"/>
    <s v="x"/>
    <n v="0"/>
    <n v="0"/>
    <x v="0"/>
    <n v="0"/>
    <s v=""/>
    <s v=""/>
    <s v=""/>
    <s v=""/>
    <s v=""/>
    <n v="1"/>
    <s v=""/>
    <s v=""/>
    <n v="1"/>
    <s v=""/>
    <s v="Capacity of counterpart ; Quality of estimates; "/>
  </r>
  <r>
    <s v="Mexico"/>
    <s v="Latin America and Caribbean"/>
    <s v="P065779"/>
    <s v="C1"/>
    <s v="S43"/>
    <s v="P065779C1S43"/>
    <s v="Ratio"/>
    <s v="2000 / 2007"/>
    <x v="6"/>
    <s v=""/>
    <n v="1"/>
    <m/>
    <m/>
    <n v="1.1111111111111112"/>
    <n v="1.1111111111111112"/>
    <s v=""/>
    <n v="0"/>
    <n v="0"/>
    <x v="1"/>
    <n v="0"/>
    <s v=""/>
    <s v=""/>
    <s v=""/>
    <s v=""/>
    <s v=""/>
    <s v=""/>
    <s v=""/>
    <s v=""/>
    <s v=""/>
    <s v=""/>
    <s v=""/>
  </r>
  <r>
    <s v="Mexico"/>
    <s v="Latin America and Caribbean"/>
    <s v="P065779"/>
    <s v="C1"/>
    <s v="S44"/>
    <s v="P065779C1S44"/>
    <s v="Ratio"/>
    <s v="2000 / 2007"/>
    <x v="0"/>
    <s v=""/>
    <n v="0.95833333333333337"/>
    <m/>
    <m/>
    <n v="6.9230769230769234"/>
    <n v="7.2240802675585289"/>
    <s v="x"/>
    <n v="0"/>
    <n v="0"/>
    <x v="0"/>
    <n v="0"/>
    <s v=""/>
    <s v=""/>
    <s v=""/>
    <s v=""/>
    <s v=""/>
    <n v="1"/>
    <s v=""/>
    <s v=""/>
    <n v="1"/>
    <s v=""/>
    <s v="Capacity of counterpart ; Quality of estimates; "/>
  </r>
  <r>
    <s v="Mexico"/>
    <s v="Latin America and Caribbean"/>
    <s v="P065779"/>
    <s v="C1"/>
    <s v="S45"/>
    <s v="P065779C1S45"/>
    <s v="Ratio"/>
    <s v="2000 / 2007"/>
    <x v="6"/>
    <s v=""/>
    <n v="1"/>
    <m/>
    <m/>
    <n v="0.89743589743589736"/>
    <n v="0.89743589743589747"/>
    <s v=""/>
    <n v="0"/>
    <n v="0"/>
    <x v="1"/>
    <n v="0"/>
    <s v=""/>
    <s v=""/>
    <s v=""/>
    <s v=""/>
    <s v=""/>
    <s v=""/>
    <s v=""/>
    <s v=""/>
    <s v=""/>
    <s v=""/>
    <s v=""/>
  </r>
  <r>
    <s v="Mexico"/>
    <s v="Latin America and Caribbean"/>
    <s v="P065779"/>
    <s v="C1"/>
    <s v="S46"/>
    <s v="P065779C1S46"/>
    <s v="Ratio"/>
    <s v="2000 / 2007"/>
    <x v="6"/>
    <s v=""/>
    <n v="1"/>
    <m/>
    <m/>
    <n v="1.607142857142857"/>
    <n v="1.6071428571428572"/>
    <s v="x"/>
    <n v="0"/>
    <n v="0"/>
    <x v="0"/>
    <n v="0"/>
    <s v=""/>
    <s v=""/>
    <s v=""/>
    <s v=""/>
    <s v=""/>
    <n v="1"/>
    <s v=""/>
    <s v=""/>
    <n v="1"/>
    <s v=""/>
    <s v="Capacity of counterpart ; Quality of estimates; "/>
  </r>
  <r>
    <s v="Mexico"/>
    <s v="Latin America and Caribbean"/>
    <s v="P065779"/>
    <s v="C1"/>
    <s v="S47"/>
    <s v="P065779C1S47"/>
    <s v="Ratio"/>
    <s v="2000 / 2007"/>
    <x v="6"/>
    <s v=""/>
    <n v="0.76666666666666672"/>
    <m/>
    <m/>
    <n v="1.1649484536082473"/>
    <n v="1.5194979829672792"/>
    <s v="x"/>
    <n v="0"/>
    <n v="0"/>
    <x v="0"/>
    <n v="0"/>
    <s v=""/>
    <s v=""/>
    <s v=""/>
    <s v=""/>
    <s v=""/>
    <n v="1"/>
    <s v=""/>
    <s v=""/>
    <n v="1"/>
    <s v=""/>
    <s v="Capacity of counterpart ; Quality of estimates; "/>
  </r>
  <r>
    <s v="Mexico"/>
    <s v="Latin America and Caribbean"/>
    <s v="P065779"/>
    <s v="C1"/>
    <s v="S48"/>
    <s v="P065779C1S48"/>
    <s v="Ratio"/>
    <s v="2000 / 2007"/>
    <x v="6"/>
    <s v=""/>
    <n v="1"/>
    <m/>
    <m/>
    <n v="2.9999999999999996"/>
    <n v="2.9999999999999996"/>
    <s v="x"/>
    <n v="0"/>
    <n v="0"/>
    <x v="0"/>
    <n v="0"/>
    <s v=""/>
    <s v=""/>
    <s v=""/>
    <s v=""/>
    <s v=""/>
    <n v="1"/>
    <s v=""/>
    <s v=""/>
    <n v="1"/>
    <s v=""/>
    <s v="Capacity of counterpart ; Quality of estimates; "/>
  </r>
  <r>
    <s v="Mexico"/>
    <s v="Latin America and Caribbean"/>
    <s v="P065779"/>
    <s v="C1"/>
    <s v="S49"/>
    <s v="P065779C1S49"/>
    <s v="Ratio"/>
    <s v="2000 / 2007"/>
    <x v="6"/>
    <s v=""/>
    <n v="1.0555555555555556"/>
    <m/>
    <m/>
    <n v="1.1866666666666668"/>
    <n v="1.1242105263157895"/>
    <s v=""/>
    <n v="0"/>
    <n v="0"/>
    <x v="1"/>
    <n v="0"/>
    <s v=""/>
    <s v=""/>
    <s v=""/>
    <s v=""/>
    <s v=""/>
    <s v=""/>
    <s v=""/>
    <s v=""/>
    <s v=""/>
    <s v=""/>
    <s v=""/>
  </r>
  <r>
    <s v="Mexico"/>
    <s v="Latin America and Caribbean"/>
    <s v="P065779"/>
    <s v="C1"/>
    <s v="S5"/>
    <s v="P065779C1S5"/>
    <s v="Ratio"/>
    <s v="2000 / 2007"/>
    <x v="0"/>
    <s v=""/>
    <n v="0.6875"/>
    <m/>
    <m/>
    <n v="0.57777777777777783"/>
    <n v="0.84040404040404038"/>
    <s v=""/>
    <n v="0"/>
    <n v="0"/>
    <x v="1"/>
    <n v="0"/>
    <s v=""/>
    <s v=""/>
    <s v=""/>
    <s v=""/>
    <s v=""/>
    <s v=""/>
    <s v=""/>
    <s v=""/>
    <s v=""/>
    <s v=""/>
    <s v=""/>
  </r>
  <r>
    <s v="Mexico"/>
    <s v="Latin America and Caribbean"/>
    <s v="P065779"/>
    <s v="C1"/>
    <s v="S50"/>
    <s v="P065779C1S50"/>
    <s v="Ratio"/>
    <s v="2000 / 2007"/>
    <x v="6"/>
    <s v=""/>
    <n v="1"/>
    <m/>
    <m/>
    <n v="1.4618834080717489"/>
    <n v="1.4618834080717489"/>
    <s v=""/>
    <n v="0"/>
    <n v="0"/>
    <x v="1"/>
    <n v="0"/>
    <s v=""/>
    <s v=""/>
    <s v=""/>
    <s v=""/>
    <s v=""/>
    <s v=""/>
    <s v=""/>
    <s v=""/>
    <s v=""/>
    <s v=""/>
    <s v=""/>
  </r>
  <r>
    <s v="Mexico"/>
    <s v="Latin America and Caribbean"/>
    <s v="P065779"/>
    <s v="C1"/>
    <s v="S51"/>
    <s v="P065779C1S51"/>
    <s v="Ratio"/>
    <s v="2000 / 2007"/>
    <x v="6"/>
    <s v=""/>
    <n v="0.7"/>
    <m/>
    <m/>
    <n v="0.53623188405797106"/>
    <n v="0.76604554865424446"/>
    <s v=""/>
    <n v="0"/>
    <n v="0"/>
    <x v="1"/>
    <n v="0"/>
    <s v=""/>
    <s v=""/>
    <s v=""/>
    <s v=""/>
    <s v=""/>
    <s v=""/>
    <s v=""/>
    <s v=""/>
    <s v=""/>
    <s v=""/>
    <s v=""/>
  </r>
  <r>
    <s v="Mexico"/>
    <s v="Latin America and Caribbean"/>
    <s v="P065779"/>
    <s v="C1"/>
    <s v="S6"/>
    <s v="P065779C1S6"/>
    <s v="Ratio"/>
    <s v="2000 / 2007"/>
    <x v="0"/>
    <s v=""/>
    <n v="2"/>
    <m/>
    <m/>
    <n v="2.75"/>
    <n v="1.3749999999999998"/>
    <s v="x"/>
    <n v="1"/>
    <n v="0"/>
    <x v="1"/>
    <n v="0"/>
    <s v=""/>
    <s v=""/>
    <s v=""/>
    <s v=""/>
    <s v=""/>
    <s v=""/>
    <s v=""/>
    <s v=""/>
    <s v=""/>
    <n v="1"/>
    <s v="Change of project scope; ; "/>
  </r>
  <r>
    <s v="Mexico"/>
    <s v="Latin America and Caribbean"/>
    <s v="P065779"/>
    <s v="C1"/>
    <s v="S7"/>
    <s v="P065779C1S7"/>
    <s v="Ratio"/>
    <s v="2000 / 2007"/>
    <x v="6"/>
    <s v=""/>
    <n v="1"/>
    <m/>
    <m/>
    <n v="0.14666666666666667"/>
    <n v="0.14666666666666667"/>
    <s v="x"/>
    <n v="0"/>
    <n v="0"/>
    <x v="1"/>
    <n v="1"/>
    <s v=""/>
    <s v=""/>
    <s v=""/>
    <s v=""/>
    <s v=""/>
    <s v=""/>
    <s v=""/>
    <s v=""/>
    <s v=""/>
    <n v="1"/>
    <s v="Change of project scope; ; "/>
  </r>
  <r>
    <s v="Mexico"/>
    <s v="Latin America and Caribbean"/>
    <s v="P065779"/>
    <s v="C1"/>
    <s v="S8"/>
    <s v="P065779C1S8"/>
    <s v="Ratio"/>
    <s v="2000 / 2007"/>
    <x v="0"/>
    <s v=""/>
    <n v="1"/>
    <m/>
    <m/>
    <n v="0.45490196078431372"/>
    <n v="0.45490196078431377"/>
    <s v="x"/>
    <n v="0"/>
    <n v="0"/>
    <x v="1"/>
    <n v="1"/>
    <s v=""/>
    <s v=""/>
    <s v=""/>
    <s v=""/>
    <s v=""/>
    <s v=""/>
    <s v=""/>
    <s v=""/>
    <s v=""/>
    <n v="1"/>
    <s v="Change of project scope; ; "/>
  </r>
  <r>
    <s v="Mexico"/>
    <s v="Latin America and Caribbean"/>
    <s v="P065779"/>
    <s v="C1"/>
    <s v="S9"/>
    <s v="P065779C1S9"/>
    <s v="Ratio"/>
    <s v="2000 / 2007"/>
    <x v="0"/>
    <s v=""/>
    <n v="1"/>
    <m/>
    <m/>
    <n v="2.6066666666666669"/>
    <n v="2.6066666666666669"/>
    <s v="x"/>
    <n v="0"/>
    <n v="0"/>
    <x v="0"/>
    <n v="0"/>
    <s v=""/>
    <s v=""/>
    <s v=""/>
    <s v=""/>
    <s v=""/>
    <n v="1"/>
    <s v=""/>
    <s v=""/>
    <n v="1"/>
    <s v=""/>
    <s v="Capacity of counterpart ; Quality of estimates; "/>
  </r>
  <r>
    <s v="China"/>
    <s v="East Asia and Pacific"/>
    <s v="P068752"/>
    <s v="C1"/>
    <s v=""/>
    <s v="P068752C1"/>
    <s v="Ratio"/>
    <s v="2005 / 2011"/>
    <x v="12"/>
    <n v="0.83333333333333337"/>
    <n v="1.0097740112994349"/>
    <m/>
    <m/>
    <n v="1.2422838612542706"/>
    <n v="1.2302592930230285"/>
    <s v=""/>
    <n v="0"/>
    <n v="0"/>
    <x v="1"/>
    <n v="0"/>
    <s v=""/>
    <s v=""/>
    <s v=""/>
    <s v=""/>
    <s v=""/>
    <s v=""/>
    <s v=""/>
    <s v=""/>
    <s v=""/>
    <s v=""/>
    <s v=""/>
  </r>
  <r>
    <s v="China"/>
    <s v="East Asia and Pacific"/>
    <s v="P068752"/>
    <s v="C2"/>
    <s v=""/>
    <s v="P068752C2"/>
    <s v="Ratio"/>
    <s v="2005 / 2011"/>
    <x v="2"/>
    <s v=""/>
    <n v="1.6009280742459397"/>
    <m/>
    <m/>
    <n v="2.2810916179337233"/>
    <n v="1.4248557787383109"/>
    <s v="x"/>
    <n v="1"/>
    <n v="0"/>
    <x v="1"/>
    <n v="0"/>
    <s v=""/>
    <s v=""/>
    <s v=""/>
    <s v=""/>
    <s v=""/>
    <s v=""/>
    <s v=""/>
    <s v=""/>
    <s v=""/>
    <n v="1"/>
    <s v="Change of project scope; ; "/>
  </r>
  <r>
    <s v="China"/>
    <s v="East Asia and Pacific"/>
    <s v="P068752"/>
    <s v="C2"/>
    <s v="S1"/>
    <s v="P068752C2S1"/>
    <s v="Ratio"/>
    <s v="2005 / 2011"/>
    <x v="2"/>
    <n v="1"/>
    <n v="1.0524822695035461"/>
    <m/>
    <m/>
    <n v="1.3856213759105473"/>
    <n v="1.3165270485403446"/>
    <s v=""/>
    <n v="0"/>
    <n v="0"/>
    <x v="1"/>
    <n v="0"/>
    <s v=""/>
    <s v=""/>
    <s v=""/>
    <s v=""/>
    <s v=""/>
    <s v=""/>
    <s v=""/>
    <s v=""/>
    <s v=""/>
    <s v=""/>
    <s v=""/>
  </r>
  <r>
    <s v="China"/>
    <s v="East Asia and Pacific"/>
    <s v="P068752"/>
    <s v="C2"/>
    <s v="S2"/>
    <s v="P068752C2S2"/>
    <s v="Ratio"/>
    <s v="2005 / 2011"/>
    <x v="2"/>
    <n v="1"/>
    <n v="0.98478260869565226"/>
    <m/>
    <m/>
    <n v="1.0849443599800692"/>
    <n v="1.1017095046155228"/>
    <s v=""/>
    <n v="0"/>
    <n v="0"/>
    <x v="1"/>
    <n v="0"/>
    <s v=""/>
    <s v=""/>
    <s v=""/>
    <s v=""/>
    <s v=""/>
    <s v=""/>
    <s v=""/>
    <s v=""/>
    <s v=""/>
    <s v=""/>
    <s v=""/>
  </r>
  <r>
    <s v="China"/>
    <s v="East Asia and Pacific"/>
    <s v="P068752"/>
    <s v="C2"/>
    <s v="S3"/>
    <s v="P068752C2S3"/>
    <s v="Ratio"/>
    <s v="2005 / 2011"/>
    <x v="2"/>
    <n v="1.6666666666666667"/>
    <n v="1.145631067961165"/>
    <m/>
    <m/>
    <n v="2.9756043159015308"/>
    <n v="2.597349529981845"/>
    <s v="x"/>
    <n v="0"/>
    <n v="0"/>
    <x v="0"/>
    <n v="0"/>
    <s v=""/>
    <s v=""/>
    <n v="1"/>
    <s v=""/>
    <s v=""/>
    <s v=""/>
    <s v=""/>
    <s v=""/>
    <n v="1"/>
    <s v=""/>
    <s v="Weather shocks ; Quality of estimates; "/>
  </r>
  <r>
    <s v="China"/>
    <s v="East Asia and Pacific"/>
    <s v="P068752"/>
    <s v="C2"/>
    <s v="S4"/>
    <s v="P068752C2S4"/>
    <s v="Ratio"/>
    <s v="2005 / 2011"/>
    <x v="2"/>
    <n v="1"/>
    <n v="0.99030303030303035"/>
    <m/>
    <m/>
    <n v="1.8113250123404554"/>
    <n v="1.8290613649704719"/>
    <s v="x"/>
    <n v="0"/>
    <n v="0"/>
    <x v="0"/>
    <n v="0"/>
    <s v=""/>
    <s v=""/>
    <n v="1"/>
    <s v=""/>
    <s v=""/>
    <s v=""/>
    <s v=""/>
    <s v=""/>
    <n v="1"/>
    <s v=""/>
    <s v="Weather shocks ; Quality of estimates; "/>
  </r>
  <r>
    <s v="China"/>
    <s v="East Asia and Pacific"/>
    <s v="P068752"/>
    <s v="C2"/>
    <s v="S5"/>
    <s v="P068752C2S5"/>
    <s v="Ratio"/>
    <s v="2005 / 2011"/>
    <x v="2"/>
    <n v="1"/>
    <n v="1.1139896373056994"/>
    <m/>
    <m/>
    <n v="1.1747392280731208"/>
    <n v="1.0545333535726156"/>
    <s v=""/>
    <n v="0"/>
    <n v="0"/>
    <x v="1"/>
    <n v="0"/>
    <s v=""/>
    <s v=""/>
    <s v=""/>
    <s v=""/>
    <s v=""/>
    <s v=""/>
    <s v=""/>
    <s v=""/>
    <s v=""/>
    <s v=""/>
    <s v=""/>
  </r>
  <r>
    <s v="Bolivia"/>
    <s v="Latin America and Caribbean"/>
    <s v="P068968"/>
    <s v="C1"/>
    <s v=""/>
    <s v="P068968C1"/>
    <s v="Ratio"/>
    <s v="2002 / 2011"/>
    <x v="0"/>
    <s v=""/>
    <n v="1"/>
    <m/>
    <m/>
    <n v="1.1679032701291563"/>
    <n v="1.1679032701291563"/>
    <s v=""/>
    <n v="0"/>
    <n v="0"/>
    <x v="1"/>
    <n v="0"/>
    <s v=""/>
    <s v=""/>
    <s v=""/>
    <s v=""/>
    <s v=""/>
    <s v=""/>
    <s v=""/>
    <s v=""/>
    <s v=""/>
    <s v=""/>
    <s v=""/>
  </r>
  <r>
    <s v="Bolivia"/>
    <s v="Latin America and Caribbean"/>
    <s v="P068968"/>
    <s v="C2"/>
    <s v=""/>
    <s v="P068968C2"/>
    <s v="Ratio"/>
    <s v="2002 / 2011"/>
    <x v="6"/>
    <s v=""/>
    <n v="0.44333333333333336"/>
    <m/>
    <m/>
    <n v="0.56481481481481477"/>
    <n v="1.2740183792815372"/>
    <s v="x"/>
    <n v="0"/>
    <n v="1"/>
    <x v="1"/>
    <n v="0"/>
    <n v="1"/>
    <s v=""/>
    <n v="1"/>
    <s v=""/>
    <s v=""/>
    <s v=""/>
    <s v=""/>
    <s v=""/>
    <s v=""/>
    <n v="1"/>
    <s v="Macroeconomic conditions; Weather shocks ; Change of project scope"/>
  </r>
  <r>
    <s v="China"/>
    <s v="East Asia and Pacific"/>
    <s v="P069852"/>
    <s v="C2"/>
    <s v=""/>
    <s v="P069852C2"/>
    <s v="Ratio"/>
    <s v="2004 / 2010"/>
    <x v="0"/>
    <s v=""/>
    <n v="0.95291268666756357"/>
    <m/>
    <m/>
    <n v="1.4284530386740331"/>
    <n v="1.4990387457947321"/>
    <s v=""/>
    <n v="0"/>
    <n v="0"/>
    <x v="1"/>
    <n v="0"/>
    <s v=""/>
    <s v=""/>
    <s v=""/>
    <s v=""/>
    <s v=""/>
    <s v=""/>
    <s v=""/>
    <s v=""/>
    <s v=""/>
    <s v=""/>
    <s v=""/>
  </r>
  <r>
    <s v="Djibouti"/>
    <s v="Middle East and North Africa"/>
    <s v="P069930"/>
    <s v="C1"/>
    <s v=""/>
    <s v="P069930C1"/>
    <s v="Ratio"/>
    <s v="2000 / 2006"/>
    <x v="0"/>
    <n v="1.5"/>
    <n v="0.96078431372549022"/>
    <m/>
    <m/>
    <n v="1.1416666666666666"/>
    <n v="1.1882653061224488"/>
    <s v=""/>
    <n v="0"/>
    <n v="0"/>
    <x v="1"/>
    <n v="0"/>
    <s v=""/>
    <s v=""/>
    <s v=""/>
    <s v=""/>
    <s v=""/>
    <s v=""/>
    <s v=""/>
    <s v=""/>
    <s v=""/>
    <s v=""/>
    <s v=""/>
  </r>
  <r>
    <s v="Djibouti"/>
    <s v="Middle East and North Africa"/>
    <s v="P069930"/>
    <s v="C2"/>
    <s v=""/>
    <s v="P069930C2"/>
    <s v="Ratio"/>
    <s v="2000 / 2006"/>
    <x v="6"/>
    <n v="1"/>
    <n v="1.0232558139534884"/>
    <m/>
    <m/>
    <n v="1.4750000000000001"/>
    <n v="1.4414772727272729"/>
    <s v=""/>
    <n v="0"/>
    <n v="0"/>
    <x v="1"/>
    <n v="0"/>
    <s v=""/>
    <s v=""/>
    <s v=""/>
    <s v=""/>
    <s v=""/>
    <s v=""/>
    <s v=""/>
    <s v=""/>
    <s v=""/>
    <s v=""/>
    <s v=""/>
  </r>
  <r>
    <s v="India"/>
    <s v="South Asia"/>
    <s v="P070421"/>
    <s v="C1"/>
    <s v=""/>
    <s v="P070421C1"/>
    <s v="Ratio"/>
    <s v="2001 / 2008"/>
    <x v="12"/>
    <s v=""/>
    <n v="0.874"/>
    <m/>
    <m/>
    <n v="1.3152161872761512"/>
    <n v="1.5048240129017749"/>
    <s v="x"/>
    <n v="0"/>
    <n v="0"/>
    <x v="0"/>
    <n v="0"/>
    <n v="1"/>
    <s v=""/>
    <s v=""/>
    <s v=""/>
    <s v=""/>
    <s v=""/>
    <s v=""/>
    <s v=""/>
    <s v=""/>
    <s v=""/>
    <s v="Macroeconomic conditions; Capacity of contractor; "/>
  </r>
  <r>
    <s v="India"/>
    <s v="South Asia"/>
    <s v="P070421"/>
    <s v="C1"/>
    <s v="S1"/>
    <s v="P070421C1S1"/>
    <s v="Ratio"/>
    <s v="2001 / 2008"/>
    <x v="12"/>
    <s v=""/>
    <n v="1"/>
    <m/>
    <m/>
    <n v="1.4233797698364625"/>
    <n v="1.4233797698364627"/>
    <s v=""/>
    <n v="0"/>
    <n v="0"/>
    <x v="1"/>
    <n v="0"/>
    <s v=""/>
    <s v=""/>
    <s v=""/>
    <s v=""/>
    <s v=""/>
    <s v=""/>
    <s v=""/>
    <s v=""/>
    <s v=""/>
    <s v=""/>
    <s v=""/>
  </r>
  <r>
    <s v="India"/>
    <s v="South Asia"/>
    <s v="P070421"/>
    <s v="C1"/>
    <s v="S10"/>
    <s v="P070421C1S10"/>
    <s v="Ratio"/>
    <s v="2001 / 2008"/>
    <x v="12"/>
    <s v=""/>
    <n v="1"/>
    <m/>
    <m/>
    <n v="1.9791967639410575"/>
    <n v="1.9791967639410575"/>
    <s v="x"/>
    <n v="0"/>
    <n v="0"/>
    <x v="0"/>
    <n v="0"/>
    <n v="1"/>
    <s v=""/>
    <s v=""/>
    <s v=""/>
    <s v=""/>
    <s v=""/>
    <s v=""/>
    <s v=""/>
    <s v=""/>
    <s v=""/>
    <s v="Macroeconomic conditions; Capacity of contractor; "/>
  </r>
  <r>
    <s v="India"/>
    <s v="South Asia"/>
    <s v="P070421"/>
    <s v="C1"/>
    <s v="S11"/>
    <s v="P070421C1S11"/>
    <s v="Ratio"/>
    <s v="2001 / 2008"/>
    <x v="14"/>
    <s v=""/>
    <n v="1"/>
    <m/>
    <m/>
    <n v="0.17227235438884334"/>
    <n v="0.17227235438884334"/>
    <s v="x"/>
    <n v="0"/>
    <n v="0"/>
    <x v="1"/>
    <n v="1"/>
    <s v=""/>
    <s v=""/>
    <s v=""/>
    <s v=""/>
    <s v=""/>
    <s v=""/>
    <s v=""/>
    <s v=""/>
    <n v="1"/>
    <s v=""/>
    <s v="Quality of estimates; ; "/>
  </r>
  <r>
    <s v="India"/>
    <s v="South Asia"/>
    <s v="P070421"/>
    <s v="C1"/>
    <s v="S2"/>
    <s v="P070421C1S2"/>
    <s v="Ratio"/>
    <s v="2001 / 2008"/>
    <x v="12"/>
    <s v=""/>
    <n v="1"/>
    <m/>
    <m/>
    <n v="1.1487559555320275"/>
    <n v="1.1487559555320277"/>
    <s v=""/>
    <n v="0"/>
    <n v="0"/>
    <x v="1"/>
    <n v="0"/>
    <s v=""/>
    <s v=""/>
    <s v=""/>
    <s v=""/>
    <s v=""/>
    <s v=""/>
    <s v=""/>
    <s v=""/>
    <s v=""/>
    <s v=""/>
    <s v=""/>
  </r>
  <r>
    <s v="India"/>
    <s v="South Asia"/>
    <s v="P070421"/>
    <s v="C1"/>
    <s v="S3"/>
    <s v="P070421C1S3"/>
    <s v="Ratio"/>
    <s v="2001 / 2008"/>
    <x v="12"/>
    <s v=""/>
    <n v="1"/>
    <m/>
    <m/>
    <n v="1.089727568107973"/>
    <n v="1.089727568107973"/>
    <s v=""/>
    <n v="0"/>
    <n v="0"/>
    <x v="1"/>
    <n v="0"/>
    <s v=""/>
    <s v=""/>
    <s v=""/>
    <s v=""/>
    <s v=""/>
    <s v=""/>
    <s v=""/>
    <s v=""/>
    <s v=""/>
    <s v=""/>
    <s v=""/>
  </r>
  <r>
    <s v="India"/>
    <s v="South Asia"/>
    <s v="P070421"/>
    <s v="C1"/>
    <s v="S4"/>
    <s v="P070421C1S4"/>
    <s v="Ratio"/>
    <s v="2001 / 2008"/>
    <x v="12"/>
    <s v=""/>
    <n v="1"/>
    <m/>
    <m/>
    <n v="0.80645161290322587"/>
    <n v="0.80645161290322576"/>
    <s v=""/>
    <n v="0"/>
    <n v="0"/>
    <x v="1"/>
    <n v="0"/>
    <s v=""/>
    <s v=""/>
    <s v=""/>
    <s v=""/>
    <s v=""/>
    <s v=""/>
    <s v=""/>
    <s v=""/>
    <s v=""/>
    <s v=""/>
    <s v=""/>
  </r>
  <r>
    <s v="India"/>
    <s v="South Asia"/>
    <s v="P070421"/>
    <s v="C1"/>
    <s v="S5"/>
    <s v="P070421C1S5"/>
    <s v="Ratio"/>
    <s v="2001 / 2008"/>
    <x v="12"/>
    <s v=""/>
    <n v="1"/>
    <m/>
    <m/>
    <n v="1.1597938144329898"/>
    <n v="1.1597938144329898"/>
    <s v=""/>
    <n v="0"/>
    <n v="0"/>
    <x v="1"/>
    <n v="0"/>
    <s v=""/>
    <s v=""/>
    <s v=""/>
    <s v=""/>
    <s v=""/>
    <s v=""/>
    <s v=""/>
    <s v=""/>
    <s v=""/>
    <s v=""/>
    <s v=""/>
  </r>
  <r>
    <s v="India"/>
    <s v="South Asia"/>
    <s v="P070421"/>
    <s v="C1"/>
    <s v="S6"/>
    <s v="P070421C1S6"/>
    <s v="Ratio"/>
    <s v="2001 / 2008"/>
    <x v="12"/>
    <s v=""/>
    <n v="1"/>
    <m/>
    <m/>
    <n v="0.93722755013077585"/>
    <n v="0.93722755013077585"/>
    <s v=""/>
    <n v="0"/>
    <n v="0"/>
    <x v="1"/>
    <n v="0"/>
    <s v=""/>
    <s v=""/>
    <s v=""/>
    <s v=""/>
    <s v=""/>
    <s v=""/>
    <s v=""/>
    <s v=""/>
    <s v=""/>
    <s v=""/>
    <s v=""/>
  </r>
  <r>
    <s v="India"/>
    <s v="South Asia"/>
    <s v="P070421"/>
    <s v="C1"/>
    <s v="S7"/>
    <s v="P070421C1S7"/>
    <s v="Ratio"/>
    <s v="2001 / 2008"/>
    <x v="12"/>
    <s v=""/>
    <n v="1"/>
    <m/>
    <m/>
    <n v="0.57199211045364884"/>
    <n v="0.57199211045364884"/>
    <s v=""/>
    <n v="0"/>
    <n v="0"/>
    <x v="1"/>
    <n v="0"/>
    <s v=""/>
    <s v=""/>
    <s v=""/>
    <s v=""/>
    <s v=""/>
    <s v=""/>
    <s v=""/>
    <s v=""/>
    <s v=""/>
    <s v=""/>
    <s v=""/>
  </r>
  <r>
    <s v="India"/>
    <s v="South Asia"/>
    <s v="P070421"/>
    <s v="C1"/>
    <s v="S8"/>
    <s v="P070421C1S8"/>
    <s v="Ratio"/>
    <s v="2001 / 2008"/>
    <x v="12"/>
    <s v=""/>
    <n v="1"/>
    <m/>
    <m/>
    <n v="0.38756295160937154"/>
    <n v="0.38756295160937149"/>
    <s v="x"/>
    <n v="0"/>
    <n v="0"/>
    <x v="1"/>
    <n v="1"/>
    <s v=""/>
    <s v=""/>
    <s v=""/>
    <s v=""/>
    <s v=""/>
    <s v=""/>
    <s v=""/>
    <s v=""/>
    <n v="1"/>
    <s v=""/>
    <s v="Quality of estimates; ; "/>
  </r>
  <r>
    <s v="India"/>
    <s v="South Asia"/>
    <s v="P070421"/>
    <s v="C1"/>
    <s v="S9"/>
    <s v="P070421C1S9"/>
    <s v="Ratio"/>
    <s v="2001 / 2008"/>
    <x v="12"/>
    <s v=""/>
    <n v="1"/>
    <m/>
    <m/>
    <n v="9.8834498834498827"/>
    <n v="9.8834498834498827"/>
    <s v="x"/>
    <n v="0"/>
    <n v="0"/>
    <x v="0"/>
    <n v="0"/>
    <n v="1"/>
    <s v=""/>
    <s v=""/>
    <s v=""/>
    <s v=""/>
    <s v=""/>
    <s v=""/>
    <s v=""/>
    <s v=""/>
    <s v=""/>
    <s v="Capacity of contractor; Macroeconomic conditions; "/>
  </r>
  <r>
    <s v="India"/>
    <s v="South Asia"/>
    <s v="P070421"/>
    <s v="C2"/>
    <s v=""/>
    <s v="P070421C2"/>
    <s v="Ratio"/>
    <s v="2001 / 2008"/>
    <x v="6"/>
    <s v=""/>
    <n v="0.96153846153846156"/>
    <m/>
    <m/>
    <n v="1.74141524958859"/>
    <n v="1.8110718595721336"/>
    <s v="x"/>
    <n v="0"/>
    <n v="0"/>
    <x v="0"/>
    <n v="0"/>
    <n v="1"/>
    <s v=""/>
    <s v=""/>
    <s v=""/>
    <s v=""/>
    <s v=""/>
    <s v=""/>
    <s v=""/>
    <s v=""/>
    <s v=""/>
    <s v="Capacity of contractor; Macroeconomic conditions; "/>
  </r>
  <r>
    <s v="China"/>
    <s v="East Asia and Pacific"/>
    <s v="P070441"/>
    <s v="C1"/>
    <s v=""/>
    <s v="P070441C1"/>
    <s v="Ratio"/>
    <s v="2002 / 2008"/>
    <x v="5"/>
    <n v="1"/>
    <n v="1"/>
    <m/>
    <m/>
    <n v="1.5874406645569621"/>
    <n v="1.5874406645569621"/>
    <s v="x"/>
    <n v="0"/>
    <n v="0"/>
    <x v="0"/>
    <n v="0"/>
    <n v="1"/>
    <s v=""/>
    <s v=""/>
    <s v=""/>
    <s v=""/>
    <s v=""/>
    <s v=""/>
    <s v=""/>
    <n v="1"/>
    <s v=""/>
    <s v="Quality of estimates; Macroeconomic conditions; Capacity of contractor"/>
  </r>
  <r>
    <s v="China"/>
    <s v="East Asia and Pacific"/>
    <s v="P070441"/>
    <s v="C2"/>
    <s v=""/>
    <s v="P070441C2"/>
    <s v="Ratio"/>
    <s v="2002 / 2008"/>
    <x v="2"/>
    <s v=""/>
    <n v="1"/>
    <m/>
    <m/>
    <n v="0.63444108761329299"/>
    <n v="0.63444108761329299"/>
    <s v=""/>
    <n v="0"/>
    <n v="0"/>
    <x v="1"/>
    <n v="0"/>
    <s v=""/>
    <s v=""/>
    <s v=""/>
    <s v=""/>
    <s v=""/>
    <s v=""/>
    <s v=""/>
    <s v=""/>
    <s v=""/>
    <s v=""/>
    <s v=""/>
  </r>
  <r>
    <s v="China"/>
    <s v="East Asia and Pacific"/>
    <s v="P070459"/>
    <s v="C1"/>
    <s v=""/>
    <s v="P070459C1"/>
    <s v="Ratio"/>
    <s v="2002 / 2008"/>
    <x v="5"/>
    <s v=""/>
    <n v="1"/>
    <m/>
    <m/>
    <n v="0.90989827224285491"/>
    <n v="0.90989827224285491"/>
    <s v=""/>
    <n v="0"/>
    <n v="0"/>
    <x v="1"/>
    <n v="0"/>
    <s v=""/>
    <s v=""/>
    <s v=""/>
    <s v=""/>
    <s v=""/>
    <s v=""/>
    <s v=""/>
    <s v=""/>
    <s v=""/>
    <s v=""/>
    <s v=""/>
  </r>
  <r>
    <s v="China"/>
    <s v="East Asia and Pacific"/>
    <s v="P070459"/>
    <s v="C2"/>
    <s v=""/>
    <s v="P070459C2"/>
    <s v="Ratio"/>
    <s v="2002 / 2008"/>
    <x v="2"/>
    <s v=""/>
    <n v="1.935860058309038"/>
    <m/>
    <m/>
    <n v="1.3363338788870704"/>
    <n v="0.69030500069015843"/>
    <s v="x"/>
    <n v="1"/>
    <n v="0"/>
    <x v="1"/>
    <n v="0"/>
    <s v=""/>
    <s v=""/>
    <s v=""/>
    <s v=""/>
    <s v=""/>
    <s v=""/>
    <s v=""/>
    <s v=""/>
    <s v=""/>
    <n v="1"/>
    <s v="Change of project scope; ; "/>
  </r>
  <r>
    <s v="China"/>
    <s v="East Asia and Pacific"/>
    <s v="P070459"/>
    <s v="C2"/>
    <s v="S1"/>
    <s v="P070459C2S1"/>
    <s v="Ratio"/>
    <s v="2002 / 2008"/>
    <x v="2"/>
    <s v=""/>
    <n v="1"/>
    <m/>
    <m/>
    <n v="0.9573067632850244"/>
    <n v="0.9573067632850244"/>
    <s v=""/>
    <n v="0"/>
    <n v="0"/>
    <x v="1"/>
    <n v="0"/>
    <s v=""/>
    <s v=""/>
    <s v=""/>
    <s v=""/>
    <s v=""/>
    <s v=""/>
    <s v=""/>
    <s v=""/>
    <s v=""/>
    <s v=""/>
    <s v=""/>
  </r>
  <r>
    <s v="China"/>
    <s v="East Asia and Pacific"/>
    <s v="P070459"/>
    <s v="C2"/>
    <s v="S2"/>
    <s v="P070459C2S2"/>
    <s v="Ratio"/>
    <s v="2002 / 2008"/>
    <x v="2"/>
    <s v=""/>
    <n v="1"/>
    <m/>
    <m/>
    <n v="0.79828722002635055"/>
    <n v="0.79828722002635055"/>
    <s v=""/>
    <n v="0"/>
    <n v="0"/>
    <x v="1"/>
    <n v="0"/>
    <s v=""/>
    <s v=""/>
    <s v=""/>
    <s v=""/>
    <s v=""/>
    <s v=""/>
    <s v=""/>
    <s v=""/>
    <s v=""/>
    <s v=""/>
    <s v=""/>
  </r>
  <r>
    <s v="China"/>
    <s v="East Asia and Pacific"/>
    <s v="P070459"/>
    <s v="C2"/>
    <s v="S3"/>
    <s v="P070459C2S3"/>
    <s v="Ratio"/>
    <s v="2002 / 2008"/>
    <x v="2"/>
    <s v=""/>
    <n v="1"/>
    <m/>
    <m/>
    <n v="0.51323671497584544"/>
    <n v="0.51323671497584555"/>
    <s v=""/>
    <n v="0"/>
    <n v="0"/>
    <x v="1"/>
    <n v="0"/>
    <s v=""/>
    <s v=""/>
    <s v=""/>
    <s v=""/>
    <s v=""/>
    <s v=""/>
    <s v=""/>
    <s v=""/>
    <s v=""/>
    <s v=""/>
    <s v=""/>
  </r>
  <r>
    <s v="China"/>
    <s v="East Asia and Pacific"/>
    <s v="P070459"/>
    <s v="C2"/>
    <s v="S4"/>
    <s v="P070459C2S4"/>
    <s v="Ratio"/>
    <s v="2002 / 2008"/>
    <x v="2"/>
    <s v=""/>
    <n v="1"/>
    <m/>
    <m/>
    <n v="0.98523119392684622"/>
    <n v="0.98523119392684622"/>
    <s v=""/>
    <n v="0"/>
    <n v="0"/>
    <x v="1"/>
    <n v="0"/>
    <s v=""/>
    <s v=""/>
    <s v=""/>
    <s v=""/>
    <s v=""/>
    <s v=""/>
    <s v=""/>
    <s v=""/>
    <s v=""/>
    <s v=""/>
    <s v=""/>
  </r>
  <r>
    <s v="Cambodia"/>
    <s v="East Asia and Pacific"/>
    <s v="P071207"/>
    <s v="C1"/>
    <s v="S1"/>
    <s v="P071207C1S1"/>
    <s v="Ratio"/>
    <s v="2003 / 2012"/>
    <x v="2"/>
    <s v=""/>
    <n v="0.90825688073394495"/>
    <m/>
    <m/>
    <n v="0.9044943820224719"/>
    <n v="0.99585745091363054"/>
    <s v=""/>
    <n v="0"/>
    <n v="0"/>
    <x v="1"/>
    <n v="0"/>
    <s v=""/>
    <s v=""/>
    <s v=""/>
    <s v=""/>
    <s v=""/>
    <s v=""/>
    <s v=""/>
    <s v=""/>
    <s v=""/>
    <s v=""/>
    <s v=""/>
  </r>
  <r>
    <s v="Cambodia"/>
    <s v="East Asia and Pacific"/>
    <s v="P071207"/>
    <s v="C1"/>
    <s v="S10"/>
    <s v="P071207C1S10"/>
    <s v="Ratio"/>
    <s v="2003 / 2012"/>
    <x v="2"/>
    <s v=""/>
    <n v="0.7407407407407407"/>
    <m/>
    <m/>
    <n v="1.0769230769230769"/>
    <n v="1.453846153846154"/>
    <s v=""/>
    <n v="0"/>
    <n v="0"/>
    <x v="1"/>
    <n v="0"/>
    <s v=""/>
    <s v=""/>
    <s v=""/>
    <s v=""/>
    <s v=""/>
    <s v=""/>
    <s v=""/>
    <s v=""/>
    <s v=""/>
    <s v=""/>
    <s v=""/>
  </r>
  <r>
    <s v="Cambodia"/>
    <s v="East Asia and Pacific"/>
    <s v="P071207"/>
    <s v="C1"/>
    <s v="S2"/>
    <s v="P071207C1S2"/>
    <s v="Ratio"/>
    <s v="2003 / 2012"/>
    <x v="2"/>
    <s v=""/>
    <n v="1.0169491525423728"/>
    <m/>
    <m/>
    <n v="1.4021739130434783"/>
    <n v="1.3788043478260872"/>
    <s v=""/>
    <n v="0"/>
    <n v="0"/>
    <x v="1"/>
    <n v="0"/>
    <s v=""/>
    <s v=""/>
    <s v=""/>
    <s v=""/>
    <s v=""/>
    <s v=""/>
    <s v=""/>
    <s v=""/>
    <s v=""/>
    <s v=""/>
    <s v=""/>
  </r>
  <r>
    <s v="Cambodia"/>
    <s v="East Asia and Pacific"/>
    <s v="P071207"/>
    <s v="C1"/>
    <s v="S3"/>
    <s v="P071207C1S3"/>
    <s v="Ratio"/>
    <s v="2003 / 2012"/>
    <x v="2"/>
    <s v=""/>
    <n v="1.5168539325842696"/>
    <m/>
    <m/>
    <n v="1.6101694915254237"/>
    <n v="1.061519146264909"/>
    <s v="x"/>
    <n v="1"/>
    <n v="0"/>
    <x v="1"/>
    <n v="0"/>
    <s v=""/>
    <s v=""/>
    <s v=""/>
    <s v=""/>
    <s v=""/>
    <n v="1"/>
    <s v=""/>
    <s v=""/>
    <s v=""/>
    <n v="1"/>
    <s v="Change of project scope; Capacity of counterpart; "/>
  </r>
  <r>
    <s v="Cambodia"/>
    <s v="East Asia and Pacific"/>
    <s v="P071207"/>
    <s v="C1"/>
    <s v="S4"/>
    <s v="P071207C1S4"/>
    <s v="Ratio"/>
    <s v="2003 / 2012"/>
    <x v="2"/>
    <s v=""/>
    <n v="0.8351648351648352"/>
    <m/>
    <m/>
    <n v="0.81538461538461537"/>
    <n v="0.97631578947368425"/>
    <s v=""/>
    <n v="0"/>
    <n v="0"/>
    <x v="1"/>
    <n v="0"/>
    <s v=""/>
    <s v=""/>
    <s v=""/>
    <s v=""/>
    <s v=""/>
    <s v=""/>
    <s v=""/>
    <s v=""/>
    <s v=""/>
    <s v=""/>
    <s v=""/>
  </r>
  <r>
    <s v="Cambodia"/>
    <s v="East Asia and Pacific"/>
    <s v="P071207"/>
    <s v="C1"/>
    <s v="S5"/>
    <s v="P071207C1S5"/>
    <s v="Ratio"/>
    <s v="2003 / 2012"/>
    <x v="2"/>
    <s v=""/>
    <n v="1.0130718954248366"/>
    <m/>
    <m/>
    <n v="1.0650406504065042"/>
    <n v="1.051298190401259"/>
    <s v=""/>
    <n v="0"/>
    <n v="0"/>
    <x v="1"/>
    <n v="0"/>
    <s v=""/>
    <s v=""/>
    <s v=""/>
    <s v=""/>
    <s v=""/>
    <s v=""/>
    <s v=""/>
    <s v=""/>
    <s v=""/>
    <s v=""/>
    <s v=""/>
  </r>
  <r>
    <s v="Cambodia"/>
    <s v="East Asia and Pacific"/>
    <s v="P071207"/>
    <s v="C1"/>
    <s v="S6"/>
    <s v="P071207C1S6"/>
    <s v="Ratio"/>
    <s v="2003 / 2012"/>
    <x v="2"/>
    <s v=""/>
    <n v="1.0054347826086958"/>
    <m/>
    <m/>
    <n v="1.36697247706422"/>
    <n v="1.3595834366476565"/>
    <s v=""/>
    <n v="0"/>
    <n v="0"/>
    <x v="1"/>
    <n v="0"/>
    <s v=""/>
    <s v=""/>
    <s v=""/>
    <s v=""/>
    <s v=""/>
    <s v=""/>
    <s v=""/>
    <s v=""/>
    <s v=""/>
    <s v=""/>
    <s v=""/>
  </r>
  <r>
    <s v="Cambodia"/>
    <s v="East Asia and Pacific"/>
    <s v="P071207"/>
    <s v="C1"/>
    <s v="S7"/>
    <s v="P071207C1S7"/>
    <s v="Ratio"/>
    <s v="2003 / 2012"/>
    <x v="2"/>
    <s v=""/>
    <n v="1.6292134831460674"/>
    <m/>
    <m/>
    <n v="1.8965517241379313"/>
    <n v="1.1640903686087996"/>
    <s v="x"/>
    <n v="1"/>
    <n v="0"/>
    <x v="1"/>
    <n v="0"/>
    <s v=""/>
    <s v=""/>
    <s v=""/>
    <s v=""/>
    <s v=""/>
    <n v="1"/>
    <s v=""/>
    <s v=""/>
    <s v=""/>
    <n v="1"/>
    <s v="Change of project scope; Capacity of counterpart; "/>
  </r>
  <r>
    <s v="Cambodia"/>
    <s v="East Asia and Pacific"/>
    <s v="P071207"/>
    <s v="C1"/>
    <s v="S8"/>
    <s v="P071207C1S8"/>
    <s v="Ratio"/>
    <s v="2003 / 2012"/>
    <x v="2"/>
    <s v=""/>
    <n v="0.99212598425196852"/>
    <m/>
    <m/>
    <n v="1.6904761904761905"/>
    <n v="1.7038926681783826"/>
    <s v="x"/>
    <n v="0"/>
    <n v="0"/>
    <x v="0"/>
    <n v="0"/>
    <s v=""/>
    <s v=""/>
    <s v=""/>
    <n v="1"/>
    <s v=""/>
    <s v=""/>
    <s v=""/>
    <s v=""/>
    <s v=""/>
    <n v="1"/>
    <s v="Change of project scope; Procurement system; "/>
  </r>
  <r>
    <s v="Cambodia"/>
    <s v="East Asia and Pacific"/>
    <s v="P071207"/>
    <s v="C1"/>
    <s v="S9"/>
    <s v="P071207C1S9"/>
    <s v="Ratio"/>
    <s v="2003 / 2012"/>
    <x v="0"/>
    <s v=""/>
    <n v="1.0179640718562875"/>
    <m/>
    <m/>
    <n v="1.75"/>
    <n v="1.7191176470588234"/>
    <s v="x"/>
    <n v="0"/>
    <n v="0"/>
    <x v="0"/>
    <n v="0"/>
    <s v=""/>
    <s v=""/>
    <s v=""/>
    <n v="1"/>
    <s v=""/>
    <s v=""/>
    <s v=""/>
    <s v=""/>
    <s v=""/>
    <n v="1"/>
    <s v="Change of project scope; Procurement system; "/>
  </r>
  <r>
    <s v="Zambia"/>
    <s v="Sub-Saharan Africa"/>
    <s v="P071985"/>
    <s v="C1"/>
    <s v="S1"/>
    <s v="P071985C1S1"/>
    <s v="Ratio"/>
    <s v="2004 / 2015"/>
    <x v="6"/>
    <n v="0.89189189189189189"/>
    <n v="1"/>
    <m/>
    <m/>
    <n v="0.85041322314049583"/>
    <n v="0.85041322314049583"/>
    <s v=""/>
    <n v="0"/>
    <n v="0"/>
    <x v="1"/>
    <n v="0"/>
    <s v=""/>
    <s v=""/>
    <s v=""/>
    <s v=""/>
    <s v=""/>
    <s v=""/>
    <s v=""/>
    <s v=""/>
    <s v=""/>
    <s v=""/>
    <s v=""/>
  </r>
  <r>
    <s v="Zambia"/>
    <s v="Sub-Saharan Africa"/>
    <s v="P071985"/>
    <s v="C1"/>
    <s v="S2"/>
    <s v="P071985C1S2"/>
    <s v="Ratio"/>
    <s v="2004 / 2015"/>
    <x v="6"/>
    <n v="1"/>
    <n v="1"/>
    <m/>
    <m/>
    <n v="0.80219780219780223"/>
    <n v="0.80219780219780212"/>
    <s v=""/>
    <n v="0"/>
    <n v="0"/>
    <x v="1"/>
    <n v="0"/>
    <s v=""/>
    <s v=""/>
    <s v=""/>
    <s v=""/>
    <s v=""/>
    <s v=""/>
    <s v=""/>
    <s v=""/>
    <s v=""/>
    <s v=""/>
    <s v=""/>
  </r>
  <r>
    <s v="Zambia"/>
    <s v="Sub-Saharan Africa"/>
    <s v="P071985"/>
    <s v="C1"/>
    <s v="S3"/>
    <s v="P071985C1S3"/>
    <s v="Ratio"/>
    <s v="2004 / 2015"/>
    <x v="6"/>
    <n v="1.173913043478261"/>
    <n v="1"/>
    <m/>
    <m/>
    <n v="0.4588571428571428"/>
    <n v="0.45885714285714285"/>
    <s v="x"/>
    <n v="0"/>
    <n v="0"/>
    <x v="1"/>
    <n v="1"/>
    <s v=""/>
    <s v=""/>
    <s v=""/>
    <s v=""/>
    <s v=""/>
    <s v=""/>
    <s v=""/>
    <s v=""/>
    <n v="1"/>
    <s v=""/>
    <s v="Quality of estimates; ; "/>
  </r>
  <r>
    <s v="Zambia"/>
    <s v="Sub-Saharan Africa"/>
    <s v="P071985"/>
    <s v="C1"/>
    <s v="S4"/>
    <s v="P071985C1S4"/>
    <s v="Ratio"/>
    <s v="2004 / 2015"/>
    <x v="6"/>
    <s v=""/>
    <n v="1"/>
    <m/>
    <m/>
    <n v="0.62209302325581395"/>
    <n v="0.62209302325581384"/>
    <s v=""/>
    <n v="0"/>
    <n v="0"/>
    <x v="1"/>
    <n v="0"/>
    <s v=""/>
    <s v=""/>
    <s v=""/>
    <s v=""/>
    <s v=""/>
    <s v=""/>
    <s v=""/>
    <s v=""/>
    <s v=""/>
    <s v=""/>
    <s v=""/>
  </r>
  <r>
    <s v="India"/>
    <s v="South Asia"/>
    <s v="P072539"/>
    <s v="C1"/>
    <s v=""/>
    <s v="P072539C1"/>
    <s v="Ratio"/>
    <s v="2002 / 2011"/>
    <x v="12"/>
    <s v=""/>
    <n v="0.43868739205526769"/>
    <m/>
    <m/>
    <n v="0.71923415492957754"/>
    <n v="1.6395140775756902"/>
    <s v="x"/>
    <n v="0"/>
    <n v="1"/>
    <x v="0"/>
    <n v="0"/>
    <s v=""/>
    <s v=""/>
    <s v=""/>
    <n v="1"/>
    <s v=""/>
    <n v="1"/>
    <s v=""/>
    <s v=""/>
    <n v="1"/>
    <n v="1"/>
    <s v="Capacity of counterpart (Procurement system); Change of project scope; Quality of estimates"/>
  </r>
  <r>
    <s v="India"/>
    <s v="South Asia"/>
    <s v="P072539"/>
    <s v="C2"/>
    <s v=""/>
    <s v="P072539C2"/>
    <s v="Ratio"/>
    <s v="2002 / 2011"/>
    <x v="6"/>
    <s v=""/>
    <n v="1.1456888007928643"/>
    <m/>
    <m/>
    <n v="2.3926062846580405"/>
    <n v="2.0883561775259198"/>
    <s v="x"/>
    <n v="0"/>
    <n v="0"/>
    <x v="0"/>
    <n v="0"/>
    <s v=""/>
    <s v=""/>
    <s v=""/>
    <n v="1"/>
    <s v=""/>
    <n v="1"/>
    <s v=""/>
    <s v=""/>
    <n v="1"/>
    <s v=""/>
    <s v="Capacity of counterpart (Procurement system); Quality of estimates; "/>
  </r>
  <r>
    <s v="Burkina Faso"/>
    <s v="Sub-Saharan Africa"/>
    <s v="P074030"/>
    <s v="C1"/>
    <s v=""/>
    <s v="P074030C1"/>
    <s v="Ratio"/>
    <s v="2003 / 2014"/>
    <x v="0"/>
    <s v=""/>
    <n v="0.37948136601955507"/>
    <m/>
    <m/>
    <n v="1.0064985300943834"/>
    <n v="2.6523002714249677"/>
    <s v="x"/>
    <n v="0"/>
    <n v="1"/>
    <x v="0"/>
    <n v="0"/>
    <n v="1"/>
    <s v=""/>
    <n v="1"/>
    <s v=""/>
    <s v=""/>
    <s v=""/>
    <s v=""/>
    <s v=""/>
    <s v=""/>
    <n v="1"/>
    <s v="Macroeconomic conditions; Weather shocks ; Change of project scope"/>
  </r>
  <r>
    <s v="Indonesia"/>
    <s v="East Asia and Pacific"/>
    <s v="P074290"/>
    <s v="C1"/>
    <s v=""/>
    <s v="P074290C1"/>
    <s v="Ratio"/>
    <s v="2004 / 2012"/>
    <x v="0"/>
    <n v="1"/>
    <n v="0.49467812259553734"/>
    <m/>
    <m/>
    <n v="1.1620157480314961"/>
    <n v="2.349034038405601"/>
    <s v="x"/>
    <n v="0"/>
    <n v="1"/>
    <x v="0"/>
    <n v="0"/>
    <n v="1"/>
    <s v=""/>
    <s v=""/>
    <s v=""/>
    <s v=""/>
    <n v="1"/>
    <s v=""/>
    <s v=""/>
    <s v=""/>
    <n v="1"/>
    <s v="Macroeconomic conditions; Capacity of counterpart; Change of project scope"/>
  </r>
  <r>
    <s v="Indonesia"/>
    <s v="East Asia and Pacific"/>
    <s v="P074290"/>
    <s v="C1"/>
    <s v="S1"/>
    <s v="P074290C1S1"/>
    <s v="Ratio"/>
    <s v="2004 / 2012"/>
    <x v="6"/>
    <s v=""/>
    <n v="0.38033843674456086"/>
    <m/>
    <m/>
    <n v="0.75980392156862742"/>
    <n v="1.9977048022598864"/>
    <s v="x"/>
    <n v="0"/>
    <n v="1"/>
    <x v="0"/>
    <n v="0"/>
    <s v=""/>
    <s v=""/>
    <s v=""/>
    <s v=""/>
    <s v=""/>
    <n v="1"/>
    <s v=""/>
    <s v=""/>
    <s v=""/>
    <n v="1"/>
    <s v="Capacity of counterpart; Change of project scope; "/>
  </r>
  <r>
    <s v="Indonesia"/>
    <s v="East Asia and Pacific"/>
    <s v="P074290"/>
    <s v="C1"/>
    <s v="S2"/>
    <s v="P074290C1S2"/>
    <s v="Ratio"/>
    <s v="2004 / 2012"/>
    <x v="0"/>
    <s v=""/>
    <n v="4.3481152993348111"/>
    <m/>
    <m/>
    <n v="8.5329192546583847"/>
    <n v="1.9624408892661558"/>
    <s v="x"/>
    <n v="1"/>
    <n v="0"/>
    <x v="0"/>
    <n v="0"/>
    <n v="1"/>
    <s v=""/>
    <s v=""/>
    <s v=""/>
    <s v=""/>
    <s v=""/>
    <s v=""/>
    <s v=""/>
    <s v=""/>
    <n v="1"/>
    <s v="Macroeconomic conditions; Change of project scope; Change of project scope"/>
  </r>
  <r>
    <s v="Indonesia"/>
    <s v="East Asia and Pacific"/>
    <s v="P074290"/>
    <s v="C1"/>
    <s v="S3"/>
    <s v="P074290C1S3"/>
    <s v="Ratio"/>
    <s v="2004 / 2012"/>
    <x v="6"/>
    <s v=""/>
    <n v="0.88698630136986301"/>
    <m/>
    <m/>
    <n v="1.2551210428305402"/>
    <n v="1.4150399401796052"/>
    <s v=""/>
    <n v="0"/>
    <n v="0"/>
    <x v="1"/>
    <n v="0"/>
    <s v=""/>
    <s v=""/>
    <s v=""/>
    <s v=""/>
    <s v=""/>
    <s v=""/>
    <s v=""/>
    <s v=""/>
    <s v=""/>
    <s v=""/>
    <s v=""/>
  </r>
  <r>
    <s v="Indonesia"/>
    <s v="East Asia and Pacific"/>
    <s v="P074290"/>
    <s v="C1"/>
    <s v="S4"/>
    <s v="P074290C1S4"/>
    <s v="Ratio"/>
    <s v="2004 / 2012"/>
    <x v="0"/>
    <s v=""/>
    <n v="0.38235294117647056"/>
    <m/>
    <m/>
    <n v="0.86565096952908593"/>
    <n v="2.2640102279991479"/>
    <s v="x"/>
    <n v="0"/>
    <n v="1"/>
    <x v="0"/>
    <n v="0"/>
    <n v="1"/>
    <s v=""/>
    <s v=""/>
    <s v=""/>
    <s v=""/>
    <n v="1"/>
    <s v=""/>
    <s v=""/>
    <s v=""/>
    <n v="1"/>
    <s v="Macroeconomic conditions; Capacity of counterpart; Change of project scope"/>
  </r>
  <r>
    <s v="Indonesia"/>
    <s v="East Asia and Pacific"/>
    <s v="P074290"/>
    <s v="C1"/>
    <s v="S5"/>
    <s v="P074290C1S5"/>
    <s v="Ratio"/>
    <s v="2004 / 2012"/>
    <x v="6"/>
    <s v=""/>
    <n v="0.32367927058192547"/>
    <m/>
    <m/>
    <n v="0.47022268254790267"/>
    <n v="1.4527426538700323"/>
    <s v="x"/>
    <n v="0"/>
    <n v="1"/>
    <x v="1"/>
    <n v="0"/>
    <n v="1"/>
    <s v=""/>
    <s v=""/>
    <s v=""/>
    <s v=""/>
    <n v="1"/>
    <s v=""/>
    <s v=""/>
    <s v=""/>
    <n v="1"/>
    <s v="Macroeconomic conditions; Capacity of counterpart; Change of project scope"/>
  </r>
  <r>
    <s v="Indonesia"/>
    <s v="East Asia and Pacific"/>
    <s v="P074290"/>
    <s v="C1"/>
    <s v="S6"/>
    <s v="P074290C1S6"/>
    <s v="Ratio"/>
    <s v="2004 / 2012"/>
    <x v="0"/>
    <s v=""/>
    <n v="0.40903903218443272"/>
    <m/>
    <m/>
    <n v="0.76982405398891296"/>
    <n v="1.8820307927039222"/>
    <s v="x"/>
    <n v="0"/>
    <n v="1"/>
    <x v="0"/>
    <n v="0"/>
    <n v="1"/>
    <s v=""/>
    <s v=""/>
    <s v=""/>
    <s v=""/>
    <n v="1"/>
    <s v=""/>
    <s v=""/>
    <s v=""/>
    <n v="1"/>
    <s v="Macroeconomic conditions; Capacity of counterpart; Change of project scope"/>
  </r>
  <r>
    <s v="Indonesia"/>
    <s v="East Asia and Pacific"/>
    <s v="P074290"/>
    <s v="C1"/>
    <s v="S7"/>
    <s v="P074290C1S7"/>
    <s v="Ratio"/>
    <s v="2004 / 2012"/>
    <x v="6"/>
    <s v=""/>
    <n v="0.26055063351433744"/>
    <m/>
    <m/>
    <n v="0.56571654790182102"/>
    <n v="2.1712345898813221"/>
    <s v="x"/>
    <n v="0"/>
    <n v="1"/>
    <x v="0"/>
    <n v="0"/>
    <n v="1"/>
    <s v=""/>
    <s v=""/>
    <s v=""/>
    <s v=""/>
    <n v="1"/>
    <s v=""/>
    <s v=""/>
    <s v=""/>
    <n v="1"/>
    <s v="Macroeconomic conditions; Capacity of counterpart; Change of project scope"/>
  </r>
  <r>
    <s v="Indonesia"/>
    <s v="East Asia and Pacific"/>
    <s v="P074290"/>
    <s v="C1"/>
    <s v="S8"/>
    <s v="P074290C1S8"/>
    <s v="Ratio"/>
    <s v="2004 / 2012"/>
    <x v="0"/>
    <s v=""/>
    <n v="0.49090714591356438"/>
    <m/>
    <m/>
    <n v="0.94053315105946689"/>
    <n v="1.9159084541520803"/>
    <s v="x"/>
    <n v="0"/>
    <n v="1"/>
    <x v="0"/>
    <n v="0"/>
    <n v="1"/>
    <s v=""/>
    <s v=""/>
    <s v=""/>
    <s v=""/>
    <n v="1"/>
    <s v=""/>
    <s v=""/>
    <s v=""/>
    <n v="1"/>
    <s v="Macroeconomic conditions; Capacity of counterpart; Change of project scope"/>
  </r>
  <r>
    <s v="Nigeria"/>
    <s v="Sub-Saharan Africa"/>
    <s v="P074963"/>
    <s v="C1"/>
    <s v=""/>
    <s v="P074963C1"/>
    <s v="Ratio"/>
    <s v="2002 / 2011"/>
    <x v="1"/>
    <s v=""/>
    <n v="1.0466666666666666"/>
    <m/>
    <m/>
    <n v="1.6121827411167513"/>
    <n v="1.5403019819586798"/>
    <s v="x"/>
    <n v="0"/>
    <n v="0"/>
    <x v="0"/>
    <n v="0"/>
    <n v="1"/>
    <s v=""/>
    <s v=""/>
    <s v=""/>
    <s v=""/>
    <s v=""/>
    <s v=""/>
    <s v=""/>
    <s v=""/>
    <s v=""/>
    <s v="Macroeconomic conditions; ; "/>
  </r>
  <r>
    <s v="Nigeria"/>
    <s v="Sub-Saharan Africa"/>
    <s v="P074963"/>
    <s v="C1"/>
    <s v="S1"/>
    <s v="P074963C1S1"/>
    <s v="Ratio"/>
    <s v="2002 / 2011"/>
    <x v="6"/>
    <s v=""/>
    <n v="1"/>
    <m/>
    <m/>
    <n v="1.0322864045684164"/>
    <n v="1.0322864045684164"/>
    <s v=""/>
    <n v="0"/>
    <n v="0"/>
    <x v="1"/>
    <n v="0"/>
    <s v=""/>
    <s v=""/>
    <s v=""/>
    <s v=""/>
    <s v=""/>
    <s v=""/>
    <s v=""/>
    <s v=""/>
    <s v=""/>
    <s v=""/>
    <s v=""/>
  </r>
  <r>
    <s v="Nigeria"/>
    <s v="Sub-Saharan Africa"/>
    <s v="P074963"/>
    <s v="C1"/>
    <s v="S2"/>
    <s v="P074963C1S2"/>
    <s v="Ratio"/>
    <s v="2002 / 2011"/>
    <x v="6"/>
    <s v=""/>
    <n v="1.3311827956989246"/>
    <m/>
    <m/>
    <n v="1.2843837990036819"/>
    <n v="0.96484404933232981"/>
    <s v=""/>
    <n v="0"/>
    <n v="0"/>
    <x v="1"/>
    <n v="0"/>
    <s v=""/>
    <s v=""/>
    <s v=""/>
    <s v=""/>
    <s v=""/>
    <s v=""/>
    <s v=""/>
    <s v=""/>
    <s v=""/>
    <s v=""/>
    <s v=""/>
  </r>
  <r>
    <s v="Yugoslavia, FR (Serbia/Montenegro)"/>
    <s v="Europe and Central Asia"/>
    <s v="P075207"/>
    <s v="C1"/>
    <s v="S1"/>
    <s v="P075207C1S1"/>
    <s v="Ratio"/>
    <s v="2004 / 2013"/>
    <x v="0"/>
    <s v=""/>
    <n v="1"/>
    <m/>
    <m/>
    <n v="1.8954545454545453"/>
    <n v="1.8954545454545453"/>
    <s v="x"/>
    <n v="0"/>
    <n v="0"/>
    <x v="0"/>
    <n v="0"/>
    <s v=""/>
    <s v=""/>
    <s v=""/>
    <s v=""/>
    <s v=""/>
    <n v="1"/>
    <s v=""/>
    <s v=""/>
    <n v="1"/>
    <s v=""/>
    <s v="Quality of estimates; Capacity of counterpart; "/>
  </r>
  <r>
    <s v="Yugoslavia, FR (Serbia/Montenegro)"/>
    <s v="Europe and Central Asia"/>
    <s v="P075207"/>
    <s v="C1"/>
    <s v="S2"/>
    <s v="P075207C1S2"/>
    <s v="Ratio"/>
    <s v="2004 / 2013"/>
    <x v="0"/>
    <s v=""/>
    <n v="1"/>
    <m/>
    <m/>
    <n v="1.8052631578947369"/>
    <n v="1.8052631578947369"/>
    <s v="x"/>
    <n v="0"/>
    <n v="0"/>
    <x v="0"/>
    <n v="0"/>
    <s v=""/>
    <s v=""/>
    <s v=""/>
    <s v=""/>
    <s v=""/>
    <n v="1"/>
    <s v=""/>
    <s v=""/>
    <n v="1"/>
    <s v=""/>
    <s v="Quality of estimates; Capacity of counterpart; "/>
  </r>
  <r>
    <s v="Yugoslavia, FR (Serbia/Montenegro)"/>
    <s v="Europe and Central Asia"/>
    <s v="P075207"/>
    <s v="C1"/>
    <s v="S3"/>
    <s v="P075207C1S3"/>
    <s v="Ratio"/>
    <s v="2004 / 2013"/>
    <x v="0"/>
    <s v=""/>
    <n v="1"/>
    <m/>
    <m/>
    <n v="1.4307692307692308"/>
    <n v="1.4307692307692308"/>
    <s v=""/>
    <n v="0"/>
    <n v="0"/>
    <x v="1"/>
    <n v="0"/>
    <s v=""/>
    <s v=""/>
    <s v=""/>
    <s v=""/>
    <s v=""/>
    <s v=""/>
    <s v=""/>
    <s v=""/>
    <s v=""/>
    <s v=""/>
    <s v=""/>
  </r>
  <r>
    <s v="Yugoslavia, FR (Serbia/Montenegro)"/>
    <s v="Europe and Central Asia"/>
    <s v="P075207"/>
    <s v="C1"/>
    <s v="S4"/>
    <s v="P075207C1S4"/>
    <s v="Ratio"/>
    <s v="2004 / 2013"/>
    <x v="0"/>
    <s v=""/>
    <n v="1"/>
    <m/>
    <m/>
    <n v="0.75"/>
    <n v="0.75000000000000011"/>
    <s v=""/>
    <n v="0"/>
    <n v="0"/>
    <x v="1"/>
    <n v="0"/>
    <s v=""/>
    <s v=""/>
    <s v=""/>
    <s v=""/>
    <s v=""/>
    <s v=""/>
    <s v=""/>
    <s v=""/>
    <s v=""/>
    <s v=""/>
    <s v=""/>
  </r>
  <r>
    <s v="Samoa"/>
    <s v="East Asia and Pacific"/>
    <s v="P075523"/>
    <s v="C1"/>
    <s v="S1"/>
    <s v="P075523C1S1"/>
    <s v="Ratio"/>
    <s v="2003 / 2014"/>
    <x v="8"/>
    <n v="1.2666666666666666"/>
    <n v="0.9375"/>
    <m/>
    <m/>
    <n v="3.6357142857142857"/>
    <n v="3.8780952380952383"/>
    <s v="x"/>
    <n v="0"/>
    <n v="0"/>
    <x v="0"/>
    <n v="0"/>
    <s v=""/>
    <s v=""/>
    <n v="1"/>
    <s v=""/>
    <s v=""/>
    <n v="1"/>
    <s v=""/>
    <s v=""/>
    <n v="1"/>
    <s v=""/>
    <s v="Capacity of counterpart; Weather shocks; Quality of estimates"/>
  </r>
  <r>
    <s v="Samoa"/>
    <s v="East Asia and Pacific"/>
    <s v="P075523"/>
    <s v="C1"/>
    <s v="S2"/>
    <s v="P075523C1S2"/>
    <s v="Ratio"/>
    <s v="2003 / 2014"/>
    <x v="4"/>
    <n v="1"/>
    <n v="1"/>
    <m/>
    <m/>
    <n v="4.407258064516129"/>
    <n v="4.407258064516129"/>
    <s v="x"/>
    <n v="0"/>
    <n v="0"/>
    <x v="0"/>
    <n v="0"/>
    <s v=""/>
    <s v=""/>
    <n v="1"/>
    <s v=""/>
    <s v=""/>
    <n v="1"/>
    <s v=""/>
    <s v=""/>
    <n v="1"/>
    <s v=""/>
    <s v="Capacity of counterpart; Weather shocks; Quality of estimates"/>
  </r>
  <r>
    <s v="Samoa"/>
    <s v="East Asia and Pacific"/>
    <s v="P075523"/>
    <s v="C1"/>
    <s v="S3"/>
    <s v="P075523C1S3"/>
    <s v="Ratio"/>
    <s v="2003 / 2014"/>
    <x v="2"/>
    <n v="0.33333333333333331"/>
    <n v="1.0076923076923077"/>
    <m/>
    <m/>
    <n v="3.8666666666666667"/>
    <n v="3.8371501272264625"/>
    <s v="x"/>
    <n v="0"/>
    <n v="0"/>
    <x v="0"/>
    <n v="0"/>
    <s v=""/>
    <s v=""/>
    <n v="1"/>
    <s v=""/>
    <s v=""/>
    <n v="1"/>
    <s v=""/>
    <s v=""/>
    <n v="1"/>
    <s v=""/>
    <s v="Capacity of counterpart; Weather shocks; Quality of estimates"/>
  </r>
  <r>
    <s v="China"/>
    <s v="East Asia and Pacific"/>
    <s v="P075613"/>
    <s v="C1"/>
    <s v=""/>
    <s v="P075613C1"/>
    <s v="Ratio"/>
    <s v="2007 / 2013"/>
    <x v="5"/>
    <s v=""/>
    <n v="1"/>
    <m/>
    <m/>
    <n v="1.9539947259639372"/>
    <n v="1.9539947259639372"/>
    <s v="x"/>
    <n v="0"/>
    <n v="0"/>
    <x v="0"/>
    <n v="0"/>
    <n v="1"/>
    <s v=""/>
    <s v=""/>
    <s v=""/>
    <s v=""/>
    <s v=""/>
    <s v=""/>
    <s v=""/>
    <s v=""/>
    <s v=""/>
    <s v="Macroeconomic conditions; ; "/>
  </r>
  <r>
    <s v="China"/>
    <s v="East Asia and Pacific"/>
    <s v="P075613"/>
    <s v="C2"/>
    <s v=""/>
    <s v="P075613C2"/>
    <s v="Ratio"/>
    <s v="2007 / 2013"/>
    <x v="2"/>
    <s v=""/>
    <n v="1"/>
    <m/>
    <m/>
    <n v="1.6431596781024991"/>
    <n v="1.6431596781024993"/>
    <s v="x"/>
    <n v="0"/>
    <n v="0"/>
    <x v="0"/>
    <n v="0"/>
    <n v="1"/>
    <s v=""/>
    <s v=""/>
    <s v=""/>
    <s v=""/>
    <s v=""/>
    <s v=""/>
    <s v=""/>
    <s v=""/>
    <s v=""/>
    <s v="Macroeconomic conditions; ; "/>
  </r>
  <r>
    <s v="India"/>
    <s v="South Asia"/>
    <s v="P077977"/>
    <s v="C1"/>
    <s v="S1"/>
    <s v="P077977C1S1"/>
    <s v="Ratio"/>
    <s v="2004 / 2012"/>
    <x v="2"/>
    <n v="2"/>
    <n v="1.4642857142857142"/>
    <m/>
    <m/>
    <n v="1.5618004205569556"/>
    <n v="1.0665954091608476"/>
    <s v=""/>
    <n v="0"/>
    <n v="0"/>
    <x v="1"/>
    <n v="0"/>
    <s v=""/>
    <s v=""/>
    <s v=""/>
    <s v=""/>
    <s v=""/>
    <s v=""/>
    <s v=""/>
    <s v=""/>
    <s v=""/>
    <n v="1"/>
    <s v="Change of project scope; ; "/>
  </r>
  <r>
    <s v="India"/>
    <s v="South Asia"/>
    <s v="P077977"/>
    <s v="C1"/>
    <s v="S2"/>
    <s v="P077977C1S2"/>
    <s v="Ratio"/>
    <s v="2004 / 2012"/>
    <x v="2"/>
    <n v="1.5"/>
    <n v="0.96923076923076923"/>
    <m/>
    <m/>
    <n v="0.85712729826807488"/>
    <n v="0.88433768868928364"/>
    <s v=""/>
    <n v="0"/>
    <n v="0"/>
    <x v="1"/>
    <n v="0"/>
    <s v=""/>
    <s v=""/>
    <s v=""/>
    <s v=""/>
    <s v=""/>
    <s v=""/>
    <s v=""/>
    <s v=""/>
    <s v=""/>
    <s v=""/>
    <s v=""/>
  </r>
  <r>
    <s v="India"/>
    <s v="South Asia"/>
    <s v="P077977"/>
    <s v="C1"/>
    <s v="S3"/>
    <s v="P077977C1S3"/>
    <s v="Ratio"/>
    <s v="2004 / 2012"/>
    <x v="2"/>
    <n v="1.5"/>
    <n v="2.7550394390885189"/>
    <m/>
    <m/>
    <n v="2.3828938269413533"/>
    <n v="0.86492185670115607"/>
    <s v="x"/>
    <n v="1"/>
    <n v="0"/>
    <x v="1"/>
    <n v="0"/>
    <s v=""/>
    <s v=""/>
    <s v=""/>
    <s v=""/>
    <s v=""/>
    <s v=""/>
    <s v=""/>
    <s v=""/>
    <s v=""/>
    <n v="1"/>
    <s v="Change of project scope; ; "/>
  </r>
  <r>
    <s v="India"/>
    <s v="South Asia"/>
    <s v="P077977"/>
    <s v="C1"/>
    <s v="S4"/>
    <s v="P077977C1S4"/>
    <s v="Ratio"/>
    <s v="2004 / 2012"/>
    <x v="2"/>
    <n v="1.5"/>
    <n v="1.5197135061391542"/>
    <m/>
    <m/>
    <n v="1.6639535289921741"/>
    <n v="1.0949126412776726"/>
    <s v="x"/>
    <n v="1"/>
    <n v="0"/>
    <x v="1"/>
    <n v="0"/>
    <s v=""/>
    <s v=""/>
    <s v=""/>
    <s v=""/>
    <s v=""/>
    <s v=""/>
    <s v=""/>
    <s v=""/>
    <s v=""/>
    <n v="1"/>
    <s v="Change of project scope; ; "/>
  </r>
  <r>
    <s v="Poland"/>
    <s v="Europe and Central Asia"/>
    <s v="P078170"/>
    <s v="C2"/>
    <s v=""/>
    <s v="P078170C2"/>
    <s v="Ratio"/>
    <s v="2004 / 2009"/>
    <x v="16"/>
    <s v=""/>
    <n v="1"/>
    <m/>
    <m/>
    <n v="0.84047919293820939"/>
    <n v="0.84047919293820939"/>
    <s v=""/>
    <n v="0"/>
    <n v="0"/>
    <x v="1"/>
    <n v="0"/>
    <s v=""/>
    <s v=""/>
    <s v=""/>
    <s v=""/>
    <s v=""/>
    <s v=""/>
    <s v=""/>
    <s v=""/>
    <s v=""/>
    <s v=""/>
    <s v=""/>
  </r>
  <r>
    <s v="Afghanistan"/>
    <s v="South Asia"/>
    <s v="P078284"/>
    <s v="C1"/>
    <s v=""/>
    <s v="P078284C1"/>
    <s v="Ratio"/>
    <s v="2003 / 2008"/>
    <x v="1"/>
    <s v=""/>
    <n v="0.9948096885813148"/>
    <m/>
    <m/>
    <n v="1.4092989985693849"/>
    <n v="1.4166518629097469"/>
    <s v=""/>
    <n v="0"/>
    <n v="0"/>
    <x v="1"/>
    <n v="0"/>
    <s v=""/>
    <s v=""/>
    <s v=""/>
    <s v=""/>
    <s v=""/>
    <s v=""/>
    <s v=""/>
    <s v=""/>
    <s v=""/>
    <s v=""/>
    <s v=""/>
  </r>
  <r>
    <s v="Afghanistan"/>
    <s v="South Asia"/>
    <s v="P078284"/>
    <s v="C1"/>
    <s v="S1"/>
    <s v="P078284C1S1"/>
    <s v="Ratio"/>
    <s v="2003 / 2008"/>
    <x v="1"/>
    <n v="5"/>
    <n v="1"/>
    <m/>
    <m/>
    <n v="1.4997772828507796"/>
    <n v="1.4997772828507796"/>
    <s v=""/>
    <n v="0"/>
    <n v="0"/>
    <x v="1"/>
    <n v="0"/>
    <s v=""/>
    <s v=""/>
    <s v=""/>
    <s v=""/>
    <s v=""/>
    <s v=""/>
    <s v=""/>
    <s v=""/>
    <s v=""/>
    <s v=""/>
    <s v=""/>
  </r>
  <r>
    <s v="Afghanistan"/>
    <s v="South Asia"/>
    <s v="P078284"/>
    <s v="C1"/>
    <s v="S2"/>
    <s v="P078284C1S2"/>
    <s v="Ratio"/>
    <s v="2003 / 2008"/>
    <x v="1"/>
    <n v="1.5714285714285714"/>
    <n v="0.98952270081490101"/>
    <m/>
    <m/>
    <n v="1.2468000000000001"/>
    <n v="1.260001411764706"/>
    <s v=""/>
    <n v="0"/>
    <n v="0"/>
    <x v="1"/>
    <n v="0"/>
    <s v=""/>
    <s v=""/>
    <s v=""/>
    <s v=""/>
    <s v=""/>
    <s v=""/>
    <s v=""/>
    <s v=""/>
    <s v=""/>
    <s v=""/>
    <s v=""/>
  </r>
  <r>
    <s v="Afghanistan"/>
    <s v="South Asia"/>
    <s v="P078284"/>
    <s v="C2"/>
    <s v=""/>
    <s v="P078284C2"/>
    <s v="Ratio"/>
    <s v="2003 / 2008"/>
    <x v="2"/>
    <s v=""/>
    <n v="0.24399999999999999"/>
    <m/>
    <m/>
    <n v="0.73185378590078343"/>
    <n v="2.9994007618884568"/>
    <s v="x"/>
    <n v="0"/>
    <n v="1"/>
    <x v="0"/>
    <n v="0"/>
    <s v=""/>
    <n v="1"/>
    <s v=""/>
    <s v=""/>
    <s v=""/>
    <s v=""/>
    <s v=""/>
    <n v="1"/>
    <s v=""/>
    <n v="1"/>
    <s v="Political events; Competition; Change of project scope"/>
  </r>
  <r>
    <s v="Tanzania"/>
    <s v="Sub-Saharan Africa"/>
    <s v="P078387"/>
    <s v="C1"/>
    <s v="S1"/>
    <s v="P078387C1S1"/>
    <s v="Ratio"/>
    <s v="2004 / 2010"/>
    <x v="2"/>
    <s v=""/>
    <n v="1.0490909090909091"/>
    <m/>
    <m/>
    <n v="0.9870805670195586"/>
    <n v="0.94089135504463983"/>
    <s v=""/>
    <n v="0"/>
    <n v="0"/>
    <x v="1"/>
    <n v="0"/>
    <s v=""/>
    <s v=""/>
    <s v=""/>
    <s v=""/>
    <s v=""/>
    <s v=""/>
    <s v=""/>
    <s v=""/>
    <s v=""/>
    <s v=""/>
    <s v=""/>
  </r>
  <r>
    <s v="Tanzania"/>
    <s v="Sub-Saharan Africa"/>
    <s v="P078387"/>
    <s v="C1"/>
    <s v="S2"/>
    <s v="P078387C1S2"/>
    <s v="Ratio"/>
    <s v="2004 / 2010"/>
    <x v="2"/>
    <n v="2"/>
    <n v="0.98245614035087714"/>
    <m/>
    <m/>
    <n v="1.1384615384615384"/>
    <n v="1.1587912087912089"/>
    <s v=""/>
    <n v="0"/>
    <n v="0"/>
    <x v="1"/>
    <n v="0"/>
    <s v=""/>
    <s v=""/>
    <s v=""/>
    <s v=""/>
    <s v=""/>
    <s v=""/>
    <s v=""/>
    <s v=""/>
    <s v=""/>
    <s v=""/>
    <s v=""/>
  </r>
  <r>
    <s v="Peru"/>
    <s v="Latin America and Caribbean"/>
    <s v="P078813"/>
    <s v="C1"/>
    <s v=""/>
    <s v="P078813C1"/>
    <s v="Ratio"/>
    <s v="2005 / 2014"/>
    <x v="0"/>
    <s v=""/>
    <n v="1.0414285714285714"/>
    <m/>
    <m/>
    <n v="1.0190867185249208"/>
    <n v="0.97854691765081558"/>
    <s v=""/>
    <n v="0"/>
    <n v="0"/>
    <x v="1"/>
    <n v="0"/>
    <s v=""/>
    <s v=""/>
    <s v=""/>
    <s v=""/>
    <s v=""/>
    <s v=""/>
    <s v=""/>
    <s v=""/>
    <s v=""/>
    <s v=""/>
    <s v=""/>
  </r>
  <r>
    <s v="Peru"/>
    <s v="Latin America and Caribbean"/>
    <s v="P078813"/>
    <s v="C1"/>
    <s v="S1"/>
    <s v="P078813C1S1"/>
    <s v="Ratio"/>
    <s v="2005 / 2014"/>
    <x v="0"/>
    <s v=""/>
    <n v="0.71"/>
    <m/>
    <m/>
    <n v="0.93054545454545456"/>
    <n v="1.3106274007682457"/>
    <s v=""/>
    <n v="0"/>
    <n v="0"/>
    <x v="1"/>
    <n v="0"/>
    <s v=""/>
    <s v=""/>
    <s v=""/>
    <s v=""/>
    <s v=""/>
    <s v=""/>
    <s v=""/>
    <s v=""/>
    <s v=""/>
    <s v=""/>
    <s v=""/>
  </r>
  <r>
    <s v="Peru"/>
    <s v="Latin America and Caribbean"/>
    <s v="P078813"/>
    <s v="C1"/>
    <s v="S2"/>
    <s v="P078813C1S2"/>
    <s v="Ratio"/>
    <s v="2005 / 2014"/>
    <x v="10"/>
    <s v=""/>
    <n v="1.3114814814814815"/>
    <m/>
    <m/>
    <n v="1.4928609201480698"/>
    <n v="1.138301181700025"/>
    <s v=""/>
    <n v="0"/>
    <n v="0"/>
    <x v="1"/>
    <n v="0"/>
    <s v=""/>
    <s v=""/>
    <s v=""/>
    <s v=""/>
    <s v=""/>
    <s v=""/>
    <s v=""/>
    <s v=""/>
    <s v=""/>
    <s v=""/>
    <s v=""/>
  </r>
  <r>
    <s v="Mali"/>
    <s v="Sub-Saharan Africa"/>
    <s v="P079351"/>
    <s v="C1"/>
    <s v=""/>
    <s v="P079351C1"/>
    <s v="Ratio"/>
    <s v="2004 / 2010"/>
    <x v="6"/>
    <n v="1.2"/>
    <n v="0.42375886524822692"/>
    <m/>
    <m/>
    <n v="0.98830049261083752"/>
    <n v="2.3322237566213904"/>
    <s v="x"/>
    <n v="0"/>
    <n v="1"/>
    <x v="0"/>
    <n v="0"/>
    <s v=""/>
    <s v=""/>
    <s v=""/>
    <n v="1"/>
    <s v=""/>
    <n v="1"/>
    <s v=""/>
    <s v=""/>
    <s v=""/>
    <s v=""/>
    <s v="Capacity of counterpart; Procurement system; "/>
  </r>
  <r>
    <s v="Indonesia"/>
    <s v="East Asia and Pacific"/>
    <s v="P079906"/>
    <s v="C1"/>
    <s v=""/>
    <s v="P079906C1"/>
    <s v="Ratio"/>
    <s v="2006 / 2014"/>
    <x v="0"/>
    <s v=""/>
    <n v="0.56889165628891658"/>
    <m/>
    <m/>
    <n v="0.79664250286150318"/>
    <n v="1.4003413375022702"/>
    <s v=""/>
    <n v="0"/>
    <n v="0"/>
    <x v="1"/>
    <n v="0"/>
    <s v=""/>
    <s v=""/>
    <s v=""/>
    <s v=""/>
    <s v=""/>
    <s v=""/>
    <s v=""/>
    <s v=""/>
    <s v=""/>
    <s v=""/>
    <s v=""/>
  </r>
  <r>
    <s v="Indonesia"/>
    <s v="East Asia and Pacific"/>
    <s v="P079906"/>
    <s v="C1"/>
    <s v="S1"/>
    <s v="P079906C1S1"/>
    <s v="Ratio"/>
    <s v="2006 / 2014"/>
    <x v="1"/>
    <s v=""/>
    <n v="0.7503526093088857"/>
    <m/>
    <m/>
    <n v="0.84154460719041291"/>
    <n v="1.1215321926654187"/>
    <s v=""/>
    <n v="0"/>
    <n v="0"/>
    <x v="1"/>
    <n v="0"/>
    <s v=""/>
    <s v=""/>
    <s v=""/>
    <s v=""/>
    <s v=""/>
    <s v=""/>
    <s v=""/>
    <s v=""/>
    <s v=""/>
    <s v=""/>
    <s v=""/>
  </r>
  <r>
    <s v="Indonesia"/>
    <s v="East Asia and Pacific"/>
    <s v="P079906"/>
    <s v="C1"/>
    <s v="S2"/>
    <s v="P079906C1S2"/>
    <s v="Ratio"/>
    <s v="2006 / 2014"/>
    <x v="4"/>
    <s v=""/>
    <n v="0.82731707317073166"/>
    <m/>
    <m/>
    <n v="0.94984954864593785"/>
    <n v="1.148108239813781"/>
    <s v=""/>
    <n v="0"/>
    <n v="0"/>
    <x v="1"/>
    <n v="0"/>
    <s v=""/>
    <s v=""/>
    <s v=""/>
    <s v=""/>
    <s v=""/>
    <s v=""/>
    <s v=""/>
    <s v=""/>
    <s v=""/>
    <s v=""/>
    <s v=""/>
  </r>
  <r>
    <s v="Indonesia"/>
    <s v="East Asia and Pacific"/>
    <s v="P079906"/>
    <s v="C1"/>
    <s v="S3"/>
    <s v="P079906C1S3"/>
    <s v="Ratio"/>
    <s v="2006 / 2014"/>
    <x v="14"/>
    <s v=""/>
    <n v="0.79273504273504281"/>
    <m/>
    <m/>
    <n v="0.81562320505456642"/>
    <n v="1.0288723988289408"/>
    <s v=""/>
    <n v="0"/>
    <n v="0"/>
    <x v="1"/>
    <n v="0"/>
    <s v=""/>
    <s v=""/>
    <s v=""/>
    <s v=""/>
    <s v=""/>
    <s v=""/>
    <s v=""/>
    <s v=""/>
    <s v=""/>
    <s v=""/>
    <s v=""/>
  </r>
  <r>
    <s v="Jordan"/>
    <s v="Middle East and North Africa"/>
    <s v="P081505"/>
    <s v="C1"/>
    <s v="S1"/>
    <s v="P081505C1S1"/>
    <s v="Ratio"/>
    <s v="2004 / 2013"/>
    <x v="5"/>
    <s v=""/>
    <n v="1"/>
    <m/>
    <m/>
    <n v="2.6628440366972477"/>
    <n v="2.6628440366972477"/>
    <s v="x"/>
    <n v="0"/>
    <n v="0"/>
    <x v="0"/>
    <n v="0"/>
    <s v=""/>
    <n v="1"/>
    <s v=""/>
    <s v=""/>
    <s v=""/>
    <s v=""/>
    <s v=""/>
    <n v="1"/>
    <n v="1"/>
    <s v=""/>
    <s v="Political events; Competition; Quality of estimates"/>
  </r>
  <r>
    <s v="Jordan"/>
    <s v="Middle East and North Africa"/>
    <s v="P081505"/>
    <s v="C1"/>
    <s v="S2"/>
    <s v="P081505C1S2"/>
    <s v="Ratio"/>
    <s v="2004 / 2013"/>
    <x v="5"/>
    <s v=""/>
    <n v="1"/>
    <m/>
    <m/>
    <n v="2.2540983606557381"/>
    <n v="2.2540983606557381"/>
    <s v="x"/>
    <n v="0"/>
    <n v="0"/>
    <x v="0"/>
    <n v="0"/>
    <s v=""/>
    <n v="1"/>
    <s v=""/>
    <s v=""/>
    <s v=""/>
    <s v=""/>
    <s v=""/>
    <s v=""/>
    <n v="1"/>
    <s v=""/>
    <s v="Political events; Quality of estimates; "/>
  </r>
  <r>
    <s v="Jordan"/>
    <s v="Middle East and North Africa"/>
    <s v="P081505"/>
    <s v="C1"/>
    <s v="S3"/>
    <s v="P081505C1S3"/>
    <s v="Ratio"/>
    <s v="2004 / 2013"/>
    <x v="5"/>
    <s v=""/>
    <n v="1"/>
    <m/>
    <m/>
    <n v="2.9766803840877913"/>
    <n v="2.9766803840877918"/>
    <s v="x"/>
    <n v="0"/>
    <n v="0"/>
    <x v="0"/>
    <n v="0"/>
    <s v=""/>
    <n v="1"/>
    <s v=""/>
    <s v=""/>
    <s v=""/>
    <s v=""/>
    <s v=""/>
    <s v=""/>
    <n v="1"/>
    <s v=""/>
    <s v="Political events; Quality of estimates; "/>
  </r>
  <r>
    <s v="Paraguay"/>
    <s v="Latin America and Caribbean"/>
    <s v="P082026"/>
    <s v="C1"/>
    <s v=""/>
    <s v="P082026C1"/>
    <s v="Ratio"/>
    <s v="2006 / 2016"/>
    <x v="1"/>
    <s v=""/>
    <n v="0.64359504132231404"/>
    <m/>
    <m/>
    <n v="1.6909090909090907"/>
    <n v="2.6272873194221504"/>
    <s v="x"/>
    <n v="0"/>
    <n v="0"/>
    <x v="0"/>
    <n v="0"/>
    <s v=""/>
    <s v=""/>
    <s v=""/>
    <s v=""/>
    <s v=""/>
    <s v=""/>
    <s v=""/>
    <s v=""/>
    <n v="1"/>
    <s v=""/>
    <s v="Quality of estimates; ; "/>
  </r>
  <r>
    <s v="Paraguay"/>
    <s v="Latin America and Caribbean"/>
    <s v="P082026"/>
    <s v="C1"/>
    <s v="S1"/>
    <s v="P082026C1S1"/>
    <s v="Ratio"/>
    <s v="2006 / 2016"/>
    <x v="1"/>
    <n v="1"/>
    <n v="1"/>
    <m/>
    <m/>
    <n v="1.1891304347826088"/>
    <n v="1.1891304347826086"/>
    <s v=""/>
    <n v="0"/>
    <n v="0"/>
    <x v="1"/>
    <n v="0"/>
    <s v=""/>
    <s v=""/>
    <s v=""/>
    <s v=""/>
    <s v=""/>
    <s v=""/>
    <s v=""/>
    <s v=""/>
    <s v=""/>
    <s v=""/>
    <s v=""/>
  </r>
  <r>
    <s v="Paraguay"/>
    <s v="Latin America and Caribbean"/>
    <s v="P082026"/>
    <s v="C1"/>
    <s v="S2"/>
    <s v="P082026C1S2"/>
    <s v="Ratio"/>
    <s v="2006 / 2016"/>
    <x v="1"/>
    <n v="1"/>
    <n v="1"/>
    <m/>
    <m/>
    <n v="1.744660194174757"/>
    <n v="1.744660194174757"/>
    <s v="x"/>
    <n v="0"/>
    <n v="0"/>
    <x v="0"/>
    <n v="0"/>
    <s v=""/>
    <s v=""/>
    <s v=""/>
    <s v=""/>
    <s v=""/>
    <s v=""/>
    <s v=""/>
    <s v=""/>
    <n v="1"/>
    <s v=""/>
    <s v="Quality of estimates; ; "/>
  </r>
  <r>
    <s v="Paraguay"/>
    <s v="Latin America and Caribbean"/>
    <s v="P082026"/>
    <s v="C1"/>
    <s v="S3"/>
    <s v="P082026C1S3"/>
    <s v="Ratio"/>
    <s v="2006 / 2016"/>
    <x v="1"/>
    <n v="1.7284069981583792"/>
    <n v="1"/>
    <m/>
    <m/>
    <n v="3.9459532710280376"/>
    <n v="3.9459532710280376"/>
    <s v="x"/>
    <n v="0"/>
    <n v="0"/>
    <x v="0"/>
    <n v="0"/>
    <s v=""/>
    <s v=""/>
    <s v=""/>
    <s v=""/>
    <s v=""/>
    <s v=""/>
    <s v=""/>
    <s v=""/>
    <n v="1"/>
    <s v=""/>
    <s v="Quality of estimates; ; "/>
  </r>
  <r>
    <s v="Paraguay"/>
    <s v="Latin America and Caribbean"/>
    <s v="P082026"/>
    <s v="C2"/>
    <s v=""/>
    <s v="P082026C2"/>
    <s v="Ratio"/>
    <s v="2006 / 2016"/>
    <x v="0"/>
    <s v=""/>
    <n v="0.42320213080793134"/>
    <m/>
    <m/>
    <n v="0.61398601398601405"/>
    <n v="1.4508103085725463"/>
    <s v="x"/>
    <n v="0"/>
    <n v="1"/>
    <x v="1"/>
    <n v="0"/>
    <s v=""/>
    <s v=""/>
    <s v=""/>
    <s v=""/>
    <s v=""/>
    <s v=""/>
    <s v=""/>
    <s v=""/>
    <s v=""/>
    <n v="1"/>
    <s v="Change of project scope; ; "/>
  </r>
  <r>
    <s v="Paraguay"/>
    <s v="Latin America and Caribbean"/>
    <s v="P082026"/>
    <s v="C2"/>
    <s v="S1"/>
    <s v="P082026C2S1"/>
    <s v="Ratio"/>
    <s v="2006 / 2016"/>
    <x v="0"/>
    <n v="1.25"/>
    <n v="0.29358552631578949"/>
    <m/>
    <m/>
    <n v="1.4020408163265305"/>
    <n v="4.7755788029497497"/>
    <s v="x"/>
    <n v="0"/>
    <n v="1"/>
    <x v="0"/>
    <n v="0"/>
    <s v=""/>
    <s v=""/>
    <s v=""/>
    <s v=""/>
    <s v=""/>
    <s v=""/>
    <s v=""/>
    <s v=""/>
    <n v="1"/>
    <n v="1"/>
    <s v="Change of project scope; Quality of estimates; "/>
  </r>
  <r>
    <s v="Paraguay"/>
    <s v="Latin America and Caribbean"/>
    <s v="P082026"/>
    <s v="C2"/>
    <s v="S2"/>
    <s v="P082026C2S2"/>
    <s v="Ratio"/>
    <s v="2006 / 2016"/>
    <x v="0"/>
    <n v="1.0666666666666667"/>
    <n v="0.31305114638447973"/>
    <m/>
    <m/>
    <n v="1.4738095238095239"/>
    <n v="4.7078873239436625"/>
    <s v="x"/>
    <n v="0"/>
    <n v="1"/>
    <x v="0"/>
    <n v="0"/>
    <s v=""/>
    <s v=""/>
    <s v=""/>
    <s v=""/>
    <s v=""/>
    <s v=""/>
    <s v=""/>
    <s v=""/>
    <n v="1"/>
    <n v="1"/>
    <s v="Quality of estimates; Change of project scope; "/>
  </r>
  <r>
    <s v="Paraguay"/>
    <s v="Latin America and Caribbean"/>
    <s v="P082026"/>
    <s v="C2"/>
    <s v="S3"/>
    <s v="P082026C2S3"/>
    <s v="Ratio"/>
    <s v="2006 / 2016"/>
    <x v="0"/>
    <n v="1.8972343522561863"/>
    <n v="0.14285714285714285"/>
    <m/>
    <m/>
    <n v="0.93142857142857138"/>
    <n v="6.5200000000000005"/>
    <s v="x"/>
    <n v="0"/>
    <n v="1"/>
    <x v="0"/>
    <n v="0"/>
    <s v=""/>
    <s v=""/>
    <s v=""/>
    <s v=""/>
    <s v=""/>
    <s v=""/>
    <s v=""/>
    <s v=""/>
    <n v="1"/>
    <n v="1"/>
    <s v="Change of project scope; Quality of estimates; "/>
  </r>
  <r>
    <s v="Afghanistan"/>
    <s v="South Asia"/>
    <s v="P082472"/>
    <s v="C1"/>
    <s v=""/>
    <s v="P082472C1"/>
    <s v="Ratio"/>
    <s v="2008 / 2008"/>
    <x v="0"/>
    <s v=""/>
    <n v="0.75834999999999997"/>
    <m/>
    <m/>
    <n v="1.0997076023391812"/>
    <n v="1.4501320001835316"/>
    <s v=""/>
    <n v="0"/>
    <n v="0"/>
    <x v="1"/>
    <n v="0"/>
    <s v=""/>
    <s v=""/>
    <s v=""/>
    <s v=""/>
    <s v=""/>
    <s v=""/>
    <s v=""/>
    <s v=""/>
    <s v=""/>
    <s v=""/>
    <s v=""/>
  </r>
  <r>
    <s v="Kenya"/>
    <s v="Sub-Saharan Africa"/>
    <s v="P082615"/>
    <s v="C1"/>
    <s v="S1"/>
    <s v="P082615C1S1"/>
    <s v="Ratio"/>
    <s v="2004 / 2016"/>
    <x v="12"/>
    <s v=""/>
    <n v="1"/>
    <m/>
    <m/>
    <n v="3.3104152484683462"/>
    <n v="3.3104152484683458"/>
    <s v="x"/>
    <n v="0"/>
    <n v="0"/>
    <x v="0"/>
    <n v="0"/>
    <n v="1"/>
    <n v="1"/>
    <n v="1"/>
    <s v=""/>
    <s v=""/>
    <s v=""/>
    <s v=""/>
    <s v=""/>
    <s v=""/>
    <s v=""/>
    <s v="Political events; Macroeconomic conditions; Weather shocks"/>
  </r>
  <r>
    <s v="Kenya"/>
    <s v="Sub-Saharan Africa"/>
    <s v="P082615"/>
    <s v="C1"/>
    <s v="S2"/>
    <s v="P082615C1S2"/>
    <s v="Ratio"/>
    <s v="2004 / 2016"/>
    <x v="0"/>
    <s v=""/>
    <n v="0.6"/>
    <m/>
    <m/>
    <n v="2.3371551415263347"/>
    <n v="3.8952585692105579"/>
    <s v="x"/>
    <n v="0"/>
    <n v="0"/>
    <x v="0"/>
    <n v="0"/>
    <n v="1"/>
    <n v="1"/>
    <n v="1"/>
    <s v=""/>
    <s v=""/>
    <s v=""/>
    <s v=""/>
    <s v=""/>
    <s v=""/>
    <s v=""/>
    <s v="Political events; Macroeconomic conditions; Weather shocks"/>
  </r>
  <r>
    <s v="Kenya"/>
    <s v="Sub-Saharan Africa"/>
    <s v="P082615"/>
    <s v="C1"/>
    <s v="S3"/>
    <s v="P082615C1S3"/>
    <s v="Ratio"/>
    <s v="2004 / 2016"/>
    <x v="4"/>
    <s v=""/>
    <n v="1"/>
    <m/>
    <m/>
    <n v="3.0033836543466945"/>
    <n v="3.0033836543466941"/>
    <s v="x"/>
    <n v="0"/>
    <n v="0"/>
    <x v="0"/>
    <n v="0"/>
    <n v="1"/>
    <n v="1"/>
    <n v="1"/>
    <s v=""/>
    <s v=""/>
    <s v=""/>
    <s v=""/>
    <s v=""/>
    <s v=""/>
    <s v=""/>
    <s v="Political events; Macroeconomic conditions; Weather shocks"/>
  </r>
  <r>
    <s v="Kenya"/>
    <s v="Sub-Saharan Africa"/>
    <s v="P082615"/>
    <s v="C1"/>
    <s v="S4"/>
    <s v="P082615C1S4"/>
    <s v="Ratio"/>
    <s v="2004 / 2016"/>
    <x v="0"/>
    <s v=""/>
    <n v="1.0309278350515463"/>
    <m/>
    <m/>
    <n v="3.3933136676499505"/>
    <n v="3.2915142576204519"/>
    <s v="x"/>
    <n v="0"/>
    <n v="0"/>
    <x v="0"/>
    <n v="0"/>
    <n v="1"/>
    <n v="1"/>
    <n v="1"/>
    <s v=""/>
    <s v=""/>
    <s v=""/>
    <s v=""/>
    <s v=""/>
    <s v=""/>
    <s v=""/>
    <s v="Political events; Macroeconomic conditions; Weather shocks"/>
  </r>
  <r>
    <s v="Kenya"/>
    <s v="Sub-Saharan Africa"/>
    <s v="P082615"/>
    <s v="C1"/>
    <s v="S5"/>
    <s v="P082615C1S5"/>
    <s v="Ratio"/>
    <s v="2004 / 2016"/>
    <x v="0"/>
    <s v=""/>
    <n v="0.91724137931034477"/>
    <m/>
    <m/>
    <n v="3.7055903302395858"/>
    <n v="4.0399293074040594"/>
    <s v="x"/>
    <n v="0"/>
    <n v="0"/>
    <x v="0"/>
    <n v="0"/>
    <n v="1"/>
    <n v="1"/>
    <n v="1"/>
    <s v=""/>
    <s v=""/>
    <s v=""/>
    <s v=""/>
    <s v=""/>
    <s v=""/>
    <s v=""/>
    <s v="Political events; Macroeconomic conditions; Weather shocks"/>
  </r>
  <r>
    <s v="Georgia"/>
    <s v="Europe and Central Asia"/>
    <s v="P083110"/>
    <s v="C1"/>
    <s v=""/>
    <s v="P083110C1"/>
    <s v="Ratio"/>
    <s v="2006 / 2013"/>
    <x v="12"/>
    <s v=""/>
    <n v="1.0655737704918034"/>
    <m/>
    <m/>
    <n v="1.1477707006369426"/>
    <n v="1.0771386575208231"/>
    <s v=""/>
    <n v="0"/>
    <n v="0"/>
    <x v="1"/>
    <n v="0"/>
    <s v=""/>
    <s v=""/>
    <s v=""/>
    <s v=""/>
    <s v=""/>
    <s v=""/>
    <s v=""/>
    <s v=""/>
    <s v=""/>
    <s v=""/>
    <s v=""/>
  </r>
  <r>
    <s v="Lao PDR"/>
    <s v="East Asia and Pacific"/>
    <s v="P083543"/>
    <s v="C1"/>
    <s v=""/>
    <s v="P083543C1"/>
    <s v="Ratio"/>
    <s v="2004 / 2012"/>
    <x v="3"/>
    <n v="1.263157894736842"/>
    <n v="0.68350538106742809"/>
    <m/>
    <m/>
    <n v="1.8259325044404975"/>
    <n v="2.6714237444465243"/>
    <s v="x"/>
    <n v="0"/>
    <n v="0"/>
    <x v="0"/>
    <n v="0"/>
    <s v=""/>
    <n v="1"/>
    <n v="1"/>
    <s v=""/>
    <s v=""/>
    <s v=""/>
    <s v=""/>
    <s v=""/>
    <s v=""/>
    <s v=""/>
    <s v="Weather shocks; Political events; "/>
  </r>
  <r>
    <s v="Lao PDR"/>
    <s v="East Asia and Pacific"/>
    <s v="P083543"/>
    <s v="C1"/>
    <s v="S1"/>
    <s v="P083543C1S1"/>
    <s v="Ratio"/>
    <s v="2004 / 2011"/>
    <x v="8"/>
    <n v="1"/>
    <n v="1"/>
    <m/>
    <m/>
    <n v="1.0076083333333334"/>
    <n v="1.0076083333333334"/>
    <s v=""/>
    <n v="0"/>
    <n v="0"/>
    <x v="1"/>
    <n v="0"/>
    <s v=""/>
    <s v=""/>
    <s v=""/>
    <s v=""/>
    <s v=""/>
    <s v=""/>
    <s v=""/>
    <s v=""/>
    <s v=""/>
    <s v=""/>
    <s v=""/>
  </r>
  <r>
    <s v="Lao PDR"/>
    <s v="East Asia and Pacific"/>
    <s v="P083543"/>
    <s v="C1"/>
    <s v="S10"/>
    <s v="P083543C1S10"/>
    <s v="Ratio"/>
    <s v="2004 / 2011"/>
    <x v="6"/>
    <n v="1"/>
    <n v="1"/>
    <m/>
    <m/>
    <n v="1.1642465753424658"/>
    <n v="1.1642465753424658"/>
    <s v=""/>
    <n v="0"/>
    <n v="0"/>
    <x v="1"/>
    <n v="0"/>
    <s v=""/>
    <s v=""/>
    <s v=""/>
    <s v=""/>
    <s v=""/>
    <s v=""/>
    <s v=""/>
    <s v=""/>
    <s v=""/>
    <s v=""/>
    <s v=""/>
  </r>
  <r>
    <s v="Lao PDR"/>
    <s v="East Asia and Pacific"/>
    <s v="P083543"/>
    <s v="C1"/>
    <s v="S11"/>
    <s v="P083543C1S11"/>
    <s v="Ratio"/>
    <s v="2004 / 2011"/>
    <x v="8"/>
    <n v="1"/>
    <n v="1"/>
    <m/>
    <m/>
    <n v="0.82405555555555554"/>
    <n v="0.82405555555555543"/>
    <s v=""/>
    <n v="0"/>
    <n v="0"/>
    <x v="1"/>
    <n v="0"/>
    <s v=""/>
    <s v=""/>
    <s v=""/>
    <s v=""/>
    <s v=""/>
    <s v=""/>
    <s v=""/>
    <s v=""/>
    <s v=""/>
    <s v=""/>
    <s v=""/>
  </r>
  <r>
    <s v="Lao PDR"/>
    <s v="East Asia and Pacific"/>
    <s v="P083543"/>
    <s v="C1"/>
    <s v="S12"/>
    <s v="P083543C1S12"/>
    <s v="Ratio"/>
    <s v="2004 / 2011"/>
    <x v="8"/>
    <n v="1"/>
    <n v="1"/>
    <m/>
    <m/>
    <n v="0.68967999999999996"/>
    <n v="0.68968000000000007"/>
    <s v=""/>
    <n v="0"/>
    <n v="0"/>
    <x v="1"/>
    <n v="0"/>
    <s v=""/>
    <s v=""/>
    <s v=""/>
    <s v=""/>
    <s v=""/>
    <s v=""/>
    <s v=""/>
    <s v=""/>
    <s v=""/>
    <s v=""/>
    <s v=""/>
  </r>
  <r>
    <s v="Lao PDR"/>
    <s v="East Asia and Pacific"/>
    <s v="P083543"/>
    <s v="C1"/>
    <s v="S13"/>
    <s v="P083543C1S13"/>
    <s v="Ratio"/>
    <s v="2004 / 2011"/>
    <x v="6"/>
    <n v="1"/>
    <n v="1"/>
    <m/>
    <m/>
    <n v="0.76888499999999993"/>
    <n v="0.76888499999999993"/>
    <s v=""/>
    <n v="0"/>
    <n v="0"/>
    <x v="1"/>
    <n v="0"/>
    <s v=""/>
    <s v=""/>
    <s v=""/>
    <s v=""/>
    <s v=""/>
    <s v=""/>
    <s v=""/>
    <s v=""/>
    <s v=""/>
    <s v=""/>
    <s v=""/>
  </r>
  <r>
    <s v="Lao PDR"/>
    <s v="East Asia and Pacific"/>
    <s v="P083543"/>
    <s v="C1"/>
    <s v="S14"/>
    <s v="P083543C1S14"/>
    <s v="Ratio"/>
    <s v="2004 / 2011"/>
    <x v="10"/>
    <n v="1"/>
    <n v="1"/>
    <m/>
    <m/>
    <n v="0.72873529411764693"/>
    <n v="0.72873529411764693"/>
    <s v=""/>
    <n v="0"/>
    <n v="0"/>
    <x v="1"/>
    <n v="0"/>
    <s v=""/>
    <s v=""/>
    <s v=""/>
    <s v=""/>
    <s v=""/>
    <s v=""/>
    <s v=""/>
    <s v=""/>
    <s v=""/>
    <s v=""/>
    <s v=""/>
  </r>
  <r>
    <s v="Lao PDR"/>
    <s v="East Asia and Pacific"/>
    <s v="P083543"/>
    <s v="C1"/>
    <s v="S15"/>
    <s v="P083543C1S15"/>
    <s v="Ratio"/>
    <s v="2004 / 2011"/>
    <x v="10"/>
    <n v="1"/>
    <n v="1"/>
    <m/>
    <m/>
    <n v="1.1428083333333334"/>
    <n v="1.1428083333333334"/>
    <s v=""/>
    <n v="0"/>
    <n v="0"/>
    <x v="1"/>
    <n v="0"/>
    <s v=""/>
    <s v=""/>
    <s v=""/>
    <s v=""/>
    <s v=""/>
    <s v=""/>
    <s v=""/>
    <s v=""/>
    <s v=""/>
    <s v=""/>
    <s v=""/>
  </r>
  <r>
    <s v="Lao PDR"/>
    <s v="East Asia and Pacific"/>
    <s v="P083543"/>
    <s v="C1"/>
    <s v="S16"/>
    <s v="P083543C1S16"/>
    <s v="Ratio"/>
    <s v="2004 / 2011"/>
    <x v="10"/>
    <n v="1"/>
    <n v="1"/>
    <m/>
    <m/>
    <n v="1.0186885714285714"/>
    <n v="1.0186885714285714"/>
    <s v=""/>
    <n v="0"/>
    <n v="0"/>
    <x v="1"/>
    <n v="0"/>
    <s v=""/>
    <s v=""/>
    <s v=""/>
    <s v=""/>
    <s v=""/>
    <s v=""/>
    <s v=""/>
    <s v=""/>
    <s v=""/>
    <s v=""/>
    <s v=""/>
  </r>
  <r>
    <s v="Lao PDR"/>
    <s v="East Asia and Pacific"/>
    <s v="P083543"/>
    <s v="C1"/>
    <s v="S17"/>
    <s v="P083543C1S17"/>
    <s v="Ratio"/>
    <s v="2004 / 2011"/>
    <x v="6"/>
    <n v="1"/>
    <n v="1"/>
    <m/>
    <m/>
    <n v="0.83362083333333337"/>
    <n v="0.83362083333333326"/>
    <s v=""/>
    <n v="0"/>
    <n v="0"/>
    <x v="1"/>
    <n v="0"/>
    <s v=""/>
    <s v=""/>
    <s v=""/>
    <s v=""/>
    <s v=""/>
    <s v=""/>
    <s v=""/>
    <s v=""/>
    <s v=""/>
    <s v=""/>
    <s v=""/>
  </r>
  <r>
    <s v="Lao PDR"/>
    <s v="East Asia and Pacific"/>
    <s v="P083543"/>
    <s v="C1"/>
    <s v="S18"/>
    <s v="P083543C1S18"/>
    <s v="Ratio"/>
    <s v="2004 / 2011"/>
    <x v="8"/>
    <n v="1"/>
    <n v="1"/>
    <m/>
    <m/>
    <n v="0.88611333333333342"/>
    <n v="0.88611333333333342"/>
    <s v=""/>
    <n v="0"/>
    <n v="0"/>
    <x v="1"/>
    <n v="0"/>
    <s v=""/>
    <s v=""/>
    <s v=""/>
    <s v=""/>
    <s v=""/>
    <s v=""/>
    <s v=""/>
    <s v=""/>
    <s v=""/>
    <s v=""/>
    <s v=""/>
  </r>
  <r>
    <s v="Lao PDR"/>
    <s v="East Asia and Pacific"/>
    <s v="P083543"/>
    <s v="C1"/>
    <s v="S19"/>
    <s v="P083543C1S19"/>
    <s v="Ratio"/>
    <s v="2004 / 2011"/>
    <x v="10"/>
    <n v="1"/>
    <n v="1"/>
    <m/>
    <m/>
    <n v="1.5803119999999999"/>
    <n v="1.5803119999999999"/>
    <s v="x"/>
    <n v="0"/>
    <n v="0"/>
    <x v="0"/>
    <n v="0"/>
    <s v=""/>
    <n v="1"/>
    <n v="1"/>
    <s v=""/>
    <s v=""/>
    <s v=""/>
    <s v=""/>
    <s v=""/>
    <s v=""/>
    <s v=""/>
    <s v="Weather shocks; Political events; "/>
  </r>
  <r>
    <s v="Lao PDR"/>
    <s v="East Asia and Pacific"/>
    <s v="P083543"/>
    <s v="C1"/>
    <s v="S2"/>
    <s v="P083543C1S2"/>
    <s v="Ratio"/>
    <s v="2004 / 2011"/>
    <x v="6"/>
    <n v="1"/>
    <n v="1"/>
    <m/>
    <m/>
    <n v="1.0940676470588235"/>
    <n v="1.0940676470588235"/>
    <s v=""/>
    <n v="0"/>
    <n v="0"/>
    <x v="1"/>
    <n v="0"/>
    <s v=""/>
    <s v=""/>
    <s v=""/>
    <s v=""/>
    <s v=""/>
    <s v=""/>
    <s v=""/>
    <s v=""/>
    <s v=""/>
    <s v=""/>
    <s v=""/>
  </r>
  <r>
    <s v="Lao PDR"/>
    <s v="East Asia and Pacific"/>
    <s v="P083543"/>
    <s v="C1"/>
    <s v="S20"/>
    <s v="P083543C1S20"/>
    <s v="Ratio"/>
    <s v="2004 / 2011"/>
    <x v="8"/>
    <n v="1"/>
    <n v="1"/>
    <m/>
    <m/>
    <n v="0.62789259259259256"/>
    <n v="0.62789259259259256"/>
    <s v=""/>
    <n v="0"/>
    <n v="0"/>
    <x v="1"/>
    <n v="0"/>
    <s v=""/>
    <s v=""/>
    <s v=""/>
    <s v=""/>
    <s v=""/>
    <s v=""/>
    <s v=""/>
    <s v=""/>
    <s v=""/>
    <s v=""/>
    <s v=""/>
  </r>
  <r>
    <s v="Lao PDR"/>
    <s v="East Asia and Pacific"/>
    <s v="P083543"/>
    <s v="C1"/>
    <s v="S21"/>
    <s v="P083543C1S21"/>
    <s v="Ratio"/>
    <s v="2004 / 2011"/>
    <x v="10"/>
    <n v="1"/>
    <n v="1"/>
    <m/>
    <m/>
    <n v="0.59084999999999999"/>
    <n v="0.59084999999999999"/>
    <s v=""/>
    <n v="0"/>
    <n v="0"/>
    <x v="1"/>
    <n v="0"/>
    <s v=""/>
    <s v=""/>
    <s v=""/>
    <s v=""/>
    <s v=""/>
    <s v=""/>
    <s v=""/>
    <s v=""/>
    <s v=""/>
    <s v=""/>
    <s v=""/>
  </r>
  <r>
    <s v="Lao PDR"/>
    <s v="East Asia and Pacific"/>
    <s v="P083543"/>
    <s v="C1"/>
    <s v="S22"/>
    <s v="P083543C1S22"/>
    <s v="Ratio"/>
    <s v="2004 / 2011"/>
    <x v="6"/>
    <n v="1"/>
    <n v="1"/>
    <m/>
    <m/>
    <n v="0.76255757575757566"/>
    <n v="0.76255757575757566"/>
    <s v=""/>
    <n v="0"/>
    <n v="0"/>
    <x v="1"/>
    <n v="0"/>
    <s v=""/>
    <s v=""/>
    <s v=""/>
    <s v=""/>
    <s v=""/>
    <s v=""/>
    <s v=""/>
    <s v=""/>
    <s v=""/>
    <s v=""/>
    <s v=""/>
  </r>
  <r>
    <s v="Lao PDR"/>
    <s v="East Asia and Pacific"/>
    <s v="P083543"/>
    <s v="C1"/>
    <s v="S23"/>
    <s v="P083543C1S23"/>
    <s v="Ratio"/>
    <s v="2004 / 2011"/>
    <x v="8"/>
    <n v="1"/>
    <n v="1"/>
    <m/>
    <m/>
    <n v="0.82217999999999991"/>
    <n v="0.82217999999999991"/>
    <s v=""/>
    <n v="0"/>
    <n v="0"/>
    <x v="1"/>
    <n v="0"/>
    <s v=""/>
    <s v=""/>
    <s v=""/>
    <s v=""/>
    <s v=""/>
    <s v=""/>
    <s v=""/>
    <s v=""/>
    <s v=""/>
    <s v=""/>
    <s v=""/>
  </r>
  <r>
    <s v="Lao PDR"/>
    <s v="East Asia and Pacific"/>
    <s v="P083543"/>
    <s v="C1"/>
    <s v="S24"/>
    <s v="P083543C1S24"/>
    <s v="Ratio"/>
    <s v="2004 / 2011"/>
    <x v="10"/>
    <n v="1"/>
    <n v="1"/>
    <m/>
    <m/>
    <n v="0.81637999999999999"/>
    <n v="0.81637999999999999"/>
    <s v=""/>
    <n v="0"/>
    <n v="0"/>
    <x v="1"/>
    <n v="0"/>
    <s v=""/>
    <s v=""/>
    <s v=""/>
    <s v=""/>
    <s v=""/>
    <s v=""/>
    <s v=""/>
    <s v=""/>
    <s v=""/>
    <s v=""/>
    <s v=""/>
  </r>
  <r>
    <s v="Lao PDR"/>
    <s v="East Asia and Pacific"/>
    <s v="P083543"/>
    <s v="C1"/>
    <s v="S25"/>
    <s v="P083543C1S25"/>
    <s v="Ratio"/>
    <s v="2004 / 2011"/>
    <x v="10"/>
    <n v="1"/>
    <n v="1"/>
    <m/>
    <m/>
    <n v="0.53620499999999993"/>
    <n v="0.53620499999999993"/>
    <s v=""/>
    <n v="0"/>
    <n v="0"/>
    <x v="1"/>
    <n v="0"/>
    <s v=""/>
    <s v=""/>
    <s v=""/>
    <s v=""/>
    <s v=""/>
    <s v=""/>
    <s v=""/>
    <s v=""/>
    <s v=""/>
    <s v=""/>
    <s v=""/>
  </r>
  <r>
    <s v="Lao PDR"/>
    <s v="East Asia and Pacific"/>
    <s v="P083543"/>
    <s v="C1"/>
    <s v="S26"/>
    <s v="P083543C1S26"/>
    <s v="Ratio"/>
    <s v="2004 / 2011"/>
    <x v="8"/>
    <n v="1"/>
    <n v="1"/>
    <m/>
    <m/>
    <n v="1.0122142857142857"/>
    <n v="1.0122142857142857"/>
    <s v=""/>
    <n v="0"/>
    <n v="0"/>
    <x v="1"/>
    <n v="0"/>
    <s v=""/>
    <s v=""/>
    <s v=""/>
    <s v=""/>
    <s v=""/>
    <s v=""/>
    <s v=""/>
    <s v=""/>
    <s v=""/>
    <s v=""/>
    <s v=""/>
  </r>
  <r>
    <s v="Lao PDR"/>
    <s v="East Asia and Pacific"/>
    <s v="P083543"/>
    <s v="C1"/>
    <s v="S27"/>
    <s v="P083543C1S27"/>
    <s v="Ratio"/>
    <s v="2004 / 2011"/>
    <x v="10"/>
    <n v="1"/>
    <n v="1"/>
    <m/>
    <m/>
    <n v="1.1431285714285715"/>
    <n v="1.1431285714285715"/>
    <s v=""/>
    <n v="0"/>
    <n v="0"/>
    <x v="1"/>
    <n v="0"/>
    <s v=""/>
    <s v=""/>
    <s v=""/>
    <s v=""/>
    <s v=""/>
    <s v=""/>
    <s v=""/>
    <s v=""/>
    <s v=""/>
    <s v=""/>
    <s v=""/>
  </r>
  <r>
    <s v="Lao PDR"/>
    <s v="East Asia and Pacific"/>
    <s v="P083543"/>
    <s v="C1"/>
    <s v="S28"/>
    <s v="P083543C1S28"/>
    <s v="Ratio"/>
    <s v="2004 / 2011"/>
    <x v="10"/>
    <n v="1"/>
    <n v="1"/>
    <m/>
    <m/>
    <n v="2.0662970662970661"/>
    <n v="2.0662970662970661"/>
    <s v="x"/>
    <n v="0"/>
    <n v="0"/>
    <x v="0"/>
    <n v="0"/>
    <s v=""/>
    <n v="1"/>
    <n v="1"/>
    <s v=""/>
    <s v=""/>
    <s v=""/>
    <s v=""/>
    <s v=""/>
    <s v=""/>
    <s v=""/>
    <s v="Weather shocks; Political events; "/>
  </r>
  <r>
    <s v="Lao PDR"/>
    <s v="East Asia and Pacific"/>
    <s v="P083543"/>
    <s v="C1"/>
    <s v="S29"/>
    <s v="P083543C1S29"/>
    <s v="Ratio"/>
    <s v="2004 / 2011"/>
    <x v="10"/>
    <n v="1"/>
    <n v="1"/>
    <m/>
    <m/>
    <n v="2.3544362292051755"/>
    <n v="2.3544362292051755"/>
    <s v="x"/>
    <n v="0"/>
    <n v="0"/>
    <x v="0"/>
    <n v="0"/>
    <s v=""/>
    <n v="1"/>
    <n v="1"/>
    <s v=""/>
    <s v=""/>
    <s v=""/>
    <s v=""/>
    <s v=""/>
    <s v=""/>
    <s v=""/>
    <s v="Weather shocks; Political events; "/>
  </r>
  <r>
    <s v="Lao PDR"/>
    <s v="East Asia and Pacific"/>
    <s v="P083543"/>
    <s v="C1"/>
    <s v="S3"/>
    <s v="P083543C1S3"/>
    <s v="Ratio"/>
    <s v="2004 / 2011"/>
    <x v="10"/>
    <n v="1"/>
    <n v="1"/>
    <m/>
    <m/>
    <n v="0.59000714285714273"/>
    <n v="0.59000714285714273"/>
    <s v=""/>
    <n v="0"/>
    <n v="0"/>
    <x v="1"/>
    <n v="0"/>
    <s v=""/>
    <s v=""/>
    <s v=""/>
    <s v=""/>
    <s v=""/>
    <s v=""/>
    <s v=""/>
    <s v=""/>
    <s v=""/>
    <s v=""/>
    <s v=""/>
  </r>
  <r>
    <s v="Lao PDR"/>
    <s v="East Asia and Pacific"/>
    <s v="P083543"/>
    <s v="C1"/>
    <s v="S30"/>
    <s v="P083543C1S30"/>
    <s v="Ratio"/>
    <s v="2004 / 2011"/>
    <x v="10"/>
    <n v="1"/>
    <n v="1"/>
    <m/>
    <m/>
    <n v="0.81465218396117411"/>
    <n v="0.81465218396117411"/>
    <s v=""/>
    <n v="0"/>
    <n v="0"/>
    <x v="1"/>
    <n v="0"/>
    <s v=""/>
    <s v=""/>
    <s v=""/>
    <s v=""/>
    <s v=""/>
    <s v=""/>
    <s v=""/>
    <s v=""/>
    <s v=""/>
    <s v=""/>
    <s v=""/>
  </r>
  <r>
    <s v="Lao PDR"/>
    <s v="East Asia and Pacific"/>
    <s v="P083543"/>
    <s v="C1"/>
    <s v="S31"/>
    <s v="P083543C1S31"/>
    <s v="Ratio"/>
    <s v="2004 / 2011"/>
    <x v="10"/>
    <n v="1"/>
    <n v="1"/>
    <m/>
    <m/>
    <n v="0.8345656192236599"/>
    <n v="0.8345656192236599"/>
    <s v=""/>
    <n v="0"/>
    <n v="0"/>
    <x v="1"/>
    <n v="0"/>
    <s v=""/>
    <s v=""/>
    <s v=""/>
    <s v=""/>
    <s v=""/>
    <s v=""/>
    <s v=""/>
    <s v=""/>
    <s v=""/>
    <s v=""/>
    <s v=""/>
  </r>
  <r>
    <s v="Lao PDR"/>
    <s v="East Asia and Pacific"/>
    <s v="P083543"/>
    <s v="C1"/>
    <s v="S32"/>
    <s v="P083543C1S32"/>
    <s v="Ratio"/>
    <s v="2004 / 2011"/>
    <x v="10"/>
    <n v="1"/>
    <n v="1"/>
    <m/>
    <m/>
    <n v="1.1799907578558224"/>
    <n v="1.1799907578558224"/>
    <s v=""/>
    <n v="0"/>
    <n v="0"/>
    <x v="1"/>
    <n v="0"/>
    <s v=""/>
    <s v=""/>
    <s v=""/>
    <s v=""/>
    <s v=""/>
    <s v=""/>
    <s v=""/>
    <s v=""/>
    <s v=""/>
    <s v=""/>
    <s v=""/>
  </r>
  <r>
    <s v="Lao PDR"/>
    <s v="East Asia and Pacific"/>
    <s v="P083543"/>
    <s v="C1"/>
    <s v="S33"/>
    <s v="P083543C1S33"/>
    <s v="Ratio"/>
    <s v="2004 / 2011"/>
    <x v="10"/>
    <n v="1"/>
    <n v="1"/>
    <m/>
    <m/>
    <n v="1.09865988909427"/>
    <n v="1.0986598890942703"/>
    <s v=""/>
    <n v="0"/>
    <n v="0"/>
    <x v="1"/>
    <n v="0"/>
    <s v=""/>
    <s v=""/>
    <s v=""/>
    <s v=""/>
    <s v=""/>
    <s v=""/>
    <s v=""/>
    <s v=""/>
    <s v=""/>
    <s v=""/>
    <s v=""/>
  </r>
  <r>
    <s v="Lao PDR"/>
    <s v="East Asia and Pacific"/>
    <s v="P083543"/>
    <s v="C1"/>
    <s v="S34"/>
    <s v="P083543C1S34"/>
    <s v="Ratio"/>
    <s v="2004 / 2011"/>
    <x v="10"/>
    <n v="1"/>
    <n v="1"/>
    <m/>
    <m/>
    <n v="1.5946383175410215"/>
    <n v="1.5946383175410215"/>
    <s v="x"/>
    <n v="0"/>
    <n v="0"/>
    <x v="0"/>
    <n v="0"/>
    <s v=""/>
    <n v="1"/>
    <n v="1"/>
    <s v=""/>
    <s v=""/>
    <s v=""/>
    <s v=""/>
    <s v=""/>
    <s v=""/>
    <s v=""/>
    <s v="Weather shocks; Political events; "/>
  </r>
  <r>
    <s v="Lao PDR"/>
    <s v="East Asia and Pacific"/>
    <s v="P083543"/>
    <s v="C1"/>
    <s v="S35"/>
    <s v="P083543C1S35"/>
    <s v="Ratio"/>
    <s v="2004 / 2011"/>
    <x v="10"/>
    <n v="1"/>
    <n v="1"/>
    <m/>
    <m/>
    <n v="1.1494571494571493"/>
    <n v="1.1494571494571493"/>
    <s v=""/>
    <n v="0"/>
    <n v="0"/>
    <x v="1"/>
    <n v="0"/>
    <s v=""/>
    <s v=""/>
    <s v=""/>
    <s v=""/>
    <s v=""/>
    <s v=""/>
    <s v=""/>
    <s v=""/>
    <s v=""/>
    <s v=""/>
    <s v=""/>
  </r>
  <r>
    <s v="Lao PDR"/>
    <s v="East Asia and Pacific"/>
    <s v="P083543"/>
    <s v="C1"/>
    <s v="S36"/>
    <s v="P083543C1S36"/>
    <s v="Ratio"/>
    <s v="2004 / 2011"/>
    <x v="10"/>
    <n v="1"/>
    <n v="1"/>
    <m/>
    <m/>
    <n v="0.99352900392881893"/>
    <n v="0.99352900392881882"/>
    <s v=""/>
    <n v="0"/>
    <n v="0"/>
    <x v="1"/>
    <n v="0"/>
    <s v=""/>
    <s v=""/>
    <s v=""/>
    <s v=""/>
    <s v=""/>
    <s v=""/>
    <s v=""/>
    <s v=""/>
    <s v=""/>
    <s v=""/>
    <s v=""/>
  </r>
  <r>
    <s v="Lao PDR"/>
    <s v="East Asia and Pacific"/>
    <s v="P083543"/>
    <s v="C1"/>
    <s v="S37"/>
    <s v="P083543C1S37"/>
    <s v="Ratio"/>
    <s v="2004 / 2011"/>
    <x v="6"/>
    <n v="1"/>
    <n v="1"/>
    <m/>
    <m/>
    <n v="1.0084028382920454"/>
    <n v="1.0084028382920454"/>
    <s v=""/>
    <n v="0"/>
    <n v="0"/>
    <x v="1"/>
    <n v="0"/>
    <s v=""/>
    <s v=""/>
    <s v=""/>
    <s v=""/>
    <s v=""/>
    <s v=""/>
    <s v=""/>
    <s v=""/>
    <s v=""/>
    <s v=""/>
    <s v=""/>
  </r>
  <r>
    <s v="Lao PDR"/>
    <s v="East Asia and Pacific"/>
    <s v="P083543"/>
    <s v="C1"/>
    <s v="S38"/>
    <s v="P083543C1S38"/>
    <s v="Ratio"/>
    <s v="2004 / 2011"/>
    <x v="10"/>
    <n v="1"/>
    <n v="1"/>
    <m/>
    <m/>
    <n v="1.4136973623322537"/>
    <n v="1.4136973623322537"/>
    <s v=""/>
    <n v="0"/>
    <n v="0"/>
    <x v="1"/>
    <n v="0"/>
    <s v=""/>
    <s v=""/>
    <s v=""/>
    <s v=""/>
    <s v=""/>
    <s v=""/>
    <s v=""/>
    <s v=""/>
    <s v=""/>
    <s v=""/>
    <s v=""/>
  </r>
  <r>
    <s v="Lao PDR"/>
    <s v="East Asia and Pacific"/>
    <s v="P083543"/>
    <s v="C1"/>
    <s v="S39"/>
    <s v="P083543C1S39"/>
    <s v="Ratio"/>
    <s v="2004 / 2011"/>
    <x v="10"/>
    <n v="1"/>
    <n v="1"/>
    <m/>
    <m/>
    <n v="1.2760055478502081"/>
    <n v="1.2760055478502079"/>
    <s v=""/>
    <n v="0"/>
    <n v="0"/>
    <x v="1"/>
    <n v="0"/>
    <s v=""/>
    <s v=""/>
    <s v=""/>
    <s v=""/>
    <s v=""/>
    <s v=""/>
    <s v=""/>
    <s v=""/>
    <s v=""/>
    <s v=""/>
    <s v=""/>
  </r>
  <r>
    <s v="Lao PDR"/>
    <s v="East Asia and Pacific"/>
    <s v="P083543"/>
    <s v="C1"/>
    <s v="S4"/>
    <s v="P083543C1S4"/>
    <s v="Ratio"/>
    <s v="2004 / 2011"/>
    <x v="8"/>
    <n v="1"/>
    <n v="1"/>
    <m/>
    <m/>
    <n v="1.449086956521739"/>
    <n v="1.449086956521739"/>
    <s v=""/>
    <n v="0"/>
    <n v="0"/>
    <x v="1"/>
    <n v="0"/>
    <s v=""/>
    <s v=""/>
    <s v=""/>
    <s v=""/>
    <s v=""/>
    <s v=""/>
    <s v=""/>
    <s v=""/>
    <s v=""/>
    <s v=""/>
    <s v=""/>
  </r>
  <r>
    <s v="Lao PDR"/>
    <s v="East Asia and Pacific"/>
    <s v="P083543"/>
    <s v="C1"/>
    <s v="S40"/>
    <s v="P083543C1S40"/>
    <s v="Ratio"/>
    <s v="2004 / 2011"/>
    <x v="10"/>
    <n v="1"/>
    <n v="1"/>
    <m/>
    <m/>
    <n v="1.30998613037448"/>
    <n v="1.30998613037448"/>
    <s v=""/>
    <n v="0"/>
    <n v="0"/>
    <x v="1"/>
    <n v="0"/>
    <s v=""/>
    <s v=""/>
    <s v=""/>
    <s v=""/>
    <s v=""/>
    <s v=""/>
    <s v=""/>
    <s v=""/>
    <s v=""/>
    <s v=""/>
    <s v=""/>
  </r>
  <r>
    <s v="Lao PDR"/>
    <s v="East Asia and Pacific"/>
    <s v="P083543"/>
    <s v="C1"/>
    <s v="S5"/>
    <s v="P083543C1S5"/>
    <s v="Ratio"/>
    <s v="2004 / 2011"/>
    <x v="8"/>
    <n v="1"/>
    <n v="1"/>
    <m/>
    <m/>
    <n v="1.0424529411764707"/>
    <n v="1.0424529411764707"/>
    <s v=""/>
    <n v="0"/>
    <n v="0"/>
    <x v="1"/>
    <n v="0"/>
    <s v=""/>
    <s v=""/>
    <s v=""/>
    <s v=""/>
    <s v=""/>
    <s v=""/>
    <s v=""/>
    <s v=""/>
    <s v=""/>
    <s v=""/>
    <s v=""/>
  </r>
  <r>
    <s v="Lao PDR"/>
    <s v="East Asia and Pacific"/>
    <s v="P083543"/>
    <s v="C1"/>
    <s v="S6"/>
    <s v="P083543C1S6"/>
    <s v="Ratio"/>
    <s v="2004 / 2011"/>
    <x v="6"/>
    <n v="1"/>
    <n v="1"/>
    <m/>
    <m/>
    <n v="1.1105878787878787"/>
    <n v="1.1105878787878787"/>
    <s v=""/>
    <n v="0"/>
    <n v="0"/>
    <x v="1"/>
    <n v="0"/>
    <s v=""/>
    <s v=""/>
    <s v=""/>
    <s v=""/>
    <s v=""/>
    <s v=""/>
    <s v=""/>
    <s v=""/>
    <s v=""/>
    <s v=""/>
    <s v=""/>
  </r>
  <r>
    <s v="Lao PDR"/>
    <s v="East Asia and Pacific"/>
    <s v="P083543"/>
    <s v="C1"/>
    <s v="S7"/>
    <s v="P083543C1S7"/>
    <s v="Ratio"/>
    <s v="2004 / 2011"/>
    <x v="10"/>
    <n v="1"/>
    <n v="1"/>
    <m/>
    <m/>
    <n v="0.75434000000000001"/>
    <n v="0.75434000000000001"/>
    <s v=""/>
    <n v="0"/>
    <n v="0"/>
    <x v="1"/>
    <n v="0"/>
    <s v=""/>
    <s v=""/>
    <s v=""/>
    <s v=""/>
    <s v=""/>
    <s v=""/>
    <s v=""/>
    <s v=""/>
    <s v=""/>
    <s v=""/>
    <s v=""/>
  </r>
  <r>
    <s v="Lao PDR"/>
    <s v="East Asia and Pacific"/>
    <s v="P083543"/>
    <s v="C1"/>
    <s v="S8"/>
    <s v="P083543C1S8"/>
    <s v="Ratio"/>
    <s v="2004 / 2011"/>
    <x v="10"/>
    <n v="1"/>
    <n v="1"/>
    <m/>
    <m/>
    <n v="0.871888"/>
    <n v="0.871888"/>
    <s v=""/>
    <n v="0"/>
    <n v="0"/>
    <x v="1"/>
    <n v="0"/>
    <s v=""/>
    <s v=""/>
    <s v=""/>
    <s v=""/>
    <s v=""/>
    <s v=""/>
    <s v=""/>
    <s v=""/>
    <s v=""/>
    <s v=""/>
    <s v=""/>
  </r>
  <r>
    <s v="Lao PDR"/>
    <s v="East Asia and Pacific"/>
    <s v="P083543"/>
    <s v="C1"/>
    <s v="S9"/>
    <s v="P083543C1S9"/>
    <s v="Ratio"/>
    <s v="2004 / 2011"/>
    <x v="10"/>
    <n v="1"/>
    <n v="1"/>
    <m/>
    <m/>
    <n v="1.0147549999999999"/>
    <n v="1.0147549999999999"/>
    <s v=""/>
    <n v="0"/>
    <n v="0"/>
    <x v="1"/>
    <n v="0"/>
    <s v=""/>
    <s v=""/>
    <s v=""/>
    <s v=""/>
    <s v=""/>
    <s v=""/>
    <s v=""/>
    <s v=""/>
    <s v=""/>
    <s v=""/>
    <s v=""/>
  </r>
  <r>
    <s v="Georgia"/>
    <s v="Europe and Central Asia"/>
    <s v="P086277"/>
    <s v="C1"/>
    <s v=""/>
    <s v="P086277C1"/>
    <s v="Ratio"/>
    <s v="2004 / 2013"/>
    <x v="1"/>
    <n v="1.28125"/>
    <n v="1.6839999999999999"/>
    <m/>
    <m/>
    <n v="6.3261927945472252"/>
    <n v="3.7566465525814881"/>
    <s v="x"/>
    <n v="1"/>
    <n v="0"/>
    <x v="0"/>
    <n v="0"/>
    <s v=""/>
    <s v=""/>
    <s v=""/>
    <s v=""/>
    <s v=""/>
    <s v=""/>
    <s v=""/>
    <s v=""/>
    <s v=""/>
    <n v="1"/>
    <s v="Change of project scope; Change of project scope; "/>
  </r>
  <r>
    <s v="Cape Verde"/>
    <s v="Sub-Saharan Africa"/>
    <s v="P087004"/>
    <s v="C1"/>
    <s v="S1"/>
    <s v="P087004C1S1"/>
    <s v="Ratio"/>
    <s v="2005 / 2014"/>
    <x v="2"/>
    <s v=""/>
    <n v="1"/>
    <m/>
    <m/>
    <n v="1.2096774193548387"/>
    <n v="1.2096774193548387"/>
    <s v=""/>
    <n v="0"/>
    <n v="0"/>
    <x v="1"/>
    <n v="0"/>
    <s v=""/>
    <s v=""/>
    <s v=""/>
    <s v=""/>
    <s v=""/>
    <s v=""/>
    <s v=""/>
    <s v=""/>
    <s v=""/>
    <s v=""/>
    <s v=""/>
  </r>
  <r>
    <s v="Cape Verde"/>
    <s v="Sub-Saharan Africa"/>
    <s v="P087004"/>
    <s v="C1"/>
    <s v="S2"/>
    <s v="P087004C1S2"/>
    <s v="Ratio"/>
    <s v="2005 / 2014"/>
    <x v="2"/>
    <s v=""/>
    <n v="1"/>
    <m/>
    <m/>
    <n v="1.1546961325966849"/>
    <n v="1.1546961325966849"/>
    <s v=""/>
    <n v="0"/>
    <n v="0"/>
    <x v="1"/>
    <n v="0"/>
    <s v=""/>
    <s v=""/>
    <s v=""/>
    <s v=""/>
    <s v=""/>
    <s v=""/>
    <s v=""/>
    <s v=""/>
    <s v=""/>
    <s v=""/>
    <s v=""/>
  </r>
  <r>
    <s v="Cape Verde"/>
    <s v="Sub-Saharan Africa"/>
    <s v="P087004"/>
    <s v="C1"/>
    <s v="S3"/>
    <s v="P087004C1S3"/>
    <s v="Ratio"/>
    <s v="2005 / 2014"/>
    <x v="2"/>
    <s v=""/>
    <n v="1"/>
    <m/>
    <m/>
    <n v="1.4833948339483394"/>
    <n v="1.4833948339483394"/>
    <s v=""/>
    <n v="0"/>
    <n v="0"/>
    <x v="1"/>
    <n v="0"/>
    <s v=""/>
    <s v=""/>
    <s v=""/>
    <s v=""/>
    <s v=""/>
    <s v=""/>
    <s v=""/>
    <s v=""/>
    <s v=""/>
    <s v=""/>
    <s v=""/>
  </r>
  <r>
    <s v="Iraq"/>
    <s v="Middle East and North Africa"/>
    <s v="P087735"/>
    <s v="C1"/>
    <s v=""/>
    <s v="P087735C1"/>
    <s v="Ratio"/>
    <s v="2014 / 2014"/>
    <x v="1"/>
    <s v=""/>
    <n v="0.43"/>
    <m/>
    <m/>
    <n v="0.81307494173923711"/>
    <n v="1.8908719575331099"/>
    <s v="x"/>
    <n v="0"/>
    <n v="1"/>
    <x v="0"/>
    <n v="0"/>
    <s v=""/>
    <n v="1"/>
    <s v=""/>
    <s v=""/>
    <s v=""/>
    <n v="1"/>
    <s v=""/>
    <s v=""/>
    <s v=""/>
    <n v="1"/>
    <s v="Capacity of Counterpart; Change of project scope; Political events"/>
  </r>
  <r>
    <s v="Iraq"/>
    <s v="Middle East and North Africa"/>
    <s v="P087735"/>
    <s v="C1"/>
    <s v="S1"/>
    <s v="P087735C1S1"/>
    <s v="Ratio"/>
    <s v="2014 / 2014"/>
    <x v="1"/>
    <n v="1.3333333333333333"/>
    <n v="1"/>
    <m/>
    <m/>
    <n v="0.96"/>
    <n v="0.96"/>
    <s v=""/>
    <n v="0"/>
    <n v="0"/>
    <x v="1"/>
    <n v="0"/>
    <s v=""/>
    <s v=""/>
    <s v=""/>
    <s v=""/>
    <s v=""/>
    <s v=""/>
    <s v=""/>
    <s v=""/>
    <s v=""/>
    <s v=""/>
    <s v=""/>
  </r>
  <r>
    <s v="Iraq"/>
    <s v="Middle East and North Africa"/>
    <s v="P087735"/>
    <s v="C1"/>
    <s v="S10"/>
    <s v="P087735C1S10"/>
    <s v="Ratio"/>
    <s v="2014 / 2014"/>
    <x v="0"/>
    <s v=""/>
    <n v="1"/>
    <m/>
    <m/>
    <n v="0.99456521739130443"/>
    <n v="0.99456521739130443"/>
    <s v=""/>
    <n v="0"/>
    <n v="0"/>
    <x v="1"/>
    <n v="0"/>
    <s v=""/>
    <s v=""/>
    <s v=""/>
    <s v=""/>
    <s v=""/>
    <s v=""/>
    <s v=""/>
    <s v=""/>
    <s v=""/>
    <s v=""/>
    <s v=""/>
  </r>
  <r>
    <s v="Iraq"/>
    <s v="Middle East and North Africa"/>
    <s v="P087735"/>
    <s v="C1"/>
    <s v="S11"/>
    <s v="P087735C1S11"/>
    <s v="Ratio"/>
    <s v="2014 / 2014"/>
    <x v="1"/>
    <s v=""/>
    <n v="1"/>
    <m/>
    <m/>
    <n v="0.86956521739130443"/>
    <n v="0.86956521739130443"/>
    <s v=""/>
    <n v="0"/>
    <n v="0"/>
    <x v="1"/>
    <n v="0"/>
    <s v=""/>
    <s v=""/>
    <s v=""/>
    <s v=""/>
    <s v=""/>
    <s v=""/>
    <s v=""/>
    <s v=""/>
    <s v=""/>
    <s v=""/>
    <s v=""/>
  </r>
  <r>
    <s v="Iraq"/>
    <s v="Middle East and North Africa"/>
    <s v="P087735"/>
    <s v="C1"/>
    <s v="S12"/>
    <s v="P087735C1S12"/>
    <s v="Ratio"/>
    <s v="2014 / 2014"/>
    <x v="1"/>
    <s v=""/>
    <n v="1"/>
    <m/>
    <m/>
    <n v="0.95"/>
    <n v="0.95000000000000007"/>
    <s v=""/>
    <n v="0"/>
    <n v="0"/>
    <x v="1"/>
    <n v="0"/>
    <s v=""/>
    <s v=""/>
    <s v=""/>
    <s v=""/>
    <s v=""/>
    <s v=""/>
    <s v=""/>
    <s v=""/>
    <s v=""/>
    <s v=""/>
    <s v=""/>
  </r>
  <r>
    <s v="Iraq"/>
    <s v="Middle East and North Africa"/>
    <s v="P087735"/>
    <s v="C1"/>
    <s v="S13"/>
    <s v="P087735C1S13"/>
    <s v="Ratio"/>
    <s v="2014 / 2014"/>
    <x v="1"/>
    <n v="1.4"/>
    <n v="1"/>
    <m/>
    <m/>
    <n v="1.1355932203389829"/>
    <n v="1.1355932203389831"/>
    <s v=""/>
    <n v="0"/>
    <n v="0"/>
    <x v="1"/>
    <n v="0"/>
    <s v=""/>
    <s v=""/>
    <s v=""/>
    <s v=""/>
    <s v=""/>
    <s v=""/>
    <s v=""/>
    <s v=""/>
    <s v=""/>
    <s v=""/>
    <s v=""/>
  </r>
  <r>
    <s v="Iraq"/>
    <s v="Middle East and North Africa"/>
    <s v="P087735"/>
    <s v="C1"/>
    <s v="S2"/>
    <s v="P087735C1S2"/>
    <s v="Ratio"/>
    <s v="2014 / 2014"/>
    <x v="1"/>
    <n v="1.0833333333333333"/>
    <n v="1"/>
    <m/>
    <m/>
    <n v="1"/>
    <n v="1"/>
    <s v=""/>
    <n v="0"/>
    <n v="0"/>
    <x v="1"/>
    <n v="0"/>
    <s v=""/>
    <s v=""/>
    <s v=""/>
    <s v=""/>
    <s v=""/>
    <s v=""/>
    <s v=""/>
    <s v=""/>
    <s v=""/>
    <s v=""/>
    <s v=""/>
  </r>
  <r>
    <s v="Iraq"/>
    <s v="Middle East and North Africa"/>
    <s v="P087735"/>
    <s v="C1"/>
    <s v="S3"/>
    <s v="P087735C1S3"/>
    <s v="Ratio"/>
    <s v="2014 / 2014"/>
    <x v="1"/>
    <n v="1.3076923076923077"/>
    <n v="1"/>
    <m/>
    <m/>
    <n v="1.064516129032258"/>
    <n v="1.064516129032258"/>
    <s v=""/>
    <n v="0"/>
    <n v="0"/>
    <x v="1"/>
    <n v="0"/>
    <s v=""/>
    <s v=""/>
    <s v=""/>
    <s v=""/>
    <s v=""/>
    <s v=""/>
    <s v=""/>
    <s v=""/>
    <s v=""/>
    <s v=""/>
    <s v=""/>
  </r>
  <r>
    <s v="Iraq"/>
    <s v="Middle East and North Africa"/>
    <s v="P087735"/>
    <s v="C1"/>
    <s v="S4"/>
    <s v="P087735C1S4"/>
    <s v="Ratio"/>
    <s v="2014 / 2014"/>
    <x v="1"/>
    <n v="1"/>
    <n v="1"/>
    <m/>
    <m/>
    <n v="0.92307692307692302"/>
    <n v="0.92307692307692302"/>
    <s v=""/>
    <n v="0"/>
    <n v="0"/>
    <x v="1"/>
    <n v="0"/>
    <s v=""/>
    <s v=""/>
    <s v=""/>
    <s v=""/>
    <s v=""/>
    <s v=""/>
    <s v=""/>
    <s v=""/>
    <s v=""/>
    <s v=""/>
    <s v=""/>
  </r>
  <r>
    <s v="Iraq"/>
    <s v="Middle East and North Africa"/>
    <s v="P087735"/>
    <s v="C1"/>
    <s v="S5"/>
    <s v="P087735C1S5"/>
    <s v="Ratio"/>
    <s v="2014 / 2014"/>
    <x v="1"/>
    <n v="1"/>
    <n v="1"/>
    <m/>
    <m/>
    <n v="1"/>
    <n v="1"/>
    <s v=""/>
    <n v="0"/>
    <n v="0"/>
    <x v="1"/>
    <n v="0"/>
    <s v=""/>
    <s v=""/>
    <s v=""/>
    <s v=""/>
    <s v=""/>
    <s v=""/>
    <s v=""/>
    <s v=""/>
    <s v=""/>
    <s v=""/>
    <s v=""/>
  </r>
  <r>
    <s v="Iraq"/>
    <s v="Middle East and North Africa"/>
    <s v="P087735"/>
    <s v="C1"/>
    <s v="S6"/>
    <s v="P087735C1S6"/>
    <s v="Ratio"/>
    <s v="2014 / 2014"/>
    <x v="1"/>
    <s v=""/>
    <n v="1"/>
    <m/>
    <m/>
    <n v="0.8928571428571429"/>
    <n v="0.8928571428571429"/>
    <s v=""/>
    <n v="0"/>
    <n v="0"/>
    <x v="1"/>
    <n v="0"/>
    <s v=""/>
    <s v=""/>
    <s v=""/>
    <s v=""/>
    <s v=""/>
    <s v=""/>
    <s v=""/>
    <s v=""/>
    <s v=""/>
    <s v=""/>
    <s v=""/>
  </r>
  <r>
    <s v="Iraq"/>
    <s v="Middle East and North Africa"/>
    <s v="P087735"/>
    <s v="C1"/>
    <s v="S7"/>
    <s v="P087735C1S7"/>
    <s v="Ratio"/>
    <s v="2014 / 2014"/>
    <x v="1"/>
    <n v="0.9"/>
    <n v="1"/>
    <m/>
    <m/>
    <n v="0.97142857142857142"/>
    <n v="0.97142857142857131"/>
    <s v=""/>
    <n v="0"/>
    <n v="0"/>
    <x v="1"/>
    <n v="0"/>
    <s v=""/>
    <s v=""/>
    <s v=""/>
    <s v=""/>
    <s v=""/>
    <s v=""/>
    <s v=""/>
    <s v=""/>
    <s v=""/>
    <s v=""/>
    <s v=""/>
  </r>
  <r>
    <s v="Iraq"/>
    <s v="Middle East and North Africa"/>
    <s v="P087735"/>
    <s v="C1"/>
    <s v="S8"/>
    <s v="P087735C1S8"/>
    <s v="Ratio"/>
    <s v="2014 / 2014"/>
    <x v="1"/>
    <s v=""/>
    <n v="1"/>
    <m/>
    <m/>
    <n v="1.1428571428571428"/>
    <n v="1.1428571428571428"/>
    <s v=""/>
    <n v="0"/>
    <n v="0"/>
    <x v="1"/>
    <n v="0"/>
    <s v=""/>
    <s v=""/>
    <s v=""/>
    <s v=""/>
    <s v=""/>
    <s v=""/>
    <s v=""/>
    <s v=""/>
    <s v=""/>
    <s v=""/>
    <s v=""/>
  </r>
  <r>
    <s v="Iraq"/>
    <s v="Middle East and North Africa"/>
    <s v="P087735"/>
    <s v="C1"/>
    <s v="S9"/>
    <s v="P087735C1S9"/>
    <s v="Ratio"/>
    <s v="2014 / 2014"/>
    <x v="0"/>
    <s v=""/>
    <n v="1"/>
    <m/>
    <m/>
    <n v="0.99456521739130443"/>
    <n v="0.99456521739130443"/>
    <s v=""/>
    <n v="0"/>
    <n v="0"/>
    <x v="1"/>
    <n v="0"/>
    <s v=""/>
    <s v=""/>
    <s v=""/>
    <s v=""/>
    <s v=""/>
    <s v=""/>
    <s v=""/>
    <s v=""/>
    <s v=""/>
    <s v=""/>
    <s v=""/>
  </r>
  <r>
    <s v="Iraq"/>
    <s v="Middle East and North Africa"/>
    <s v="P087735"/>
    <s v="C2"/>
    <s v=""/>
    <s v="P087735C2"/>
    <s v="Ratio"/>
    <s v="2014 / 2014"/>
    <x v="4"/>
    <s v=""/>
    <n v="1.0581497797356827"/>
    <m/>
    <m/>
    <n v="1.173571953910272"/>
    <n v="1.1090792403731546"/>
    <s v=""/>
    <n v="0"/>
    <n v="0"/>
    <x v="1"/>
    <n v="0"/>
    <s v=""/>
    <s v=""/>
    <s v=""/>
    <s v=""/>
    <s v=""/>
    <s v=""/>
    <s v=""/>
    <s v=""/>
    <s v=""/>
    <s v=""/>
    <s v=""/>
  </r>
  <r>
    <s v="Iraq"/>
    <s v="Middle East and North Africa"/>
    <s v="P087735"/>
    <s v="C2"/>
    <s v="S1"/>
    <s v="P087735C2S1"/>
    <s v="Ratio"/>
    <s v="2014 / 2014"/>
    <x v="4"/>
    <s v=""/>
    <n v="1"/>
    <m/>
    <m/>
    <n v="1.1661891117478511"/>
    <n v="1.1661891117478511"/>
    <s v=""/>
    <n v="0"/>
    <n v="0"/>
    <x v="1"/>
    <n v="0"/>
    <s v=""/>
    <s v=""/>
    <s v=""/>
    <s v=""/>
    <s v=""/>
    <s v=""/>
    <s v=""/>
    <s v=""/>
    <s v=""/>
    <s v=""/>
    <s v=""/>
  </r>
  <r>
    <s v="Iraq"/>
    <s v="Middle East and North Africa"/>
    <s v="P087735"/>
    <s v="C2"/>
    <s v="S2"/>
    <s v="P087735C2S2"/>
    <s v="Ratio"/>
    <s v="2014 / 2014"/>
    <x v="0"/>
    <s v=""/>
    <n v="1"/>
    <m/>
    <m/>
    <n v="1"/>
    <n v="1"/>
    <s v=""/>
    <n v="0"/>
    <n v="0"/>
    <x v="1"/>
    <n v="0"/>
    <s v=""/>
    <s v=""/>
    <s v=""/>
    <s v=""/>
    <s v=""/>
    <s v=""/>
    <s v=""/>
    <s v=""/>
    <s v=""/>
    <s v=""/>
    <s v=""/>
  </r>
  <r>
    <s v="Iraq"/>
    <s v="Middle East and North Africa"/>
    <s v="P087735"/>
    <s v="C2"/>
    <s v="S3"/>
    <s v="P087735C2S3"/>
    <s v="Ratio"/>
    <s v="2014 / 2014"/>
    <x v="8"/>
    <s v=""/>
    <n v="1"/>
    <m/>
    <m/>
    <n v="1"/>
    <n v="1"/>
    <s v=""/>
    <n v="0"/>
    <n v="0"/>
    <x v="1"/>
    <n v="0"/>
    <s v=""/>
    <s v=""/>
    <s v=""/>
    <s v=""/>
    <s v=""/>
    <s v=""/>
    <s v=""/>
    <s v=""/>
    <s v=""/>
    <s v=""/>
    <s v=""/>
  </r>
  <r>
    <s v="Iraq"/>
    <s v="Middle East and North Africa"/>
    <s v="P087735"/>
    <s v="C2"/>
    <s v="S4"/>
    <s v="P087735C2S4"/>
    <s v="Ratio"/>
    <s v="2014 / 2014"/>
    <x v="8"/>
    <s v=""/>
    <n v="1"/>
    <m/>
    <m/>
    <n v="0.95652173913043492"/>
    <n v="0.95652173913043492"/>
    <s v=""/>
    <n v="0"/>
    <n v="0"/>
    <x v="1"/>
    <n v="0"/>
    <s v=""/>
    <s v=""/>
    <s v=""/>
    <s v=""/>
    <s v=""/>
    <s v=""/>
    <s v=""/>
    <s v=""/>
    <s v=""/>
    <s v=""/>
    <s v=""/>
  </r>
  <r>
    <s v="Argentina"/>
    <s v="Latin America and Caribbean"/>
    <s v="P088153"/>
    <s v="C1"/>
    <s v=""/>
    <s v="P088153C1"/>
    <s v="Ratio"/>
    <s v="2004 / 2011"/>
    <x v="1"/>
    <s v=""/>
    <n v="0.60184393118524859"/>
    <m/>
    <m/>
    <n v="2.6362582141476616"/>
    <n v="4.3803020642841988"/>
    <s v="x"/>
    <n v="0"/>
    <n v="0"/>
    <x v="0"/>
    <n v="0"/>
    <n v="1"/>
    <s v=""/>
    <s v=""/>
    <s v=""/>
    <s v=""/>
    <s v=""/>
    <s v=""/>
    <n v="1"/>
    <n v="1"/>
    <s v=""/>
    <s v="Macroeconomic conditions; Competition; Quality of estimates"/>
  </r>
  <r>
    <s v="Ethiopia"/>
    <s v="Sub-Saharan Africa"/>
    <s v="P091077"/>
    <s v="C1"/>
    <s v=""/>
    <s v="P091077C1"/>
    <s v="Ratio"/>
    <s v="2007 / 2015"/>
    <x v="2"/>
    <s v=""/>
    <n v="0.98159135559921418"/>
    <m/>
    <m/>
    <n v="1.4986962676003874"/>
    <n v="1.5268026343666257"/>
    <s v="x"/>
    <n v="0"/>
    <n v="0"/>
    <x v="0"/>
    <n v="0"/>
    <s v=""/>
    <s v=""/>
    <s v=""/>
    <n v="1"/>
    <s v=""/>
    <s v=""/>
    <s v=""/>
    <n v="1"/>
    <s v=""/>
    <s v=""/>
    <s v="Capacity of contractor; Procurement system; Competition"/>
  </r>
  <r>
    <s v="Ethiopia"/>
    <s v="Sub-Saharan Africa"/>
    <s v="P091077"/>
    <s v="C1"/>
    <s v="S1"/>
    <s v="P091077C1S1"/>
    <s v="Ratio"/>
    <s v="2007 / 2015"/>
    <x v="2"/>
    <n v="1.7242009132420091"/>
    <n v="1"/>
    <m/>
    <m/>
    <n v="1.615072463768116"/>
    <n v="1.615072463768116"/>
    <s v="x"/>
    <n v="0"/>
    <n v="0"/>
    <x v="0"/>
    <n v="0"/>
    <s v=""/>
    <s v=""/>
    <s v=""/>
    <n v="1"/>
    <s v=""/>
    <s v=""/>
    <s v=""/>
    <n v="1"/>
    <s v=""/>
    <s v=""/>
    <s v="Capacity of contractor; Procurement system; Competition"/>
  </r>
  <r>
    <s v="Ethiopia"/>
    <s v="Sub-Saharan Africa"/>
    <s v="P091077"/>
    <s v="C1"/>
    <s v="S2"/>
    <s v="P091077C1S2"/>
    <s v="Ratio"/>
    <s v="2007 / 2015"/>
    <x v="0"/>
    <n v="2.0328587075575029"/>
    <n v="1"/>
    <m/>
    <m/>
    <n v="1.4831251660908848"/>
    <n v="1.4831251660908851"/>
    <s v=""/>
    <n v="0"/>
    <n v="0"/>
    <x v="1"/>
    <n v="0"/>
    <s v=""/>
    <s v=""/>
    <s v=""/>
    <s v=""/>
    <s v=""/>
    <s v=""/>
    <s v=""/>
    <s v=""/>
    <s v=""/>
    <s v=""/>
    <s v=""/>
  </r>
  <r>
    <s v="Ethiopia"/>
    <s v="Sub-Saharan Africa"/>
    <s v="P091077"/>
    <s v="C1"/>
    <s v="S3"/>
    <s v="P091077C1S3"/>
    <s v="Ratio"/>
    <s v="2007 / 2015"/>
    <x v="0"/>
    <n v="1.1846994535519126"/>
    <n v="1"/>
    <m/>
    <m/>
    <n v="1.233502538071066"/>
    <n v="1.233502538071066"/>
    <s v=""/>
    <n v="0"/>
    <n v="0"/>
    <x v="1"/>
    <n v="0"/>
    <s v=""/>
    <s v=""/>
    <s v=""/>
    <s v=""/>
    <s v=""/>
    <s v=""/>
    <s v=""/>
    <s v=""/>
    <s v=""/>
    <s v=""/>
    <s v=""/>
  </r>
  <r>
    <s v="Ethiopia"/>
    <s v="Sub-Saharan Africa"/>
    <s v="P091077"/>
    <s v="C1"/>
    <s v="S4"/>
    <s v="P091077C1S4"/>
    <s v="Ratio"/>
    <s v="2007 / 2015"/>
    <x v="2"/>
    <n v="0.9214611872146119"/>
    <n v="1"/>
    <m/>
    <m/>
    <n v="1.6840785624738821"/>
    <n v="1.6840785624738823"/>
    <s v="x"/>
    <n v="0"/>
    <n v="0"/>
    <x v="0"/>
    <n v="0"/>
    <s v=""/>
    <s v=""/>
    <s v=""/>
    <n v="1"/>
    <s v=""/>
    <s v=""/>
    <s v=""/>
    <n v="1"/>
    <s v=""/>
    <s v=""/>
    <s v="Capacity of contractor; Procurement system; Competition"/>
  </r>
  <r>
    <s v="Ethiopia"/>
    <s v="Sub-Saharan Africa"/>
    <s v="P091077"/>
    <s v="C1"/>
    <s v="S5"/>
    <s v="P091077C1S5"/>
    <s v="Ratio"/>
    <s v="2007 / 2015"/>
    <x v="2"/>
    <n v="1.5525114155251141"/>
    <n v="1"/>
    <m/>
    <m/>
    <n v="1.5177656303382301"/>
    <n v="1.5177656303382303"/>
    <s v="x"/>
    <n v="0"/>
    <n v="0"/>
    <x v="0"/>
    <n v="0"/>
    <s v=""/>
    <s v=""/>
    <s v=""/>
    <n v="1"/>
    <s v=""/>
    <s v=""/>
    <s v=""/>
    <n v="1"/>
    <s v=""/>
    <s v=""/>
    <s v="Capacity of contractor; Procurement system; Competition"/>
  </r>
  <r>
    <s v="Ethiopia"/>
    <s v="Sub-Saharan Africa"/>
    <s v="P091077"/>
    <s v="C1"/>
    <s v="S6"/>
    <s v="P091077C1S6"/>
    <s v="Ratio"/>
    <s v="2007 / 2015"/>
    <x v="2"/>
    <n v="1.6703296703296704"/>
    <n v="1"/>
    <m/>
    <m/>
    <n v="0.99041342121030551"/>
    <n v="0.99041342121030562"/>
    <s v=""/>
    <n v="0"/>
    <n v="0"/>
    <x v="1"/>
    <n v="0"/>
    <s v=""/>
    <s v=""/>
    <s v=""/>
    <s v=""/>
    <s v=""/>
    <s v=""/>
    <s v=""/>
    <s v=""/>
    <s v=""/>
    <s v=""/>
    <s v=""/>
  </r>
  <r>
    <s v="Mauritius"/>
    <s v="Sub-Saharan Africa"/>
    <s v="P091828"/>
    <s v="C1"/>
    <s v="S1"/>
    <s v="P091828C1S1"/>
    <s v="Ratio"/>
    <s v="2009 / 2015"/>
    <x v="11"/>
    <s v=""/>
    <n v="1"/>
    <m/>
    <m/>
    <n v="1.5685185185185184"/>
    <n v="1.5685185185185184"/>
    <s v="x"/>
    <n v="0"/>
    <n v="0"/>
    <x v="0"/>
    <n v="0"/>
    <n v="1"/>
    <s v=""/>
    <s v=""/>
    <s v=""/>
    <s v=""/>
    <s v=""/>
    <s v=""/>
    <s v=""/>
    <n v="1"/>
    <s v=""/>
    <s v="Macroeconomic conditions; Quality of estimates; "/>
  </r>
  <r>
    <s v="Mauritius"/>
    <s v="Sub-Saharan Africa"/>
    <s v="P091828"/>
    <s v="C1"/>
    <s v="S2"/>
    <s v="P091828C1S2"/>
    <s v="Ratio"/>
    <s v="2009 / 2015"/>
    <x v="0"/>
    <s v=""/>
    <n v="1"/>
    <m/>
    <m/>
    <n v="0.80862920370621794"/>
    <n v="0.80862920370621794"/>
    <s v=""/>
    <n v="0"/>
    <n v="0"/>
    <x v="1"/>
    <n v="0"/>
    <s v=""/>
    <s v=""/>
    <s v=""/>
    <s v=""/>
    <s v=""/>
    <s v=""/>
    <s v=""/>
    <s v=""/>
    <s v=""/>
    <s v=""/>
    <s v=""/>
  </r>
  <r>
    <s v="Mauritius"/>
    <s v="Sub-Saharan Africa"/>
    <s v="P091828"/>
    <s v="C1"/>
    <s v="S3"/>
    <s v="P091828C1S3"/>
    <s v="Ratio"/>
    <s v="2009 / 2015"/>
    <x v="0"/>
    <s v=""/>
    <n v="1"/>
    <m/>
    <m/>
    <n v="1.917416478588825"/>
    <n v="1.917416478588825"/>
    <s v="x"/>
    <n v="0"/>
    <n v="0"/>
    <x v="0"/>
    <n v="0"/>
    <n v="1"/>
    <s v=""/>
    <s v=""/>
    <s v=""/>
    <s v=""/>
    <s v=""/>
    <s v=""/>
    <s v=""/>
    <s v=""/>
    <n v="1"/>
    <s v="Macroeconomic conditions; Change of project scope; "/>
  </r>
  <r>
    <s v="Mauritius"/>
    <s v="Sub-Saharan Africa"/>
    <s v="P091828"/>
    <s v="C1"/>
    <s v="S4"/>
    <s v="P091828C1S4"/>
    <s v="Ratio"/>
    <s v="2009 / 2015"/>
    <x v="0"/>
    <s v=""/>
    <n v="1"/>
    <m/>
    <m/>
    <n v="0.91823932691746857"/>
    <n v="0.91823932691746857"/>
    <s v=""/>
    <n v="0"/>
    <n v="0"/>
    <x v="1"/>
    <n v="0"/>
    <s v=""/>
    <s v=""/>
    <s v=""/>
    <s v=""/>
    <s v=""/>
    <s v=""/>
    <s v=""/>
    <s v=""/>
    <s v=""/>
    <s v=""/>
    <s v=""/>
  </r>
  <r>
    <s v="Romania"/>
    <s v="Europe and Central Asia"/>
    <s v="P093812"/>
    <s v="C1"/>
    <s v=""/>
    <s v="P093812C1"/>
    <s v="Ratio"/>
    <s v="2006 / 2010"/>
    <x v="8"/>
    <s v=""/>
    <n v="0.75524235132347883"/>
    <m/>
    <m/>
    <n v="1.1146666666666667"/>
    <n v="1.4759059323319681"/>
    <s v=""/>
    <n v="0"/>
    <n v="0"/>
    <x v="1"/>
    <n v="0"/>
    <s v=""/>
    <s v=""/>
    <s v=""/>
    <s v=""/>
    <s v=""/>
    <s v=""/>
    <s v=""/>
    <s v=""/>
    <s v=""/>
    <s v=""/>
    <s v=""/>
  </r>
  <r>
    <s v="China"/>
    <s v="East Asia and Pacific"/>
    <s v="P093906"/>
    <s v="C1"/>
    <s v=""/>
    <s v="P093906C1"/>
    <s v="Ratio"/>
    <s v="2006 / 2011"/>
    <x v="5"/>
    <s v=""/>
    <n v="1"/>
    <m/>
    <m/>
    <n v="1.1404465709728866"/>
    <n v="1.1404465709728868"/>
    <s v=""/>
    <n v="0"/>
    <n v="0"/>
    <x v="1"/>
    <n v="0"/>
    <s v=""/>
    <s v=""/>
    <s v=""/>
    <s v=""/>
    <s v=""/>
    <s v=""/>
    <s v=""/>
    <s v=""/>
    <s v=""/>
    <s v=""/>
    <s v=""/>
  </r>
  <r>
    <s v="China"/>
    <s v="East Asia and Pacific"/>
    <s v="P093906"/>
    <s v="C2"/>
    <s v=""/>
    <s v="P093906C2"/>
    <s v="Ratio"/>
    <s v="2006 / 2011"/>
    <x v="2"/>
    <s v=""/>
    <n v="0.46818727490996398"/>
    <m/>
    <m/>
    <n v="0.22567567567567567"/>
    <n v="0.48202009702009702"/>
    <s v="x"/>
    <n v="0"/>
    <n v="1"/>
    <x v="1"/>
    <n v="1"/>
    <s v=""/>
    <n v="1"/>
    <s v=""/>
    <n v="1"/>
    <s v=""/>
    <s v=""/>
    <s v=""/>
    <s v=""/>
    <s v=""/>
    <n v="1"/>
    <s v="Change of project scope; Political events; Procurement system"/>
  </r>
  <r>
    <s v="Georgia"/>
    <s v="Europe and Central Asia"/>
    <s v="P094044"/>
    <s v="C1"/>
    <s v="S1"/>
    <s v="P094044C1S1"/>
    <s v="Ratio"/>
    <s v="2007 / 2012"/>
    <x v="4"/>
    <n v="1.4"/>
    <n v="1"/>
    <m/>
    <m/>
    <n v="1.6495828367103695"/>
    <n v="1.6495828367103693"/>
    <s v="x"/>
    <n v="0"/>
    <n v="0"/>
    <x v="0"/>
    <n v="0"/>
    <s v=""/>
    <n v="1"/>
    <n v="1"/>
    <s v=""/>
    <s v=""/>
    <s v=""/>
    <s v=""/>
    <s v=""/>
    <n v="1"/>
    <s v=""/>
    <s v="Political events; Quality of estimates; Weather shocks"/>
  </r>
  <r>
    <s v="Azerbaijan"/>
    <s v="Europe and Central Asia"/>
    <s v="P094488"/>
    <s v="C1"/>
    <s v="S1"/>
    <s v="P094488C1S1"/>
    <s v="Ratio"/>
    <s v="2005 / 2005"/>
    <x v="4"/>
    <s v=""/>
    <n v="0.38750000000000001"/>
    <m/>
    <m/>
    <n v="0.69519152404237972"/>
    <n v="1.7940426426900122"/>
    <s v="x"/>
    <n v="0"/>
    <n v="1"/>
    <x v="0"/>
    <n v="0"/>
    <n v="1"/>
    <s v=""/>
    <s v=""/>
    <s v=""/>
    <n v="1"/>
    <s v=""/>
    <s v=""/>
    <n v="1"/>
    <s v=""/>
    <s v=""/>
    <s v="Administrative processes; Macroeconomic conditions; Competition"/>
  </r>
  <r>
    <s v="Azerbaijan"/>
    <s v="Europe and Central Asia"/>
    <s v="P094488"/>
    <s v="C1"/>
    <s v="S2"/>
    <s v="P094488C1S2"/>
    <s v="Ratio"/>
    <s v="2005 / 2005"/>
    <x v="0"/>
    <s v=""/>
    <n v="1"/>
    <m/>
    <m/>
    <n v="1.78125"/>
    <n v="1.78125"/>
    <s v="x"/>
    <n v="0"/>
    <n v="0"/>
    <x v="0"/>
    <n v="0"/>
    <n v="1"/>
    <s v=""/>
    <s v=""/>
    <s v=""/>
    <n v="1"/>
    <s v=""/>
    <s v=""/>
    <n v="1"/>
    <s v=""/>
    <s v=""/>
    <s v="Administrative processes; Macroeconomic conditions; Competition"/>
  </r>
  <r>
    <s v="Angola"/>
    <s v="Sub-Saharan Africa"/>
    <s v="P095229"/>
    <s v="C1"/>
    <s v="S1"/>
    <s v="P095229C1S1"/>
    <s v="Ratio"/>
    <s v="2014 / 2014"/>
    <x v="0"/>
    <s v=""/>
    <n v="0.33333333333333331"/>
    <m/>
    <m/>
    <n v="1.5384615384615385"/>
    <n v="4.6153846153846159"/>
    <s v="x"/>
    <n v="0"/>
    <n v="1"/>
    <x v="0"/>
    <n v="0"/>
    <s v=""/>
    <n v="1"/>
    <s v=""/>
    <s v=""/>
    <n v="1"/>
    <s v=""/>
    <s v=""/>
    <s v=""/>
    <s v=""/>
    <s v=""/>
    <s v="Political events; Administrative processes; "/>
  </r>
  <r>
    <s v="Haiti"/>
    <s v="Latin America and Caribbean"/>
    <s v="P095523"/>
    <s v="C1"/>
    <s v="S1"/>
    <s v="P095523C1S1"/>
    <s v="Ratio"/>
    <s v="2006 / 2014"/>
    <x v="2"/>
    <s v=""/>
    <n v="0.2061855670103093"/>
    <m/>
    <m/>
    <n v="1.1882352941176471"/>
    <n v="5.762941176470588"/>
    <s v="x"/>
    <n v="0"/>
    <n v="1"/>
    <x v="0"/>
    <n v="0"/>
    <s v=""/>
    <s v=""/>
    <n v="1"/>
    <s v=""/>
    <s v=""/>
    <n v="1"/>
    <s v=""/>
    <s v=""/>
    <s v=""/>
    <s v=""/>
    <s v="Capacity of Counterpart; Weather shocks; "/>
  </r>
  <r>
    <s v="Haiti"/>
    <s v="Latin America and Caribbean"/>
    <s v="P095523"/>
    <s v="C1"/>
    <s v="S2"/>
    <s v="P095523C1S2"/>
    <s v="Ratio"/>
    <s v="2006 / 2014"/>
    <x v="2"/>
    <s v=""/>
    <n v="0.63492063492063489"/>
    <m/>
    <m/>
    <n v="3.4041666666666668"/>
    <n v="5.3615624999999998"/>
    <s v="x"/>
    <n v="0"/>
    <n v="0"/>
    <x v="0"/>
    <n v="0"/>
    <s v=""/>
    <s v=""/>
    <n v="1"/>
    <s v=""/>
    <s v=""/>
    <n v="1"/>
    <s v=""/>
    <s v=""/>
    <s v=""/>
    <s v=""/>
    <s v="Capacity of Counterpart; Weather shocks; "/>
  </r>
  <r>
    <s v="Argentina"/>
    <s v="Latin America and Caribbean"/>
    <s v="P095569"/>
    <s v="C1"/>
    <s v=""/>
    <s v="P095569C1"/>
    <s v="Ratio"/>
    <s v="2007 / 2014"/>
    <x v="6"/>
    <s v=""/>
    <n v="1.0112462006079028"/>
    <m/>
    <m/>
    <n v="1.0140478668054111"/>
    <n v="1.0027705085030967"/>
    <s v=""/>
    <n v="0"/>
    <n v="0"/>
    <x v="1"/>
    <n v="0"/>
    <s v=""/>
    <s v=""/>
    <s v=""/>
    <s v=""/>
    <s v=""/>
    <s v=""/>
    <s v=""/>
    <s v=""/>
    <s v=""/>
    <s v=""/>
    <s v=""/>
  </r>
  <r>
    <s v="Peru"/>
    <s v="Latin America and Caribbean"/>
    <s v="P095570"/>
    <s v="C1"/>
    <s v=""/>
    <s v="P095570C1"/>
    <s v="Ratio"/>
    <s v="2006 / 2014"/>
    <x v="10"/>
    <s v=""/>
    <n v="0.79756676557863504"/>
    <m/>
    <m/>
    <n v="1.3032128514056227"/>
    <n v="1.6339859026850763"/>
    <s v="x"/>
    <n v="0"/>
    <n v="0"/>
    <x v="0"/>
    <n v="0"/>
    <n v="1"/>
    <s v=""/>
    <s v=""/>
    <s v=""/>
    <s v=""/>
    <s v=""/>
    <s v=""/>
    <s v=""/>
    <s v=""/>
    <s v=""/>
    <s v="Macroeconomic conditions; ; "/>
  </r>
  <r>
    <s v="Peru"/>
    <s v="Latin America and Caribbean"/>
    <s v="P095570"/>
    <s v="C1"/>
    <s v="S1"/>
    <s v="P095570C1S1"/>
    <s v="Ratio"/>
    <s v="2006 / 2014"/>
    <x v="0"/>
    <s v=""/>
    <n v="1.0923333333333334"/>
    <m/>
    <m/>
    <n v="1.7059548427672957"/>
    <n v="1.5617529839187936"/>
    <s v="x"/>
    <n v="0"/>
    <n v="0"/>
    <x v="0"/>
    <n v="0"/>
    <n v="1"/>
    <s v=""/>
    <s v=""/>
    <s v=""/>
    <s v=""/>
    <s v=""/>
    <s v=""/>
    <s v=""/>
    <s v=""/>
    <s v=""/>
    <s v="Macroeconomic conditions; ; "/>
  </r>
  <r>
    <s v="Peru"/>
    <s v="Latin America and Caribbean"/>
    <s v="P095570"/>
    <s v="C1"/>
    <s v="S2"/>
    <s v="P095570C1S2"/>
    <s v="Ratio"/>
    <s v="2006 / 2014"/>
    <x v="10"/>
    <s v=""/>
    <n v="0.6969642857142857"/>
    <m/>
    <m/>
    <n v="1.2739611464968155"/>
    <n v="1.82787148869643"/>
    <s v="x"/>
    <n v="0"/>
    <n v="0"/>
    <x v="0"/>
    <n v="0"/>
    <n v="1"/>
    <s v=""/>
    <s v=""/>
    <s v=""/>
    <s v=""/>
    <s v=""/>
    <s v=""/>
    <s v=""/>
    <s v=""/>
    <s v=""/>
    <s v="Macroeconomic conditions; ; "/>
  </r>
  <r>
    <s v="Peru"/>
    <s v="Latin America and Caribbean"/>
    <s v="P095570"/>
    <s v="C1"/>
    <s v="S3"/>
    <s v="P095570C1S3"/>
    <s v="Ratio"/>
    <s v="2006 / 2014"/>
    <x v="0"/>
    <s v=""/>
    <n v="0.88905660377358486"/>
    <m/>
    <m/>
    <n v="1.2798240000000001"/>
    <n v="1.43953039049236"/>
    <s v=""/>
    <n v="0"/>
    <n v="0"/>
    <x v="1"/>
    <n v="0"/>
    <s v=""/>
    <s v=""/>
    <s v=""/>
    <s v=""/>
    <s v=""/>
    <s v=""/>
    <s v=""/>
    <s v=""/>
    <s v=""/>
    <s v=""/>
    <s v=""/>
  </r>
  <r>
    <s v="India"/>
    <s v="South Asia"/>
    <s v="P096023"/>
    <s v="C1"/>
    <s v="S1"/>
    <s v="P096023C1S1"/>
    <s v="Ratio"/>
    <s v="2008 / 2017"/>
    <x v="11"/>
    <s v=""/>
    <n v="1"/>
    <m/>
    <m/>
    <n v="0.85423565514273192"/>
    <n v="0.85423565514273192"/>
    <s v=""/>
    <n v="0"/>
    <n v="0"/>
    <x v="1"/>
    <n v="0"/>
    <s v=""/>
    <s v=""/>
    <s v=""/>
    <s v=""/>
    <s v=""/>
    <s v=""/>
    <s v=""/>
    <s v=""/>
    <s v=""/>
    <s v=""/>
    <s v=""/>
  </r>
  <r>
    <s v="India"/>
    <s v="South Asia"/>
    <s v="P096023"/>
    <s v="C1"/>
    <s v="S2"/>
    <s v="P096023C1S2"/>
    <s v="Ratio"/>
    <s v="2008 / 2017"/>
    <x v="11"/>
    <s v=""/>
    <n v="0.95121951219512191"/>
    <m/>
    <m/>
    <n v="1.0446415151059671"/>
    <n v="1.0982128748549911"/>
    <s v=""/>
    <n v="0"/>
    <n v="0"/>
    <x v="1"/>
    <n v="0"/>
    <s v=""/>
    <s v=""/>
    <s v=""/>
    <s v=""/>
    <s v=""/>
    <s v=""/>
    <s v=""/>
    <s v=""/>
    <s v=""/>
    <s v=""/>
    <s v=""/>
  </r>
  <r>
    <s v="Sudan"/>
    <s v="Sub-Saharan Africa"/>
    <s v="P098837"/>
    <s v="C1"/>
    <s v=""/>
    <s v="P098837C1"/>
    <s v="Ratio"/>
    <s v="2011 / 2013"/>
    <x v="2"/>
    <s v=""/>
    <n v="0.43959731543624159"/>
    <m/>
    <m/>
    <n v="1.1415929203539823"/>
    <n v="2.596906032560967"/>
    <s v="x"/>
    <n v="0"/>
    <n v="1"/>
    <x v="0"/>
    <n v="0"/>
    <s v=""/>
    <n v="1"/>
    <s v=""/>
    <s v=""/>
    <s v=""/>
    <n v="1"/>
    <s v=""/>
    <s v=""/>
    <s v=""/>
    <n v="1"/>
    <s v="Change of project scope; Political events; Capacity of Counterpart"/>
  </r>
  <r>
    <s v="Bulgaria"/>
    <s v="Europe and Central Asia"/>
    <s v="P099894"/>
    <s v="C1"/>
    <s v=""/>
    <s v="P099894C1"/>
    <s v="Ratio"/>
    <s v="2007 / 2013"/>
    <x v="1"/>
    <s v=""/>
    <n v="0.68222222222222217"/>
    <m/>
    <m/>
    <n v="0.67988626207157454"/>
    <n v="0.99657595417657496"/>
    <s v=""/>
    <n v="0"/>
    <n v="0"/>
    <x v="1"/>
    <n v="0"/>
    <s v=""/>
    <s v=""/>
    <s v=""/>
    <s v=""/>
    <s v=""/>
    <s v=""/>
    <s v=""/>
    <s v=""/>
    <s v=""/>
    <s v=""/>
    <s v=""/>
  </r>
  <r>
    <s v="Bulgaria"/>
    <s v="Europe and Central Asia"/>
    <s v="P099894"/>
    <s v="C1"/>
    <s v="S1"/>
    <s v="P099894C1S1"/>
    <s v="Ratio"/>
    <s v="2007 / 2013"/>
    <x v="1"/>
    <s v=""/>
    <n v="0.98546042003231016"/>
    <m/>
    <m/>
    <n v="1.1824324324324322"/>
    <n v="1.1998781568453698"/>
    <s v=""/>
    <n v="0"/>
    <n v="0"/>
    <x v="1"/>
    <n v="0"/>
    <s v=""/>
    <s v=""/>
    <s v=""/>
    <s v=""/>
    <s v=""/>
    <s v=""/>
    <s v=""/>
    <s v=""/>
    <s v=""/>
    <s v=""/>
    <s v=""/>
  </r>
  <r>
    <s v="Bulgaria"/>
    <s v="Europe and Central Asia"/>
    <s v="P099894"/>
    <s v="C1"/>
    <s v="S2"/>
    <s v="P099894C1S2"/>
    <s v="Ratio"/>
    <s v="2007 / 2013"/>
    <x v="1"/>
    <s v=""/>
    <n v="1.0629213483146067"/>
    <m/>
    <m/>
    <n v="0.88955162484574235"/>
    <n v="0.83689317770899652"/>
    <s v=""/>
    <n v="0"/>
    <n v="0"/>
    <x v="1"/>
    <n v="0"/>
    <s v=""/>
    <s v=""/>
    <s v=""/>
    <s v=""/>
    <s v=""/>
    <s v=""/>
    <s v=""/>
    <s v=""/>
    <s v=""/>
    <s v=""/>
    <s v=""/>
  </r>
  <r>
    <s v="Bulgaria"/>
    <s v="Europe and Central Asia"/>
    <s v="P099894"/>
    <s v="C1"/>
    <s v="S3"/>
    <s v="P099894C1S3"/>
    <s v="Ratio"/>
    <s v="2007 / 2013"/>
    <x v="1"/>
    <s v=""/>
    <n v="0.75573770491803283"/>
    <m/>
    <m/>
    <n v="0.70315011250401793"/>
    <n v="0.93041555016800637"/>
    <s v=""/>
    <n v="0"/>
    <n v="0"/>
    <x v="1"/>
    <n v="0"/>
    <s v=""/>
    <s v=""/>
    <s v=""/>
    <s v=""/>
    <s v=""/>
    <s v=""/>
    <s v=""/>
    <s v=""/>
    <s v=""/>
    <s v=""/>
    <s v=""/>
  </r>
  <r>
    <s v="Bulgaria"/>
    <s v="Europe and Central Asia"/>
    <s v="P099894"/>
    <s v="C1"/>
    <s v="S4"/>
    <s v="P099894C1S4"/>
    <s v="Ratio"/>
    <s v="2007 / 2013"/>
    <x v="1"/>
    <s v=""/>
    <n v="0.99105545617173529"/>
    <m/>
    <m/>
    <n v="0.58760683760683752"/>
    <n v="0.59291014841556355"/>
    <s v=""/>
    <n v="0"/>
    <n v="0"/>
    <x v="1"/>
    <n v="0"/>
    <s v=""/>
    <s v=""/>
    <s v=""/>
    <s v=""/>
    <s v=""/>
    <s v=""/>
    <s v=""/>
    <s v=""/>
    <s v=""/>
    <s v=""/>
    <s v=""/>
  </r>
  <r>
    <s v="Bulgaria"/>
    <s v="Europe and Central Asia"/>
    <s v="P099894"/>
    <s v="C1"/>
    <s v="S5"/>
    <s v="P099894C1S5"/>
    <s v="Ratio"/>
    <s v="2007 / 2013"/>
    <x v="1"/>
    <s v=""/>
    <n v="0.96769230769230763"/>
    <m/>
    <m/>
    <n v="0.90729274165806661"/>
    <n v="0.937583914273042"/>
    <s v=""/>
    <n v="0"/>
    <n v="0"/>
    <x v="1"/>
    <n v="0"/>
    <s v=""/>
    <s v=""/>
    <s v=""/>
    <s v=""/>
    <s v=""/>
    <s v=""/>
    <s v=""/>
    <s v=""/>
    <s v=""/>
    <s v=""/>
    <s v=""/>
  </r>
  <r>
    <s v="Bulgaria"/>
    <s v="Europe and Central Asia"/>
    <s v="P099894"/>
    <s v="C1"/>
    <s v="S6"/>
    <s v="P099894C1S6"/>
    <s v="Ratio"/>
    <s v="2007 / 2013"/>
    <x v="1"/>
    <s v=""/>
    <n v="0.9507692307692307"/>
    <m/>
    <m/>
    <n v="0.65261044176706828"/>
    <n v="0.68640256820160894"/>
    <s v=""/>
    <n v="0"/>
    <n v="0"/>
    <x v="1"/>
    <n v="0"/>
    <s v=""/>
    <s v=""/>
    <s v=""/>
    <s v=""/>
    <s v=""/>
    <s v=""/>
    <s v=""/>
    <s v=""/>
    <s v=""/>
    <s v=""/>
    <s v=""/>
  </r>
  <r>
    <s v="Bhutan"/>
    <s v="South Asia"/>
    <s v="P100332"/>
    <s v="C1"/>
    <s v=""/>
    <s v="P100332C1"/>
    <s v="Ratio"/>
    <s v="2007 / 2013"/>
    <x v="7"/>
    <s v=""/>
    <n v="1.0112359550561798"/>
    <m/>
    <m/>
    <n v="1.245977011494253"/>
    <n v="1.23213282247765"/>
    <s v=""/>
    <n v="0"/>
    <n v="0"/>
    <x v="1"/>
    <n v="0"/>
    <s v=""/>
    <s v=""/>
    <s v=""/>
    <s v=""/>
    <s v=""/>
    <s v=""/>
    <s v=""/>
    <s v=""/>
    <s v=""/>
    <s v=""/>
    <s v=""/>
  </r>
  <r>
    <s v="Bhutan"/>
    <s v="South Asia"/>
    <s v="P100332"/>
    <s v="C1"/>
    <s v="S1"/>
    <s v="P100332C1S1"/>
    <s v="Ratio"/>
    <s v="2007 / 2013"/>
    <x v="7"/>
    <s v=""/>
    <n v="0.86350364963503656"/>
    <m/>
    <m/>
    <n v="0.83"/>
    <n v="0.96120033812341499"/>
    <s v=""/>
    <n v="0"/>
    <n v="0"/>
    <x v="1"/>
    <n v="0"/>
    <s v=""/>
    <s v=""/>
    <s v=""/>
    <s v=""/>
    <s v=""/>
    <s v=""/>
    <s v=""/>
    <s v=""/>
    <s v=""/>
    <s v=""/>
    <s v=""/>
  </r>
  <r>
    <s v="Bhutan"/>
    <s v="South Asia"/>
    <s v="P100332"/>
    <s v="C1"/>
    <s v="S2"/>
    <s v="P100332C1S2"/>
    <s v="Ratio"/>
    <s v="2007 / 2013"/>
    <x v="7"/>
    <s v=""/>
    <n v="1.1863636363636365"/>
    <m/>
    <m/>
    <n v="1.276"/>
    <n v="1.0755555555555556"/>
    <s v=""/>
    <n v="0"/>
    <n v="0"/>
    <x v="1"/>
    <n v="0"/>
    <s v=""/>
    <s v=""/>
    <s v=""/>
    <s v=""/>
    <s v=""/>
    <s v=""/>
    <s v=""/>
    <s v=""/>
    <s v=""/>
    <s v=""/>
    <s v=""/>
  </r>
  <r>
    <s v="Bhutan"/>
    <s v="South Asia"/>
    <s v="P100332"/>
    <s v="C1"/>
    <s v="S3"/>
    <s v="P100332C1S3"/>
    <s v="Ratio"/>
    <s v="2007 / 2013"/>
    <x v="7"/>
    <s v=""/>
    <n v="1"/>
    <m/>
    <m/>
    <n v="1.2242424242424244"/>
    <n v="1.2242424242424244"/>
    <s v=""/>
    <n v="0"/>
    <n v="0"/>
    <x v="1"/>
    <n v="0"/>
    <s v=""/>
    <s v=""/>
    <s v=""/>
    <s v=""/>
    <s v=""/>
    <s v=""/>
    <s v=""/>
    <s v=""/>
    <s v=""/>
    <s v=""/>
    <s v=""/>
  </r>
  <r>
    <s v="China"/>
    <s v="East Asia and Pacific"/>
    <s v="P101258"/>
    <s v="C1"/>
    <s v=""/>
    <s v="P101258C1"/>
    <s v="Ratio"/>
    <s v="2009 / 2016"/>
    <x v="5"/>
    <s v=""/>
    <n v="1"/>
    <m/>
    <m/>
    <n v="1.1853444955949355"/>
    <n v="1.1853444955949353"/>
    <s v=""/>
    <n v="0"/>
    <n v="0"/>
    <x v="1"/>
    <n v="0"/>
    <s v=""/>
    <s v=""/>
    <s v=""/>
    <s v=""/>
    <s v=""/>
    <s v=""/>
    <s v=""/>
    <s v=""/>
    <s v=""/>
    <s v=""/>
    <s v=""/>
  </r>
  <r>
    <s v="Afghanistan"/>
    <s v="South Asia"/>
    <s v="P107101"/>
    <s v="C1"/>
    <s v="S1"/>
    <s v="P107101C1S1"/>
    <s v="Ratio"/>
    <s v="2010 / 2012"/>
    <x v="1"/>
    <n v="8.25"/>
    <n v="1"/>
    <m/>
    <m/>
    <n v="0.99789156626506037"/>
    <n v="0.99789156626506026"/>
    <s v=""/>
    <n v="0"/>
    <n v="0"/>
    <x v="1"/>
    <n v="0"/>
    <s v=""/>
    <s v=""/>
    <s v=""/>
    <s v=""/>
    <s v=""/>
    <s v=""/>
    <s v=""/>
    <s v=""/>
    <s v=""/>
    <s v=""/>
    <s v=""/>
  </r>
  <r>
    <s v="Afghanistan"/>
    <s v="South Asia"/>
    <s v="P107101"/>
    <s v="C1"/>
    <s v="S2"/>
    <s v="P107101C1S2"/>
    <s v="Ratio"/>
    <s v="2010 / 2012"/>
    <x v="1"/>
    <n v="8.25"/>
    <n v="1"/>
    <m/>
    <m/>
    <n v="0.98597402597402595"/>
    <n v="0.98597402597402584"/>
    <s v=""/>
    <n v="0"/>
    <n v="0"/>
    <x v="1"/>
    <n v="0"/>
    <s v=""/>
    <s v=""/>
    <s v=""/>
    <s v=""/>
    <s v=""/>
    <s v=""/>
    <s v=""/>
    <s v=""/>
    <s v=""/>
    <s v=""/>
    <s v=""/>
  </r>
  <r>
    <s v="Afghanistan"/>
    <s v="South Asia"/>
    <s v="P107101"/>
    <s v="C1"/>
    <s v="S3"/>
    <s v="P107101C1S3"/>
    <s v="Ratio"/>
    <s v="2010 / 2012"/>
    <x v="1"/>
    <n v="7.5"/>
    <n v="1"/>
    <m/>
    <m/>
    <n v="0.74125874125874136"/>
    <n v="0.74125874125874147"/>
    <s v=""/>
    <n v="0"/>
    <n v="0"/>
    <x v="1"/>
    <n v="0"/>
    <s v=""/>
    <s v=""/>
    <s v=""/>
    <s v=""/>
    <s v=""/>
    <s v=""/>
    <s v=""/>
    <s v=""/>
    <s v=""/>
    <s v=""/>
    <s v=""/>
  </r>
  <r>
    <s v="Afghanistan"/>
    <s v="South Asia"/>
    <s v="P107101"/>
    <s v="C1"/>
    <s v="S4"/>
    <s v="P107101C1S4"/>
    <s v="Ratio"/>
    <s v="2010 / 2012"/>
    <x v="1"/>
    <n v="7.5"/>
    <n v="1"/>
    <m/>
    <m/>
    <n v="0.66279069767441867"/>
    <n v="0.66279069767441856"/>
    <s v=""/>
    <n v="0"/>
    <n v="0"/>
    <x v="1"/>
    <n v="0"/>
    <s v=""/>
    <s v=""/>
    <s v=""/>
    <s v=""/>
    <s v=""/>
    <s v=""/>
    <s v=""/>
    <s v=""/>
    <s v=""/>
    <s v=""/>
    <s v=""/>
  </r>
  <r>
    <s v="Macedonia, FYR"/>
    <s v="Europe and Central Asia"/>
    <s v="P107840"/>
    <s v="C1"/>
    <s v="S1"/>
    <s v="P107840C1S1"/>
    <s v="Ratio"/>
    <s v="2008 / 2016"/>
    <x v="0"/>
    <s v=""/>
    <n v="1.2565789473684212"/>
    <m/>
    <m/>
    <n v="1.2003254658385092"/>
    <n v="0.95523283145263549"/>
    <s v=""/>
    <n v="0"/>
    <n v="0"/>
    <x v="1"/>
    <n v="0"/>
    <s v=""/>
    <s v=""/>
    <s v=""/>
    <s v=""/>
    <s v=""/>
    <n v="1"/>
    <s v=""/>
    <s v=""/>
    <s v=""/>
    <s v=""/>
    <s v="Capacity of Counterpart; ; "/>
  </r>
  <r>
    <s v="Macedonia, FYR"/>
    <s v="Europe and Central Asia"/>
    <s v="P107840"/>
    <s v="C1"/>
    <s v="S10"/>
    <s v="P107840C1S10"/>
    <s v="Ratio"/>
    <s v="2008 / 2016"/>
    <x v="0"/>
    <s v=""/>
    <n v="0.72928176795580102"/>
    <m/>
    <m/>
    <n v="0.88368000000000013"/>
    <n v="1.2117127272727277"/>
    <s v=""/>
    <n v="0"/>
    <n v="0"/>
    <x v="1"/>
    <n v="0"/>
    <s v=""/>
    <s v=""/>
    <s v=""/>
    <s v=""/>
    <s v=""/>
    <s v=""/>
    <s v=""/>
    <s v=""/>
    <n v="1"/>
    <s v=""/>
    <s v="; Quality of estimates; "/>
  </r>
  <r>
    <s v="Macedonia, FYR"/>
    <s v="Europe and Central Asia"/>
    <s v="P107840"/>
    <s v="C1"/>
    <s v="S11"/>
    <s v="P107840C1S11"/>
    <s v="Ratio"/>
    <s v="2008 / 2016"/>
    <x v="0"/>
    <s v=""/>
    <n v="0.86832740213523119"/>
    <m/>
    <m/>
    <n v="0.78554452554744525"/>
    <n v="0.90466398229029565"/>
    <s v=""/>
    <n v="0"/>
    <n v="0"/>
    <x v="1"/>
    <n v="0"/>
    <s v=""/>
    <s v=""/>
    <s v=""/>
    <s v=""/>
    <s v=""/>
    <n v="1"/>
    <s v=""/>
    <s v=""/>
    <n v="1"/>
    <s v=""/>
    <s v="Capacity of Counterpart; Quality of estimates; "/>
  </r>
  <r>
    <s v="Macedonia, FYR"/>
    <s v="Europe and Central Asia"/>
    <s v="P107840"/>
    <s v="C1"/>
    <s v="S2"/>
    <s v="P107840C1S2"/>
    <s v="Ratio"/>
    <s v="2008 / 2016"/>
    <x v="0"/>
    <s v=""/>
    <n v="0.93157894736842106"/>
    <m/>
    <m/>
    <n v="0.7023468208092486"/>
    <n v="0.75393161555795041"/>
    <s v=""/>
    <n v="0"/>
    <n v="0"/>
    <x v="1"/>
    <n v="0"/>
    <s v=""/>
    <s v=""/>
    <s v=""/>
    <s v=""/>
    <s v=""/>
    <n v="1"/>
    <s v=""/>
    <s v=""/>
    <s v=""/>
    <s v=""/>
    <s v="Capacity of Counterpart; ; "/>
  </r>
  <r>
    <s v="Macedonia, FYR"/>
    <s v="Europe and Central Asia"/>
    <s v="P107840"/>
    <s v="C1"/>
    <s v="S3"/>
    <s v="P107840C1S3"/>
    <s v="Ratio"/>
    <s v="2008 / 2016"/>
    <x v="0"/>
    <s v=""/>
    <n v="1.2324723247232472"/>
    <m/>
    <m/>
    <n v="1.2288138808559859"/>
    <n v="0.99703162189213235"/>
    <s v=""/>
    <n v="0"/>
    <n v="0"/>
    <x v="1"/>
    <n v="0"/>
    <s v=""/>
    <s v=""/>
    <s v=""/>
    <s v=""/>
    <s v=""/>
    <s v=""/>
    <s v=""/>
    <s v=""/>
    <n v="1"/>
    <s v=""/>
    <s v="; Quality of estimates; "/>
  </r>
  <r>
    <s v="Macedonia, FYR"/>
    <s v="Europe and Central Asia"/>
    <s v="P107840"/>
    <s v="C1"/>
    <s v="S4"/>
    <s v="P107840C1S4"/>
    <s v="Ratio"/>
    <s v="2008 / 2016"/>
    <x v="0"/>
    <s v=""/>
    <n v="1.2434782608695654"/>
    <m/>
    <m/>
    <n v="0.72738285714285711"/>
    <n v="0.58495824175824163"/>
    <s v=""/>
    <n v="0"/>
    <n v="0"/>
    <x v="1"/>
    <n v="0"/>
    <s v=""/>
    <s v=""/>
    <s v=""/>
    <s v=""/>
    <s v=""/>
    <n v="1"/>
    <s v=""/>
    <s v=""/>
    <n v="1"/>
    <s v=""/>
    <s v="Capacity of Counterpart; Quality of estimates; "/>
  </r>
  <r>
    <s v="Macedonia, FYR"/>
    <s v="Europe and Central Asia"/>
    <s v="P107840"/>
    <s v="C1"/>
    <s v="S5"/>
    <s v="P107840C1S5"/>
    <s v="Ratio"/>
    <s v="2008 / 2016"/>
    <x v="0"/>
    <s v=""/>
    <n v="1.0079051383399209"/>
    <m/>
    <m/>
    <n v="1.2851388819875778"/>
    <n v="1.275059361344538"/>
    <s v=""/>
    <n v="0"/>
    <n v="0"/>
    <x v="1"/>
    <n v="0"/>
    <s v=""/>
    <s v=""/>
    <s v=""/>
    <s v=""/>
    <s v=""/>
    <n v="1"/>
    <s v=""/>
    <s v=""/>
    <s v=""/>
    <s v=""/>
    <s v="Capacity of Counterpart; ; "/>
  </r>
  <r>
    <s v="Macedonia, FYR"/>
    <s v="Europe and Central Asia"/>
    <s v="P107840"/>
    <s v="C1"/>
    <s v="S6"/>
    <s v="P107840C1S6"/>
    <s v="Ratio"/>
    <s v="2008 / 2016"/>
    <x v="0"/>
    <s v=""/>
    <n v="1.0999999999999999"/>
    <m/>
    <m/>
    <n v="2.2069457142857143"/>
    <n v="2.0063142857142857"/>
    <s v="x"/>
    <n v="0"/>
    <n v="0"/>
    <x v="0"/>
    <n v="0"/>
    <s v=""/>
    <s v=""/>
    <n v="1"/>
    <s v=""/>
    <s v=""/>
    <n v="1"/>
    <s v=""/>
    <s v=""/>
    <n v="1"/>
    <s v=""/>
    <s v="Capacity of Counterpart; Quality of estimates; Weather shocks"/>
  </r>
  <r>
    <s v="Macedonia, FYR"/>
    <s v="Europe and Central Asia"/>
    <s v="P107840"/>
    <s v="C1"/>
    <s v="S7"/>
    <s v="P107840C1S7"/>
    <s v="Ratio"/>
    <s v="2008 / 2016"/>
    <x v="0"/>
    <s v=""/>
    <n v="1.3741007194244605"/>
    <m/>
    <m/>
    <n v="1.0935471309853582"/>
    <n v="0.79582749323018209"/>
    <s v=""/>
    <n v="0"/>
    <n v="0"/>
    <x v="1"/>
    <n v="0"/>
    <s v=""/>
    <s v=""/>
    <s v=""/>
    <s v=""/>
    <s v=""/>
    <s v=""/>
    <s v=""/>
    <s v=""/>
    <s v=""/>
    <s v=""/>
    <s v=""/>
  </r>
  <r>
    <s v="Macedonia, FYR"/>
    <s v="Europe and Central Asia"/>
    <s v="P107840"/>
    <s v="C1"/>
    <s v="S8"/>
    <s v="P107840C1S8"/>
    <s v="Ratio"/>
    <s v="2008 / 2016"/>
    <x v="0"/>
    <s v=""/>
    <n v="1.0277777777777777"/>
    <m/>
    <m/>
    <n v="1.1672801393728223"/>
    <n v="1.135732027497881"/>
    <s v=""/>
    <n v="0"/>
    <n v="0"/>
    <x v="1"/>
    <n v="0"/>
    <s v=""/>
    <s v=""/>
    <s v=""/>
    <s v=""/>
    <s v=""/>
    <s v=""/>
    <s v=""/>
    <s v=""/>
    <s v=""/>
    <s v=""/>
    <s v=""/>
  </r>
  <r>
    <s v="Macedonia, FYR"/>
    <s v="Europe and Central Asia"/>
    <s v="P107840"/>
    <s v="C1"/>
    <s v="S9"/>
    <s v="P107840C1S9"/>
    <s v="Ratio"/>
    <s v="2008 / 2016"/>
    <x v="0"/>
    <s v=""/>
    <n v="0.72868217054263562"/>
    <m/>
    <m/>
    <n v="0.4500496375266525"/>
    <n v="0.61762131107381035"/>
    <s v=""/>
    <n v="0"/>
    <n v="0"/>
    <x v="1"/>
    <n v="0"/>
    <s v=""/>
    <s v=""/>
    <s v=""/>
    <s v=""/>
    <s v=""/>
    <s v=""/>
    <s v=""/>
    <s v=""/>
    <s v=""/>
    <s v=""/>
    <s v=""/>
  </r>
  <r>
    <s v="Sri Lanka"/>
    <s v="South Asia"/>
    <s v="P107847"/>
    <s v="C1"/>
    <s v="S1"/>
    <s v="P107847C1S1"/>
    <s v="Ratio"/>
    <s v="2009 / 2015"/>
    <x v="11"/>
    <n v="0.98333333333333328"/>
    <n v="0.78193333333333337"/>
    <m/>
    <m/>
    <n v="1.41643059490085"/>
    <n v="1.8114467493829609"/>
    <s v="x"/>
    <n v="0"/>
    <n v="0"/>
    <x v="0"/>
    <n v="0"/>
    <n v="1"/>
    <s v=""/>
    <n v="1"/>
    <s v=""/>
    <s v=""/>
    <s v=""/>
    <s v=""/>
    <s v=""/>
    <n v="1"/>
    <s v=""/>
    <s v="Quality of estimates; Macroeconomic conditions; Weather shocks"/>
  </r>
  <r>
    <s v="Sri Lanka"/>
    <s v="South Asia"/>
    <s v="P107847"/>
    <s v="C1"/>
    <s v="S2"/>
    <s v="P107847C1S2"/>
    <s v="Ratio"/>
    <s v="2009 / 2015"/>
    <x v="11"/>
    <n v="0.98333333333333328"/>
    <n v="0.59150000000000003"/>
    <m/>
    <m/>
    <n v="1.4285714285714286"/>
    <n v="2.4151672503320851"/>
    <s v="x"/>
    <n v="0"/>
    <n v="0"/>
    <x v="0"/>
    <n v="0"/>
    <n v="1"/>
    <s v=""/>
    <s v=""/>
    <s v=""/>
    <s v=""/>
    <n v="1"/>
    <s v=""/>
    <s v=""/>
    <s v=""/>
    <s v=""/>
    <s v="Macroeconomic conditions; Capacity of counterpart; "/>
  </r>
  <r>
    <s v="Sri Lanka"/>
    <s v="South Asia"/>
    <s v="P107847"/>
    <s v="C1"/>
    <s v="S3"/>
    <s v="P107847C1S3"/>
    <s v="Ratio"/>
    <s v="2009 / 2015"/>
    <x v="11"/>
    <n v="0.98333333333333328"/>
    <n v="0.55720000000000003"/>
    <m/>
    <m/>
    <n v="1.4285714285714286"/>
    <n v="2.5638396061942363"/>
    <s v="x"/>
    <n v="0"/>
    <n v="0"/>
    <x v="0"/>
    <n v="0"/>
    <n v="1"/>
    <s v=""/>
    <s v=""/>
    <s v=""/>
    <s v=""/>
    <s v=""/>
    <n v="1"/>
    <s v=""/>
    <s v=""/>
    <s v=""/>
    <s v="Macroeconomic conditions; Capacity of contractors; "/>
  </r>
  <r>
    <s v="Honduras"/>
    <s v="Latin America and Caribbean"/>
    <s v="P109058"/>
    <s v="C1"/>
    <s v="S1"/>
    <s v="P109058C1S1"/>
    <s v="Ratio"/>
    <s v="2008 / 2015"/>
    <x v="2"/>
    <s v=""/>
    <n v="1"/>
    <m/>
    <m/>
    <n v="1.0847658565500888"/>
    <n v="1.0847658565500891"/>
    <s v=""/>
    <n v="0"/>
    <n v="0"/>
    <x v="1"/>
    <n v="0"/>
    <s v=""/>
    <s v=""/>
    <s v=""/>
    <s v=""/>
    <s v=""/>
    <s v=""/>
    <s v=""/>
    <s v=""/>
    <s v=""/>
    <s v=""/>
    <s v=""/>
  </r>
  <r>
    <s v="Honduras"/>
    <s v="Latin America and Caribbean"/>
    <s v="P109058"/>
    <s v="C1"/>
    <s v="S2"/>
    <s v="P109058C1S2"/>
    <s v="Ratio"/>
    <s v="2008 / 2015"/>
    <x v="2"/>
    <s v=""/>
    <n v="1"/>
    <m/>
    <m/>
    <n v="1.2946690099589924"/>
    <n v="1.2946690099589926"/>
    <s v=""/>
    <n v="0"/>
    <n v="0"/>
    <x v="1"/>
    <n v="0"/>
    <s v=""/>
    <s v=""/>
    <s v=""/>
    <s v=""/>
    <s v=""/>
    <s v=""/>
    <s v=""/>
    <s v=""/>
    <s v=""/>
    <s v=""/>
    <s v=""/>
  </r>
  <r>
    <s v="Honduras"/>
    <s v="Latin America and Caribbean"/>
    <s v="P109058"/>
    <s v="C1"/>
    <s v="S3"/>
    <s v="P109058C1S3"/>
    <s v="Ratio"/>
    <s v="2008 / 2015"/>
    <x v="2"/>
    <s v=""/>
    <n v="0.36363636363636365"/>
    <m/>
    <m/>
    <n v="1.1426959954878737"/>
    <n v="3.1424139875916528"/>
    <s v="x"/>
    <n v="0"/>
    <n v="1"/>
    <x v="0"/>
    <n v="0"/>
    <s v=""/>
    <n v="1"/>
    <n v="1"/>
    <s v=""/>
    <s v=""/>
    <s v=""/>
    <s v=""/>
    <s v=""/>
    <s v=""/>
    <s v=""/>
    <s v="Weather shocks; Political events; "/>
  </r>
  <r>
    <s v="Belarus"/>
    <s v="Europe and Central Asia"/>
    <s v="P118375"/>
    <s v="C1"/>
    <s v="S1"/>
    <s v="P118375C1S1"/>
    <s v="Ratio"/>
    <s v="2010 / 2016"/>
    <x v="12"/>
    <n v="0.77419354838709675"/>
    <n v="1"/>
    <m/>
    <m/>
    <n v="0.83851508120649654"/>
    <n v="0.83851508120649654"/>
    <s v=""/>
    <n v="0"/>
    <n v="0"/>
    <x v="1"/>
    <n v="0"/>
    <s v=""/>
    <s v=""/>
    <s v=""/>
    <s v=""/>
    <s v=""/>
    <s v=""/>
    <s v=""/>
    <s v=""/>
    <s v=""/>
    <s v=""/>
    <s v=""/>
  </r>
  <r>
    <s v="Belarus"/>
    <s v="Europe and Central Asia"/>
    <s v="P118375"/>
    <s v="C1"/>
    <s v="S2"/>
    <s v="P118375C1S2"/>
    <s v="Ratio"/>
    <s v="2010 / 2016"/>
    <x v="12"/>
    <n v="0.77419354838709675"/>
    <n v="1"/>
    <m/>
    <m/>
    <n v="1.3287937743190661"/>
    <n v="1.3287937743190661"/>
    <s v=""/>
    <n v="0"/>
    <n v="0"/>
    <x v="1"/>
    <n v="0"/>
    <s v=""/>
    <s v=""/>
    <s v=""/>
    <s v=""/>
    <s v=""/>
    <s v=""/>
    <s v=""/>
    <s v=""/>
    <s v=""/>
    <s v=""/>
    <s v=""/>
  </r>
  <r>
    <s v="Belarus"/>
    <s v="Europe and Central Asia"/>
    <s v="P118375"/>
    <s v="C1"/>
    <s v="S3"/>
    <s v="P118375C1S3"/>
    <s v="Ratio"/>
    <s v="2010 / 2016"/>
    <x v="12"/>
    <n v="0.77419354838709675"/>
    <n v="1"/>
    <m/>
    <m/>
    <n v="0.81219512195121946"/>
    <n v="0.81219512195121946"/>
    <s v=""/>
    <n v="0"/>
    <n v="0"/>
    <x v="1"/>
    <n v="0"/>
    <s v=""/>
    <s v=""/>
    <s v=""/>
    <s v=""/>
    <s v=""/>
    <s v=""/>
    <s v=""/>
    <s v=""/>
    <s v=""/>
    <s v=""/>
    <s v=""/>
  </r>
  <r>
    <s v="Belarus"/>
    <s v="Europe and Central Asia"/>
    <s v="P118375"/>
    <s v="C1"/>
    <s v="S4"/>
    <s v="P118375C1S4"/>
    <s v="Ratio"/>
    <s v="2010 / 2016"/>
    <x v="12"/>
    <n v="0.77419354838709675"/>
    <n v="1"/>
    <m/>
    <m/>
    <n v="1.4740384615384614"/>
    <n v="1.4740384615384614"/>
    <s v=""/>
    <n v="0"/>
    <n v="0"/>
    <x v="1"/>
    <n v="0"/>
    <s v=""/>
    <s v=""/>
    <s v=""/>
    <s v=""/>
    <s v=""/>
    <s v=""/>
    <s v=""/>
    <s v=""/>
    <s v=""/>
    <s v=""/>
    <s v=""/>
  </r>
  <r>
    <s v="South Sudan"/>
    <s v="Sub-Saharan Africa"/>
    <s v="P118579"/>
    <s v="C1"/>
    <s v="S1"/>
    <s v="P118579C1S1"/>
    <s v="Ratio"/>
    <s v="2010 / 2013"/>
    <x v="3"/>
    <s v=""/>
    <n v="0.84848484848484851"/>
    <m/>
    <m/>
    <n v="0.98406244458762893"/>
    <n v="1.1597878811211342"/>
    <s v=""/>
    <n v="0"/>
    <n v="0"/>
    <x v="1"/>
    <n v="0"/>
    <s v=""/>
    <s v=""/>
    <s v=""/>
    <s v=""/>
    <s v=""/>
    <s v=""/>
    <s v=""/>
    <s v=""/>
    <s v=""/>
    <s v=""/>
    <s v=""/>
  </r>
  <r>
    <s v="South Sudan"/>
    <s v="Sub-Saharan Africa"/>
    <s v="P118579"/>
    <s v="C1"/>
    <s v="S2"/>
    <s v="P118579C1S2"/>
    <s v="Ratio"/>
    <s v="2010 / 2013"/>
    <x v="3"/>
    <s v=""/>
    <n v="0.70625000000000004"/>
    <m/>
    <m/>
    <n v="1.0144039270588237"/>
    <n v="1.4363241445080688"/>
    <s v=""/>
    <n v="0"/>
    <n v="0"/>
    <x v="1"/>
    <n v="0"/>
    <s v=""/>
    <s v=""/>
    <s v=""/>
    <s v=""/>
    <s v=""/>
    <s v=""/>
    <s v=""/>
    <s v=""/>
    <s v=""/>
    <s v=""/>
    <s v=""/>
  </r>
  <r>
    <s v="South Sudan"/>
    <s v="Sub-Saharan Africa"/>
    <s v="P118579"/>
    <s v="C1"/>
    <s v="S3"/>
    <s v="P118579C1S3"/>
    <s v="Ratio"/>
    <s v="2010 / 2013"/>
    <x v="3"/>
    <s v=""/>
    <n v="0.79473684210526319"/>
    <m/>
    <m/>
    <n v="1.1176118740740741"/>
    <n v="1.4062665965170469"/>
    <s v=""/>
    <n v="0"/>
    <n v="0"/>
    <x v="1"/>
    <n v="0"/>
    <s v=""/>
    <s v=""/>
    <s v=""/>
    <s v=""/>
    <s v=""/>
    <s v=""/>
    <s v=""/>
    <s v=""/>
    <s v=""/>
    <s v=""/>
    <s v=""/>
  </r>
  <r>
    <s v="South Sudan"/>
    <s v="Sub-Saharan Africa"/>
    <s v="P118579"/>
    <s v="C1"/>
    <s v="S4"/>
    <s v="P118579C1S4"/>
    <s v="Ratio"/>
    <s v="2010 / 2013"/>
    <x v="3"/>
    <s v=""/>
    <n v="0.95102040816326527"/>
    <m/>
    <m/>
    <n v="0.95798102592592582"/>
    <n v="1.0073191045143857"/>
    <s v=""/>
    <n v="0"/>
    <n v="0"/>
    <x v="1"/>
    <n v="0"/>
    <s v=""/>
    <s v=""/>
    <s v=""/>
    <s v=""/>
    <s v=""/>
    <s v=""/>
    <s v=""/>
    <s v=""/>
    <s v=""/>
    <s v=""/>
    <s v=""/>
  </r>
  <r>
    <s v="South Sudan"/>
    <s v="Sub-Saharan Africa"/>
    <s v="P118579"/>
    <s v="C1"/>
    <s v="S5"/>
    <s v="P118579C1S5"/>
    <s v="Ratio"/>
    <s v="2010 / 2013"/>
    <x v="3"/>
    <s v=""/>
    <n v="0.44791666666666669"/>
    <m/>
    <m/>
    <n v="0.76475004608294939"/>
    <n v="1.7073489400921662"/>
    <s v="x"/>
    <n v="0"/>
    <n v="1"/>
    <x v="0"/>
    <n v="0"/>
    <s v=""/>
    <n v="1"/>
    <s v=""/>
    <s v=""/>
    <s v=""/>
    <n v="1"/>
    <s v=""/>
    <s v=""/>
    <s v=""/>
    <s v=""/>
    <s v="Capacity of counterpart; Political events; "/>
  </r>
  <r>
    <s v="South Sudan"/>
    <s v="Sub-Saharan Africa"/>
    <s v="P118579"/>
    <s v="C1"/>
    <s v="S6"/>
    <s v="P118579C1S6"/>
    <s v="Ratio"/>
    <s v="2010 / 2013"/>
    <x v="3"/>
    <s v=""/>
    <n v="1"/>
    <m/>
    <m/>
    <n v="0.95409011727416804"/>
    <n v="0.95409011727416804"/>
    <s v=""/>
    <n v="0"/>
    <n v="0"/>
    <x v="1"/>
    <n v="0"/>
    <s v=""/>
    <s v=""/>
    <s v=""/>
    <s v=""/>
    <s v=""/>
    <s v=""/>
    <s v=""/>
    <s v=""/>
    <s v=""/>
    <s v=""/>
    <s v=""/>
  </r>
  <r>
    <s v="South Sudan"/>
    <s v="Sub-Saharan Africa"/>
    <s v="P118579"/>
    <s v="C1"/>
    <s v="S7"/>
    <s v="P118579C1S7"/>
    <s v="Ratio"/>
    <s v="2010 / 2013"/>
    <x v="3"/>
    <s v=""/>
    <n v="0.93333333333333335"/>
    <m/>
    <m/>
    <n v="1.1493094748427672"/>
    <n v="1.2314030087601078"/>
    <s v=""/>
    <n v="0"/>
    <n v="0"/>
    <x v="1"/>
    <n v="0"/>
    <s v=""/>
    <s v=""/>
    <s v=""/>
    <s v=""/>
    <s v=""/>
    <s v=""/>
    <s v=""/>
    <s v=""/>
    <s v=""/>
    <s v=""/>
    <s v=""/>
  </r>
  <r>
    <s v="South Sudan"/>
    <s v="Sub-Saharan Africa"/>
    <s v="P118579"/>
    <s v="C1"/>
    <s v="S8"/>
    <s v="P118579C1S8"/>
    <s v="Ratio"/>
    <s v="2010 / 2013"/>
    <x v="3"/>
    <s v=""/>
    <n v="0.49615384615384617"/>
    <m/>
    <m/>
    <n v="1.1423927173913044"/>
    <n v="2.3024969497809238"/>
    <s v="x"/>
    <n v="0"/>
    <n v="1"/>
    <x v="0"/>
    <n v="0"/>
    <s v=""/>
    <n v="1"/>
    <s v=""/>
    <s v=""/>
    <s v=""/>
    <n v="1"/>
    <s v=""/>
    <s v=""/>
    <n v="1"/>
    <s v=""/>
    <s v="Quality of estimates; Capacity of counterpart; Political events"/>
  </r>
  <r>
    <s v="Pakistan"/>
    <s v="South Asia"/>
    <s v="P125584"/>
    <s v="C1"/>
    <s v="S1"/>
    <s v="P125584C1S1"/>
    <s v="Ratio"/>
    <s v="2011 / 2016"/>
    <x v="11"/>
    <n v="1"/>
    <n v="1.4761904761904763"/>
    <m/>
    <m/>
    <n v="1.4396887159533076"/>
    <n v="0.97527300112965998"/>
    <s v=""/>
    <n v="0"/>
    <n v="0"/>
    <x v="1"/>
    <n v="0"/>
    <s v=""/>
    <s v=""/>
    <s v=""/>
    <s v=""/>
    <s v=""/>
    <s v=""/>
    <s v=""/>
    <s v=""/>
    <s v=""/>
    <s v=""/>
    <s v=""/>
  </r>
  <r>
    <s v="Pakistan"/>
    <s v="South Asia"/>
    <s v="P128966"/>
    <s v="C1"/>
    <s v=""/>
    <s v="P128966C1"/>
    <s v="Ratio"/>
    <s v="2012 / 2016"/>
    <x v="2"/>
    <s v=""/>
    <n v="1"/>
    <m/>
    <m/>
    <n v="0.99555555555555553"/>
    <n v="0.99555555555555542"/>
    <s v=""/>
    <n v="0"/>
    <n v="0"/>
    <x v="1"/>
    <n v="0"/>
    <s v=""/>
    <s v=""/>
    <s v=""/>
    <s v=""/>
    <s v=""/>
    <s v=""/>
    <s v=""/>
    <s v=""/>
    <s v=""/>
    <s v=""/>
    <s v=""/>
  </r>
  <r>
    <s v="Chad"/>
    <s v="Sub-Saharan Africa"/>
    <s v="AfDB project - P-TD-DB0-008"/>
    <s v="C1"/>
    <s v=""/>
    <s v="AfDB project - P-TD-DB0-008C1"/>
    <s v="Ratio"/>
    <s v="2009 / 2017"/>
    <x v="6"/>
    <n v="1"/>
    <n v="1"/>
    <n v="1.683027639178504"/>
    <m/>
    <n v="1.7447877214006935"/>
    <n v="1.7447877214006935"/>
    <s v="x"/>
    <n v="0"/>
    <n v="0"/>
    <x v="0"/>
    <n v="0"/>
    <s v=""/>
    <s v=""/>
    <s v=""/>
    <s v=""/>
    <s v=""/>
    <s v=""/>
    <s v=""/>
    <s v=""/>
    <s v=""/>
    <n v="1"/>
    <s v="; ; Change of project scope "/>
  </r>
  <r>
    <s v="Swaziland"/>
    <s v="Sub-Saharan Africa"/>
    <s v="Loan numbers: ADB loan: B/SWA/ROD/89/15 and ADF loan: F/SWA/ROD/89/6"/>
    <s v="C1"/>
    <s v=""/>
    <s v="Loan numbers: ADB loan: B/SWA/ROD/89/15 and ADF loan: F/SWA/ROD/89/6C1"/>
    <s v="Ratio"/>
    <s v="1988 / 1994"/>
    <x v="1"/>
    <n v="1"/>
    <n v="1"/>
    <n v="6.0425838282608426"/>
    <m/>
    <n v="3.8689557863765907"/>
    <n v="3.8689557863765902"/>
    <s v="x"/>
    <n v="0"/>
    <n v="0"/>
    <x v="0"/>
    <n v="0"/>
    <s v=""/>
    <s v=""/>
    <s v=""/>
    <s v=""/>
    <s v=""/>
    <n v="1"/>
    <s v=""/>
    <s v=""/>
    <s v=""/>
    <n v="1"/>
    <s v="; ; Change of project scope; Capacity of Counterpart"/>
  </r>
  <r>
    <s v="Niger"/>
    <s v="Sub-Saharan Africa"/>
    <n v="0"/>
    <s v="C1"/>
    <s v=""/>
    <s v="0C1"/>
    <s v="Ratio"/>
    <s v="1989 / 1999"/>
    <x v="13"/>
    <s v=""/>
    <n v="0.89114266396213682"/>
    <n v="2.2549884031391891"/>
    <m/>
    <n v="0.85590803626214118"/>
    <n v="1.3110693350540821"/>
    <s v=""/>
    <n v="0"/>
    <n v="0"/>
    <x v="1"/>
    <n v="0"/>
    <s v=""/>
    <s v=""/>
    <s v=""/>
    <s v=""/>
    <s v=""/>
    <s v=""/>
    <s v=""/>
    <s v=""/>
    <s v=""/>
    <s v=""/>
    <s v=""/>
  </r>
  <r>
    <s v="Zambia"/>
    <s v="Sub-Saharan Africa"/>
    <s v="AfDB project - P –Z1-DB0 -063 "/>
    <s v="C1"/>
    <s v=""/>
    <s v="AfDB project - P –Z1-DB0 -063 C1"/>
    <s v="Ratio"/>
    <s v="2010 / 2017"/>
    <x v="0"/>
    <n v="1.0833333333333333"/>
    <n v="1"/>
    <n v="0.939306358381503"/>
    <m/>
    <n v="0.939306358381503"/>
    <n v="0.939306358381503"/>
    <s v=""/>
    <n v="0"/>
    <n v="0"/>
    <x v="1"/>
    <n v="0"/>
    <s v=""/>
    <s v=""/>
    <s v=""/>
    <s v=""/>
    <s v=""/>
    <s v=""/>
    <s v=""/>
    <s v=""/>
    <s v=""/>
    <s v=""/>
    <s v=""/>
  </r>
  <r>
    <s v="Kenya"/>
    <s v="Sub-Saharan Africa"/>
    <s v="AfDB project P-KE-DB0-019"/>
    <s v="C1"/>
    <s v=""/>
    <s v="AfDB project P-KE-DB0-019C1"/>
    <s v="Ratio"/>
    <s v="2010 / 2017"/>
    <x v="0"/>
    <n v="1.4166666666666667"/>
    <n v="1"/>
    <n v="1.3051760233667675"/>
    <m/>
    <n v="1.0004160961538076"/>
    <n v="1.0004160961538076"/>
    <s v=""/>
    <n v="0"/>
    <n v="0"/>
    <x v="1"/>
    <n v="0"/>
    <s v=""/>
    <s v=""/>
    <s v=""/>
    <s v=""/>
    <s v=""/>
    <s v=""/>
    <s v=""/>
    <s v=""/>
    <s v=""/>
    <s v=""/>
    <s v=""/>
  </r>
  <r>
    <s v="Guinea"/>
    <s v="Sub-Saharan Africa"/>
    <s v="AfDB P-GN-AB0-005_x000a_"/>
    <s v="C1"/>
    <s v=""/>
    <s v="AfDB P-GN-AB0-005_x000a_C1"/>
    <s v="Ratio"/>
    <s v="2012 / 2011"/>
    <x v="6"/>
    <s v=""/>
    <n v="0.25740740740740742"/>
    <n v="0.40072289156626506"/>
    <m/>
    <n v="0.39306576624971218"/>
    <n v="1.5270180847111121"/>
    <s v="x"/>
    <n v="0"/>
    <n v="1"/>
    <x v="0"/>
    <n v="0"/>
    <s v=""/>
    <s v=""/>
    <s v=""/>
    <n v="1"/>
    <s v=""/>
    <s v=""/>
    <n v="1"/>
    <s v=""/>
    <s v=""/>
    <s v=""/>
    <s v="; Procurement system; Capacity of contractors"/>
  </r>
  <r>
    <s v="Benin"/>
    <s v="Sub-Saharan Africa"/>
    <s v="AfDB-P-BJ-DB0-010 "/>
    <s v="C1"/>
    <s v=""/>
    <s v="AfDB-P-BJ-DB0-010 C1"/>
    <s v="Ratio"/>
    <s v="2002 / 2011"/>
    <x v="14"/>
    <s v=""/>
    <n v="1"/>
    <n v="1.0560310173402154"/>
    <m/>
    <n v="1.5598535550073822"/>
    <n v="1.5598535550073824"/>
    <s v="x"/>
    <n v="0"/>
    <n v="0"/>
    <x v="0"/>
    <n v="0"/>
    <n v="1"/>
    <s v=""/>
    <s v=""/>
    <s v=""/>
    <s v=""/>
    <s v=""/>
    <s v=""/>
    <s v=""/>
    <s v=""/>
    <n v="1"/>
    <s v="macroeconomic conditions; macroeconomic conditions; change of project scope"/>
  </r>
  <r>
    <s v="Cameroon"/>
    <s v="Sub-Saharan Africa"/>
    <s v="AfDB loan number: B/CAM/RTE/89/16"/>
    <s v="C1"/>
    <s v="S1"/>
    <s v="AfDB loan number: B/CAM/RTE/89/16C1S1"/>
    <s v="Ratio"/>
    <s v="1988 / 1998"/>
    <x v="2"/>
    <n v="2"/>
    <n v="1"/>
    <n v="1.0206057259366239"/>
    <m/>
    <n v="0.51525927521478776"/>
    <n v="0.51525927521478776"/>
    <s v=""/>
    <n v="0"/>
    <n v="0"/>
    <x v="1"/>
    <n v="0"/>
    <s v=""/>
    <s v=""/>
    <s v=""/>
    <s v=""/>
    <s v=""/>
    <s v=""/>
    <s v=""/>
    <s v=""/>
    <s v=""/>
    <s v=""/>
    <s v=""/>
  </r>
  <r>
    <s v="Cameroon"/>
    <s v="Sub-Saharan Africa"/>
    <s v="AfDB loan number: B/CAM/RTE/89/16"/>
    <s v="C1"/>
    <s v="S2"/>
    <s v="AfDB loan number: B/CAM/RTE/89/16C1S2"/>
    <s v="Ratio"/>
    <s v="1988 / 1998"/>
    <x v="1"/>
    <n v="2"/>
    <n v="0.99596774193548376"/>
    <n v="0.94175406155065389"/>
    <m/>
    <n v="0.47545051223365831"/>
    <n v="0.47737541309290393"/>
    <s v="x"/>
    <n v="0"/>
    <n v="0"/>
    <x v="1"/>
    <n v="1"/>
    <s v=""/>
    <s v=""/>
    <s v=""/>
    <s v=""/>
    <s v=""/>
    <s v=""/>
    <s v=""/>
    <s v=""/>
    <s v=""/>
    <n v="1"/>
    <s v="; ; change of project scope"/>
  </r>
  <r>
    <s v="Burkina Faso"/>
    <s v="Sub-Saharan Africa"/>
    <s v="AfDB loan number: F/BUF/RTE/92/19"/>
    <s v="C1"/>
    <s v=""/>
    <s v="AfDB loan number: F/BUF/RTE/92/19C1"/>
    <s v="Ratio"/>
    <s v="1990 / 1999"/>
    <x v="2"/>
    <n v="2.2000000000000002"/>
    <n v="1.7591623036649213"/>
    <n v="1.2002132764596107"/>
    <m/>
    <n v="0.53073797958208446"/>
    <n v="0.30169926815529213"/>
    <s v="x"/>
    <n v="1"/>
    <n v="0"/>
    <x v="1"/>
    <n v="1"/>
    <s v=""/>
    <s v=""/>
    <s v=""/>
    <s v=""/>
    <s v=""/>
    <s v=""/>
    <s v=""/>
    <s v=""/>
    <n v="1"/>
    <s v=""/>
    <s v="Quality of estimates ;"/>
  </r>
  <r>
    <s v="Lesotho"/>
    <s v="Sub-Saharan Africa"/>
    <s v="AfDB loan number: CS/LES/TR/86/18_x000a_"/>
    <s v="C1"/>
    <s v=""/>
    <s v="AfDB loan number: CS/LES/TR/86/18_x000a_C1"/>
    <s v="Ratio"/>
    <s v="1985 / 1991"/>
    <x v="2"/>
    <n v="1.4583333333333333"/>
    <n v="1"/>
    <n v="2.3029832569756454"/>
    <m/>
    <n v="1.8584015561541973"/>
    <n v="1.8584015561541973"/>
    <s v="x"/>
    <n v="0"/>
    <n v="0"/>
    <x v="0"/>
    <n v="0"/>
    <s v=""/>
    <s v=""/>
    <s v=""/>
    <s v=""/>
    <s v=""/>
    <s v=""/>
    <s v=""/>
    <s v=""/>
    <s v=""/>
    <s v=""/>
    <s v=""/>
  </r>
  <r>
    <s v="Morocco"/>
    <s v="Middle East and North Africa"/>
    <s v="AfDB loan number B/MRC/RTE/90/35"/>
    <s v="C1"/>
    <s v=""/>
    <s v="AfDB loan number B/MRC/RTE/90/35C1"/>
    <s v="Ratio"/>
    <s v="1989 / 1998"/>
    <x v="1"/>
    <s v=""/>
    <n v="1.3698034682080926"/>
    <n v="0.97047046176863261"/>
    <m/>
    <n v="0.85770025817286066"/>
    <n v="0.62614840601539767"/>
    <s v=""/>
    <n v="0"/>
    <n v="0"/>
    <x v="1"/>
    <n v="0"/>
    <s v=""/>
    <s v=""/>
    <s v=""/>
    <s v=""/>
    <s v=""/>
    <s v=""/>
    <s v=""/>
    <s v=""/>
    <s v=""/>
    <s v=""/>
    <s v=""/>
  </r>
  <r>
    <s v="Namibia"/>
    <s v="Sub-Saharan Africa"/>
    <s v="AfDB loan number: F/NAM/ROD/92/1_x000a_"/>
    <s v="C1"/>
    <s v=""/>
    <s v="AfDB loan number: F/NAM/ROD/92/1_x000a_C1"/>
    <s v="Ratio"/>
    <s v="1991 / 1995"/>
    <x v="2"/>
    <s v=""/>
    <n v="1"/>
    <n v="1.5053558411093844"/>
    <m/>
    <n v="1.1459298255591426"/>
    <n v="1.1459298255591424"/>
    <s v=""/>
    <n v="0"/>
    <n v="0"/>
    <x v="1"/>
    <n v="0"/>
    <s v=""/>
    <s v=""/>
    <s v=""/>
    <s v=""/>
    <s v=""/>
    <s v=""/>
    <s v=""/>
    <s v=""/>
    <s v=""/>
    <s v=""/>
    <s v=""/>
  </r>
  <r>
    <s v="Lesotho"/>
    <s v="Sub-Saharan Africa"/>
    <s v="AfDB loan numbers: F/LES/TRA-ROD/87/20 &amp; F/LES/ROD/93/SUP/8_x000a_"/>
    <s v="C1"/>
    <s v=""/>
    <s v="AfDB loan numbers: F/LES/TRA-ROD/87/20 &amp; F/LES/ROD/93/SUP/8_x000a_C1"/>
    <s v="Ratio"/>
    <s v="1987 / 1997"/>
    <x v="2"/>
    <n v="3.5"/>
    <n v="1"/>
    <n v="5.8584874016811224"/>
    <m/>
    <n v="2.5890775667077852"/>
    <n v="2.5890775667077852"/>
    <s v="x"/>
    <n v="0"/>
    <n v="0"/>
    <x v="0"/>
    <n v="0"/>
    <s v=""/>
    <s v=""/>
    <s v=""/>
    <s v=""/>
    <s v=""/>
    <s v=""/>
    <s v=""/>
    <s v=""/>
    <s v=""/>
    <n v="1"/>
    <s v="; ; change of project scope"/>
  </r>
  <r>
    <s v="Benin"/>
    <s v="Sub-Saharan Africa"/>
    <s v="AfDB loan number: F/BEN/ROD/92/27_x000a_"/>
    <s v="C1"/>
    <s v=""/>
    <s v="AfDB loan number: F/BEN/ROD/92/27_x000a_C1"/>
    <s v="Ratio"/>
    <s v="1992 / 1999"/>
    <x v="14"/>
    <s v=""/>
    <n v="1"/>
    <n v="1.3157443157443158"/>
    <m/>
    <n v="1"/>
    <n v="0.56564888650840994"/>
    <s v=""/>
    <n v="0"/>
    <n v="0"/>
    <x v="1"/>
    <n v="0"/>
    <s v=""/>
    <s v=""/>
    <s v=""/>
    <s v=""/>
    <s v=""/>
    <s v=""/>
    <s v=""/>
    <s v=""/>
    <s v=""/>
    <s v=""/>
    <s v=""/>
  </r>
  <r>
    <s v="Benin"/>
    <s v="Sub-Saharan Africa"/>
    <s v="AfDB loan number: F/BEN/ROD/92/27_x000a_"/>
    <s v="C2"/>
    <s v=""/>
    <s v="AfDB loan number: F/BEN/ROD/92/27_x000a_C2"/>
    <s v="Ratio"/>
    <s v="1992 / 1999"/>
    <x v="11"/>
    <s v=""/>
    <n v="1"/>
    <n v="2.8122489959839356"/>
    <m/>
    <n v="1.209008083202566"/>
    <n v="1.209008083202566"/>
    <s v=""/>
    <n v="0"/>
    <n v="0"/>
    <x v="1"/>
    <n v="0"/>
    <s v=""/>
    <s v=""/>
    <s v=""/>
    <s v=""/>
    <s v=""/>
    <s v=""/>
    <s v=""/>
    <s v=""/>
    <s v=""/>
    <s v=""/>
    <s v=""/>
  </r>
  <r>
    <s v="Malawi"/>
    <s v="Sub-Saharan Africa"/>
    <s v="AfDB loan F/MLW/AGR(RD)/87/15"/>
    <s v="C1"/>
    <s v=""/>
    <s v="AfDB loan F/MLW/AGR(RD)/87/15C1"/>
    <s v="Ratio"/>
    <s v="1987 / 1999"/>
    <x v="2"/>
    <s v=""/>
    <n v="1.0483870967741935"/>
    <n v="1.8660098522167488"/>
    <m/>
    <n v="9.313116322315898E-2"/>
    <n v="8.8832801843628573E-2"/>
    <s v="x"/>
    <n v="0"/>
    <n v="0"/>
    <x v="1"/>
    <n v="1"/>
    <n v="1"/>
    <s v=""/>
    <s v=""/>
    <s v=""/>
    <s v=""/>
    <s v=""/>
    <s v=""/>
    <s v=""/>
    <s v=""/>
    <s v=""/>
    <s v="; ; Macroeconomic conditions"/>
  </r>
  <r>
    <s v="Burkina Faso"/>
    <s v="Sub-Saharan Africa"/>
    <s v="AfDB P-BF-DB0-012"/>
    <s v="C1"/>
    <s v=""/>
    <s v="AfDB P-BF-DB0-012C1"/>
    <s v="Ratio"/>
    <s v="2004 / 2011"/>
    <x v="1"/>
    <s v=""/>
    <n v="0.94256410256410261"/>
    <n v="0.92980259223227979"/>
    <m/>
    <n v="1.040978496639827"/>
    <n v="1.1044113538888263"/>
    <s v=""/>
    <n v="0"/>
    <n v="0"/>
    <x v="1"/>
    <n v="0"/>
    <s v=""/>
    <s v=""/>
    <s v=""/>
    <s v=""/>
    <s v=""/>
    <s v=""/>
    <s v=""/>
    <s v=""/>
    <s v=""/>
    <s v=""/>
    <s v=""/>
  </r>
  <r>
    <s v="China"/>
    <s v="East Asia and Pacific"/>
    <s v="Project number: 42017-013"/>
    <s v="C1"/>
    <s v="S1"/>
    <s v="Project number: 42017-013C1S1"/>
    <s v="Ratio"/>
    <s v="2010 / 2016"/>
    <x v="5"/>
    <s v=""/>
    <n v="1"/>
    <n v="1.2183760957194958"/>
    <m/>
    <n v="1.2422298445814739"/>
    <n v="1.2422298445814739"/>
    <s v=""/>
    <n v="0"/>
    <n v="0"/>
    <x v="1"/>
    <n v="0"/>
    <s v=""/>
    <s v=""/>
    <s v=""/>
    <s v=""/>
    <s v=""/>
    <s v=""/>
    <s v=""/>
    <s v=""/>
    <s v=""/>
    <s v=""/>
    <s v=""/>
  </r>
  <r>
    <s v="China"/>
    <s v="East Asia and Pacific"/>
    <s v="Project number: 42017-013"/>
    <s v="C1"/>
    <s v="S2"/>
    <s v="Project number: 42017-013C1S2"/>
    <s v="Ratio"/>
    <s v="2010 / 2016"/>
    <x v="2"/>
    <s v=""/>
    <n v="1"/>
    <n v="1.1482381530984205"/>
    <m/>
    <n v="1.1707187193488413"/>
    <n v="1.1707187193488413"/>
    <s v=""/>
    <n v="0"/>
    <n v="0"/>
    <x v="1"/>
    <n v="0"/>
    <s v=""/>
    <s v=""/>
    <s v=""/>
    <s v=""/>
    <s v=""/>
    <s v=""/>
    <s v=""/>
    <s v=""/>
    <s v=""/>
    <s v=""/>
    <s v=""/>
  </r>
  <r>
    <s v="China"/>
    <s v="East Asia and Pacific"/>
    <s v="Project number: 42017-013"/>
    <s v="C1"/>
    <s v="S3"/>
    <s v="Project number: 42017-013C1S3"/>
    <s v="Ratio"/>
    <s v="2010 / 2016"/>
    <x v="14"/>
    <s v=""/>
    <n v="1"/>
    <n v="1.2559878342415411"/>
    <m/>
    <n v="1.280577957502294"/>
    <n v="1.280577957502294"/>
    <s v=""/>
    <n v="0"/>
    <n v="0"/>
    <x v="1"/>
    <n v="0"/>
    <s v=""/>
    <s v=""/>
    <s v=""/>
    <s v=""/>
    <s v=""/>
    <s v=""/>
    <s v=""/>
    <s v=""/>
    <s v=""/>
    <s v=""/>
    <s v=""/>
  </r>
  <r>
    <s v="Kazakhstan"/>
    <s v="Europe and Central Asia"/>
    <s v="Project numbers 29568 &amp; 32463 "/>
    <s v="C1"/>
    <s v=""/>
    <s v="Project numbers 29568 &amp; 32463 C1"/>
    <s v="Ratio"/>
    <s v="2000 / 2007"/>
    <x v="8"/>
    <s v=""/>
    <n v="0.90204081632653066"/>
    <n v="1.5145340939961967"/>
    <m/>
    <n v="1.7565135110540957"/>
    <n v="1.947266109539608"/>
    <s v="x"/>
    <n v="0"/>
    <n v="0"/>
    <x v="0"/>
    <n v="0"/>
    <n v="1"/>
    <s v=""/>
    <s v=""/>
    <s v=""/>
    <s v=""/>
    <s v=""/>
    <s v=""/>
    <s v=""/>
    <s v=""/>
    <s v=""/>
    <s v="; ; macroeconomic conditions"/>
  </r>
  <r>
    <s v="Cambodia"/>
    <s v="East Asia and Pacific"/>
    <s v="Project Number: 42358-013"/>
    <s v="C1"/>
    <s v=""/>
    <s v="Project Number: 42358-013C1"/>
    <s v="Ratio"/>
    <s v="2009 / 2014"/>
    <x v="2"/>
    <m/>
    <n v="1"/>
    <n v="1.510933557611438"/>
    <m/>
    <n v="1.570977963634659"/>
    <n v="1.5709779636346592"/>
    <s v="x"/>
    <n v="0"/>
    <n v="0"/>
    <x v="0"/>
    <n v="0"/>
    <n v="1"/>
    <s v=""/>
    <s v=""/>
    <s v=""/>
    <s v=""/>
    <s v=""/>
    <s v=""/>
    <s v=""/>
    <s v=""/>
    <s v=""/>
    <s v="; ; macroeconomic conditions"/>
  </r>
  <r>
    <s v="Kazakhstan"/>
    <s v="Europe and Central Asia"/>
    <s v="Project Number: 43439-023 "/>
    <s v="C1"/>
    <s v=""/>
    <s v="Project Number: 43439-023 C1"/>
    <s v="Ratio"/>
    <s v="2010 / 2016"/>
    <x v="6"/>
    <m/>
    <n v="1"/>
    <n v="0.60246868091378036"/>
    <m/>
    <n v="0.60246868091378036"/>
    <n v="0.60246868091378036"/>
    <s v=""/>
    <n v="0"/>
    <n v="0"/>
    <x v="1"/>
    <n v="0"/>
    <s v=""/>
    <s v=""/>
    <s v=""/>
    <s v=""/>
    <s v=""/>
    <s v=""/>
    <s v=""/>
    <s v=""/>
    <s v=""/>
    <s v=""/>
    <m/>
  </r>
  <r>
    <m/>
    <m/>
    <m/>
    <m/>
    <m/>
    <m/>
    <m/>
    <m/>
    <x v="17"/>
    <m/>
    <m/>
    <m/>
    <m/>
    <m/>
    <m/>
    <m/>
    <m/>
    <m/>
    <x v="2"/>
    <m/>
    <m/>
    <m/>
    <m/>
    <m/>
    <m/>
    <m/>
    <m/>
    <m/>
    <m/>
    <m/>
    <m/>
  </r>
  <r>
    <m/>
    <m/>
    <m/>
    <m/>
    <m/>
    <m/>
    <m/>
    <m/>
    <x v="17"/>
    <m/>
    <m/>
    <m/>
    <m/>
    <m/>
    <m/>
    <m/>
    <m/>
    <m/>
    <x v="2"/>
    <m/>
    <m/>
    <m/>
    <m/>
    <m/>
    <m/>
    <m/>
    <m/>
    <m/>
    <m/>
    <m/>
    <m/>
  </r>
</pivotCacheRecords>
</file>

<file path=xl/pivotCache/pivotCacheRecords5.xml><?xml version="1.0" encoding="utf-8"?>
<pivotCacheRecords xmlns="http://schemas.openxmlformats.org/spreadsheetml/2006/main" xmlns:r="http://schemas.openxmlformats.org/officeDocument/2006/relationships" count="561">
  <r>
    <s v="Mozambique"/>
    <x v="0"/>
    <s v="P001785"/>
    <s v="C1"/>
    <s v=""/>
    <s v="P001785C1"/>
    <s v="Ratio"/>
    <s v="2001 / 2007"/>
    <s v="Reconstruction"/>
    <s v=""/>
    <n v="0.66159999999999997"/>
    <n v="1.3667232597623091"/>
    <m/>
    <n v="1.3667232597623091"/>
    <n v="2.0657848545379518"/>
    <s v="x"/>
    <n v="0"/>
    <n v="0"/>
    <n v="1"/>
    <n v="0"/>
  </r>
  <r>
    <s v="Chad"/>
    <x v="0"/>
    <s v="P035672"/>
    <s v="C1"/>
    <s v="S1"/>
    <s v="P035672C1S1"/>
    <s v="Ratio"/>
    <s v="2000 / 2009"/>
    <s v="Strengthening"/>
    <s v=""/>
    <n v="1"/>
    <n v="1.0973550928531233"/>
    <m/>
    <n v="1.0973550928531233"/>
    <n v="1.0973550928531233"/>
    <s v=""/>
    <n v="0"/>
    <n v="0"/>
    <n v="0"/>
    <n v="0"/>
  </r>
  <r>
    <s v="Chad"/>
    <x v="0"/>
    <s v="P035672"/>
    <s v="C1"/>
    <s v="S2"/>
    <s v="P035672C1S2"/>
    <s v="Ratio"/>
    <s v="2000 / 2009"/>
    <s v="Upgrading"/>
    <s v=""/>
    <n v="1"/>
    <n v="1.7350157728706626"/>
    <m/>
    <n v="1.7350157728706626"/>
    <n v="1.7350157728706626"/>
    <s v="x"/>
    <n v="0"/>
    <n v="0"/>
    <n v="1"/>
    <n v="0"/>
  </r>
  <r>
    <s v="Chad"/>
    <x v="0"/>
    <s v="P035672"/>
    <s v="C2"/>
    <s v=""/>
    <s v="P035672C2"/>
    <s v="Ratio"/>
    <s v="2000 / 2009"/>
    <s v="Routine Maintenance"/>
    <n v="1.1875"/>
    <n v="1"/>
    <n v="1.430761369443025"/>
    <m/>
    <n v="1.430761369443025"/>
    <n v="1.430761369443025"/>
    <s v=""/>
    <n v="0"/>
    <n v="0"/>
    <n v="0"/>
    <n v="0"/>
  </r>
  <r>
    <s v="Estonia"/>
    <x v="1"/>
    <s v="P035775"/>
    <s v="C1"/>
    <s v=""/>
    <s v="P035775C1"/>
    <s v="Ratio"/>
    <s v="2000 / 2005"/>
    <s v="Reconstruction"/>
    <s v=""/>
    <n v="1.3636363636363635"/>
    <n v="1.1383371824480371"/>
    <m/>
    <n v="1.1383371824480371"/>
    <n v="0.83478060046189384"/>
    <s v=""/>
    <n v="0"/>
    <n v="0"/>
    <n v="0"/>
    <n v="0"/>
  </r>
  <r>
    <s v="Georgia"/>
    <x v="1"/>
    <s v="P040556"/>
    <s v="C1"/>
    <s v=""/>
    <s v="P040556C1"/>
    <s v="Ratio"/>
    <s v="2000 / 2006"/>
    <s v="Strengthening"/>
    <s v=""/>
    <n v="1.0308641975308641"/>
    <n v="1.0113636363636365"/>
    <m/>
    <n v="1.0113636363636365"/>
    <n v="0.98108328796951561"/>
    <s v=""/>
    <n v="0"/>
    <n v="0"/>
    <n v="0"/>
    <n v="0"/>
  </r>
  <r>
    <s v="Vietnam"/>
    <x v="2"/>
    <s v="P042927"/>
    <s v="C1"/>
    <s v=""/>
    <s v="P042927C1"/>
    <s v="Ratio"/>
    <s v="2000 / 2011"/>
    <s v="Widening"/>
    <n v="1.1538461538461537"/>
    <n v="1"/>
    <n v="1.7180160083978482"/>
    <m/>
    <n v="1.7180160083978482"/>
    <n v="1.7180160083978484"/>
    <s v="x"/>
    <n v="0"/>
    <n v="0"/>
    <n v="1"/>
    <n v="0"/>
  </r>
  <r>
    <s v="Croatia"/>
    <x v="1"/>
    <s v="P043195"/>
    <s v="C3"/>
    <s v=""/>
    <s v="P043195C3"/>
    <s v="Ratio"/>
    <s v="2003 / 2013"/>
    <s v="New 4L Expressway"/>
    <n v="1.3"/>
    <n v="0.97846153846153849"/>
    <n v="1.3371298405466971"/>
    <m/>
    <n v="1.3371298405466971"/>
    <n v="1.3665635162820018"/>
    <s v=""/>
    <n v="0"/>
    <n v="0"/>
    <n v="0"/>
    <n v="0"/>
  </r>
  <r>
    <s v="Ethiopia"/>
    <x v="0"/>
    <s v="P044613"/>
    <s v="C1"/>
    <s v="S1"/>
    <s v="P044613C1S1"/>
    <s v="Ratio"/>
    <s v="2003 / 2010"/>
    <s v="Upgrading"/>
    <n v="1.4166666666666667"/>
    <n v="1"/>
    <n v="1.4197601370645343"/>
    <m/>
    <n v="1.4197601370645343"/>
    <n v="1.4197601370645343"/>
    <s v=""/>
    <n v="0"/>
    <n v="0"/>
    <n v="0"/>
    <n v="0"/>
  </r>
  <r>
    <s v="Ethiopia"/>
    <x v="0"/>
    <s v="P044613"/>
    <s v="C1"/>
    <s v="S2"/>
    <s v="P044613C1S2"/>
    <s v="Ratio"/>
    <s v="2003 / 2010"/>
    <s v="Asphalt Mix Resurfacing"/>
    <n v="1.1388888888888888"/>
    <n v="1"/>
    <n v="1.505426356589147"/>
    <m/>
    <n v="1.505426356589147"/>
    <n v="1.505426356589147"/>
    <s v="x"/>
    <n v="0"/>
    <n v="0"/>
    <n v="1"/>
    <n v="0"/>
  </r>
  <r>
    <s v="Ethiopia"/>
    <x v="0"/>
    <s v="P044613"/>
    <s v="C1"/>
    <s v="S3"/>
    <s v="P044613C1S3"/>
    <s v="Ratio"/>
    <s v="2003 / 2010"/>
    <s v="Upgrading"/>
    <n v="1.1666666666666667"/>
    <n v="1"/>
    <n v="1.3824139361260888"/>
    <m/>
    <n v="1.3824139361260888"/>
    <n v="1.3824139361260885"/>
    <s v=""/>
    <n v="0"/>
    <n v="0"/>
    <n v="0"/>
    <n v="0"/>
  </r>
  <r>
    <s v="Ethiopia"/>
    <x v="0"/>
    <s v="P044613"/>
    <s v="C1"/>
    <s v="S4"/>
    <s v="P044613C1S4"/>
    <s v="Ratio"/>
    <s v="2003 / 2010"/>
    <s v="Upgrading"/>
    <n v="1.5555555555555556"/>
    <n v="1"/>
    <n v="1.7683912691996768"/>
    <m/>
    <n v="1.7683912691996768"/>
    <n v="1.7683912691996768"/>
    <s v="x"/>
    <n v="0"/>
    <n v="0"/>
    <n v="1"/>
    <n v="0"/>
  </r>
  <r>
    <s v="Ethiopia"/>
    <x v="0"/>
    <s v="P044613"/>
    <s v="C2"/>
    <s v=""/>
    <s v="P044613C2"/>
    <s v="Ratio"/>
    <s v="2003 / 2010"/>
    <s v="New 1L Road"/>
    <n v="1.1666666666666667"/>
    <n v="0.82914572864321601"/>
    <n v="0.67794836008374038"/>
    <m/>
    <n v="0.67794836008374038"/>
    <n v="0.81764681004038997"/>
    <s v=""/>
    <n v="0"/>
    <n v="0"/>
    <n v="0"/>
    <n v="0"/>
  </r>
  <r>
    <s v="Nepal"/>
    <x v="3"/>
    <s v="P045052"/>
    <s v="C1"/>
    <s v=""/>
    <s v="P045052C1"/>
    <s v="Ratio"/>
    <s v="1999 / 2007"/>
    <s v="Surface Treatment Resurfacing"/>
    <s v=""/>
    <n v="1.55"/>
    <n v="4.2650406504065037"/>
    <m/>
    <n v="4.2650406504065037"/>
    <n v="2.751639129294519"/>
    <s v="x"/>
    <n v="1"/>
    <n v="0"/>
    <n v="1"/>
    <n v="0"/>
  </r>
  <r>
    <s v="Nepal"/>
    <x v="3"/>
    <s v="P045052"/>
    <s v="C2"/>
    <s v=""/>
    <s v="P045052C2"/>
    <s v="Ratio"/>
    <s v="1999 / 2007"/>
    <s v="Surface Treatment Resurfacing"/>
    <s v=""/>
    <n v="1.4063829787234043"/>
    <n v="1.9644760213143873"/>
    <m/>
    <n v="1.9644760213143873"/>
    <n v="1.396828638453498"/>
    <s v=""/>
    <n v="0"/>
    <n v="0"/>
    <n v="0"/>
    <n v="0"/>
  </r>
  <r>
    <s v="China"/>
    <x v="2"/>
    <s v="P045915"/>
    <s v="C1"/>
    <s v=""/>
    <s v="P045915C1"/>
    <s v="Ratio"/>
    <s v="2000 / 2008"/>
    <s v="New 6L Expressway"/>
    <n v="1"/>
    <n v="1"/>
    <n v="1.1108829568788501"/>
    <m/>
    <n v="1.1108829568788501"/>
    <n v="1.1108829568788501"/>
    <s v=""/>
    <n v="0"/>
    <n v="0"/>
    <n v="0"/>
    <n v="0"/>
  </r>
  <r>
    <s v="Papua New Guinea"/>
    <x v="2"/>
    <s v="P054238"/>
    <s v="C1"/>
    <s v=""/>
    <s v="P054238C1"/>
    <s v="Ratio"/>
    <s v="1999 / 2008"/>
    <s v="Reconstruction"/>
    <n v="1.9027777777777777"/>
    <n v="1"/>
    <n v="2.8192918192918195"/>
    <m/>
    <n v="2.8192918192918195"/>
    <n v="2.8192918192918199"/>
    <s v="x"/>
    <n v="0"/>
    <n v="0"/>
    <n v="1"/>
    <n v="0"/>
  </r>
  <r>
    <s v="Brazil"/>
    <x v="4"/>
    <s v="P055954"/>
    <s v="C1"/>
    <s v=""/>
    <s v="P055954C1"/>
    <s v="Ratio"/>
    <s v="2001 / 2006"/>
    <s v="Surface Treatment Resurfacing"/>
    <s v=""/>
    <n v="0.83333333333333337"/>
    <n v="1.2411575562700965"/>
    <m/>
    <n v="1.2411575562700965"/>
    <n v="1.4893890675241159"/>
    <s v=""/>
    <n v="0"/>
    <n v="0"/>
    <n v="0"/>
    <n v="0"/>
  </r>
  <r>
    <s v="Brazil"/>
    <x v="4"/>
    <s v="P055954"/>
    <s v="C2"/>
    <s v=""/>
    <s v="P055954C2"/>
    <s v="Ratio"/>
    <s v="2001 / 2006"/>
    <s v="Asphalt Mix Resurfacing"/>
    <s v=""/>
    <n v="0.9"/>
    <n v="0.93765586034912718"/>
    <m/>
    <n v="0.93765586034912718"/>
    <n v="1.0418398448323636"/>
    <s v=""/>
    <n v="0"/>
    <n v="0"/>
    <n v="0"/>
    <n v="0"/>
  </r>
  <r>
    <s v="Mongolia"/>
    <x v="2"/>
    <s v="P056200"/>
    <s v="C1"/>
    <s v=""/>
    <s v="P056200C1"/>
    <s v="Ratio"/>
    <s v="2001 / 2008"/>
    <s v="Upgrading"/>
    <s v=""/>
    <n v="1.2162921348314606"/>
    <n v="1.0688481675392669"/>
    <m/>
    <n v="1.0688481675392669"/>
    <n v="0.87877586060965129"/>
    <s v=""/>
    <n v="0"/>
    <n v="0"/>
    <n v="0"/>
    <n v="0"/>
  </r>
  <r>
    <s v="China"/>
    <x v="2"/>
    <s v="P056596 "/>
    <s v="C1"/>
    <s v=""/>
    <s v="P056596 C1"/>
    <s v="Ratio"/>
    <s v="2001 / 2009"/>
    <s v="Widening"/>
    <s v=""/>
    <n v="1.3191489361702127"/>
    <n v="1.2008220786846739"/>
    <m/>
    <n v="1.2008220786846739"/>
    <n v="0.91030060803515611"/>
    <s v=""/>
    <n v="0"/>
    <n v="0"/>
    <n v="0"/>
    <n v="0"/>
  </r>
  <r>
    <s v="Congo, Dem. Rep."/>
    <x v="0"/>
    <s v="P057296"/>
    <s v="C1"/>
    <s v=""/>
    <s v="P057296C1"/>
    <s v="Ratio"/>
    <s v="2007 / 2010"/>
    <s v="Strengthening"/>
    <n v="3.4285714285714284"/>
    <n v="0.83359872611464969"/>
    <n v="1.4375"/>
    <m/>
    <n v="1.4375"/>
    <n v="1.7244508118433619"/>
    <s v="x"/>
    <n v="0"/>
    <n v="0"/>
    <n v="1"/>
    <n v="0"/>
  </r>
  <r>
    <s v="China"/>
    <x v="2"/>
    <s v="P058843"/>
    <s v="C1"/>
    <s v=""/>
    <s v="P058843C1"/>
    <s v="Ratio"/>
    <s v="2000 / 2007"/>
    <s v="Asphalt Mix Resurfacing"/>
    <n v="1.25"/>
    <n v="0.97923728813559319"/>
    <n v="0.85701692524682649"/>
    <m/>
    <n v="0.85701692524682649"/>
    <n v="0.87518820579078782"/>
    <s v=""/>
    <n v="0"/>
    <n v="0"/>
    <n v="0"/>
    <n v="0"/>
  </r>
  <r>
    <s v="China"/>
    <x v="2"/>
    <s v="P058845"/>
    <s v="C1"/>
    <s v="S1"/>
    <s v="P058845C1S1"/>
    <s v="Ratio"/>
    <s v="2001 / 2007"/>
    <s v="New 4L Expressway"/>
    <s v=""/>
    <n v="0.98461538461538467"/>
    <n v="0.68261964735516378"/>
    <m/>
    <n v="0.68261964735516378"/>
    <n v="0.69328557934508817"/>
    <s v=""/>
    <n v="0"/>
    <n v="0"/>
    <n v="0"/>
    <n v="0"/>
  </r>
  <r>
    <s v="China"/>
    <x v="2"/>
    <s v="P058845"/>
    <s v="C2"/>
    <s v=""/>
    <s v="P058845C2"/>
    <s v="Ratio"/>
    <s v="2001 / 2007"/>
    <s v="Upgrading"/>
    <s v=""/>
    <n v="1.0111111111111111"/>
    <n v="0.7917282127031019"/>
    <m/>
    <n v="0.7917282127031019"/>
    <n v="0.7830279026733975"/>
    <s v=""/>
    <n v="0"/>
    <n v="0"/>
    <n v="0"/>
    <n v="0"/>
  </r>
  <r>
    <s v="Bhutan"/>
    <x v="3"/>
    <s v="P059481"/>
    <s v="C1"/>
    <s v=""/>
    <s v="P059481C1"/>
    <s v="Ratio"/>
    <s v="1999 / 2006"/>
    <s v="New 1L Road"/>
    <n v="1.2333333333333334"/>
    <n v="1.0554098360655737"/>
    <n v="1.008"/>
    <m/>
    <n v="1.008"/>
    <n v="0.95507921714818267"/>
    <s v=""/>
    <n v="0"/>
    <n v="0"/>
    <n v="0"/>
    <n v="0"/>
  </r>
  <r>
    <s v="Burundi"/>
    <x v="0"/>
    <s v="P064876"/>
    <s v="C1"/>
    <s v=""/>
    <s v="P064876C1"/>
    <s v="Ratio"/>
    <s v="2004 / 2016"/>
    <s v="Reconstruction"/>
    <s v=""/>
    <n v="1"/>
    <n v="1.4532862481571638"/>
    <m/>
    <n v="1.4532862481571638"/>
    <n v="1.453286248157164"/>
    <s v=""/>
    <n v="0"/>
    <n v="0"/>
    <n v="0"/>
    <n v="0"/>
  </r>
  <r>
    <s v="Burundi"/>
    <x v="0"/>
    <s v="P064876"/>
    <s v="C2"/>
    <s v=""/>
    <s v="P064876C2"/>
    <s v="Ratio"/>
    <s v="2004 / 2016"/>
    <s v="Gravel Resurfacing"/>
    <s v=""/>
    <n v="1.0142857142857142"/>
    <n v="0.85256746823480001"/>
    <m/>
    <n v="0.85256746823480001"/>
    <n v="0.84055947572445056"/>
    <s v=""/>
    <n v="0"/>
    <n v="0"/>
    <n v="0"/>
    <n v="0"/>
  </r>
  <r>
    <s v="India"/>
    <x v="3"/>
    <s v="P067606"/>
    <s v="C1"/>
    <s v=""/>
    <s v="P067606C1"/>
    <s v="Ratio"/>
    <s v="2002 / 2011"/>
    <s v="Upgrading"/>
    <n v="1.25"/>
    <n v="0.70545829042224506"/>
    <n v="0.75874125874125875"/>
    <m/>
    <n v="0.75874125874125875"/>
    <n v="1.075529579909142"/>
    <s v=""/>
    <n v="0"/>
    <n v="0"/>
    <n v="0"/>
    <n v="0"/>
  </r>
  <r>
    <s v="India"/>
    <x v="3"/>
    <s v="P067606"/>
    <s v="C2"/>
    <s v=""/>
    <s v="P067606C2"/>
    <s v="Ratio"/>
    <s v="2002 / 2011"/>
    <s v="Asphalt Mix Resurfacing"/>
    <n v="1.25"/>
    <n v="0.76004775169120575"/>
    <n v="1.2033747779751334"/>
    <m/>
    <n v="1.2033747779751334"/>
    <n v="1.5832883858908426"/>
    <s v="x"/>
    <n v="0"/>
    <n v="0"/>
    <n v="1"/>
    <n v="0"/>
  </r>
  <r>
    <s v="Nicaragua"/>
    <x v="4"/>
    <s v="P068673"/>
    <s v="C1"/>
    <s v=""/>
    <s v="P068673C1"/>
    <s v="Ratio"/>
    <s v="2000 / 2007"/>
    <s v="Partial Widening and Reconstruction"/>
    <s v=""/>
    <n v="0.98645161290322581"/>
    <n v="1.0906593406593408"/>
    <m/>
    <n v="1.0906593406593408"/>
    <n v="1.1056389653511955"/>
    <s v=""/>
    <n v="0"/>
    <n v="0"/>
    <n v="0"/>
    <n v="0"/>
  </r>
  <r>
    <s v="Nicaragua"/>
    <x v="4"/>
    <s v="P068673"/>
    <s v="C2"/>
    <s v=""/>
    <s v="P068673C2"/>
    <s v="Ratio"/>
    <s v="2000 / 2007"/>
    <s v="Upgrading"/>
    <s v=""/>
    <n v="0.95666666666666667"/>
    <n v="1.136546184738956"/>
    <m/>
    <n v="1.136546184738956"/>
    <n v="1.1880273708072711"/>
    <s v=""/>
    <n v="0"/>
    <n v="0"/>
    <n v="0"/>
    <n v="0"/>
  </r>
  <r>
    <s v="Albania"/>
    <x v="1"/>
    <s v="P068853"/>
    <s v="C1"/>
    <s v="S1"/>
    <s v="P068853C1S1"/>
    <s v="Ratio"/>
    <s v="1999 / 2004"/>
    <s v="Routine Maintenance"/>
    <s v=""/>
    <n v="0.55909090909090908"/>
    <n v="1.3697260273972602"/>
    <m/>
    <n v="1.3697260273972602"/>
    <n v="2.4499164717674575"/>
    <s v="x"/>
    <n v="0"/>
    <n v="0"/>
    <n v="1"/>
    <n v="0"/>
  </r>
  <r>
    <s v="Albania"/>
    <x v="1"/>
    <s v="P068853"/>
    <s v="C1"/>
    <s v="S2"/>
    <s v="P068853C1S2"/>
    <s v="Ratio"/>
    <s v="1999 / 2004"/>
    <s v="Routine Maintenance"/>
    <s v=""/>
    <n v="0.57307692307692304"/>
    <n v="1.2620689655172415"/>
    <m/>
    <n v="1.2620689655172415"/>
    <n v="2.2022679935200191"/>
    <s v="x"/>
    <n v="0"/>
    <n v="0"/>
    <n v="1"/>
    <n v="0"/>
  </r>
  <r>
    <s v="Albania"/>
    <x v="1"/>
    <s v="P068853"/>
    <s v="C1"/>
    <s v="S3"/>
    <s v="P068853C1S3"/>
    <s v="Ratio"/>
    <s v="1999 / 2004"/>
    <s v="Asphalt Mix Resurfacing"/>
    <n v="0.26666666666666666"/>
    <n v="0.96666666666666667"/>
    <n v="9.8947368421052631E-2"/>
    <m/>
    <n v="9.8947368421052631E-2"/>
    <n v="0.10235934664246825"/>
    <s v="x"/>
    <n v="0"/>
    <n v="0"/>
    <n v="0"/>
    <n v="1"/>
  </r>
  <r>
    <s v="Albania"/>
    <x v="1"/>
    <s v="P068853"/>
    <s v="C1"/>
    <s v="S4"/>
    <s v="P068853C1S4"/>
    <s v="Ratio"/>
    <s v="1999 / 2004"/>
    <s v="Routine Maintenance"/>
    <n v="0.53333333333333333"/>
    <n v="0.87142857142857144"/>
    <n v="1.1125874125874127"/>
    <m/>
    <n v="1.1125874125874127"/>
    <n v="1.276739653788834"/>
    <s v=""/>
    <n v="0"/>
    <n v="0"/>
    <n v="0"/>
    <n v="0"/>
  </r>
  <r>
    <s v="Albania"/>
    <x v="1"/>
    <s v="P068853"/>
    <s v="C1"/>
    <s v="S5"/>
    <s v="P068853C1S5"/>
    <s v="Ratio"/>
    <s v="1999 / 2004"/>
    <s v="Asphalt Mix Resurfacing"/>
    <n v="2.9333333333333331"/>
    <n v="0.78999999999999992"/>
    <n v="1.1796296296296294"/>
    <m/>
    <n v="1.1796296296296294"/>
    <n v="1.4932020628223157"/>
    <s v=""/>
    <n v="0"/>
    <n v="0"/>
    <n v="0"/>
    <n v="0"/>
  </r>
  <r>
    <s v="Albania"/>
    <x v="1"/>
    <s v="P068853"/>
    <s v="C1"/>
    <s v="S6"/>
    <s v="P068853C1S6"/>
    <s v="Ratio"/>
    <s v="1999 / 2004"/>
    <s v="Routine Maintenance"/>
    <n v="0.26666666666666666"/>
    <n v="6.25E-2"/>
    <n v="0.12166666666666666"/>
    <m/>
    <n v="0.12166666666666666"/>
    <n v="1.9466666666666668"/>
    <s v="x"/>
    <n v="0"/>
    <n v="1"/>
    <n v="1"/>
    <n v="0"/>
  </r>
  <r>
    <s v="India"/>
    <x v="3"/>
    <s v="P069889"/>
    <s v="C1"/>
    <s v=""/>
    <s v="P069889C1"/>
    <s v="Ratio"/>
    <s v="2007 / 2011"/>
    <s v="Widening and Reconstruction"/>
    <s v=""/>
    <n v="0.94565217391304346"/>
    <n v="2.3830250272034821"/>
    <m/>
    <n v="2.3830250272034821"/>
    <n v="2.5199804885370156"/>
    <s v="x"/>
    <n v="0"/>
    <n v="0"/>
    <n v="1"/>
    <n v="0"/>
  </r>
  <r>
    <s v="India"/>
    <x v="3"/>
    <s v="P069889"/>
    <s v="C2"/>
    <s v=""/>
    <s v="P069889C2"/>
    <s v="Ratio"/>
    <s v="2007 / 2011"/>
    <s v="Surface Treatment Resurfacing"/>
    <s v=""/>
    <n v="0.57692307692307687"/>
    <n v="0.64552661381653453"/>
    <m/>
    <n v="0.64552661381653453"/>
    <n v="1.1189127972819932"/>
    <s v=""/>
    <n v="0"/>
    <n v="0"/>
    <n v="0"/>
    <n v="0"/>
  </r>
  <r>
    <s v="Yemen, Rep."/>
    <x v="2"/>
    <s v="P070391"/>
    <s v="C1"/>
    <s v=""/>
    <s v="P070391C1"/>
    <s v="Ratio"/>
    <s v="2001 / 2007"/>
    <s v="Reconstruction"/>
    <s v=""/>
    <n v="2.0087719298245612"/>
    <n v="0.86192810457516345"/>
    <m/>
    <n v="0.86192810457516345"/>
    <n v="0.42908211319462286"/>
    <s v="x"/>
    <n v="1"/>
    <n v="0"/>
    <n v="0"/>
    <n v="1"/>
  </r>
  <r>
    <s v="Yemen, Rep."/>
    <x v="2"/>
    <s v="P070391"/>
    <s v="C2"/>
    <s v=""/>
    <s v="P070391C2"/>
    <s v="Ratio"/>
    <s v="2001 / 2007"/>
    <s v="Upgrading"/>
    <s v=""/>
    <n v="1.6270491803278688"/>
    <n v="1.3822784810126583"/>
    <m/>
    <n v="1.3822784810126583"/>
    <n v="0.8495615853075279"/>
    <s v="x"/>
    <n v="1"/>
    <n v="0"/>
    <n v="0"/>
    <n v="0"/>
  </r>
  <r>
    <s v="China"/>
    <x v="2"/>
    <s v="P070519"/>
    <s v="C1"/>
    <s v="S1"/>
    <s v="P070519C1S1"/>
    <s v="Ratio"/>
    <s v="2005 / 2013"/>
    <s v="New 6L Expressway"/>
    <s v=""/>
    <n v="1"/>
    <n v="2.057450968026739"/>
    <m/>
    <n v="2.057450968026739"/>
    <n v="2.057450968026739"/>
    <s v="x"/>
    <n v="0"/>
    <n v="0"/>
    <n v="1"/>
    <n v="0"/>
  </r>
  <r>
    <s v="China"/>
    <x v="2"/>
    <s v="P070519"/>
    <s v="C1"/>
    <s v="S2"/>
    <s v="P070519C1S2"/>
    <s v="Ratio"/>
    <s v="2005 / 2013"/>
    <s v="New 4L Expressway"/>
    <s v=""/>
    <n v="1"/>
    <n v="1.0497911982010921"/>
    <m/>
    <n v="1.0497911982010921"/>
    <n v="1.0497911982010923"/>
    <s v=""/>
    <n v="0"/>
    <n v="0"/>
    <n v="0"/>
    <n v="0"/>
  </r>
  <r>
    <s v="India"/>
    <x v="3"/>
    <s v="P071244"/>
    <s v="C1"/>
    <s v=""/>
    <s v="P071244C1"/>
    <s v="Ratio"/>
    <s v="2001 / 2009"/>
    <s v="Widening"/>
    <s v=""/>
    <n v="0.99228571428571422"/>
    <n v="1.1235438778151696"/>
    <m/>
    <n v="1.1235438778151696"/>
    <n v="1.1322785984316421"/>
    <s v=""/>
    <n v="0"/>
    <n v="0"/>
    <n v="0"/>
    <n v="0"/>
  </r>
  <r>
    <s v="Bangladesh"/>
    <x v="3"/>
    <s v="P071435"/>
    <s v="C1"/>
    <s v=""/>
    <s v="P071435C1"/>
    <s v="Ratio"/>
    <s v="2003 / 2013"/>
    <s v="Partial Widening"/>
    <s v=""/>
    <n v="1.0136363636363637"/>
    <n v="1.3595262640173127"/>
    <m/>
    <n v="0.95600782904482673"/>
    <n v="0.94314673717426856"/>
    <s v=""/>
    <n v="0"/>
    <n v="0"/>
    <n v="0"/>
    <n v="0"/>
  </r>
  <r>
    <s v="Bangladesh"/>
    <x v="3"/>
    <s v="P071435"/>
    <s v="C2"/>
    <s v=""/>
    <s v="P071435C2"/>
    <s v="Ratio"/>
    <s v="2003 / 2013"/>
    <s v="Upgrading"/>
    <s v=""/>
    <n v="1.03"/>
    <n v="1.5435929694727106"/>
    <m/>
    <n v="1.0854420416372859"/>
    <n v="1.0538272248905687"/>
    <s v=""/>
    <n v="0"/>
    <n v="0"/>
    <n v="0"/>
    <n v="0"/>
  </r>
  <r>
    <s v="Bangladesh"/>
    <x v="3"/>
    <s v="P071435"/>
    <s v="C3"/>
    <s v=""/>
    <s v="P071435C3"/>
    <s v="Ratio"/>
    <s v="2003 / 2013"/>
    <s v="Asphalt Mix Resurfacing"/>
    <s v=""/>
    <n v="1.4133333333333333"/>
    <n v="1.5274113712374582"/>
    <m/>
    <n v="1.0740632731582958"/>
    <n v="0.75995042912143573"/>
    <s v=""/>
    <n v="0"/>
    <n v="0"/>
    <n v="0"/>
    <n v="0"/>
  </r>
  <r>
    <s v="Madagascar"/>
    <x v="0"/>
    <s v="P073689"/>
    <s v="C1"/>
    <s v=""/>
    <s v="P073689C1"/>
    <s v="Ratio"/>
    <s v="2002 / 2013"/>
    <s v="Reconstruction"/>
    <s v=""/>
    <n v="0.46666666666666667"/>
    <n v="0.93333333333333335"/>
    <m/>
    <n v="0.93333333333333335"/>
    <n v="2"/>
    <s v="x"/>
    <n v="0"/>
    <n v="1"/>
    <n v="1"/>
    <n v="0"/>
  </r>
  <r>
    <s v="India"/>
    <x v="3"/>
    <s v="P073776"/>
    <s v="C1"/>
    <s v=""/>
    <s v="P073776C1"/>
    <s v="Ratio"/>
    <s v="2003 / 2010"/>
    <s v="New 4L Expressway"/>
    <n v="2.625"/>
    <n v="1.0010860839590121"/>
    <n v="1.2535252277359512"/>
    <m/>
    <n v="1.2535252277359512"/>
    <n v="1.2521652711209548"/>
    <s v=""/>
    <n v="0"/>
    <n v="0"/>
    <n v="0"/>
    <n v="0"/>
  </r>
  <r>
    <s v="Uganda"/>
    <x v="0"/>
    <s v="P074079"/>
    <s v="C1"/>
    <s v="S1"/>
    <s v="P074079C1S1"/>
    <s v="Ratio"/>
    <s v="2004 / 2012"/>
    <s v="Upgrading"/>
    <s v=""/>
    <n v="0.98399999999999999"/>
    <n v="2.202340425531915"/>
    <m/>
    <n v="2.202340425531915"/>
    <n v="2.2381508389551983"/>
    <s v="x"/>
    <n v="0"/>
    <n v="0"/>
    <n v="1"/>
    <n v="0"/>
  </r>
  <r>
    <s v="Uganda"/>
    <x v="0"/>
    <s v="P074079"/>
    <s v="C1"/>
    <s v="S2"/>
    <s v="P074079C1S2"/>
    <s v="Ratio"/>
    <s v="2004 / 2012"/>
    <s v="Upgrading"/>
    <s v=""/>
    <n v="0.22058823529411764"/>
    <n v="1.8511866581141758"/>
    <m/>
    <n v="1.8511866581141758"/>
    <n v="8.3920461834509297"/>
    <s v="x"/>
    <n v="0"/>
    <n v="1"/>
    <n v="1"/>
    <n v="0"/>
  </r>
  <r>
    <s v="Cameroon"/>
    <x v="0"/>
    <s v="P074490"/>
    <s v="C1"/>
    <s v=""/>
    <s v="P074490C1"/>
    <s v="Ratio"/>
    <s v="2002 / 2010"/>
    <s v="Widening and Reconstruction"/>
    <s v=""/>
    <n v="1.173913043478261"/>
    <n v="1.167727507311199"/>
    <m/>
    <n v="1.167727507311199"/>
    <n v="0.99473083956139163"/>
    <s v=""/>
    <n v="0"/>
    <n v="0"/>
    <n v="0"/>
    <n v="0"/>
  </r>
  <r>
    <s v="Thailand"/>
    <x v="2"/>
    <s v="P075173"/>
    <s v="C2"/>
    <s v=""/>
    <s v="P075173C2"/>
    <s v="Ratio"/>
    <s v="2003 / 2013"/>
    <s v="Widening"/>
    <n v="1"/>
    <n v="1.1817808219178081"/>
    <n v="0.80564387917329094"/>
    <m/>
    <n v="0.80564387917329094"/>
    <n v="0.68172021768459756"/>
    <s v=""/>
    <n v="0"/>
    <n v="0"/>
    <n v="0"/>
    <n v="0"/>
  </r>
  <r>
    <s v="Vietnam"/>
    <x v="2"/>
    <s v="P075407"/>
    <s v="C1"/>
    <s v=""/>
    <s v="P075407C1"/>
    <s v="Ratio"/>
    <s v="2006 / 2014"/>
    <s v="Surface Treatment Resurfacing"/>
    <s v=""/>
    <n v="1.0422222222222222"/>
    <n v="1.9147250333411783"/>
    <m/>
    <n v="1.9147250333411783"/>
    <n v="1.8371562153593395"/>
    <s v="x"/>
    <n v="0"/>
    <n v="0"/>
    <n v="1"/>
    <n v="0"/>
  </r>
  <r>
    <s v="Vietnam"/>
    <x v="2"/>
    <s v="P075407"/>
    <s v="C2"/>
    <s v=""/>
    <s v="P075407C2"/>
    <s v="Ratio"/>
    <s v="2006 / 2014"/>
    <s v="Routine Maintenance"/>
    <n v="1"/>
    <n v="1.6585000000000001"/>
    <n v="3.1817447495961226"/>
    <m/>
    <n v="3.1817447495961226"/>
    <n v="1.9184472412397484"/>
    <s v="x"/>
    <n v="1"/>
    <n v="0"/>
    <n v="1"/>
    <n v="0"/>
  </r>
  <r>
    <s v="Lesotho"/>
    <x v="0"/>
    <s v="P075566"/>
    <s v="C1"/>
    <s v=""/>
    <s v="P075566C1"/>
    <s v="Ratio"/>
    <s v="2006 / 2015"/>
    <s v="Strengthening"/>
    <s v=""/>
    <n v="2.0754716981132075"/>
    <n v="3.0051764705882351"/>
    <m/>
    <n v="3.0051764705882351"/>
    <n v="1.4479486631016043"/>
    <s v="x"/>
    <n v="1"/>
    <n v="0"/>
    <n v="0"/>
    <n v="0"/>
  </r>
  <r>
    <s v="China"/>
    <x v="2"/>
    <s v="P076714"/>
    <s v="C1"/>
    <s v=""/>
    <s v="P076714C1"/>
    <s v="Ratio"/>
    <s v="2003 / 2009"/>
    <s v="New 4L Expressway"/>
    <n v="0.9285714285714286"/>
    <n v="0.99974171330176498"/>
    <n v="0.84813823314675107"/>
    <m/>
    <n v="1.0257132951379448"/>
    <n v="1.0259782916833646"/>
    <s v=""/>
    <n v="0"/>
    <n v="0"/>
    <n v="0"/>
    <n v="0"/>
  </r>
  <r>
    <s v="China"/>
    <x v="2"/>
    <s v="P076714"/>
    <s v="C1"/>
    <s v="S1"/>
    <s v="P076714C1S1"/>
    <s v="Ratio"/>
    <s v="2003 / 2009"/>
    <s v="New 4L Expressway"/>
    <s v=""/>
    <n v="1.1415292879691337"/>
    <n v="1.1346423562412342"/>
    <m/>
    <n v="1.3722029081336156"/>
    <n v="1.2020742022089224"/>
    <s v=""/>
    <n v="0"/>
    <n v="0"/>
    <n v="0"/>
    <n v="0"/>
  </r>
  <r>
    <s v="China"/>
    <x v="2"/>
    <s v="P076714"/>
    <s v="C1"/>
    <s v="S2"/>
    <s v="P076714C1S2"/>
    <s v="Ratio"/>
    <s v="2003 / 2009"/>
    <s v="New 4L Expressway"/>
    <s v=""/>
    <n v="0.84371807967313572"/>
    <n v="1.0787746170678336"/>
    <m/>
    <n v="1.3046381166881855"/>
    <n v="1.5462962666316391"/>
    <s v="x"/>
    <n v="0"/>
    <n v="0"/>
    <n v="1"/>
    <n v="0"/>
  </r>
  <r>
    <s v="China"/>
    <x v="2"/>
    <s v="P076714"/>
    <s v="C1"/>
    <s v="S3"/>
    <s v="P076714C1S3"/>
    <s v="Ratio"/>
    <s v="2003 / 2009"/>
    <s v="New 4L Expressway"/>
    <s v=""/>
    <n v="0.95579567779960717"/>
    <n v="0.29474485910129472"/>
    <m/>
    <n v="0.35645571539922322"/>
    <n v="0.37294133430257881"/>
    <s v="x"/>
    <n v="0"/>
    <n v="0"/>
    <n v="0"/>
    <n v="1"/>
  </r>
  <r>
    <s v="China"/>
    <x v="2"/>
    <s v="P076714"/>
    <s v="C2"/>
    <s v=""/>
    <s v="P076714C2"/>
    <s v="Ratio"/>
    <s v="2003 / 2009"/>
    <s v="Upgrading"/>
    <s v=""/>
    <n v="0.96090534979423869"/>
    <n v="0.72099999999999997"/>
    <m/>
    <n v="0.87195607613469983"/>
    <n v="0.90743180514232136"/>
    <s v=""/>
    <n v="0"/>
    <n v="0"/>
    <n v="0"/>
    <n v="0"/>
  </r>
  <r>
    <s v="China"/>
    <x v="2"/>
    <s v="P076714"/>
    <s v="C2"/>
    <s v="S1"/>
    <s v="P076714C2S1"/>
    <s v="Ratio"/>
    <s v="2003 / 2009"/>
    <s v="Upgrading"/>
    <s v=""/>
    <n v="1.0013513513513512"/>
    <n v="0.66418918918918912"/>
    <m/>
    <n v="0.80325076174270893"/>
    <n v="0.80216675261755022"/>
    <s v=""/>
    <n v="0"/>
    <n v="0"/>
    <n v="0"/>
    <n v="0"/>
  </r>
  <r>
    <s v="China"/>
    <x v="2"/>
    <s v="P076714"/>
    <s v="C2"/>
    <s v="S2"/>
    <s v="P076714C2S2"/>
    <s v="Ratio"/>
    <s v="2003 / 2009"/>
    <s v="Upgrading"/>
    <s v=""/>
    <n v="1.1142857142857143"/>
    <n v="0.94857142857142862"/>
    <m/>
    <n v="1.1471742313323574"/>
    <n v="1.02951533581109"/>
    <s v=""/>
    <n v="0"/>
    <n v="0"/>
    <n v="0"/>
    <n v="0"/>
  </r>
  <r>
    <s v="China"/>
    <x v="2"/>
    <s v="P076714"/>
    <s v="C2"/>
    <s v="S3"/>
    <s v="P076714C2S3"/>
    <s v="Ratio"/>
    <s v="2003 / 2009"/>
    <s v="Upgrading"/>
    <s v=""/>
    <n v="0.82727272727272727"/>
    <n v="0.84545454545454557"/>
    <m/>
    <n v="1.0224677226141354"/>
    <n v="1.2359499943687351"/>
    <s v=""/>
    <n v="0"/>
    <n v="0"/>
    <n v="0"/>
    <n v="0"/>
  </r>
  <r>
    <s v="China"/>
    <x v="2"/>
    <s v="P076714"/>
    <s v="C2"/>
    <s v="S4"/>
    <s v="P076714C2S4"/>
    <s v="Ratio"/>
    <s v="2003 / 2009"/>
    <s v="Upgrading"/>
    <s v=""/>
    <n v="0.86052631578947381"/>
    <n v="0.72666666666666668"/>
    <m/>
    <n v="0.8788091752074183"/>
    <n v="1.0212461363266634"/>
    <s v=""/>
    <n v="0"/>
    <n v="0"/>
    <n v="0"/>
    <n v="0"/>
  </r>
  <r>
    <s v="China"/>
    <x v="2"/>
    <s v="P076714"/>
    <s v="C2"/>
    <s v="S5"/>
    <s v="P076714C2S5"/>
    <s v="Ratio"/>
    <s v="2003 / 2009"/>
    <s v="Upgrading"/>
    <s v=""/>
    <n v="0.98653846153846148"/>
    <n v="0.53846153846153844"/>
    <m/>
    <n v="0.65119945939858093"/>
    <n v="0.66008522200246011"/>
    <s v=""/>
    <n v="0"/>
    <n v="0"/>
    <n v="0"/>
    <n v="0"/>
  </r>
  <r>
    <s v="India"/>
    <x v="3"/>
    <s v="P077856"/>
    <s v="C1"/>
    <s v=""/>
    <s v="P077856C1"/>
    <s v="Ratio"/>
    <s v="2004 / 2012"/>
    <s v="Widening"/>
    <n v="1.75"/>
    <n v="0.67701863354037262"/>
    <n v="0.99657478794823573"/>
    <m/>
    <n v="0.99657478794823573"/>
    <n v="1.4720049620152837"/>
    <s v=""/>
    <n v="0"/>
    <n v="0"/>
    <n v="0"/>
    <n v="0"/>
  </r>
  <r>
    <s v="Sierra Leone"/>
    <x v="0"/>
    <s v="P078389"/>
    <s v="C1"/>
    <s v=""/>
    <s v="P078389C1"/>
    <s v="Ratio"/>
    <s v="2005 / 2014"/>
    <s v="Gravel Resurfacing"/>
    <s v=""/>
    <n v="0.74308300395256921"/>
    <n v="1.2484560570071259"/>
    <m/>
    <n v="1.2484560570071259"/>
    <n v="1.680103097993632"/>
    <s v="x"/>
    <n v="0"/>
    <n v="0"/>
    <n v="1"/>
    <n v="0"/>
  </r>
  <r>
    <s v="Albania"/>
    <x v="1"/>
    <s v="P078949"/>
    <s v="C1"/>
    <s v="S1"/>
    <s v="P078949C1S1"/>
    <s v="Ratio"/>
    <s v="2007 / 2011"/>
    <s v="New 4L Expressway"/>
    <n v="2.2272727272727271"/>
    <n v="1"/>
    <n v="1.1753246753246753"/>
    <m/>
    <n v="1.1753246753246753"/>
    <n v="1.1753246753246755"/>
    <s v=""/>
    <n v="0"/>
    <n v="0"/>
    <n v="0"/>
    <n v="0"/>
  </r>
  <r>
    <s v="Albania"/>
    <x v="1"/>
    <s v="P078949"/>
    <s v="C1"/>
    <s v="S2"/>
    <s v="P078949C1S2"/>
    <s v="Ratio"/>
    <s v="2007 / 2011"/>
    <s v="New 4L Expressway"/>
    <n v="3.7272727272727271"/>
    <n v="1"/>
    <n v="0.9662921348314607"/>
    <m/>
    <n v="0.9662921348314607"/>
    <n v="0.96629213483146081"/>
    <s v=""/>
    <n v="0"/>
    <n v="0"/>
    <n v="0"/>
    <n v="0"/>
  </r>
  <r>
    <s v="Albania"/>
    <x v="1"/>
    <s v="P078949"/>
    <s v="C1"/>
    <s v="S3"/>
    <s v="P078949C1S3"/>
    <s v="Ratio"/>
    <s v="2007 / 2011"/>
    <s v="New 4L Expressway"/>
    <n v="2.1875"/>
    <n v="1"/>
    <n v="1.0333333333333334"/>
    <m/>
    <n v="1.0333333333333334"/>
    <n v="1.0333333333333334"/>
    <s v=""/>
    <n v="0"/>
    <n v="0"/>
    <n v="0"/>
    <n v="0"/>
  </r>
  <r>
    <s v="Rwanda"/>
    <x v="0"/>
    <s v="P079414"/>
    <s v="C1"/>
    <s v="S1"/>
    <s v="P079414C1S1"/>
    <s v="Ratio"/>
    <s v="2007 / 2015"/>
    <s v="Partial Widening and Reconstruction"/>
    <n v="1.2222222222222223"/>
    <n v="1"/>
    <n v="1.2655263157894738"/>
    <m/>
    <n v="1.2655263157894738"/>
    <n v="1.2655263157894738"/>
    <s v=""/>
    <n v="0"/>
    <n v="0"/>
    <n v="0"/>
    <n v="0"/>
  </r>
  <r>
    <s v="Mali"/>
    <x v="0"/>
    <s v="P079749_2"/>
    <s v="C1"/>
    <s v="S2"/>
    <s v="P079749_2C1S2"/>
    <s v="Ratio"/>
    <s v="2008 / 2015"/>
    <s v="Asphalt Mix Resurfacing"/>
    <s v=""/>
    <n v="1.2922077922077921"/>
    <n v="6.9"/>
    <m/>
    <n v="6.9"/>
    <n v="5.3396984924623112"/>
    <s v="x"/>
    <n v="0"/>
    <n v="0"/>
    <n v="1"/>
    <n v="0"/>
  </r>
  <r>
    <s v="China"/>
    <x v="2"/>
    <s v="P081749"/>
    <s v="C1"/>
    <s v=""/>
    <s v="P081749C1"/>
    <s v="Ratio"/>
    <s v="2004 / 2010"/>
    <s v="New 4L Expressway"/>
    <n v="1"/>
    <n v="1.0123691722169363"/>
    <n v="1.6778436635075067"/>
    <m/>
    <n v="1.6778436635075067"/>
    <n v="1.6573436939345765"/>
    <s v="x"/>
    <n v="0"/>
    <n v="0"/>
    <n v="1"/>
    <n v="0"/>
  </r>
  <r>
    <s v="China"/>
    <x v="2"/>
    <s v="P081749"/>
    <s v="C2"/>
    <s v="S1"/>
    <s v="P081749C2S1"/>
    <s v="Ratio"/>
    <s v="2004 / 2010"/>
    <s v="Upgrading"/>
    <n v="1"/>
    <n v="0.99277389277389294"/>
    <n v="0.84554678692220964"/>
    <m/>
    <n v="1.0250552555952994"/>
    <n v="1.0325163293035533"/>
    <s v=""/>
    <n v="0"/>
    <n v="0"/>
    <n v="0"/>
    <n v="0"/>
  </r>
  <r>
    <s v="Morocco"/>
    <x v="5"/>
    <s v="P082754"/>
    <s v="C1"/>
    <s v=""/>
    <s v="P082754C1"/>
    <s v="Ratio"/>
    <s v="2004 / 2011"/>
    <s v="Reconstruction"/>
    <n v="1.2777777777777777"/>
    <n v="0.83199999999999996"/>
    <n v="1.1914052201423675"/>
    <m/>
    <n v="1.3228312156496789"/>
    <n v="1.5899413649635565"/>
    <s v="x"/>
    <n v="0"/>
    <n v="0"/>
    <n v="1"/>
    <n v="0"/>
  </r>
  <r>
    <s v="Morocco"/>
    <x v="5"/>
    <s v="P082754"/>
    <s v="C1"/>
    <s v="S1"/>
    <s v="P082754C1S1"/>
    <s v="Ratio"/>
    <s v="2004 / 2011"/>
    <s v="Reconstruction"/>
    <n v="1.2777777777777777"/>
    <n v="0.77916666666666667"/>
    <n v="0.91597222222222219"/>
    <m/>
    <n v="1.0170147215560883"/>
    <n v="1.3052595356869583"/>
    <s v=""/>
    <n v="0"/>
    <n v="0"/>
    <n v="0"/>
    <n v="0"/>
  </r>
  <r>
    <s v="Morocco"/>
    <x v="5"/>
    <s v="P082754"/>
    <s v="C1"/>
    <s v="S10"/>
    <s v="P082754C1S10"/>
    <s v="Ratio"/>
    <s v="2004 / 2011"/>
    <s v="Reconstruction"/>
    <n v="1.2777777777777777"/>
    <n v="0.97777777777777786"/>
    <n v="1.6722222222222221"/>
    <m/>
    <n v="1.8566879829469756"/>
    <n v="1.8988854371048609"/>
    <s v="x"/>
    <n v="0"/>
    <n v="0"/>
    <n v="1"/>
    <n v="0"/>
  </r>
  <r>
    <s v="Morocco"/>
    <x v="5"/>
    <s v="P082754"/>
    <s v="C1"/>
    <s v="S11"/>
    <s v="P082754C1S11"/>
    <s v="Ratio"/>
    <s v="2004 / 2011"/>
    <s v="Reconstruction"/>
    <n v="1.2777777777777777"/>
    <n v="0.95"/>
    <n v="2.3470588235294119"/>
    <m/>
    <n v="2.6059669911129921"/>
    <n v="2.7431231485399916"/>
    <s v="x"/>
    <n v="0"/>
    <n v="0"/>
    <n v="1"/>
    <n v="0"/>
  </r>
  <r>
    <s v="Morocco"/>
    <x v="5"/>
    <s v="P082754"/>
    <s v="C1"/>
    <s v="S12"/>
    <s v="P082754C1S12"/>
    <s v="Ratio"/>
    <s v="2004 / 2011"/>
    <s v="Reconstruction"/>
    <n v="1.2777777777777777"/>
    <n v="1.032142857142857"/>
    <n v="1.0179924242424241"/>
    <m/>
    <n v="1.1302889506576557"/>
    <n v="1.0950896407755835"/>
    <s v=""/>
    <n v="0"/>
    <n v="0"/>
    <n v="0"/>
    <n v="0"/>
  </r>
  <r>
    <s v="Morocco"/>
    <x v="5"/>
    <s v="P082754"/>
    <s v="C1"/>
    <s v="S2"/>
    <s v="P082754C1S2"/>
    <s v="Ratio"/>
    <s v="2004 / 2011"/>
    <s v="Reconstruction"/>
    <n v="1.2777777777777777"/>
    <n v="1.0036363636363637"/>
    <n v="1.0925"/>
    <m/>
    <n v="1.213015587529976"/>
    <n v="1.2086206035171863"/>
    <s v=""/>
    <n v="0"/>
    <n v="0"/>
    <n v="0"/>
    <n v="0"/>
  </r>
  <r>
    <s v="Morocco"/>
    <x v="5"/>
    <s v="P082754"/>
    <s v="C1"/>
    <s v="S3"/>
    <s v="P082754C1S3"/>
    <s v="Ratio"/>
    <s v="2004 / 2011"/>
    <s v="Reconstruction"/>
    <n v="1.2777777777777777"/>
    <n v="1.1000000000000001"/>
    <n v="1.3590909090909091"/>
    <m/>
    <n v="1.5090146064966208"/>
    <n v="1.3718314604514736"/>
    <s v=""/>
    <n v="0"/>
    <n v="0"/>
    <n v="0"/>
    <n v="0"/>
  </r>
  <r>
    <s v="Morocco"/>
    <x v="5"/>
    <s v="P082754"/>
    <s v="C1"/>
    <s v="S4"/>
    <s v="P082754C1S4"/>
    <s v="Ratio"/>
    <s v="2004 / 2011"/>
    <s v="Reconstruction"/>
    <n v="1.2777777777777777"/>
    <n v="0.97857142857142854"/>
    <n v="1.0852272727272727"/>
    <m/>
    <n v="1.2049405929801613"/>
    <n v="1.2313261534103841"/>
    <s v=""/>
    <n v="0"/>
    <n v="0"/>
    <n v="0"/>
    <n v="0"/>
  </r>
  <r>
    <s v="Morocco"/>
    <x v="5"/>
    <s v="P082754"/>
    <s v="C1"/>
    <s v="S5"/>
    <s v="P082754C1S5"/>
    <s v="Ratio"/>
    <s v="2004 / 2011"/>
    <s v="Reconstruction"/>
    <n v="1.2777777777777777"/>
    <n v="1.01"/>
    <n v="0.88581730769230771"/>
    <m/>
    <n v="0.98353336561520011"/>
    <n v="0.97379541150019822"/>
    <s v=""/>
    <n v="0"/>
    <n v="0"/>
    <n v="0"/>
    <n v="0"/>
  </r>
  <r>
    <s v="Morocco"/>
    <x v="5"/>
    <s v="P082754"/>
    <s v="C1"/>
    <s v="S6"/>
    <s v="P082754C1S6"/>
    <s v="Ratio"/>
    <s v="2004 / 2011"/>
    <s v="Reconstruction"/>
    <n v="1.2777777777777777"/>
    <n v="0.92500000000000004"/>
    <n v="1.2353896103896105"/>
    <m/>
    <n v="1.3716676009841478"/>
    <n v="1.4828838929558354"/>
    <s v=""/>
    <n v="0"/>
    <n v="0"/>
    <n v="0"/>
    <n v="0"/>
  </r>
  <r>
    <s v="Morocco"/>
    <x v="5"/>
    <s v="P082754"/>
    <s v="C1"/>
    <s v="S7"/>
    <s v="P082754C1S7"/>
    <s v="Ratio"/>
    <s v="2004 / 2011"/>
    <s v="Reconstruction"/>
    <n v="1.2777777777777777"/>
    <n v="0.88461538461538458"/>
    <n v="0.93990384615384615"/>
    <m/>
    <n v="1.0435862848182993"/>
    <n v="1.1797062350119905"/>
    <s v=""/>
    <n v="0"/>
    <n v="0"/>
    <n v="0"/>
    <n v="0"/>
  </r>
  <r>
    <s v="Morocco"/>
    <x v="5"/>
    <s v="P082754"/>
    <s v="C1"/>
    <s v="S8"/>
    <s v="P082754C1S8"/>
    <s v="Ratio"/>
    <s v="2004 / 2011"/>
    <s v="Reconstruction"/>
    <n v="1.2777777777777777"/>
    <n v="0.86153846153846148"/>
    <n v="0.93990384615384615"/>
    <m/>
    <n v="1.0435862848182993"/>
    <n v="1.2113055091640974"/>
    <s v=""/>
    <n v="0"/>
    <n v="0"/>
    <n v="0"/>
    <n v="0"/>
  </r>
  <r>
    <s v="Morocco"/>
    <x v="5"/>
    <s v="P082754"/>
    <s v="C1"/>
    <s v="S9"/>
    <s v="P082754C1S9"/>
    <s v="Ratio"/>
    <s v="2004 / 2011"/>
    <s v="Reconstruction"/>
    <n v="1.2777777777777777"/>
    <n v="1.4444444444444444"/>
    <n v="2.046875"/>
    <m/>
    <n v="2.2726693645083933"/>
    <n v="1.5733864831211952"/>
    <s v="x"/>
    <n v="0"/>
    <n v="0"/>
    <n v="1"/>
    <n v="0"/>
  </r>
  <r>
    <s v="Madagascar"/>
    <x v="0"/>
    <s v="P082806"/>
    <s v="C1"/>
    <s v="S1"/>
    <s v="P082806C1S1"/>
    <s v="Ratio"/>
    <s v="2003 / 2013"/>
    <s v="Asphalt Mix Resurfacing"/>
    <n v="1.625"/>
    <n v="1.2630522088353413"/>
    <n v="6.3794760701283622"/>
    <m/>
    <n v="6.3794760701283622"/>
    <n v="5.0508411493226149"/>
    <s v="x"/>
    <n v="0"/>
    <n v="0"/>
    <n v="1"/>
    <n v="0"/>
  </r>
  <r>
    <s v="Madagascar"/>
    <x v="0"/>
    <s v="P082806"/>
    <s v="C1"/>
    <s v="S2"/>
    <s v="P082806C1S2"/>
    <s v="Ratio"/>
    <s v="2003 / 2013"/>
    <s v="Asphalt Mix Resurfacing"/>
    <n v="1"/>
    <n v="0.48779661016949155"/>
    <n v="1.9009688798722191"/>
    <m/>
    <n v="1.9009688798722191"/>
    <n v="3.897052255471193"/>
    <s v="x"/>
    <n v="0"/>
    <n v="1"/>
    <n v="1"/>
    <n v="0"/>
  </r>
  <r>
    <s v="Madagascar"/>
    <x v="0"/>
    <s v="P082806"/>
    <s v="C1"/>
    <s v="S3"/>
    <s v="P082806C1S3"/>
    <s v="Ratio"/>
    <s v="2003 / 2013"/>
    <s v="Gravel Resurfacing"/>
    <n v="0.27777777777777779"/>
    <n v="1.011049723756906"/>
    <n v="9.8801425665107037E-2"/>
    <m/>
    <n v="9.8801425665107037E-2"/>
    <n v="9.7721628663302584E-2"/>
    <s v="x"/>
    <n v="0"/>
    <n v="0"/>
    <n v="0"/>
    <n v="1"/>
  </r>
  <r>
    <s v="Ethiopia"/>
    <x v="0"/>
    <s v="P082998"/>
    <s v="C1"/>
    <s v="S1"/>
    <s v="P082998C1S1"/>
    <s v="Ratio"/>
    <s v="2004 / 2012"/>
    <s v="Upgrading"/>
    <s v=""/>
    <n v="0.77848101265822789"/>
    <n v="3.1677949709864603"/>
    <m/>
    <n v="3.1677949709864603"/>
    <n v="4.0692000440313878"/>
    <s v="x"/>
    <n v="0"/>
    <n v="0"/>
    <n v="1"/>
    <n v="0"/>
  </r>
  <r>
    <s v="Ethiopia"/>
    <x v="0"/>
    <s v="P082998"/>
    <s v="C1"/>
    <s v="S2"/>
    <s v="P082998C1S2"/>
    <s v="Ratio"/>
    <s v="2004 / 2012"/>
    <s v="Upgrading"/>
    <s v=""/>
    <n v="1"/>
    <n v="2.4344999999999999"/>
    <m/>
    <n v="2.4344999999999999"/>
    <n v="2.4344999999999999"/>
    <s v="x"/>
    <n v="0"/>
    <n v="0"/>
    <n v="1"/>
    <n v="0"/>
  </r>
  <r>
    <s v="Ethiopia"/>
    <x v="0"/>
    <s v="P082998"/>
    <s v="C1"/>
    <s v="S3"/>
    <s v="P082998C1S3"/>
    <s v="Ratio"/>
    <s v="2004 / 2012"/>
    <s v="Upgrading"/>
    <s v=""/>
    <n v="1"/>
    <n v="3.1646682653876903"/>
    <m/>
    <n v="3.1646682653876903"/>
    <n v="3.1646682653876903"/>
    <s v="x"/>
    <n v="0"/>
    <n v="0"/>
    <n v="1"/>
    <n v="0"/>
  </r>
  <r>
    <s v="Ethiopia"/>
    <x v="0"/>
    <s v="P082998"/>
    <s v="C1"/>
    <s v="S4"/>
    <s v="P082998C1S4"/>
    <s v="Ratio"/>
    <s v="2004 / 2007"/>
    <s v="Upgrading"/>
    <n v="1.75"/>
    <n v="1"/>
    <n v="4.2753338570306356"/>
    <m/>
    <n v="4.2753338570306356"/>
    <n v="4.2753338570306365"/>
    <s v="x"/>
    <n v="0"/>
    <n v="0"/>
    <n v="1"/>
    <n v="0"/>
  </r>
  <r>
    <s v="Ethiopia"/>
    <x v="0"/>
    <s v="P082998"/>
    <s v="C2"/>
    <s v="S1"/>
    <s v="P082998C2S1"/>
    <s v="Ratio"/>
    <s v="2004 / 2012"/>
    <s v="New 2L Highway"/>
    <s v=""/>
    <n v="1"/>
    <n v="2.6570644718792868"/>
    <m/>
    <n v="2.6570644718792868"/>
    <n v="2.6570644718792868"/>
    <s v="x"/>
    <n v="0"/>
    <n v="0"/>
    <n v="1"/>
    <n v="0"/>
  </r>
  <r>
    <s v="Ethiopia"/>
    <x v="0"/>
    <s v="P082998"/>
    <s v="C2"/>
    <s v="S2"/>
    <s v="P082998C2S2"/>
    <s v="Ratio"/>
    <s v="2004 / 2012"/>
    <s v="New 2L Highway"/>
    <s v=""/>
    <n v="1"/>
    <n v="3.950755456071628"/>
    <m/>
    <n v="3.950755456071628"/>
    <n v="3.950755456071628"/>
    <s v="x"/>
    <n v="0"/>
    <n v="0"/>
    <n v="1"/>
    <n v="0"/>
  </r>
  <r>
    <s v="Vietnam"/>
    <x v="2"/>
    <s v="P083588 "/>
    <s v="C1"/>
    <s v=""/>
    <s v="P083588 C1"/>
    <s v="Ratio"/>
    <s v="2007 / 2017"/>
    <s v="Widening and Reconstruction"/>
    <n v="2.1944444444444446"/>
    <n v="0.62244897959183676"/>
    <n v="1.0123357468490213"/>
    <m/>
    <n v="1.0123357468490213"/>
    <n v="1.6263754621508864"/>
    <s v="x"/>
    <n v="0"/>
    <n v="0"/>
    <n v="1"/>
    <n v="0"/>
  </r>
  <r>
    <s v="Nepal"/>
    <x v="3"/>
    <s v="P083923"/>
    <s v="C1"/>
    <s v="S1"/>
    <s v="P083923C1S1"/>
    <s v="Ratio"/>
    <s v="2005 / 2014"/>
    <s v="Upgrading"/>
    <s v=""/>
    <n v="2.17625"/>
    <n v="2.7154761904761902"/>
    <m/>
    <n v="2.7154761904761902"/>
    <n v="1.2477776866059462"/>
    <s v="x"/>
    <n v="1"/>
    <n v="0"/>
    <n v="0"/>
    <n v="0"/>
  </r>
  <r>
    <s v="Nepal"/>
    <x v="3"/>
    <s v="P083923"/>
    <s v="C1"/>
    <s v="S2"/>
    <s v="P083923C1S2"/>
    <s v="Ratio"/>
    <s v="2005 / 2014"/>
    <s v="Upgrading"/>
    <s v=""/>
    <n v="0.7"/>
    <n v="0.76"/>
    <m/>
    <n v="0.76"/>
    <n v="1.0857142857142856"/>
    <s v=""/>
    <n v="0"/>
    <n v="0"/>
    <n v="0"/>
    <n v="0"/>
  </r>
  <r>
    <s v="Nepal"/>
    <x v="3"/>
    <s v="P083923"/>
    <s v="C1"/>
    <s v="S3"/>
    <s v="P083923C1S3"/>
    <s v="Ratio"/>
    <s v="2005 / 2014"/>
    <s v="Routine Maintenance"/>
    <s v=""/>
    <n v="1.3142857142857143"/>
    <n v="2.0152091254752853"/>
    <m/>
    <n v="2.0152091254752853"/>
    <n v="1.5333112911224998"/>
    <s v="x"/>
    <n v="0"/>
    <n v="0"/>
    <n v="1"/>
    <n v="0"/>
  </r>
  <r>
    <s v="Nicaragua"/>
    <x v="4"/>
    <s v="P083952"/>
    <s v="C1"/>
    <s v=""/>
    <s v="P083952C1"/>
    <s v="Ratio"/>
    <s v="2006 / 2015"/>
    <s v="Strengthening"/>
    <s v=""/>
    <n v="1.0111764705882353"/>
    <n v="1.3514313919052319"/>
    <m/>
    <n v="1.3514313919052319"/>
    <n v="1.3364941048510146"/>
    <s v=""/>
    <n v="0"/>
    <n v="0"/>
    <n v="0"/>
    <n v="0"/>
  </r>
  <r>
    <s v="Nicaragua"/>
    <x v="4"/>
    <s v="P083952"/>
    <s v="C2"/>
    <s v=""/>
    <s v="P083952C2"/>
    <s v="Ratio"/>
    <s v="2006 / 2015"/>
    <s v="Reconstruction"/>
    <s v=""/>
    <n v="1.128125"/>
    <n v="2.0714115118223075"/>
    <m/>
    <n v="2.0714115118223075"/>
    <n v="1.8361542487067546"/>
    <s v="x"/>
    <n v="0"/>
    <n v="0"/>
    <n v="1"/>
    <n v="0"/>
  </r>
  <r>
    <s v="Nicaragua"/>
    <x v="4"/>
    <s v="P083952"/>
    <s v="C3"/>
    <s v=""/>
    <s v="P083952C3"/>
    <s v="Ratio"/>
    <s v="2006 / 2015"/>
    <s v="Routine Maintenance"/>
    <s v=""/>
    <n v="1.2903225806451613"/>
    <n v="1.6047120418848169"/>
    <m/>
    <n v="1.6047120418848169"/>
    <n v="1.2436518324607331"/>
    <s v=""/>
    <n v="0"/>
    <n v="0"/>
    <n v="0"/>
    <n v="0"/>
  </r>
  <r>
    <s v="Sri Lanka"/>
    <x v="3"/>
    <s v="P086411"/>
    <s v="C1"/>
    <s v=""/>
    <s v="P086411C1"/>
    <s v="Ratio"/>
    <s v="2005 / 2016"/>
    <s v="Upgrading"/>
    <s v=""/>
    <n v="0.24724409448818899"/>
    <n v="1.3017928286852591"/>
    <m/>
    <n v="1.3017928286852591"/>
    <n v="5.2652130332174494"/>
    <s v="x"/>
    <n v="0"/>
    <n v="1"/>
    <n v="1"/>
    <n v="0"/>
  </r>
  <r>
    <s v="Sri Lanka"/>
    <x v="3"/>
    <s v="P086411"/>
    <s v="C2"/>
    <s v=""/>
    <s v="P086411C2"/>
    <s v="Ratio"/>
    <s v="2005 / 2016"/>
    <s v="Widening"/>
    <s v=""/>
    <n v="0.99516129032258061"/>
    <n v="2.1242556217225133"/>
    <m/>
    <n v="2.1242556217225133"/>
    <n v="2.1345842552154917"/>
    <s v="x"/>
    <n v="0"/>
    <n v="0"/>
    <n v="1"/>
    <n v="0"/>
  </r>
  <r>
    <s v="Mali"/>
    <x v="0"/>
    <s v="P090075"/>
    <s v="C1"/>
    <s v=""/>
    <s v="P090075C1"/>
    <s v="Ratio"/>
    <s v="2007 / 2016"/>
    <s v="Gravel Resurfacing"/>
    <s v=""/>
    <n v="1.155813953488372"/>
    <n v="0.94777777777777772"/>
    <m/>
    <n v="0.94777777777777772"/>
    <n v="0.8200089425441538"/>
    <s v=""/>
    <n v="0"/>
    <n v="0"/>
    <n v="0"/>
    <n v="0"/>
  </r>
  <r>
    <s v="China"/>
    <x v="2"/>
    <s v="P091020"/>
    <s v="C1"/>
    <s v=""/>
    <s v="P091020C1"/>
    <s v="Ratio"/>
    <s v="2006 / 2015"/>
    <s v="New 4L Expressway"/>
    <s v=""/>
    <n v="1"/>
    <n v="1.5870193224865778"/>
    <m/>
    <n v="1.5870193224865778"/>
    <n v="1.5870193224865778"/>
    <s v="x"/>
    <n v="0"/>
    <n v="0"/>
    <n v="1"/>
    <n v="0"/>
  </r>
  <r>
    <s v="China"/>
    <x v="2"/>
    <s v="P091020"/>
    <s v="C2"/>
    <s v=""/>
    <s v="P091020C2"/>
    <s v="Ratio"/>
    <s v="2006 / 2015"/>
    <s v="Strengthening"/>
    <s v=""/>
    <n v="2.4368557036728293"/>
    <n v="2.6955416794291316"/>
    <m/>
    <n v="3.5514092503117034"/>
    <n v="1.4573736331449656"/>
    <s v="x"/>
    <n v="1"/>
    <n v="0"/>
    <n v="0"/>
    <n v="0"/>
  </r>
  <r>
    <s v="China"/>
    <x v="2"/>
    <s v="P091020"/>
    <s v="C2"/>
    <s v="S1"/>
    <s v="P091020C2S1"/>
    <s v="Ratio"/>
    <s v="2006 / 2015"/>
    <s v="Strengthening"/>
    <s v=""/>
    <n v="3.5906546256946719"/>
    <n v="5.2831890097011529"/>
    <m/>
    <n v="6.9606663712101939"/>
    <n v="1.938550792771816"/>
    <s v="x"/>
    <n v="1"/>
    <n v="0"/>
    <n v="1"/>
    <n v="0"/>
  </r>
  <r>
    <s v="China"/>
    <x v="2"/>
    <s v="P091020"/>
    <s v="C2"/>
    <s v="S2"/>
    <s v="P091020C2S2"/>
    <s v="Ratio"/>
    <s v="2006 / 2015"/>
    <s v="Strengthening"/>
    <s v=""/>
    <n v="2.1986594937825203"/>
    <n v="2.0245805458618427"/>
    <m/>
    <n v="2.6674097208163392"/>
    <n v="1.2131981911520973"/>
    <s v="x"/>
    <n v="1"/>
    <n v="0"/>
    <n v="0"/>
    <n v="0"/>
  </r>
  <r>
    <s v="China"/>
    <x v="2"/>
    <s v="P091020"/>
    <s v="C2"/>
    <s v="S3"/>
    <s v="P091020C2S3"/>
    <s v="Ratio"/>
    <s v="2006 / 2015"/>
    <s v="Strengthening"/>
    <s v=""/>
    <n v="1.6798525210734438"/>
    <n v="1.7897825567502987"/>
    <m/>
    <n v="2.3580604880261715"/>
    <n v="1.4037306599506398"/>
    <s v="x"/>
    <n v="1"/>
    <n v="0"/>
    <n v="0"/>
    <n v="0"/>
  </r>
  <r>
    <s v="China"/>
    <x v="2"/>
    <s v="P091020"/>
    <s v="C2"/>
    <s v="S4"/>
    <s v="P091020C2S4"/>
    <s v="Ratio"/>
    <s v="2006 / 2015"/>
    <s v="Strengthening"/>
    <s v=""/>
    <n v="2.8277243589743586"/>
    <n v="3.0553857301360865"/>
    <m/>
    <n v="4.0255082041891157"/>
    <n v="1.4235857860096393"/>
    <s v="x"/>
    <n v="1"/>
    <n v="0"/>
    <n v="0"/>
    <n v="0"/>
  </r>
  <r>
    <s v="China"/>
    <x v="2"/>
    <s v="P091020"/>
    <s v="C2"/>
    <s v="S5"/>
    <s v="P091020C2S5"/>
    <s v="Ratio"/>
    <s v="2006 / 2015"/>
    <s v="Strengthening"/>
    <s v=""/>
    <n v="2.1733047248670152"/>
    <n v="2.3721244925575098"/>
    <m/>
    <n v="3.1253031366756061"/>
    <n v="1.4380418451751371"/>
    <s v="x"/>
    <n v="1"/>
    <n v="0"/>
    <n v="0"/>
    <n v="0"/>
  </r>
  <r>
    <s v="China"/>
    <x v="2"/>
    <s v="P091020"/>
    <s v="C2"/>
    <s v="S6"/>
    <s v="P091020C2S6"/>
    <s v="Ratio"/>
    <s v="2006 / 2015"/>
    <s v="Strengthening"/>
    <s v=""/>
    <n v="4.8700071528065347"/>
    <n v="5.8877673761832536"/>
    <m/>
    <n v="7.7572057902250728"/>
    <n v="1.5928530589025265"/>
    <s v="x"/>
    <n v="1"/>
    <n v="0"/>
    <n v="1"/>
    <n v="0"/>
  </r>
  <r>
    <s v="China"/>
    <x v="2"/>
    <s v="P091020"/>
    <s v="C2"/>
    <s v="S7"/>
    <s v="P091020C2S7"/>
    <s v="Ratio"/>
    <s v="2006 / 2015"/>
    <s v="Strengthening"/>
    <s v=""/>
    <n v="1.3628405500042702"/>
    <n v="1.3804635088432609"/>
    <m/>
    <n v="1.8187776180340836"/>
    <n v="1.3345490916221894"/>
    <s v=""/>
    <n v="0"/>
    <n v="0"/>
    <n v="0"/>
    <n v="0"/>
  </r>
  <r>
    <s v="Macedonia, FYR"/>
    <x v="1"/>
    <s v="P091723"/>
    <s v="C1"/>
    <s v=""/>
    <s v="P091723C1"/>
    <s v="Ratio"/>
    <s v="2007 / 2012"/>
    <s v="Widening"/>
    <n v="1.2692307692307692"/>
    <n v="1"/>
    <n v="1.3844393592677344"/>
    <m/>
    <n v="1.3844393592677344"/>
    <n v="1.3844393592677346"/>
    <s v=""/>
    <n v="0"/>
    <n v="0"/>
    <n v="0"/>
    <n v="0"/>
  </r>
  <r>
    <s v="Bulgaria"/>
    <x v="1"/>
    <s v="P094018"/>
    <s v="C1"/>
    <s v=""/>
    <s v="P094018C1"/>
    <s v="Ratio"/>
    <s v="2007 / 2014"/>
    <s v="New 4L Expressway"/>
    <n v="1.368421052631579"/>
    <n v="1"/>
    <n v="1.14031007751938"/>
    <m/>
    <n v="1.14031007751938"/>
    <n v="1.14031007751938"/>
    <s v=""/>
    <n v="0"/>
    <n v="0"/>
    <n v="0"/>
    <n v="0"/>
  </r>
  <r>
    <s v="Sudan"/>
    <x v="0"/>
    <s v="P095081"/>
    <s v="C1"/>
    <s v="S1"/>
    <s v="P095081C1S1"/>
    <s v="Ratio"/>
    <s v="2006 / 2013"/>
    <s v="Upgrading"/>
    <s v=""/>
    <n v="0.68"/>
    <n v="1.4598214285714286"/>
    <m/>
    <n v="1.4598214285714286"/>
    <n v="2.1467962184873945"/>
    <s v="x"/>
    <n v="0"/>
    <n v="0"/>
    <n v="1"/>
    <n v="0"/>
  </r>
  <r>
    <s v="Sudan"/>
    <x v="0"/>
    <s v="P095081"/>
    <s v="C1"/>
    <s v="S2"/>
    <s v="P095081C1S2"/>
    <s v="Ratio"/>
    <s v="2006 / 2013"/>
    <s v="Asphalt Mix Resurfacing"/>
    <s v=""/>
    <n v="2.85"/>
    <n v="1.5063291139240509"/>
    <m/>
    <n v="1.5063291139240509"/>
    <n v="0.5285365312014213"/>
    <s v="x"/>
    <n v="1"/>
    <n v="0"/>
    <n v="0"/>
    <n v="0"/>
  </r>
  <r>
    <s v="Sudan"/>
    <x v="0"/>
    <s v="P095081"/>
    <s v="C1"/>
    <s v="S3"/>
    <s v="P095081C1S3"/>
    <s v="Ratio"/>
    <s v="2006 / 2013"/>
    <s v="Gravel Resurfacing"/>
    <s v=""/>
    <n v="0.70609756097560972"/>
    <n v="1.7175141242937852"/>
    <m/>
    <n v="1.7175141242937852"/>
    <n v="2.4324034230067424"/>
    <s v="x"/>
    <n v="0"/>
    <n v="0"/>
    <n v="1"/>
    <n v="0"/>
  </r>
  <r>
    <s v="Brazil"/>
    <x v="4"/>
    <s v="P095460"/>
    <s v="C1"/>
    <s v=""/>
    <s v="P095460C1"/>
    <s v="Ratio"/>
    <s v="2006 / 2014"/>
    <s v="Asphalt Mix Resurfacing"/>
    <s v=""/>
    <n v="0.59799999999999998"/>
    <n v="1.3802987197724039"/>
    <m/>
    <n v="1.3802987197724039"/>
    <n v="2.3081918390842877"/>
    <s v="x"/>
    <n v="0"/>
    <n v="0"/>
    <n v="1"/>
    <n v="0"/>
  </r>
  <r>
    <s v="Poland"/>
    <x v="1"/>
    <s v="P096214"/>
    <s v="C1"/>
    <s v=""/>
    <s v="P096214C1"/>
    <s v="Ratio"/>
    <s v="2006 / 2012"/>
    <s v="Asphalt Mix Resurfacing"/>
    <s v=""/>
    <n v="1.2255555555555555"/>
    <n v="1.0893413173652693"/>
    <m/>
    <n v="1.0893413173652693"/>
    <n v="0.88885510936422707"/>
    <s v=""/>
    <n v="0"/>
    <n v="0"/>
    <n v="0"/>
    <n v="0"/>
  </r>
  <r>
    <s v="China"/>
    <x v="2"/>
    <s v="P099112"/>
    <s v="C1"/>
    <s v=""/>
    <s v="P099112C1"/>
    <s v="Ratio"/>
    <s v="2008 / 2012"/>
    <s v="Strengthening"/>
    <n v="0.91666666666666663"/>
    <n v="0.94946364046973808"/>
    <n v="1.174296996382886"/>
    <m/>
    <n v="1.174296996382886"/>
    <n v="1.2368003853227214"/>
    <s v=""/>
    <n v="0"/>
    <n v="0"/>
    <n v="0"/>
    <n v="0"/>
  </r>
  <r>
    <s v="China"/>
    <x v="2"/>
    <s v="P099112"/>
    <s v="C2"/>
    <s v=""/>
    <s v="P099112C2"/>
    <s v="Ratio"/>
    <s v="2008 / 2012"/>
    <s v="Upgrading"/>
    <s v=""/>
    <n v="1.0018750000000001"/>
    <n v="1.291366279244557"/>
    <m/>
    <n v="1.291366279244557"/>
    <n v="1.2889494989340555"/>
    <s v=""/>
    <n v="0"/>
    <n v="0"/>
    <n v="0"/>
    <n v="0"/>
  </r>
  <r>
    <s v="Argentina"/>
    <x v="4"/>
    <s v="P099585"/>
    <s v="C1"/>
    <s v=""/>
    <s v="P099585C1"/>
    <s v="Ratio"/>
    <s v="2006 / 2014"/>
    <s v="Strengthening"/>
    <s v=""/>
    <n v="0.7173189486973488"/>
    <n v="1.197109689647003"/>
    <m/>
    <n v="1.197109689647003"/>
    <n v="1.6688666761430939"/>
    <s v="x"/>
    <n v="0"/>
    <n v="0"/>
    <n v="1"/>
    <n v="0"/>
  </r>
  <r>
    <s v="Argentina"/>
    <x v="4"/>
    <s v="P099585"/>
    <s v="C2"/>
    <s v=""/>
    <s v="P099585C2"/>
    <s v="Ratio"/>
    <s v="2006 / 2014"/>
    <s v="Strengthening"/>
    <s v=""/>
    <n v="0.32294811320754718"/>
    <n v="1.2289855072463767"/>
    <m/>
    <n v="1.2289855072463767"/>
    <n v="3.8055200107534053"/>
    <s v="x"/>
    <n v="0"/>
    <n v="1"/>
    <n v="1"/>
    <n v="0"/>
  </r>
  <r>
    <s v="China"/>
    <x v="2"/>
    <s v="P099992"/>
    <s v="C1"/>
    <s v=""/>
    <s v="P099992C1"/>
    <s v="Ratio"/>
    <s v="2006 / 2014"/>
    <s v="Widening and Reconstruction"/>
    <s v=""/>
    <n v="0.5977653631284916"/>
    <n v="0.488502100142024"/>
    <m/>
    <n v="0.488502100142024"/>
    <n v="0.81721379369553548"/>
    <s v=""/>
    <n v="0"/>
    <n v="0"/>
    <n v="0"/>
    <n v="0"/>
  </r>
  <r>
    <s v="Ukraine "/>
    <x v="1"/>
    <s v="P100580"/>
    <s v="C1"/>
    <s v=""/>
    <s v="P100580C1"/>
    <s v="Ratio"/>
    <s v="2009 / 2015"/>
    <s v="Reconstruction"/>
    <n v="1.24"/>
    <n v="1.2549999999999999"/>
    <n v="1.4922005184225144"/>
    <m/>
    <n v="0.76294448817087379"/>
    <n v="0.6079238949568716"/>
    <s v=""/>
    <n v="0"/>
    <n v="0"/>
    <n v="0"/>
    <n v="0"/>
  </r>
  <r>
    <s v="Moldova"/>
    <x v="1"/>
    <s v="P100929"/>
    <s v="C1"/>
    <s v=""/>
    <s v="P100929C1"/>
    <s v="Ratio"/>
    <s v="2005 / 2013"/>
    <s v="Widening and Reconstruction"/>
    <s v=""/>
    <n v="0.48388888888888887"/>
    <n v="1.5272727272727273"/>
    <m/>
    <n v="1.5272727272727273"/>
    <n v="3.1562467383362911"/>
    <s v="x"/>
    <n v="0"/>
    <n v="1"/>
    <n v="1"/>
    <n v="0"/>
  </r>
  <r>
    <s v="Brazil"/>
    <x v="4"/>
    <s v="P106663"/>
    <s v="C1"/>
    <s v=""/>
    <s v="P106663C1"/>
    <s v="Ratio"/>
    <s v="2009 / 2015"/>
    <s v="Reconstruction"/>
    <s v=""/>
    <n v="2.0674193548387096"/>
    <n v="2.1177469394600035"/>
    <m/>
    <n v="2.1177469394600035"/>
    <n v="1.0243431911883305"/>
    <s v="x"/>
    <n v="1"/>
    <n v="0"/>
    <n v="0"/>
    <n v="0"/>
  </r>
  <r>
    <s v="Kyrgyz Republic"/>
    <x v="1"/>
    <s v="P107608"/>
    <s v="C1"/>
    <s v="S1"/>
    <s v="P107608C1S1"/>
    <s v="Ratio"/>
    <s v="2009 / 2015"/>
    <s v="Upgrading"/>
    <n v="1.0833333333333333"/>
    <n v="1.0666666666666667"/>
    <n v="0.93447072508724316"/>
    <m/>
    <n v="0.93447072508724316"/>
    <n v="0.87606630476929048"/>
    <s v=""/>
    <n v="0"/>
    <n v="0"/>
    <n v="0"/>
    <n v="0"/>
  </r>
  <r>
    <s v="Kyrgyz Republic"/>
    <x v="1"/>
    <s v="P107608"/>
    <s v="C1"/>
    <s v="S2"/>
    <s v="P107608C1S2"/>
    <s v="Ratio"/>
    <s v="2015 / 2011"/>
    <s v="Upgrading"/>
    <s v=""/>
    <n v="1.0055555555555555"/>
    <n v="1.0984848484848486"/>
    <m/>
    <n v="1.0984848484848486"/>
    <n v="1.0924158714213963"/>
    <s v=""/>
    <n v="0"/>
    <n v="0"/>
    <n v="0"/>
    <n v="0"/>
  </r>
  <r>
    <s v="Albania"/>
    <x v="1"/>
    <s v="P107833"/>
    <s v="C1"/>
    <s v="S1"/>
    <s v="P107833C1S1"/>
    <s v="Ratio"/>
    <s v="2008 / 2013"/>
    <s v="Reconstruction"/>
    <n v="2.4"/>
    <n v="1"/>
    <n v="0.7396694214876034"/>
    <m/>
    <n v="0.7396694214876034"/>
    <n v="0.7396694214876034"/>
    <s v=""/>
    <n v="0"/>
    <n v="0"/>
    <n v="0"/>
    <n v="0"/>
  </r>
  <r>
    <s v="Albania"/>
    <x v="1"/>
    <s v="P107833"/>
    <s v="C1"/>
    <s v="S2"/>
    <s v="P107833C1S2"/>
    <s v="Ratio"/>
    <s v="2008 / 2013"/>
    <s v="Reconstruction"/>
    <n v="1.5"/>
    <n v="1"/>
    <n v="0.97572815533980572"/>
    <m/>
    <n v="0.97572815533980572"/>
    <n v="0.97572815533980572"/>
    <s v=""/>
    <n v="0"/>
    <n v="0"/>
    <n v="0"/>
    <n v="0"/>
  </r>
  <r>
    <s v="Albania"/>
    <x v="1"/>
    <s v="P107833"/>
    <s v="C1"/>
    <s v="S3"/>
    <s v="P107833C1S3"/>
    <s v="Ratio"/>
    <s v="2008 / 2013"/>
    <s v="Reconstruction"/>
    <n v="1.2"/>
    <n v="1"/>
    <n v="0.83268482490272389"/>
    <m/>
    <n v="0.83268482490272389"/>
    <n v="0.83268482490272389"/>
    <s v=""/>
    <n v="0"/>
    <n v="0"/>
    <n v="0"/>
    <n v="0"/>
  </r>
  <r>
    <s v="Albania"/>
    <x v="1"/>
    <s v="P107833"/>
    <s v="C2"/>
    <s v="S1"/>
    <s v="P107833C2S1"/>
    <s v="Ratio"/>
    <s v="2008 / 2013"/>
    <s v="Reconstruction"/>
    <n v="1.0909090909090908"/>
    <n v="1"/>
    <n v="0.58704453441295545"/>
    <m/>
    <n v="0.58704453441295545"/>
    <n v="0.58704453441295534"/>
    <s v=""/>
    <n v="0"/>
    <n v="0"/>
    <n v="0"/>
    <n v="0"/>
  </r>
  <r>
    <s v="Albania"/>
    <x v="1"/>
    <s v="P107833"/>
    <s v="C2"/>
    <s v="S2"/>
    <s v="P107833C2S2"/>
    <s v="Ratio"/>
    <s v="2008 / 2013"/>
    <s v="Reconstruction"/>
    <n v="2"/>
    <n v="1"/>
    <n v="0.88127853881278539"/>
    <m/>
    <n v="0.88127853881278539"/>
    <n v="0.88127853881278528"/>
    <s v=""/>
    <n v="0"/>
    <n v="0"/>
    <n v="0"/>
    <n v="0"/>
  </r>
  <r>
    <s v="Albania"/>
    <x v="1"/>
    <s v="P107833"/>
    <s v="C2"/>
    <s v="S3"/>
    <s v="P107833C2S3"/>
    <s v="Ratio"/>
    <s v="2008 / 2013"/>
    <s v="Reconstruction"/>
    <n v="0.92307692307692313"/>
    <n v="1"/>
    <n v="0.89206349206349211"/>
    <m/>
    <n v="0.89206349206349211"/>
    <n v="0.89206349206349211"/>
    <s v=""/>
    <n v="0"/>
    <n v="0"/>
    <n v="0"/>
    <n v="0"/>
  </r>
  <r>
    <s v="Albania"/>
    <x v="1"/>
    <s v="P107833"/>
    <s v="C2"/>
    <s v="S4"/>
    <s v="P107833C2S4"/>
    <s v="Ratio"/>
    <s v="2008 / 2013"/>
    <s v="Reconstruction"/>
    <n v="1.7142857142857142"/>
    <n v="1"/>
    <n v="1.3971291866028708"/>
    <m/>
    <n v="1.3971291866028708"/>
    <n v="1.397129186602871"/>
    <s v=""/>
    <n v="0"/>
    <n v="0"/>
    <n v="0"/>
    <n v="0"/>
  </r>
  <r>
    <s v="Albania"/>
    <x v="1"/>
    <s v="P107833"/>
    <s v="C2"/>
    <s v="S5"/>
    <s v="P107833C2S5"/>
    <s v="Ratio"/>
    <s v="2008 / 2013"/>
    <s v="Reconstruction"/>
    <n v="1"/>
    <n v="1"/>
    <n v="1.0895522388059702"/>
    <m/>
    <n v="1.0895522388059702"/>
    <n v="1.0895522388059702"/>
    <s v=""/>
    <n v="0"/>
    <n v="0"/>
    <n v="0"/>
    <n v="0"/>
  </r>
  <r>
    <s v="Albania"/>
    <x v="1"/>
    <s v="P107833"/>
    <s v="C2"/>
    <s v="S6"/>
    <s v="P107833C2S6"/>
    <s v="Ratio"/>
    <s v="2008 / 2013"/>
    <s v="Reconstruction"/>
    <n v="1.2"/>
    <n v="1"/>
    <n v="0.64313725490196083"/>
    <m/>
    <n v="0.64313725490196083"/>
    <n v="0.64313725490196072"/>
    <s v=""/>
    <n v="0"/>
    <n v="0"/>
    <n v="0"/>
    <n v="0"/>
  </r>
  <r>
    <s v="Albania"/>
    <x v="1"/>
    <s v="P107833"/>
    <s v="C2"/>
    <s v="S7"/>
    <s v="P107833C2S7"/>
    <s v="Ratio"/>
    <s v="2008 / 2013"/>
    <s v="Reconstruction"/>
    <n v="1.5"/>
    <n v="1"/>
    <n v="0.95631067961165039"/>
    <m/>
    <n v="0.95631067961165039"/>
    <n v="0.95631067961165039"/>
    <s v=""/>
    <n v="0"/>
    <n v="0"/>
    <n v="0"/>
    <n v="0"/>
  </r>
  <r>
    <s v="Albania"/>
    <x v="1"/>
    <s v="P107833"/>
    <s v="C2"/>
    <s v="S8"/>
    <s v="P107833C2S8"/>
    <s v="Ratio"/>
    <s v="2008 / 2013"/>
    <s v="Reconstruction"/>
    <n v="2"/>
    <n v="1"/>
    <n v="0.69354838709677413"/>
    <m/>
    <n v="0.69354838709677413"/>
    <n v="0.69354838709677424"/>
    <s v=""/>
    <n v="0"/>
    <n v="0"/>
    <n v="0"/>
    <n v="0"/>
  </r>
  <r>
    <s v="Armenia"/>
    <x v="1"/>
    <s v="P115486"/>
    <s v="C1"/>
    <s v=""/>
    <s v="P115486C1"/>
    <s v="Ratio"/>
    <s v="2009 / 2014"/>
    <s v="Reconstruction"/>
    <n v="6.1428571428571432"/>
    <n v="4.4689378757515028"/>
    <n v="4.3025175645756457"/>
    <m/>
    <n v="4.3025175645756457"/>
    <n v="0.96276065682656797"/>
    <s v="x"/>
    <n v="1"/>
    <n v="0"/>
    <n v="0"/>
    <n v="0"/>
  </r>
  <r>
    <s v="Papua New Guinea"/>
    <x v="2"/>
    <s v="P004397"/>
    <s v="C1"/>
    <s v="S1"/>
    <s v="P004397C1S1"/>
    <s v="Ratio"/>
    <s v="2002 / 2012"/>
    <s v="Routine Maintenance"/>
    <n v="4"/>
    <n v="0.81272727272727274"/>
    <m/>
    <m/>
    <n v="1.9632857284866962"/>
    <n v="2.4156759522766955"/>
    <s v="x"/>
    <n v="0"/>
    <n v="0"/>
    <n v="1"/>
    <n v="0"/>
  </r>
  <r>
    <s v="Papua New Guinea"/>
    <x v="2"/>
    <s v="P004397"/>
    <s v="C1"/>
    <s v="S2"/>
    <s v="P004397C1S2"/>
    <s v="Ratio"/>
    <s v="2002 / 2012"/>
    <s v="Reconstruction"/>
    <s v=""/>
    <n v="1.4145454545454546"/>
    <m/>
    <m/>
    <n v="5.4592710870756074"/>
    <n v="3.8593818738966381"/>
    <s v="x"/>
    <n v="0"/>
    <n v="0"/>
    <n v="1"/>
    <n v="0"/>
  </r>
  <r>
    <s v="Papua New Guinea"/>
    <x v="2"/>
    <s v="P004397"/>
    <s v="C2"/>
    <s v="S1"/>
    <s v="P004397C2S1"/>
    <s v="Ratio"/>
    <s v="2002 / 2012"/>
    <s v="Routine Maintenance"/>
    <n v="4"/>
    <n v="0.73777777777777775"/>
    <m/>
    <m/>
    <n v="0.62109770847634915"/>
    <n v="0.84184930365770205"/>
    <s v=""/>
    <n v="0"/>
    <n v="0"/>
    <n v="0"/>
    <n v="0"/>
  </r>
  <r>
    <s v="Papua New Guinea"/>
    <x v="2"/>
    <s v="P004397"/>
    <s v="C2"/>
    <s v="S2"/>
    <s v="P004397C2S2"/>
    <s v="Ratio"/>
    <s v="2002 / 2012"/>
    <s v="Reconstruction"/>
    <s v=""/>
    <n v="0.78"/>
    <m/>
    <m/>
    <n v="4.5973729297544264"/>
    <n v="5.894067858659521"/>
    <s v="x"/>
    <n v="0"/>
    <n v="0"/>
    <n v="1"/>
    <n v="0"/>
  </r>
  <r>
    <s v="India"/>
    <x v="3"/>
    <s v="P009972"/>
    <s v="C1"/>
    <s v="S1"/>
    <s v="P009972C1S1"/>
    <s v="Ratio"/>
    <s v="2000 / 2008"/>
    <s v="Widening and Reconstruction"/>
    <n v="1.8333333333333333"/>
    <n v="1"/>
    <m/>
    <m/>
    <n v="0.7224986014544873"/>
    <n v="0.7224986014544873"/>
    <s v=""/>
    <n v="0"/>
    <n v="0"/>
    <n v="0"/>
    <n v="0"/>
  </r>
  <r>
    <s v="India"/>
    <x v="3"/>
    <s v="P009972"/>
    <s v="C1"/>
    <s v="S2"/>
    <s v="P009972C1S2"/>
    <s v="Ratio"/>
    <s v="2000 / 2008"/>
    <s v="Widening and Reconstruction"/>
    <n v="2.3250000000000002"/>
    <n v="1"/>
    <m/>
    <m/>
    <n v="0.62411935245162131"/>
    <n v="0.62411935245162142"/>
    <s v=""/>
    <n v="0"/>
    <n v="0"/>
    <n v="0"/>
    <n v="0"/>
  </r>
  <r>
    <s v="India"/>
    <x v="3"/>
    <s v="P009972"/>
    <s v="C1"/>
    <s v="S3"/>
    <s v="P009972C1S3"/>
    <s v="Ratio"/>
    <s v="2000 / 2008"/>
    <s v="Widening and Reconstruction"/>
    <n v="1.2777777777777777"/>
    <n v="1"/>
    <m/>
    <m/>
    <n v="0.76798658222486382"/>
    <n v="0.76798658222486382"/>
    <s v=""/>
    <n v="0"/>
    <n v="0"/>
    <n v="0"/>
    <n v="0"/>
  </r>
  <r>
    <s v="India"/>
    <x v="3"/>
    <s v="P009972"/>
    <s v="C1"/>
    <s v="S4"/>
    <s v="P009972C1S4"/>
    <s v="Ratio"/>
    <s v="2000 / 2008"/>
    <s v="Widening and Reconstruction"/>
    <n v="2.1282051282051282"/>
    <n v="1"/>
    <m/>
    <m/>
    <n v="0.73477964360364201"/>
    <n v="0.7347796436036419"/>
    <s v=""/>
    <n v="0"/>
    <n v="0"/>
    <n v="0"/>
    <n v="0"/>
  </r>
  <r>
    <s v="India"/>
    <x v="3"/>
    <s v="P009972"/>
    <s v="C1"/>
    <s v="S5"/>
    <s v="P009972C1S5"/>
    <s v="Ratio"/>
    <s v="2000 / 2008"/>
    <s v="Widening and Reconstruction"/>
    <n v="1.75"/>
    <n v="1.125"/>
    <m/>
    <m/>
    <n v="0.72632403476854646"/>
    <n v="0.64562136423870797"/>
    <s v=""/>
    <n v="0"/>
    <n v="0"/>
    <n v="0"/>
    <n v="0"/>
  </r>
  <r>
    <s v="India"/>
    <x v="3"/>
    <s v="P009972"/>
    <s v="C1"/>
    <s v="S6"/>
    <s v="P009972C1S6"/>
    <s v="Ratio"/>
    <s v="2000 / 2008"/>
    <s v="Widening and Reconstruction"/>
    <n v="1.5833333333333333"/>
    <n v="0.88888888888888884"/>
    <m/>
    <m/>
    <n v="0.71588926721103008"/>
    <n v="0.80537542561240882"/>
    <s v=""/>
    <n v="0"/>
    <n v="0"/>
    <n v="0"/>
    <n v="0"/>
  </r>
  <r>
    <s v="India"/>
    <x v="3"/>
    <s v="P009972"/>
    <s v="C1"/>
    <s v="S7"/>
    <s v="P009972C1S7"/>
    <s v="Ratio"/>
    <s v="2000 / 2008"/>
    <s v="Widening and Reconstruction"/>
    <n v="2"/>
    <n v="1"/>
    <m/>
    <m/>
    <n v="0.77599673348370335"/>
    <n v="0.77599673348370335"/>
    <s v=""/>
    <n v="0"/>
    <n v="0"/>
    <n v="0"/>
    <n v="0"/>
  </r>
  <r>
    <s v="Pakistan"/>
    <x v="3"/>
    <s v="P010556"/>
    <s v="C1"/>
    <s v="S10"/>
    <s v="P010556C1S10"/>
    <s v="Ratio"/>
    <s v="2003 / 2013"/>
    <s v="Bituminous Pavement Preventive Treatment"/>
    <s v=""/>
    <n v="1.7083333333333333"/>
    <m/>
    <m/>
    <n v="1.8866165937144437"/>
    <n v="1.1043609329060156"/>
    <s v="x"/>
    <n v="1"/>
    <n v="0"/>
    <n v="0"/>
    <n v="0"/>
  </r>
  <r>
    <s v="Pakistan"/>
    <x v="3"/>
    <s v="P010556"/>
    <s v="C1"/>
    <s v="S14"/>
    <s v="P010556C1S14"/>
    <s v="Ratio"/>
    <s v="2003 / 2013"/>
    <s v="Bituminous Pavement Preventive Treatment"/>
    <s v=""/>
    <n v="1.7903225806451613"/>
    <m/>
    <m/>
    <n v="2.1674404031229737"/>
    <n v="1.2106423873299492"/>
    <s v="x"/>
    <n v="1"/>
    <n v="0"/>
    <n v="0"/>
    <n v="0"/>
  </r>
  <r>
    <s v="Pakistan"/>
    <x v="3"/>
    <s v="P010556"/>
    <s v="C1"/>
    <s v="S15"/>
    <s v="P010556C1S15"/>
    <s v="Ratio"/>
    <s v="2003 / 2013"/>
    <s v="Reconstruction"/>
    <s v=""/>
    <n v="1"/>
    <m/>
    <m/>
    <n v="1.3617113733342634"/>
    <n v="1.3617113733342632"/>
    <s v=""/>
    <n v="0"/>
    <n v="0"/>
    <n v="0"/>
    <n v="0"/>
  </r>
  <r>
    <s v="Pakistan"/>
    <x v="3"/>
    <s v="P010556"/>
    <s v="C1"/>
    <s v="S4"/>
    <s v="P010556C1S4"/>
    <s v="Ratio"/>
    <s v="2003 / 2013"/>
    <s v="Reconstruction"/>
    <s v=""/>
    <n v="0.9662921348314607"/>
    <m/>
    <m/>
    <n v="0.72005173963126268"/>
    <n v="0.74516982357188799"/>
    <s v=""/>
    <n v="0"/>
    <n v="0"/>
    <n v="0"/>
    <n v="0"/>
  </r>
  <r>
    <s v="Pakistan"/>
    <x v="3"/>
    <s v="P010556"/>
    <s v="C1"/>
    <s v="S5"/>
    <s v="P010556C1S5"/>
    <s v="Ratio"/>
    <s v="2003 / 2013"/>
    <s v="Reconstruction"/>
    <s v=""/>
    <n v="0.93109869646182486"/>
    <m/>
    <m/>
    <n v="0.87896449758945128"/>
    <n v="0.94400787041107082"/>
    <s v=""/>
    <n v="0"/>
    <n v="0"/>
    <n v="0"/>
    <n v="0"/>
  </r>
  <r>
    <s v="Pakistan"/>
    <x v="3"/>
    <s v="P010556"/>
    <s v="C1"/>
    <s v="S6"/>
    <s v="P010556C1S6"/>
    <s v="Ratio"/>
    <s v="2003 / 2013"/>
    <s v="Reconstruction"/>
    <s v=""/>
    <n v="1.0217391304347827"/>
    <m/>
    <m/>
    <n v="0.8554012489514401"/>
    <n v="0.83720122237800532"/>
    <s v=""/>
    <n v="0"/>
    <n v="0"/>
    <n v="0"/>
    <n v="0"/>
  </r>
  <r>
    <s v="Pakistan"/>
    <x v="3"/>
    <s v="P010556"/>
    <s v="C1"/>
    <s v="S7"/>
    <s v="P010556C1S7"/>
    <s v="Ratio"/>
    <s v="2003 / 2013"/>
    <s v="Widening and Reconstruction"/>
    <s v=""/>
    <n v="1"/>
    <m/>
    <m/>
    <n v="0.91167836756350273"/>
    <n v="0.91167836756350273"/>
    <s v=""/>
    <n v="0"/>
    <n v="0"/>
    <n v="0"/>
    <n v="0"/>
  </r>
  <r>
    <s v="Philippines"/>
    <x v="2"/>
    <s v="P039019"/>
    <s v="C1"/>
    <s v="S1"/>
    <s v="P039019C1S1"/>
    <s v="Ratio"/>
    <s v="2000 / 2008"/>
    <s v="Upgrading"/>
    <s v=""/>
    <n v="0.99764705882352933"/>
    <m/>
    <m/>
    <n v="0.83511337991624734"/>
    <n v="0.83708298694435179"/>
    <s v=""/>
    <n v="0"/>
    <n v="0"/>
    <n v="0"/>
    <n v="0"/>
  </r>
  <r>
    <s v="Philippines"/>
    <x v="2"/>
    <s v="P039019"/>
    <s v="C1"/>
    <s v="S2"/>
    <s v="P039019C1S2"/>
    <s v="Ratio"/>
    <s v="2000 / 2008"/>
    <s v="Upgrading"/>
    <s v=""/>
    <n v="1.1232558139534883"/>
    <m/>
    <m/>
    <n v="1.5166681833348501"/>
    <n v="1.350242896136616"/>
    <s v=""/>
    <n v="0"/>
    <n v="0"/>
    <n v="0"/>
    <n v="0"/>
  </r>
  <r>
    <s v="Philippines"/>
    <x v="2"/>
    <s v="P039019"/>
    <s v="C1"/>
    <s v="S3"/>
    <s v="P039019C1S3"/>
    <s v="Ratio"/>
    <s v="2000 / 2008"/>
    <s v="Upgrading"/>
    <s v=""/>
    <n v="1.0043478260869565"/>
    <m/>
    <m/>
    <n v="0.82698328312363389"/>
    <n v="0.82340326891097748"/>
    <s v=""/>
    <n v="0"/>
    <n v="0"/>
    <n v="0"/>
    <n v="0"/>
  </r>
  <r>
    <s v="Philippines"/>
    <x v="2"/>
    <s v="P039019"/>
    <s v="C1"/>
    <s v="S4"/>
    <s v="P039019C1S4"/>
    <s v="Ratio"/>
    <s v="2000 / 2008"/>
    <s v="Upgrading"/>
    <s v=""/>
    <n v="0.3183098591549296"/>
    <m/>
    <m/>
    <n v="1.0317239675037839"/>
    <n v="3.2412567120694091"/>
    <s v="x"/>
    <n v="0"/>
    <n v="1"/>
    <n v="1"/>
    <n v="0"/>
  </r>
  <r>
    <s v="Philippines"/>
    <x v="2"/>
    <s v="P039019"/>
    <s v="C1"/>
    <s v="S5"/>
    <s v="P039019C1S5"/>
    <s v="Ratio"/>
    <s v="2000 / 2008"/>
    <s v="Upgrading"/>
    <s v=""/>
    <n v="1.1434782608695653"/>
    <m/>
    <m/>
    <n v="4.2809042809042817"/>
    <n v="3.7437565954676226"/>
    <s v="x"/>
    <n v="0"/>
    <n v="0"/>
    <n v="1"/>
    <n v="0"/>
  </r>
  <r>
    <s v="Philippines"/>
    <x v="2"/>
    <s v="P039019"/>
    <s v="C1"/>
    <s v="S8"/>
    <s v="P039019C1S8"/>
    <s v="Ratio"/>
    <s v="2000 / 2008"/>
    <s v="Upgrading"/>
    <s v=""/>
    <n v="1.0021739130434784"/>
    <m/>
    <m/>
    <n v="1.8496071829405163"/>
    <n v="1.8455950198538775"/>
    <s v="x"/>
    <n v="0"/>
    <n v="0"/>
    <n v="1"/>
    <n v="0"/>
  </r>
  <r>
    <s v="Philippines"/>
    <x v="2"/>
    <s v="P039019"/>
    <s v="C1"/>
    <s v="S9"/>
    <s v="P039019C1S9"/>
    <s v="Ratio"/>
    <s v="2000 / 2008"/>
    <s v="Upgrading"/>
    <s v=""/>
    <n v="1.0016949152542374"/>
    <m/>
    <m/>
    <n v="1.3613748108337709"/>
    <n v="1.3590713001555412"/>
    <s v=""/>
    <n v="0"/>
    <n v="0"/>
    <n v="0"/>
    <n v="0"/>
  </r>
  <r>
    <s v="Philippines"/>
    <x v="2"/>
    <s v="P039019"/>
    <s v="C2"/>
    <s v=""/>
    <s v="P039019C2"/>
    <s v="Ratio"/>
    <s v="2000 / 2008"/>
    <s v="Asphalt Mix Resurfacing"/>
    <s v=""/>
    <n v="0.8014444444444444"/>
    <m/>
    <m/>
    <n v="0.88636566034375275"/>
    <n v="1.1059602028412276"/>
    <s v=""/>
    <n v="0"/>
    <n v="0"/>
    <n v="0"/>
    <n v="0"/>
  </r>
  <r>
    <s v="Philippines"/>
    <x v="2"/>
    <s v="P039019"/>
    <s v="C3"/>
    <s v=""/>
    <s v="P039019C3"/>
    <s v="Ratio"/>
    <s v="2000 / 2008"/>
    <s v="Asphalt Mix Resurfacing"/>
    <s v=""/>
    <n v="1.0995670995670996"/>
    <m/>
    <m/>
    <n v="2.0732931726907626"/>
    <n v="1.8855540271321503"/>
    <s v="x"/>
    <n v="0"/>
    <n v="0"/>
    <n v="1"/>
    <n v="0"/>
  </r>
  <r>
    <s v="Belize"/>
    <x v="4"/>
    <s v="P040150"/>
    <s v="C1"/>
    <s v="S1"/>
    <s v="P040150C1S1"/>
    <s v="Ratio"/>
    <s v="2000 / 2006"/>
    <s v="Upgrading"/>
    <s v=""/>
    <n v="1"/>
    <m/>
    <m/>
    <n v="1.276470588235294"/>
    <n v="1.2764705882352942"/>
    <s v=""/>
    <n v="0"/>
    <n v="0"/>
    <n v="0"/>
    <n v="0"/>
  </r>
  <r>
    <s v="Indonesia"/>
    <x v="2"/>
    <s v="P040578"/>
    <s v="C1"/>
    <s v="S1"/>
    <s v="P040578C1S1"/>
    <s v="Ratio"/>
    <s v="2001 / 2006"/>
    <s v="Asphalt Mix Resurfacing"/>
    <s v=""/>
    <n v="1.111"/>
    <m/>
    <m/>
    <n v="1.1239392585975883"/>
    <n v="1.0116464973875681"/>
    <s v=""/>
    <n v="0"/>
    <n v="0"/>
    <n v="0"/>
    <n v="0"/>
  </r>
  <r>
    <s v="Indonesia"/>
    <x v="2"/>
    <s v="P040578"/>
    <s v="C1"/>
    <s v="S2"/>
    <s v="P040578C1S2"/>
    <s v="Ratio"/>
    <s v="2001 / 2006"/>
    <s v="Reconstruction"/>
    <s v=""/>
    <n v="1.3640000000000001"/>
    <m/>
    <m/>
    <n v="1.4030568105354226"/>
    <n v="1.0286340253192245"/>
    <s v=""/>
    <n v="0"/>
    <n v="0"/>
    <n v="0"/>
    <n v="0"/>
  </r>
  <r>
    <s v="Azerbaijan"/>
    <x v="1"/>
    <s v="P040716"/>
    <s v="C1"/>
    <s v="S1"/>
    <s v="P040716C1S1"/>
    <s v="Ratio"/>
    <s v="2001 / 2009"/>
    <s v="Reconstruction"/>
    <s v=""/>
    <n v="1"/>
    <m/>
    <m/>
    <n v="0.83240843507214213"/>
    <n v="0.83240843507214213"/>
    <s v=""/>
    <n v="0"/>
    <n v="0"/>
    <n v="0"/>
    <n v="0"/>
  </r>
  <r>
    <s v="Azerbaijan"/>
    <x v="1"/>
    <s v="P040716"/>
    <s v="C1"/>
    <s v="S2"/>
    <s v="P040716C1S2"/>
    <s v="Ratio"/>
    <s v="2001 / 2009"/>
    <s v="Reconstruction"/>
    <s v=""/>
    <n v="1"/>
    <m/>
    <m/>
    <n v="0.89456869009584672"/>
    <n v="0.89456869009584672"/>
    <s v=""/>
    <n v="0"/>
    <n v="0"/>
    <n v="0"/>
    <n v="0"/>
  </r>
  <r>
    <s v="Peru"/>
    <x v="4"/>
    <s v="P044601"/>
    <s v="C1"/>
    <s v=""/>
    <s v="P044601C1"/>
    <s v="Ratio"/>
    <s v="2001 / 2007"/>
    <s v="Reconstruction"/>
    <s v=""/>
    <n v="1.3124475524475525"/>
    <m/>
    <m/>
    <n v="1.0588330632090761"/>
    <n v="0.80676219117059833"/>
    <s v=""/>
    <n v="0"/>
    <n v="0"/>
    <n v="0"/>
    <n v="0"/>
  </r>
  <r>
    <s v="Peru"/>
    <x v="4"/>
    <s v="P044601"/>
    <s v="C2"/>
    <s v=""/>
    <s v="P044601C2"/>
    <s v="Ratio"/>
    <s v="2001 / 2007"/>
    <s v="Routine Maintenance"/>
    <s v=""/>
    <n v="1.0929974064468322"/>
    <m/>
    <m/>
    <n v="0.74498069498069508"/>
    <n v="0.6815942019501342"/>
    <s v=""/>
    <n v="0"/>
    <n v="0"/>
    <n v="0"/>
    <n v="0"/>
  </r>
  <r>
    <s v="Armenia"/>
    <x v="1"/>
    <s v="P044829"/>
    <s v="C1"/>
    <s v=""/>
    <s v="P044829C1"/>
    <s v="Ratio"/>
    <s v="2000 / 2005"/>
    <s v="Asphalt Mix Resurfacing"/>
    <s v=""/>
    <n v="0.64727687482178498"/>
    <m/>
    <m/>
    <n v="1.2425373134328357"/>
    <n v="1.9196380432638569"/>
    <s v="x"/>
    <n v="0"/>
    <n v="0"/>
    <n v="1"/>
    <n v="0"/>
  </r>
  <r>
    <s v="Armenia"/>
    <x v="1"/>
    <s v="P044829"/>
    <s v="C1"/>
    <s v="S1"/>
    <s v="P044829C1S1"/>
    <s v="Ratio"/>
    <s v="2000 / 2005"/>
    <s v="Surface Treatment Resurfacing"/>
    <s v=""/>
    <n v="1"/>
    <m/>
    <m/>
    <n v="1.008403361344538"/>
    <n v="1.008403361344538"/>
    <s v=""/>
    <n v="0"/>
    <n v="0"/>
    <n v="0"/>
    <n v="0"/>
  </r>
  <r>
    <s v="Armenia"/>
    <x v="1"/>
    <s v="P044829"/>
    <s v="C1"/>
    <s v="S2"/>
    <s v="P044829C1S2"/>
    <s v="Ratio"/>
    <s v="2000 / 2005"/>
    <s v="Asphalt Mix Resurfacing"/>
    <s v=""/>
    <n v="1"/>
    <m/>
    <m/>
    <n v="1.1767605633802818"/>
    <n v="1.1767605633802818"/>
    <s v=""/>
    <n v="0"/>
    <n v="0"/>
    <n v="0"/>
    <n v="0"/>
  </r>
  <r>
    <s v="Armenia"/>
    <x v="1"/>
    <s v="P044829"/>
    <s v="C1"/>
    <s v="S3"/>
    <s v="P044829C1S3"/>
    <s v="Ratio"/>
    <s v="2000 / 2005"/>
    <s v="Asphalt Mix Resurfacing"/>
    <s v=""/>
    <n v="1"/>
    <m/>
    <m/>
    <n v="1.1359223300970873"/>
    <n v="1.1359223300970871"/>
    <s v=""/>
    <n v="0"/>
    <n v="0"/>
    <n v="0"/>
    <n v="0"/>
  </r>
  <r>
    <s v="Armenia"/>
    <x v="1"/>
    <s v="P044829"/>
    <s v="C1"/>
    <s v="S4"/>
    <s v="P044829C1S4"/>
    <s v="Ratio"/>
    <s v="2000 / 2005"/>
    <s v="Asphalt Mix Resurfacing"/>
    <s v=""/>
    <n v="1"/>
    <m/>
    <m/>
    <n v="0.92666666666666675"/>
    <n v="0.92666666666666675"/>
    <s v=""/>
    <n v="0"/>
    <n v="0"/>
    <n v="0"/>
    <n v="0"/>
  </r>
  <r>
    <s v="Armenia"/>
    <x v="1"/>
    <s v="P044829"/>
    <s v="C1"/>
    <s v="S5"/>
    <s v="P044829C1S5"/>
    <s v="Ratio"/>
    <s v="2000 / 2005"/>
    <s v="Asphalt Mix Resurfacing"/>
    <s v=""/>
    <n v="1"/>
    <m/>
    <m/>
    <n v="1.086857142857143"/>
    <n v="1.086857142857143"/>
    <s v=""/>
    <n v="0"/>
    <n v="0"/>
    <n v="0"/>
    <n v="0"/>
  </r>
  <r>
    <s v="Armenia"/>
    <x v="1"/>
    <s v="P044829"/>
    <s v="C1"/>
    <s v="S6"/>
    <s v="P044829C1S6"/>
    <s v="Ratio"/>
    <s v="2000 / 2005"/>
    <s v="Asphalt Mix Resurfacing"/>
    <s v=""/>
    <n v="1"/>
    <m/>
    <m/>
    <n v="0.90322580645161299"/>
    <n v="0.90322580645161299"/>
    <s v=""/>
    <n v="0"/>
    <n v="0"/>
    <n v="0"/>
    <n v="0"/>
  </r>
  <r>
    <s v="India"/>
    <x v="3"/>
    <s v="P050649"/>
    <s v="C1"/>
    <s v=""/>
    <s v="P050649C1"/>
    <s v="Ratio"/>
    <s v="2003 / 2012"/>
    <s v="Widening and Reconstruction"/>
    <s v=""/>
    <n v="0.96533333333333338"/>
    <m/>
    <m/>
    <n v="1.2020749602766612"/>
    <n v="1.2452433980766517"/>
    <s v=""/>
    <n v="0"/>
    <n v="0"/>
    <n v="0"/>
    <n v="0"/>
  </r>
  <r>
    <s v="India"/>
    <x v="3"/>
    <s v="P050649"/>
    <s v="C1"/>
    <s v="S1"/>
    <s v="P050649C1S1"/>
    <s v="Ratio"/>
    <s v="2003 / 2012"/>
    <s v="Widening and Reconstruction"/>
    <s v=""/>
    <n v="0.94413965087281804"/>
    <m/>
    <m/>
    <n v="0.96374115353406276"/>
    <n v="1.0207612323485449"/>
    <s v=""/>
    <n v="0"/>
    <n v="0"/>
    <n v="0"/>
    <n v="0"/>
  </r>
  <r>
    <s v="India"/>
    <x v="3"/>
    <s v="P050649"/>
    <s v="C1"/>
    <s v="S2"/>
    <s v="P050649C1S2"/>
    <s v="Ratio"/>
    <s v="2003 / 2012"/>
    <s v="Widening and Reconstruction"/>
    <s v=""/>
    <n v="1.0224137931034483"/>
    <m/>
    <m/>
    <n v="1.6075888053896636"/>
    <n v="1.572346555018558"/>
    <s v="x"/>
    <n v="0"/>
    <n v="0"/>
    <n v="1"/>
    <n v="0"/>
  </r>
  <r>
    <s v="India"/>
    <x v="3"/>
    <s v="P050649"/>
    <s v="C1"/>
    <s v="S3"/>
    <s v="P050649C1S3"/>
    <s v="Ratio"/>
    <s v="2003 / 2012"/>
    <s v="Widening and Reconstruction"/>
    <s v=""/>
    <n v="1"/>
    <m/>
    <m/>
    <n v="2.0096642167656591"/>
    <n v="2.0096642167656595"/>
    <s v="x"/>
    <n v="0"/>
    <n v="0"/>
    <n v="1"/>
    <n v="0"/>
  </r>
  <r>
    <s v="India"/>
    <x v="3"/>
    <s v="P050649"/>
    <s v="C1"/>
    <s v="S4"/>
    <s v="P050649C1S4"/>
    <s v="Ratio"/>
    <s v="2003 / 2012"/>
    <s v="Widening and Reconstruction"/>
    <s v=""/>
    <n v="0.971186440677966"/>
    <m/>
    <m/>
    <n v="1.773256672056571"/>
    <n v="1.8258663813496978"/>
    <s v="x"/>
    <n v="0"/>
    <n v="0"/>
    <n v="1"/>
    <n v="0"/>
  </r>
  <r>
    <s v="India"/>
    <x v="3"/>
    <s v="P050649"/>
    <s v="C2"/>
    <s v=""/>
    <s v="P050649C2"/>
    <s v="Ratio"/>
    <s v="2003 / 2012"/>
    <s v="Reconstruction"/>
    <s v=""/>
    <n v="0.66500000000000004"/>
    <m/>
    <m/>
    <n v="0.95899566473988451"/>
    <n v="1.4420987439697512"/>
    <s v=""/>
    <n v="0"/>
    <n v="0"/>
    <n v="0"/>
    <n v="0"/>
  </r>
  <r>
    <s v="Kyrgyz Republic"/>
    <x v="1"/>
    <s v="P050719"/>
    <s v="C1"/>
    <s v=""/>
    <s v="P050719C1"/>
    <s v="Ratio"/>
    <s v="2000 / 2006"/>
    <s v="Strengthening"/>
    <s v=""/>
    <n v="1.0714285714285714"/>
    <m/>
    <m/>
    <n v="0.94896551724137934"/>
    <n v="0.88570114942528733"/>
    <s v=""/>
    <n v="0"/>
    <n v="0"/>
    <n v="0"/>
    <n v="0"/>
  </r>
  <r>
    <s v="Kyrgyz Republic"/>
    <x v="1"/>
    <s v="P050719"/>
    <s v="C1"/>
    <s v="S1"/>
    <s v="P050719C1S1"/>
    <s v="Ratio"/>
    <s v="2000 / 2006"/>
    <s v="Strengthening"/>
    <s v=""/>
    <n v="1.1111111111111112"/>
    <m/>
    <m/>
    <n v="0.92727272727272736"/>
    <n v="0.83454545454545459"/>
    <s v=""/>
    <n v="0"/>
    <n v="0"/>
    <n v="0"/>
    <n v="0"/>
  </r>
  <r>
    <s v="Kyrgyz Republic"/>
    <x v="1"/>
    <s v="P050719"/>
    <s v="C1"/>
    <s v="S2"/>
    <s v="P050719C1S2"/>
    <s v="Ratio"/>
    <s v="2000 / 2006"/>
    <s v="Strengthening"/>
    <s v=""/>
    <n v="1"/>
    <m/>
    <m/>
    <n v="1.0147058823529413"/>
    <n v="1.0147058823529413"/>
    <s v=""/>
    <n v="0"/>
    <n v="0"/>
    <n v="0"/>
    <n v="0"/>
  </r>
  <r>
    <s v="Kyrgyz Republic"/>
    <x v="1"/>
    <s v="P050719"/>
    <s v="C1"/>
    <s v="S3"/>
    <s v="P050719C1S3"/>
    <s v="Ratio"/>
    <s v="2000 / 2006"/>
    <s v="Strengthening"/>
    <s v=""/>
    <n v="0.91666666666666663"/>
    <m/>
    <m/>
    <n v="0.99473684210526314"/>
    <n v="1.0851674641148326"/>
    <s v=""/>
    <n v="0"/>
    <n v="0"/>
    <n v="0"/>
    <n v="0"/>
  </r>
  <r>
    <s v="Madagascar"/>
    <x v="0"/>
    <s v="P052208"/>
    <s v="C1"/>
    <s v="S1"/>
    <s v="P052208C1S1"/>
    <s v="Ratio"/>
    <s v="2000 / 2006"/>
    <s v="Surface Treatment Resurfacing"/>
    <s v=""/>
    <n v="1"/>
    <m/>
    <m/>
    <n v="2.2234042553191489"/>
    <n v="2.2234042553191489"/>
    <s v="x"/>
    <n v="0"/>
    <n v="0"/>
    <n v="1"/>
    <n v="0"/>
  </r>
  <r>
    <s v="Senegal"/>
    <x v="0"/>
    <s v="P055472"/>
    <s v="C1"/>
    <s v=""/>
    <s v="P055472C1"/>
    <s v="Ratio"/>
    <s v="2000 / 2009"/>
    <s v="Reconstruction"/>
    <s v=""/>
    <n v="0.69230769230769229"/>
    <m/>
    <m/>
    <n v="2.3372402770378264"/>
    <n v="3.3760137334990823"/>
    <s v="x"/>
    <n v="0"/>
    <n v="0"/>
    <n v="1"/>
    <n v="0"/>
  </r>
  <r>
    <s v="Uruguay"/>
    <x v="4"/>
    <s v="P057481"/>
    <s v=""/>
    <s v=""/>
    <s v="P057481"/>
    <s v="Ratio"/>
    <s v="2005 / 2012"/>
    <s v="Routine Maintenance"/>
    <n v="1"/>
    <n v="1"/>
    <m/>
    <m/>
    <n v="1.3457142857142856"/>
    <n v="1.3457142857142856"/>
    <s v=""/>
    <n v="0"/>
    <n v="0"/>
    <n v="0"/>
    <n v="0"/>
  </r>
  <r>
    <s v="Uruguay"/>
    <x v="4"/>
    <s v="P057481"/>
    <s v="C1"/>
    <s v="S1"/>
    <s v="P057481C1S1"/>
    <s v="Ratio"/>
    <s v="2007 / 2012"/>
    <s v="Reconstruction"/>
    <s v=""/>
    <n v="1"/>
    <m/>
    <m/>
    <n v="1.584075723830735"/>
    <n v="1.584075723830735"/>
    <s v="x"/>
    <n v="0"/>
    <n v="0"/>
    <n v="1"/>
    <n v="0"/>
  </r>
  <r>
    <s v="Uruguay"/>
    <x v="4"/>
    <s v="P057481"/>
    <s v="C1"/>
    <s v="S2"/>
    <s v="P057481C1S2"/>
    <s v="Ratio"/>
    <s v="2007 / 2012"/>
    <s v="Reconstruction"/>
    <s v=""/>
    <n v="1"/>
    <m/>
    <m/>
    <n v="1.4583333333333335"/>
    <n v="1.4583333333333335"/>
    <s v=""/>
    <n v="0"/>
    <n v="0"/>
    <n v="0"/>
    <n v="0"/>
  </r>
  <r>
    <s v="Uruguay"/>
    <x v="4"/>
    <s v="P057481"/>
    <s v="C1"/>
    <s v="S3"/>
    <s v="P057481C1S3"/>
    <s v="Ratio"/>
    <s v="2007 / 2012"/>
    <s v="Reconstruction"/>
    <s v=""/>
    <n v="1"/>
    <m/>
    <m/>
    <n v="3.5446524064171121"/>
    <n v="3.5446524064171121"/>
    <s v="x"/>
    <n v="0"/>
    <n v="0"/>
    <n v="1"/>
    <n v="0"/>
  </r>
  <r>
    <s v="Honduras"/>
    <x v="4"/>
    <s v="P057538"/>
    <s v="C1"/>
    <s v="S1"/>
    <s v="P057538C1S1"/>
    <s v="Ratio"/>
    <s v="2000 / 2007"/>
    <s v="Strengthening"/>
    <s v=""/>
    <n v="0.59523809523809523"/>
    <m/>
    <m/>
    <n v="1.0625"/>
    <n v="1.7849999999999999"/>
    <s v="x"/>
    <n v="0"/>
    <n v="0"/>
    <n v="1"/>
    <n v="0"/>
  </r>
  <r>
    <s v="Honduras"/>
    <x v="4"/>
    <s v="P057538"/>
    <s v="C1"/>
    <s v="S2"/>
    <s v="P057538C1S2"/>
    <s v="Ratio"/>
    <s v="2000 / 2007"/>
    <s v="Strengthening"/>
    <s v=""/>
    <n v="1"/>
    <m/>
    <m/>
    <n v="1.6031746031746033"/>
    <n v="1.6031746031746033"/>
    <s v="x"/>
    <n v="0"/>
    <n v="0"/>
    <n v="1"/>
    <n v="0"/>
  </r>
  <r>
    <s v="Honduras"/>
    <x v="4"/>
    <s v="P057538"/>
    <s v="C1"/>
    <s v="S3"/>
    <s v="P057538C1S3"/>
    <s v="Ratio"/>
    <s v="2000 / 2007"/>
    <s v="Upgrading"/>
    <s v=""/>
    <n v="1.0021505376344086"/>
    <m/>
    <m/>
    <n v="1.0277777777777777"/>
    <n v="1.0255722460658083"/>
    <s v=""/>
    <n v="0"/>
    <n v="0"/>
    <n v="0"/>
    <n v="0"/>
  </r>
  <r>
    <s v="Honduras"/>
    <x v="4"/>
    <s v="P057538"/>
    <s v="C1"/>
    <s v="S4"/>
    <s v="P057538C1S4"/>
    <s v="Ratio"/>
    <s v="2000 / 2007"/>
    <s v="Upgrading"/>
    <s v=""/>
    <n v="1"/>
    <m/>
    <m/>
    <n v="1.0740740740740742"/>
    <n v="1.074074074074074"/>
    <s v=""/>
    <n v="0"/>
    <n v="0"/>
    <n v="0"/>
    <n v="0"/>
  </r>
  <r>
    <s v="Honduras"/>
    <x v="4"/>
    <s v="P057538"/>
    <s v="C2"/>
    <s v=""/>
    <s v="P057538C2"/>
    <s v="Ratio"/>
    <s v="2000 / 2007"/>
    <s v="Reconstruction"/>
    <s v=""/>
    <n v="1.02"/>
    <m/>
    <m/>
    <n v="0.57647058823529418"/>
    <n v="0.56516724336793545"/>
    <s v=""/>
    <n v="0"/>
    <n v="0"/>
    <n v="0"/>
    <n v="0"/>
  </r>
  <r>
    <s v="Honduras"/>
    <x v="4"/>
    <s v="P057538"/>
    <s v="C3"/>
    <s v=""/>
    <s v="P057538C3"/>
    <s v="Ratio"/>
    <s v="2000 / 2007"/>
    <s v="Routine Maintenance"/>
    <s v=""/>
    <n v="1.8555555555555556"/>
    <m/>
    <m/>
    <n v="1.95"/>
    <n v="1.0508982035928143"/>
    <s v="x"/>
    <n v="1"/>
    <n v="0"/>
    <n v="0"/>
    <n v="0"/>
  </r>
  <r>
    <s v="Philippines"/>
    <x v="2"/>
    <s v="P057731"/>
    <s v="C1"/>
    <s v="S1"/>
    <s v="P057731C1S1"/>
    <s v="Ratio"/>
    <s v="2001 / 2011"/>
    <s v="Reconstruction"/>
    <s v=""/>
    <n v="1"/>
    <m/>
    <m/>
    <n v="0.95726495726495742"/>
    <n v="0.95726495726495742"/>
    <s v=""/>
    <n v="0"/>
    <n v="0"/>
    <n v="0"/>
    <n v="0"/>
  </r>
  <r>
    <s v="Philippines"/>
    <x v="2"/>
    <s v="P057731"/>
    <s v="C1"/>
    <s v="S2"/>
    <s v="P057731C1S2"/>
    <s v="Ratio"/>
    <s v="2001 / 2011"/>
    <s v="Reconstruction"/>
    <s v=""/>
    <n v="1"/>
    <m/>
    <m/>
    <n v="0.75172413793103454"/>
    <n v="0.75172413793103454"/>
    <s v=""/>
    <n v="0"/>
    <n v="0"/>
    <n v="0"/>
    <n v="0"/>
  </r>
  <r>
    <s v="Philippines"/>
    <x v="2"/>
    <s v="P057731"/>
    <s v="C1"/>
    <s v="S3"/>
    <s v="P057731C1S3"/>
    <s v="Ratio"/>
    <s v="2001 / 2011"/>
    <s v="Reconstruction"/>
    <s v=""/>
    <n v="1"/>
    <m/>
    <m/>
    <n v="2.8929336188436832"/>
    <n v="2.8929336188436832"/>
    <s v="x"/>
    <n v="0"/>
    <n v="0"/>
    <n v="1"/>
    <n v="0"/>
  </r>
  <r>
    <s v="Philippines"/>
    <x v="2"/>
    <s v="P057731"/>
    <s v="C1"/>
    <s v="S4"/>
    <s v="P057731C1S4"/>
    <s v="Ratio"/>
    <s v="2001 / 2011"/>
    <s v="Reconstruction"/>
    <s v=""/>
    <n v="1"/>
    <m/>
    <m/>
    <n v="3.7122093023255816"/>
    <n v="3.7122093023255816"/>
    <s v="x"/>
    <n v="0"/>
    <n v="0"/>
    <n v="1"/>
    <n v="0"/>
  </r>
  <r>
    <s v="China"/>
    <x v="2"/>
    <s v="P058844"/>
    <s v="C1"/>
    <s v=""/>
    <s v="P058844C1"/>
    <s v="Ratio"/>
    <s v="2000 / 2007"/>
    <s v="New 4L Expressway"/>
    <n v="1.48"/>
    <n v="1"/>
    <m/>
    <m/>
    <n v="0.90739484396200809"/>
    <n v="0.90739484396200809"/>
    <s v=""/>
    <n v="0"/>
    <n v="0"/>
    <n v="0"/>
    <n v="0"/>
  </r>
  <r>
    <s v="China"/>
    <x v="2"/>
    <s v="P058844"/>
    <s v="C2"/>
    <s v=""/>
    <s v="P058844C2"/>
    <s v="Ratio"/>
    <s v="2000 / 2007"/>
    <s v="Upgrading"/>
    <s v=""/>
    <n v="0.9325"/>
    <m/>
    <m/>
    <n v="0.88610478359908884"/>
    <n v="0.95024641672824539"/>
    <s v=""/>
    <n v="0"/>
    <n v="0"/>
    <n v="0"/>
    <n v="0"/>
  </r>
  <r>
    <s v="China"/>
    <x v="2"/>
    <s v="P058847"/>
    <s v="C1"/>
    <s v=""/>
    <s v="P058847C1"/>
    <s v="Ratio"/>
    <s v="2002 / 2010"/>
    <s v="Widening and Reconstruction"/>
    <s v=""/>
    <n v="1"/>
    <m/>
    <m/>
    <n v="1.3175646908557643"/>
    <n v="1.3175646908557643"/>
    <s v=""/>
    <n v="0"/>
    <n v="0"/>
    <n v="0"/>
    <n v="0"/>
  </r>
  <r>
    <s v="China"/>
    <x v="2"/>
    <s v="P058847"/>
    <s v="C2"/>
    <s v=""/>
    <s v="P058847C2"/>
    <s v="Ratio"/>
    <s v="2002 / 2010"/>
    <s v="Upgrading"/>
    <s v=""/>
    <n v="1.0333333333333334"/>
    <m/>
    <m/>
    <n v="1.2401913875598087"/>
    <n v="1.2001852137675568"/>
    <s v=""/>
    <n v="0"/>
    <n v="0"/>
    <n v="0"/>
    <n v="0"/>
  </r>
  <r>
    <s v="Vietnam"/>
    <x v="2"/>
    <s v="P059663"/>
    <s v="C1"/>
    <s v="S1"/>
    <s v="P059663C1S1"/>
    <s v="Ratio"/>
    <s v="2003 / 2012"/>
    <s v="Asphalt Mix Resurfacing"/>
    <n v="1.3"/>
    <n v="0.7654545454545455"/>
    <m/>
    <m/>
    <n v="0.93086419753086425"/>
    <n v="1.2160933696959033"/>
    <s v=""/>
    <n v="0"/>
    <n v="0"/>
    <n v="0"/>
    <n v="0"/>
  </r>
  <r>
    <s v="Vietnam"/>
    <x v="2"/>
    <s v="P059663"/>
    <s v="C1"/>
    <s v="S2"/>
    <s v="P059663C1S2"/>
    <s v="Ratio"/>
    <s v="2003 / 2012"/>
    <s v="Asphalt Mix Resurfacing"/>
    <n v="2.25"/>
    <n v="0.70232558139534884"/>
    <m/>
    <m/>
    <n v="3.3642857142857143"/>
    <n v="4.790208136234626"/>
    <s v="x"/>
    <n v="0"/>
    <n v="0"/>
    <n v="1"/>
    <n v="0"/>
  </r>
  <r>
    <s v="Vietnam"/>
    <x v="2"/>
    <s v="P059663"/>
    <s v="C2"/>
    <s v=""/>
    <s v="P059663C2"/>
    <s v="Ratio"/>
    <s v="2003 / 2012"/>
    <s v="Widening and Reconstruction"/>
    <n v="1.6"/>
    <n v="0.44166666666666665"/>
    <m/>
    <m/>
    <n v="1.4678810460222176"/>
    <n v="3.3235042551446439"/>
    <s v="x"/>
    <n v="0"/>
    <n v="1"/>
    <n v="1"/>
    <n v="0"/>
  </r>
  <r>
    <s v="Vietnam"/>
    <x v="2"/>
    <s v="P059864"/>
    <s v="C1"/>
    <s v=""/>
    <s v="P059864C1"/>
    <s v="Ratio"/>
    <s v="1999 / 2007"/>
    <s v="Gravel Resurfacing"/>
    <n v="1"/>
    <n v="0.75990000000000002"/>
    <m/>
    <m/>
    <n v="1.0787925696594427"/>
    <n v="1.4196507035918446"/>
    <s v=""/>
    <n v="0"/>
    <n v="0"/>
    <n v="0"/>
    <n v="0"/>
  </r>
  <r>
    <s v="Lao PDR"/>
    <x v="2"/>
    <s v="P064821"/>
    <s v="C1"/>
    <s v="S1"/>
    <s v="P064821C1S1"/>
    <s v="Ratio"/>
    <s v="2001 / 2005"/>
    <s v="Bituminous Pavement Preventive Treatment"/>
    <s v=""/>
    <n v="1.9728571428571429"/>
    <m/>
    <m/>
    <n v="1.0945069941999317"/>
    <n v="0.55478269076028408"/>
    <s v="x"/>
    <n v="1"/>
    <n v="0"/>
    <n v="0"/>
    <n v="0"/>
  </r>
  <r>
    <s v="Lao PDR"/>
    <x v="2"/>
    <s v="P064821"/>
    <s v="C1"/>
    <s v="S10"/>
    <s v="P064821C1S10"/>
    <s v="Ratio"/>
    <s v="2001 / 2005"/>
    <s v="Bituminous Pavement Preventive Treatment"/>
    <s v=""/>
    <n v="1"/>
    <m/>
    <m/>
    <n v="0.82051282051282048"/>
    <n v="0.82051282051282048"/>
    <s v=""/>
    <n v="0"/>
    <n v="0"/>
    <n v="0"/>
    <n v="0"/>
  </r>
  <r>
    <s v="Lao PDR"/>
    <x v="2"/>
    <s v="P064821"/>
    <s v="C1"/>
    <s v="S11"/>
    <s v="P064821C1S11"/>
    <s v="Ratio"/>
    <s v="2001 / 2005"/>
    <s v="Gravel Resurfacing"/>
    <s v=""/>
    <n v="1"/>
    <m/>
    <m/>
    <n v="0.83636363636363631"/>
    <n v="0.83636363636363631"/>
    <s v=""/>
    <n v="0"/>
    <n v="0"/>
    <n v="0"/>
    <n v="0"/>
  </r>
  <r>
    <s v="Lao PDR"/>
    <x v="2"/>
    <s v="P064821"/>
    <s v="C1"/>
    <s v="S2"/>
    <s v="P064821C1S2"/>
    <s v="Ratio"/>
    <s v="2001 / 2005"/>
    <s v="Routine Maintenance"/>
    <s v=""/>
    <n v="1.6411803278688524"/>
    <m/>
    <m/>
    <n v="0.42654735272184935"/>
    <n v="0.25990279403101335"/>
    <s v="x"/>
    <n v="1"/>
    <n v="0"/>
    <n v="0"/>
    <n v="1"/>
  </r>
  <r>
    <s v="Lao PDR"/>
    <x v="2"/>
    <s v="P064821"/>
    <s v="C1"/>
    <s v="S3"/>
    <s v="P064821C1S3"/>
    <s v="Ratio"/>
    <s v="2001 / 2005"/>
    <s v="Gravel Resurfacing"/>
    <s v=""/>
    <n v="1"/>
    <m/>
    <m/>
    <n v="0.8292682926829269"/>
    <n v="0.82926829268292701"/>
    <s v=""/>
    <n v="0"/>
    <n v="0"/>
    <n v="0"/>
    <n v="0"/>
  </r>
  <r>
    <s v="Lao PDR"/>
    <x v="2"/>
    <s v="P064821"/>
    <s v="C1"/>
    <s v="S4"/>
    <s v="P064821C1S4"/>
    <s v="Ratio"/>
    <s v="2001 / 2005"/>
    <s v="Bituminous Pavement Preventive Treatment"/>
    <s v=""/>
    <n v="1"/>
    <m/>
    <m/>
    <n v="0.92857142857142871"/>
    <n v="0.92857142857142871"/>
    <s v=""/>
    <n v="0"/>
    <n v="0"/>
    <n v="0"/>
    <n v="0"/>
  </r>
  <r>
    <s v="Lao PDR"/>
    <x v="2"/>
    <s v="P064821"/>
    <s v="C1"/>
    <s v="S5"/>
    <s v="P064821C1S5"/>
    <s v="Ratio"/>
    <s v="2001 / 2005"/>
    <s v="Bituminous Pavement Preventive Treatment"/>
    <s v=""/>
    <n v="1"/>
    <m/>
    <m/>
    <n v="0.82558139534883723"/>
    <n v="0.82558139534883712"/>
    <s v=""/>
    <n v="0"/>
    <n v="0"/>
    <n v="0"/>
    <n v="0"/>
  </r>
  <r>
    <s v="Lao PDR"/>
    <x v="2"/>
    <s v="P064821"/>
    <s v="C1"/>
    <s v="S6"/>
    <s v="P064821C1S6"/>
    <s v="Ratio"/>
    <s v="2001 / 2005"/>
    <s v="Bituminous Pavement Preventive Treatment"/>
    <s v=""/>
    <n v="1"/>
    <m/>
    <m/>
    <n v="0.82653061224489799"/>
    <n v="0.8265306122448981"/>
    <s v=""/>
    <n v="0"/>
    <n v="0"/>
    <n v="0"/>
    <n v="0"/>
  </r>
  <r>
    <s v="Lao PDR"/>
    <x v="2"/>
    <s v="P064821"/>
    <s v="C1"/>
    <s v="S7"/>
    <s v="P064821C1S7"/>
    <s v="Ratio"/>
    <s v="2001 / 2005"/>
    <s v="Gravel Resurfacing"/>
    <s v=""/>
    <n v="1"/>
    <m/>
    <m/>
    <n v="0.84090909090909094"/>
    <n v="0.84090909090909094"/>
    <s v=""/>
    <n v="0"/>
    <n v="0"/>
    <n v="0"/>
    <n v="0"/>
  </r>
  <r>
    <s v="Lao PDR"/>
    <x v="2"/>
    <s v="P064821"/>
    <s v="C1"/>
    <s v="S8"/>
    <s v="P064821C1S8"/>
    <s v="Ratio"/>
    <s v="2001 / 2005"/>
    <s v="Bituminous Pavement Preventive Treatment"/>
    <s v=""/>
    <n v="1"/>
    <m/>
    <m/>
    <n v="0.82758620689655171"/>
    <n v="0.82758620689655182"/>
    <s v=""/>
    <n v="0"/>
    <n v="0"/>
    <n v="0"/>
    <n v="0"/>
  </r>
  <r>
    <s v="Lao PDR"/>
    <x v="2"/>
    <s v="P064821"/>
    <s v="C1"/>
    <s v="S9"/>
    <s v="P064821C1S9"/>
    <s v="Ratio"/>
    <s v="2001 / 2005"/>
    <s v="Bituminous Pavement Preventive Treatment"/>
    <s v=""/>
    <n v="1"/>
    <m/>
    <m/>
    <n v="0.79487179487179482"/>
    <n v="0.79487179487179482"/>
    <s v=""/>
    <n v="0"/>
    <n v="0"/>
    <n v="0"/>
    <n v="0"/>
  </r>
  <r>
    <s v="Guinea"/>
    <x v="0"/>
    <s v="P065127"/>
    <s v="C1"/>
    <s v=""/>
    <s v="P065127C1"/>
    <s v="Ratio"/>
    <s v="2004 / 2013"/>
    <s v="Upgrading"/>
    <s v=""/>
    <n v="0.62992125984251968"/>
    <m/>
    <m/>
    <n v="0.79497907949790803"/>
    <n v="1.262029288702929"/>
    <s v=""/>
    <n v="0"/>
    <n v="0"/>
    <n v="0"/>
    <n v="0"/>
  </r>
  <r>
    <s v="Uganda"/>
    <x v="0"/>
    <s v="P065436"/>
    <s v="C1"/>
    <s v=""/>
    <s v="P065436C1"/>
    <s v="Ratio"/>
    <s v="2001 / 2009"/>
    <s v="Strengthening"/>
    <s v=""/>
    <n v="1"/>
    <m/>
    <m/>
    <n v="1.1677935697530013"/>
    <n v="1.1677935697530011"/>
    <s v=""/>
    <n v="0"/>
    <n v="0"/>
    <n v="0"/>
    <n v="0"/>
  </r>
  <r>
    <s v="Uganda"/>
    <x v="0"/>
    <s v="P065436"/>
    <s v="C1"/>
    <s v="S1"/>
    <s v="P065436C1S1"/>
    <s v="Ratio"/>
    <s v="2001 / 2009"/>
    <s v="Upgrading"/>
    <n v="1.1111111111111112"/>
    <n v="1"/>
    <m/>
    <m/>
    <n v="1.2345070422535214"/>
    <n v="1.2345070422535211"/>
    <s v=""/>
    <n v="0"/>
    <n v="0"/>
    <n v="0"/>
    <n v="0"/>
  </r>
  <r>
    <s v="Uganda"/>
    <x v="0"/>
    <s v="P065436"/>
    <s v="C1"/>
    <s v="S2"/>
    <s v="P065436C1S2"/>
    <s v="Ratio"/>
    <s v="2001 / 2009"/>
    <s v="Upgrading"/>
    <n v="0.88888888888888884"/>
    <n v="1"/>
    <m/>
    <m/>
    <n v="1.104602510460251"/>
    <n v="1.104602510460251"/>
    <s v=""/>
    <n v="0"/>
    <n v="0"/>
    <n v="0"/>
    <n v="0"/>
  </r>
  <r>
    <s v="Uganda"/>
    <x v="0"/>
    <s v="P065436"/>
    <s v="C1"/>
    <s v="S3"/>
    <s v="P065436C1S3"/>
    <s v="Ratio"/>
    <s v="2001 / 2009"/>
    <s v="Strengthening"/>
    <n v="2"/>
    <n v="1"/>
    <m/>
    <m/>
    <n v="1.2054794520547945"/>
    <n v="1.2054794520547947"/>
    <s v=""/>
    <n v="0"/>
    <n v="0"/>
    <n v="0"/>
    <n v="0"/>
  </r>
  <r>
    <s v="Uganda"/>
    <x v="0"/>
    <s v="P065436"/>
    <s v="C1"/>
    <s v="S4"/>
    <s v="P065436C1S4"/>
    <s v="Ratio"/>
    <s v="2001 / 2009"/>
    <s v="Strengthening"/>
    <n v="1.375"/>
    <n v="1"/>
    <m/>
    <m/>
    <n v="1.2821292775665398"/>
    <n v="1.28212927756654"/>
    <s v=""/>
    <n v="0"/>
    <n v="0"/>
    <n v="0"/>
    <n v="0"/>
  </r>
  <r>
    <s v="Mexico"/>
    <x v="4"/>
    <s v="P065779"/>
    <s v="C1"/>
    <s v="S1"/>
    <s v="P065779C1S1"/>
    <s v="Ratio"/>
    <s v="2000 / 2007"/>
    <s v="Reconstruction"/>
    <s v=""/>
    <n v="1"/>
    <m/>
    <m/>
    <n v="0.95061728395061729"/>
    <n v="0.95061728395061718"/>
    <s v=""/>
    <n v="0"/>
    <n v="0"/>
    <n v="0"/>
    <n v="0"/>
  </r>
  <r>
    <s v="Mexico"/>
    <x v="4"/>
    <s v="P065779"/>
    <s v="C1"/>
    <s v="S10"/>
    <s v="P065779C1S10"/>
    <s v="Ratio"/>
    <s v="2000 / 2007"/>
    <s v="Reconstruction"/>
    <s v=""/>
    <n v="1"/>
    <m/>
    <m/>
    <n v="1.4259259259259258"/>
    <n v="1.425925925925926"/>
    <s v=""/>
    <n v="0"/>
    <n v="0"/>
    <n v="0"/>
    <n v="0"/>
  </r>
  <r>
    <s v="Mexico"/>
    <x v="4"/>
    <s v="P065779"/>
    <s v="C1"/>
    <s v="S11"/>
    <s v="P065779C1S11"/>
    <s v="Ratio"/>
    <s v="2000 / 2007"/>
    <s v="Reconstruction"/>
    <s v=""/>
    <n v="1"/>
    <m/>
    <m/>
    <n v="1.3703703703703702"/>
    <n v="1.3703703703703702"/>
    <s v=""/>
    <n v="0"/>
    <n v="0"/>
    <n v="0"/>
    <n v="0"/>
  </r>
  <r>
    <s v="Mexico"/>
    <x v="4"/>
    <s v="P065779"/>
    <s v="C1"/>
    <s v="S12"/>
    <s v="P065779C1S12"/>
    <s v="Ratio"/>
    <s v="2000 / 2007"/>
    <s v="Reconstruction"/>
    <s v=""/>
    <n v="1"/>
    <m/>
    <m/>
    <n v="0.85106382978723405"/>
    <n v="0.85106382978723405"/>
    <s v=""/>
    <n v="0"/>
    <n v="0"/>
    <n v="0"/>
    <n v="0"/>
  </r>
  <r>
    <s v="Mexico"/>
    <x v="4"/>
    <s v="P065779"/>
    <s v="C1"/>
    <s v="S13"/>
    <s v="P065779C1S13"/>
    <s v="Ratio"/>
    <s v="2000 / 2007"/>
    <s v="Reconstruction"/>
    <s v=""/>
    <n v="1"/>
    <m/>
    <m/>
    <n v="1.8"/>
    <n v="1.8"/>
    <s v="x"/>
    <n v="0"/>
    <n v="0"/>
    <n v="1"/>
    <n v="0"/>
  </r>
  <r>
    <s v="Mexico"/>
    <x v="4"/>
    <s v="P065779"/>
    <s v="C1"/>
    <s v="S14"/>
    <s v="P065779C1S14"/>
    <s v="Ratio"/>
    <s v="2000 / 2007"/>
    <s v="Reconstruction"/>
    <s v=""/>
    <n v="0.85"/>
    <m/>
    <m/>
    <n v="2.5500000000000003"/>
    <n v="3"/>
    <s v="x"/>
    <n v="0"/>
    <n v="0"/>
    <n v="1"/>
    <n v="0"/>
  </r>
  <r>
    <s v="Mexico"/>
    <x v="4"/>
    <s v="P065779"/>
    <s v="C1"/>
    <s v="S15"/>
    <s v="P065779C1S15"/>
    <s v="Ratio"/>
    <s v="2000 / 2007"/>
    <s v="Reconstruction"/>
    <s v=""/>
    <n v="1"/>
    <m/>
    <m/>
    <n v="0.77016129032258063"/>
    <n v="0.77016129032258052"/>
    <s v=""/>
    <n v="0"/>
    <n v="0"/>
    <n v="0"/>
    <n v="0"/>
  </r>
  <r>
    <s v="Mexico"/>
    <x v="4"/>
    <s v="P065779"/>
    <s v="C1"/>
    <s v="S16"/>
    <s v="P065779C1S16"/>
    <s v="Ratio"/>
    <s v="2000 / 2007"/>
    <s v="Reconstruction"/>
    <s v=""/>
    <n v="1"/>
    <m/>
    <m/>
    <n v="0.91304347826086962"/>
    <n v="0.91304347826086973"/>
    <s v=""/>
    <n v="0"/>
    <n v="0"/>
    <n v="0"/>
    <n v="0"/>
  </r>
  <r>
    <s v="Mexico"/>
    <x v="4"/>
    <s v="P065779"/>
    <s v="C1"/>
    <s v="S17"/>
    <s v="P065779C1S17"/>
    <s v="Ratio"/>
    <s v="2000 / 2007"/>
    <s v="Asphalt Mix Resurfacing"/>
    <s v=""/>
    <n v="1"/>
    <m/>
    <m/>
    <n v="0.18861209964412812"/>
    <n v="0.18861209964412812"/>
    <s v="x"/>
    <n v="0"/>
    <n v="0"/>
    <n v="0"/>
    <n v="1"/>
  </r>
  <r>
    <s v="Mexico"/>
    <x v="4"/>
    <s v="P065779"/>
    <s v="C1"/>
    <s v="S18"/>
    <s v="P065779C1S18"/>
    <s v="Ratio"/>
    <s v="2000 / 2007"/>
    <s v="Reconstruction"/>
    <s v=""/>
    <n v="1"/>
    <m/>
    <m/>
    <n v="1.25"/>
    <n v="1.2499999999999998"/>
    <s v=""/>
    <n v="0"/>
    <n v="0"/>
    <n v="0"/>
    <n v="0"/>
  </r>
  <r>
    <s v="Mexico"/>
    <x v="4"/>
    <s v="P065779"/>
    <s v="C1"/>
    <s v="S19"/>
    <s v="P065779C1S19"/>
    <s v="Ratio"/>
    <s v="2000 / 2007"/>
    <s v="Reconstruction"/>
    <s v=""/>
    <n v="1"/>
    <m/>
    <m/>
    <n v="1.5298507462686566"/>
    <n v="1.5298507462686564"/>
    <s v="x"/>
    <n v="0"/>
    <n v="0"/>
    <n v="1"/>
    <n v="0"/>
  </r>
  <r>
    <s v="Mexico"/>
    <x v="4"/>
    <s v="P065779"/>
    <s v="C1"/>
    <s v="S2"/>
    <s v="P065779C1S2"/>
    <s v="Ratio"/>
    <s v="2000 / 2007"/>
    <s v="Reconstruction"/>
    <s v=""/>
    <n v="1"/>
    <m/>
    <m/>
    <n v="0.64516129032258074"/>
    <n v="0.64516129032258074"/>
    <s v=""/>
    <n v="0"/>
    <n v="0"/>
    <n v="0"/>
    <n v="0"/>
  </r>
  <r>
    <s v="Mexico"/>
    <x v="4"/>
    <s v="P065779"/>
    <s v="C1"/>
    <s v="S20"/>
    <s v="P065779C1S20"/>
    <s v="Ratio"/>
    <s v="2000 / 2007"/>
    <s v="Reconstruction"/>
    <s v=""/>
    <n v="1"/>
    <m/>
    <m/>
    <n v="1.306878306878307"/>
    <n v="1.306878306878307"/>
    <s v=""/>
    <n v="0"/>
    <n v="0"/>
    <n v="0"/>
    <n v="0"/>
  </r>
  <r>
    <s v="Mexico"/>
    <x v="4"/>
    <s v="P065779"/>
    <s v="C1"/>
    <s v="S21"/>
    <s v="P065779C1S21"/>
    <s v="Ratio"/>
    <s v="2000 / 2007"/>
    <s v="Asphalt Mix Resurfacing"/>
    <s v=""/>
    <n v="0.46728971962616828"/>
    <m/>
    <m/>
    <n v="0.19480519480519481"/>
    <n v="0.4168831168831168"/>
    <s v="x"/>
    <n v="0"/>
    <n v="1"/>
    <n v="0"/>
    <n v="1"/>
  </r>
  <r>
    <s v="Mexico"/>
    <x v="4"/>
    <s v="P065779"/>
    <s v="C1"/>
    <s v="S22"/>
    <s v="P065779C1S22"/>
    <s v="Ratio"/>
    <s v="2000 / 2007"/>
    <s v="Asphalt Mix Resurfacing"/>
    <s v=""/>
    <n v="1.0083333333333333"/>
    <m/>
    <m/>
    <n v="0.64814814814814803"/>
    <n v="0.64279155188246084"/>
    <s v=""/>
    <n v="0"/>
    <n v="0"/>
    <n v="0"/>
    <n v="0"/>
  </r>
  <r>
    <s v="Mexico"/>
    <x v="4"/>
    <s v="P065779"/>
    <s v="C1"/>
    <s v="S23"/>
    <s v="P065779C1S23"/>
    <s v="Ratio"/>
    <s v="2000 / 2007"/>
    <s v="Reconstruction"/>
    <s v=""/>
    <n v="1"/>
    <m/>
    <m/>
    <n v="0.91666666666666674"/>
    <n v="0.91666666666666674"/>
    <s v=""/>
    <n v="0"/>
    <n v="0"/>
    <n v="0"/>
    <n v="0"/>
  </r>
  <r>
    <s v="Mexico"/>
    <x v="4"/>
    <s v="P065779"/>
    <s v="C1"/>
    <s v="S24"/>
    <s v="P065779C1S24"/>
    <s v="Ratio"/>
    <s v="2000 / 2007"/>
    <s v="Reconstruction"/>
    <s v=""/>
    <n v="1"/>
    <m/>
    <m/>
    <n v="0.7142857142857143"/>
    <n v="0.7142857142857143"/>
    <s v=""/>
    <n v="0"/>
    <n v="0"/>
    <n v="0"/>
    <n v="0"/>
  </r>
  <r>
    <s v="Mexico"/>
    <x v="4"/>
    <s v="P065779"/>
    <s v="C1"/>
    <s v="S25"/>
    <s v="P065779C1S25"/>
    <s v="Ratio"/>
    <s v="2000 / 2007"/>
    <s v="Asphalt Mix Resurfacing"/>
    <s v=""/>
    <n v="0.96202531645569611"/>
    <m/>
    <m/>
    <n v="1.7142857142857142"/>
    <n v="1.7819548872180451"/>
    <s v="x"/>
    <n v="0"/>
    <n v="0"/>
    <n v="1"/>
    <n v="0"/>
  </r>
  <r>
    <s v="Mexico"/>
    <x v="4"/>
    <s v="P065779"/>
    <s v="C1"/>
    <s v="S26"/>
    <s v="P065779C1S26"/>
    <s v="Ratio"/>
    <s v="2000 / 2007"/>
    <s v="Asphalt Mix Resurfacing"/>
    <s v=""/>
    <n v="1"/>
    <m/>
    <m/>
    <n v="1.26984126984127"/>
    <n v="1.2698412698412698"/>
    <s v=""/>
    <n v="0"/>
    <n v="0"/>
    <n v="0"/>
    <n v="0"/>
  </r>
  <r>
    <s v="Mexico"/>
    <x v="4"/>
    <s v="P065779"/>
    <s v="C1"/>
    <s v="S27"/>
    <s v="P065779C1S27"/>
    <s v="Ratio"/>
    <s v="2000 / 2007"/>
    <s v="Asphalt Mix Resurfacing"/>
    <s v=""/>
    <n v="1"/>
    <m/>
    <m/>
    <n v="1.2545454545454544"/>
    <n v="1.2545454545454544"/>
    <s v=""/>
    <n v="0"/>
    <n v="0"/>
    <n v="0"/>
    <n v="0"/>
  </r>
  <r>
    <s v="Mexico"/>
    <x v="4"/>
    <s v="P065779"/>
    <s v="C1"/>
    <s v="S28"/>
    <s v="P065779C1S28"/>
    <s v="Ratio"/>
    <s v="2000 / 2007"/>
    <s v="Asphalt Mix Resurfacing"/>
    <s v=""/>
    <n v="1"/>
    <m/>
    <m/>
    <n v="2.3877551020408161"/>
    <n v="2.3877551020408161"/>
    <s v="x"/>
    <n v="0"/>
    <n v="0"/>
    <n v="1"/>
    <n v="0"/>
  </r>
  <r>
    <s v="Mexico"/>
    <x v="4"/>
    <s v="P065779"/>
    <s v="C1"/>
    <s v="S29"/>
    <s v="P065779C1S29"/>
    <s v="Ratio"/>
    <s v="2000 / 2007"/>
    <s v="Asphalt Mix Resurfacing"/>
    <s v=""/>
    <n v="1"/>
    <m/>
    <m/>
    <n v="2"/>
    <n v="2"/>
    <s v="x"/>
    <n v="0"/>
    <n v="0"/>
    <n v="1"/>
    <n v="0"/>
  </r>
  <r>
    <s v="Mexico"/>
    <x v="4"/>
    <s v="P065779"/>
    <s v="C1"/>
    <s v="S3"/>
    <s v="P065779C1S3"/>
    <s v="Ratio"/>
    <s v="2000 / 2007"/>
    <s v="Reconstruction"/>
    <s v=""/>
    <n v="1"/>
    <m/>
    <m/>
    <n v="0.5"/>
    <n v="0.5"/>
    <s v=""/>
    <n v="0"/>
    <n v="0"/>
    <n v="0"/>
    <n v="0"/>
  </r>
  <r>
    <s v="Mexico"/>
    <x v="4"/>
    <s v="P065779"/>
    <s v="C1"/>
    <s v="S30"/>
    <s v="P065779C1S30"/>
    <s v="Ratio"/>
    <s v="2000 / 2007"/>
    <s v="Asphalt Mix Resurfacing"/>
    <s v=""/>
    <n v="1"/>
    <m/>
    <m/>
    <n v="1.9411764705882353"/>
    <n v="1.9411764705882353"/>
    <s v="x"/>
    <n v="0"/>
    <n v="0"/>
    <n v="1"/>
    <n v="0"/>
  </r>
  <r>
    <s v="Mexico"/>
    <x v="4"/>
    <s v="P065779"/>
    <s v="C1"/>
    <s v="S31"/>
    <s v="P065779C1S31"/>
    <s v="Ratio"/>
    <s v="2000 / 2007"/>
    <s v="Asphalt Mix Resurfacing"/>
    <s v=""/>
    <n v="1"/>
    <m/>
    <m/>
    <n v="1.1666666666666667"/>
    <n v="1.1666666666666667"/>
    <s v=""/>
    <n v="0"/>
    <n v="0"/>
    <n v="0"/>
    <n v="0"/>
  </r>
  <r>
    <s v="Mexico"/>
    <x v="4"/>
    <s v="P065779"/>
    <s v="C1"/>
    <s v="S32"/>
    <s v="P065779C1S32"/>
    <s v="Ratio"/>
    <s v="2000 / 2007"/>
    <s v="Asphalt Mix Resurfacing"/>
    <s v=""/>
    <n v="1"/>
    <m/>
    <m/>
    <n v="0.44444444444444442"/>
    <n v="0.44444444444444442"/>
    <s v="x"/>
    <n v="0"/>
    <n v="0"/>
    <n v="0"/>
    <n v="1"/>
  </r>
  <r>
    <s v="Mexico"/>
    <x v="4"/>
    <s v="P065779"/>
    <s v="C1"/>
    <s v="S33"/>
    <s v="P065779C1S33"/>
    <s v="Ratio"/>
    <s v="2000 / 2007"/>
    <s v="Asphalt Mix Resurfacing"/>
    <s v=""/>
    <n v="1"/>
    <m/>
    <m/>
    <n v="1.9295774647887327"/>
    <n v="1.9295774647887325"/>
    <s v="x"/>
    <n v="0"/>
    <n v="0"/>
    <n v="1"/>
    <n v="0"/>
  </r>
  <r>
    <s v="Mexico"/>
    <x v="4"/>
    <s v="P065779"/>
    <s v="C1"/>
    <s v="S34"/>
    <s v="P065779C1S34"/>
    <s v="Ratio"/>
    <s v="2000 / 2007"/>
    <s v="Asphalt Mix Resurfacing"/>
    <s v=""/>
    <n v="1.6"/>
    <m/>
    <m/>
    <n v="3.2307692307692304"/>
    <n v="2.0192307692307692"/>
    <s v="x"/>
    <n v="1"/>
    <n v="0"/>
    <n v="1"/>
    <n v="0"/>
  </r>
  <r>
    <s v="Mexico"/>
    <x v="4"/>
    <s v="P065779"/>
    <s v="C1"/>
    <s v="S35"/>
    <s v="P065779C1S35"/>
    <s v="Ratio"/>
    <s v="2000 / 2007"/>
    <s v="Asphalt Mix Resurfacing"/>
    <s v=""/>
    <n v="1"/>
    <m/>
    <m/>
    <n v="3"/>
    <n v="3"/>
    <s v="x"/>
    <n v="0"/>
    <n v="0"/>
    <n v="1"/>
    <n v="0"/>
  </r>
  <r>
    <s v="Mexico"/>
    <x v="4"/>
    <s v="P065779"/>
    <s v="C1"/>
    <s v="S36"/>
    <s v="P065779C1S36"/>
    <s v="Ratio"/>
    <s v="2000 / 2007"/>
    <s v="Asphalt Mix Resurfacing"/>
    <s v=""/>
    <n v="1.09375"/>
    <m/>
    <m/>
    <n v="3.5"/>
    <n v="3.2"/>
    <s v="x"/>
    <n v="0"/>
    <n v="0"/>
    <n v="1"/>
    <n v="0"/>
  </r>
  <r>
    <s v="Mexico"/>
    <x v="4"/>
    <s v="P065779"/>
    <s v="C1"/>
    <s v="S37"/>
    <s v="P065779C1S37"/>
    <s v="Ratio"/>
    <s v="2000 / 2007"/>
    <s v="Asphalt Mix Resurfacing"/>
    <s v=""/>
    <n v="1"/>
    <m/>
    <m/>
    <n v="1.5037593984962405"/>
    <n v="1.5037593984962405"/>
    <s v="x"/>
    <n v="0"/>
    <n v="0"/>
    <n v="1"/>
    <n v="0"/>
  </r>
  <r>
    <s v="Mexico"/>
    <x v="4"/>
    <s v="P065779"/>
    <s v="C1"/>
    <s v="S38"/>
    <s v="P065779C1S38"/>
    <s v="Ratio"/>
    <s v="2000 / 2007"/>
    <s v="Asphalt Mix Resurfacing"/>
    <s v=""/>
    <n v="0.99032258064516132"/>
    <m/>
    <m/>
    <n v="0.88124999999999987"/>
    <n v="0.88986156351791534"/>
    <s v=""/>
    <n v="0"/>
    <n v="0"/>
    <n v="0"/>
    <n v="0"/>
  </r>
  <r>
    <s v="Mexico"/>
    <x v="4"/>
    <s v="P065779"/>
    <s v="C1"/>
    <s v="S39"/>
    <s v="P065779C1S39"/>
    <s v="Ratio"/>
    <s v="2000 / 2007"/>
    <s v="Reconstruction"/>
    <s v=""/>
    <n v="1"/>
    <m/>
    <m/>
    <n v="7.5"/>
    <n v="7.5000000000000009"/>
    <s v="x"/>
    <n v="0"/>
    <n v="0"/>
    <n v="1"/>
    <n v="0"/>
  </r>
  <r>
    <s v="Mexico"/>
    <x v="4"/>
    <s v="P065779"/>
    <s v="C1"/>
    <s v="S4"/>
    <s v="P065779C1S4"/>
    <s v="Ratio"/>
    <s v="2000 / 2007"/>
    <s v="Reconstruction"/>
    <s v=""/>
    <n v="1"/>
    <m/>
    <m/>
    <n v="0.84158415841584155"/>
    <n v="0.84158415841584155"/>
    <s v=""/>
    <n v="0"/>
    <n v="0"/>
    <n v="0"/>
    <n v="0"/>
  </r>
  <r>
    <s v="Mexico"/>
    <x v="4"/>
    <s v="P065779"/>
    <s v="C1"/>
    <s v="S40"/>
    <s v="P065779C1S40"/>
    <s v="Ratio"/>
    <s v="2000 / 2007"/>
    <s v="Asphalt Mix Resurfacing"/>
    <s v=""/>
    <n v="4"/>
    <m/>
    <m/>
    <n v="6.6"/>
    <n v="1.65"/>
    <s v="x"/>
    <n v="1"/>
    <n v="0"/>
    <n v="1"/>
    <n v="0"/>
  </r>
  <r>
    <s v="Mexico"/>
    <x v="4"/>
    <s v="P065779"/>
    <s v="C1"/>
    <s v="S41"/>
    <s v="P065779C1S41"/>
    <s v="Ratio"/>
    <s v="2000 / 2007"/>
    <s v="Reconstruction"/>
    <s v=""/>
    <n v="1"/>
    <m/>
    <m/>
    <n v="2.248062015503876"/>
    <n v="2.2480620155038755"/>
    <s v="x"/>
    <n v="0"/>
    <n v="0"/>
    <n v="1"/>
    <n v="0"/>
  </r>
  <r>
    <s v="Mexico"/>
    <x v="4"/>
    <s v="P065779"/>
    <s v="C1"/>
    <s v="S42"/>
    <s v="P065779C1S42"/>
    <s v="Ratio"/>
    <s v="2000 / 2007"/>
    <s v="Asphalt Mix Resurfacing"/>
    <s v=""/>
    <n v="1"/>
    <m/>
    <m/>
    <n v="2.043478260869565"/>
    <n v="2.0434782608695654"/>
    <s v="x"/>
    <n v="0"/>
    <n v="0"/>
    <n v="1"/>
    <n v="0"/>
  </r>
  <r>
    <s v="Mexico"/>
    <x v="4"/>
    <s v="P065779"/>
    <s v="C1"/>
    <s v="S43"/>
    <s v="P065779C1S43"/>
    <s v="Ratio"/>
    <s v="2000 / 2007"/>
    <s v="Asphalt Mix Resurfacing"/>
    <s v=""/>
    <n v="1"/>
    <m/>
    <m/>
    <n v="1.1111111111111112"/>
    <n v="1.1111111111111112"/>
    <s v=""/>
    <n v="0"/>
    <n v="0"/>
    <n v="0"/>
    <n v="0"/>
  </r>
  <r>
    <s v="Mexico"/>
    <x v="4"/>
    <s v="P065779"/>
    <s v="C1"/>
    <s v="S44"/>
    <s v="P065779C1S44"/>
    <s v="Ratio"/>
    <s v="2000 / 2007"/>
    <s v="Reconstruction"/>
    <s v=""/>
    <n v="0.95833333333333337"/>
    <m/>
    <m/>
    <n v="6.9230769230769234"/>
    <n v="7.2240802675585289"/>
    <s v="x"/>
    <n v="0"/>
    <n v="0"/>
    <n v="1"/>
    <n v="0"/>
  </r>
  <r>
    <s v="Mexico"/>
    <x v="4"/>
    <s v="P065779"/>
    <s v="C1"/>
    <s v="S45"/>
    <s v="P065779C1S45"/>
    <s v="Ratio"/>
    <s v="2000 / 2007"/>
    <s v="Asphalt Mix Resurfacing"/>
    <s v=""/>
    <n v="1"/>
    <m/>
    <m/>
    <n v="0.89743589743589736"/>
    <n v="0.89743589743589747"/>
    <s v=""/>
    <n v="0"/>
    <n v="0"/>
    <n v="0"/>
    <n v="0"/>
  </r>
  <r>
    <s v="Mexico"/>
    <x v="4"/>
    <s v="P065779"/>
    <s v="C1"/>
    <s v="S46"/>
    <s v="P065779C1S46"/>
    <s v="Ratio"/>
    <s v="2000 / 2007"/>
    <s v="Asphalt Mix Resurfacing"/>
    <s v=""/>
    <n v="1"/>
    <m/>
    <m/>
    <n v="1.607142857142857"/>
    <n v="1.6071428571428572"/>
    <s v="x"/>
    <n v="0"/>
    <n v="0"/>
    <n v="1"/>
    <n v="0"/>
  </r>
  <r>
    <s v="Mexico"/>
    <x v="4"/>
    <s v="P065779"/>
    <s v="C1"/>
    <s v="S47"/>
    <s v="P065779C1S47"/>
    <s v="Ratio"/>
    <s v="2000 / 2007"/>
    <s v="Asphalt Mix Resurfacing"/>
    <s v=""/>
    <n v="0.76666666666666672"/>
    <m/>
    <m/>
    <n v="1.1649484536082473"/>
    <n v="1.5194979829672792"/>
    <s v="x"/>
    <n v="0"/>
    <n v="0"/>
    <n v="1"/>
    <n v="0"/>
  </r>
  <r>
    <s v="Mexico"/>
    <x v="4"/>
    <s v="P065779"/>
    <s v="C1"/>
    <s v="S48"/>
    <s v="P065779C1S48"/>
    <s v="Ratio"/>
    <s v="2000 / 2007"/>
    <s v="Asphalt Mix Resurfacing"/>
    <s v=""/>
    <n v="1"/>
    <m/>
    <m/>
    <n v="2.9999999999999996"/>
    <n v="2.9999999999999996"/>
    <s v="x"/>
    <n v="0"/>
    <n v="0"/>
    <n v="1"/>
    <n v="0"/>
  </r>
  <r>
    <s v="Mexico"/>
    <x v="4"/>
    <s v="P065779"/>
    <s v="C1"/>
    <s v="S49"/>
    <s v="P065779C1S49"/>
    <s v="Ratio"/>
    <s v="2000 / 2007"/>
    <s v="Asphalt Mix Resurfacing"/>
    <s v=""/>
    <n v="1.0555555555555556"/>
    <m/>
    <m/>
    <n v="1.1866666666666668"/>
    <n v="1.1242105263157895"/>
    <s v=""/>
    <n v="0"/>
    <n v="0"/>
    <n v="0"/>
    <n v="0"/>
  </r>
  <r>
    <s v="Mexico"/>
    <x v="4"/>
    <s v="P065779"/>
    <s v="C1"/>
    <s v="S5"/>
    <s v="P065779C1S5"/>
    <s v="Ratio"/>
    <s v="2000 / 2007"/>
    <s v="Reconstruction"/>
    <s v=""/>
    <n v="0.6875"/>
    <m/>
    <m/>
    <n v="0.57777777777777783"/>
    <n v="0.84040404040404038"/>
    <s v=""/>
    <n v="0"/>
    <n v="0"/>
    <n v="0"/>
    <n v="0"/>
  </r>
  <r>
    <s v="Mexico"/>
    <x v="4"/>
    <s v="P065779"/>
    <s v="C1"/>
    <s v="S50"/>
    <s v="P065779C1S50"/>
    <s v="Ratio"/>
    <s v="2000 / 2007"/>
    <s v="Asphalt Mix Resurfacing"/>
    <s v=""/>
    <n v="1"/>
    <m/>
    <m/>
    <n v="1.4618834080717489"/>
    <n v="1.4618834080717489"/>
    <s v=""/>
    <n v="0"/>
    <n v="0"/>
    <n v="0"/>
    <n v="0"/>
  </r>
  <r>
    <s v="Mexico"/>
    <x v="4"/>
    <s v="P065779"/>
    <s v="C1"/>
    <s v="S51"/>
    <s v="P065779C1S51"/>
    <s v="Ratio"/>
    <s v="2000 / 2007"/>
    <s v="Asphalt Mix Resurfacing"/>
    <s v=""/>
    <n v="0.7"/>
    <m/>
    <m/>
    <n v="0.53623188405797106"/>
    <n v="0.76604554865424446"/>
    <s v=""/>
    <n v="0"/>
    <n v="0"/>
    <n v="0"/>
    <n v="0"/>
  </r>
  <r>
    <s v="Mexico"/>
    <x v="4"/>
    <s v="P065779"/>
    <s v="C1"/>
    <s v="S6"/>
    <s v="P065779C1S6"/>
    <s v="Ratio"/>
    <s v="2000 / 2007"/>
    <s v="Reconstruction"/>
    <s v=""/>
    <n v="2"/>
    <m/>
    <m/>
    <n v="2.75"/>
    <n v="1.3749999999999998"/>
    <s v="x"/>
    <n v="1"/>
    <n v="0"/>
    <n v="0"/>
    <n v="0"/>
  </r>
  <r>
    <s v="Mexico"/>
    <x v="4"/>
    <s v="P065779"/>
    <s v="C1"/>
    <s v="S7"/>
    <s v="P065779C1S7"/>
    <s v="Ratio"/>
    <s v="2000 / 2007"/>
    <s v="Asphalt Mix Resurfacing"/>
    <s v=""/>
    <n v="1"/>
    <m/>
    <m/>
    <n v="0.14666666666666667"/>
    <n v="0.14666666666666667"/>
    <s v="x"/>
    <n v="0"/>
    <n v="0"/>
    <n v="0"/>
    <n v="1"/>
  </r>
  <r>
    <s v="Mexico"/>
    <x v="4"/>
    <s v="P065779"/>
    <s v="C1"/>
    <s v="S8"/>
    <s v="P065779C1S8"/>
    <s v="Ratio"/>
    <s v="2000 / 2007"/>
    <s v="Reconstruction"/>
    <s v=""/>
    <n v="1"/>
    <m/>
    <m/>
    <n v="0.45490196078431372"/>
    <n v="0.45490196078431377"/>
    <s v="x"/>
    <n v="0"/>
    <n v="0"/>
    <n v="0"/>
    <n v="1"/>
  </r>
  <r>
    <s v="Mexico"/>
    <x v="4"/>
    <s v="P065779"/>
    <s v="C1"/>
    <s v="S9"/>
    <s v="P065779C1S9"/>
    <s v="Ratio"/>
    <s v="2000 / 2007"/>
    <s v="Reconstruction"/>
    <s v=""/>
    <n v="1"/>
    <m/>
    <m/>
    <n v="2.6066666666666669"/>
    <n v="2.6066666666666669"/>
    <s v="x"/>
    <n v="0"/>
    <n v="0"/>
    <n v="1"/>
    <n v="0"/>
  </r>
  <r>
    <s v="China"/>
    <x v="2"/>
    <s v="P068752"/>
    <s v="C1"/>
    <s v=""/>
    <s v="P068752C1"/>
    <s v="Ratio"/>
    <s v="2005 / 2011"/>
    <s v="Widening and Reconstruction"/>
    <n v="0.83333333333333337"/>
    <n v="1.0097740112994349"/>
    <m/>
    <m/>
    <n v="1.2422838612542706"/>
    <n v="1.2302592930230285"/>
    <s v=""/>
    <n v="0"/>
    <n v="0"/>
    <n v="0"/>
    <n v="0"/>
  </r>
  <r>
    <s v="China"/>
    <x v="2"/>
    <s v="P068752"/>
    <s v="C2"/>
    <s v=""/>
    <s v="P068752C2"/>
    <s v="Ratio"/>
    <s v="2005 / 2011"/>
    <s v="Upgrading"/>
    <s v=""/>
    <n v="1.6009280742459397"/>
    <m/>
    <m/>
    <n v="2.2810916179337233"/>
    <n v="1.4248557787383109"/>
    <s v="x"/>
    <n v="1"/>
    <n v="0"/>
    <n v="0"/>
    <n v="0"/>
  </r>
  <r>
    <s v="China"/>
    <x v="2"/>
    <s v="P068752"/>
    <s v="C2"/>
    <s v="S1"/>
    <s v="P068752C2S1"/>
    <s v="Ratio"/>
    <s v="2005 / 2011"/>
    <s v="Upgrading"/>
    <n v="1"/>
    <n v="1.0524822695035461"/>
    <m/>
    <m/>
    <n v="1.3856213759105473"/>
    <n v="1.3165270485403446"/>
    <s v=""/>
    <n v="0"/>
    <n v="0"/>
    <n v="0"/>
    <n v="0"/>
  </r>
  <r>
    <s v="China"/>
    <x v="2"/>
    <s v="P068752"/>
    <s v="C2"/>
    <s v="S2"/>
    <s v="P068752C2S2"/>
    <s v="Ratio"/>
    <s v="2005 / 2011"/>
    <s v="Upgrading"/>
    <n v="1"/>
    <n v="0.98478260869565226"/>
    <m/>
    <m/>
    <n v="1.0849443599800692"/>
    <n v="1.1017095046155228"/>
    <s v=""/>
    <n v="0"/>
    <n v="0"/>
    <n v="0"/>
    <n v="0"/>
  </r>
  <r>
    <s v="China"/>
    <x v="2"/>
    <s v="P068752"/>
    <s v="C2"/>
    <s v="S3"/>
    <s v="P068752C2S3"/>
    <s v="Ratio"/>
    <s v="2005 / 2011"/>
    <s v="Upgrading"/>
    <n v="1.6666666666666667"/>
    <n v="1.145631067961165"/>
    <m/>
    <m/>
    <n v="2.9756043159015308"/>
    <n v="2.597349529981845"/>
    <s v="x"/>
    <n v="0"/>
    <n v="0"/>
    <n v="1"/>
    <n v="0"/>
  </r>
  <r>
    <s v="China"/>
    <x v="2"/>
    <s v="P068752"/>
    <s v="C2"/>
    <s v="S4"/>
    <s v="P068752C2S4"/>
    <s v="Ratio"/>
    <s v="2005 / 2011"/>
    <s v="Upgrading"/>
    <n v="1"/>
    <n v="0.99030303030303035"/>
    <m/>
    <m/>
    <n v="1.8113250123404554"/>
    <n v="1.8290613649704719"/>
    <s v="x"/>
    <n v="0"/>
    <n v="0"/>
    <n v="1"/>
    <n v="0"/>
  </r>
  <r>
    <s v="China"/>
    <x v="2"/>
    <s v="P068752"/>
    <s v="C2"/>
    <s v="S5"/>
    <s v="P068752C2S5"/>
    <s v="Ratio"/>
    <s v="2005 / 2011"/>
    <s v="Upgrading"/>
    <n v="1"/>
    <n v="1.1139896373056994"/>
    <m/>
    <m/>
    <n v="1.1747392280731208"/>
    <n v="1.0545333535726156"/>
    <s v=""/>
    <n v="0"/>
    <n v="0"/>
    <n v="0"/>
    <n v="0"/>
  </r>
  <r>
    <s v="Bolivia"/>
    <x v="4"/>
    <s v="P068968"/>
    <s v="C1"/>
    <s v=""/>
    <s v="P068968C1"/>
    <s v="Ratio"/>
    <s v="2002 / 2011"/>
    <s v="Reconstruction"/>
    <s v=""/>
    <n v="1"/>
    <m/>
    <m/>
    <n v="1.1679032701291563"/>
    <n v="1.1679032701291563"/>
    <s v=""/>
    <n v="0"/>
    <n v="0"/>
    <n v="0"/>
    <n v="0"/>
  </r>
  <r>
    <s v="Bolivia"/>
    <x v="4"/>
    <s v="P068968"/>
    <s v="C2"/>
    <s v=""/>
    <s v="P068968C2"/>
    <s v="Ratio"/>
    <s v="2002 / 2011"/>
    <s v="Asphalt Mix Resurfacing"/>
    <s v=""/>
    <n v="0.44333333333333336"/>
    <m/>
    <m/>
    <n v="0.56481481481481477"/>
    <n v="1.2740183792815372"/>
    <s v="x"/>
    <n v="0"/>
    <n v="1"/>
    <n v="0"/>
    <n v="0"/>
  </r>
  <r>
    <s v="China"/>
    <x v="2"/>
    <s v="P069852"/>
    <s v="C2"/>
    <s v=""/>
    <s v="P069852C2"/>
    <s v="Ratio"/>
    <s v="2004 / 2010"/>
    <s v="Reconstruction"/>
    <s v=""/>
    <n v="0.95291268666756357"/>
    <m/>
    <m/>
    <n v="1.4284530386740331"/>
    <n v="1.4990387457947321"/>
    <s v=""/>
    <n v="0"/>
    <n v="0"/>
    <n v="0"/>
    <n v="0"/>
  </r>
  <r>
    <s v="Djibouti"/>
    <x v="5"/>
    <s v="P069930"/>
    <s v="C1"/>
    <s v=""/>
    <s v="P069930C1"/>
    <s v="Ratio"/>
    <s v="2000 / 2006"/>
    <s v="Reconstruction"/>
    <n v="1.5"/>
    <n v="0.96078431372549022"/>
    <m/>
    <m/>
    <n v="1.1416666666666666"/>
    <n v="1.1882653061224488"/>
    <s v=""/>
    <n v="0"/>
    <n v="0"/>
    <n v="0"/>
    <n v="0"/>
  </r>
  <r>
    <s v="Djibouti"/>
    <x v="5"/>
    <s v="P069930"/>
    <s v="C2"/>
    <s v=""/>
    <s v="P069930C2"/>
    <s v="Ratio"/>
    <s v="2000 / 2006"/>
    <s v="Asphalt Mix Resurfacing"/>
    <n v="1"/>
    <n v="1.0232558139534884"/>
    <m/>
    <m/>
    <n v="1.4750000000000001"/>
    <n v="1.4414772727272729"/>
    <s v=""/>
    <n v="0"/>
    <n v="0"/>
    <n v="0"/>
    <n v="0"/>
  </r>
  <r>
    <s v="India"/>
    <x v="3"/>
    <s v="P070421"/>
    <s v="C1"/>
    <s v=""/>
    <s v="P070421C1"/>
    <s v="Ratio"/>
    <s v="2001 / 2008"/>
    <s v="Widening and Reconstruction"/>
    <s v=""/>
    <n v="0.874"/>
    <m/>
    <m/>
    <n v="1.3152161872761512"/>
    <n v="1.5048240129017749"/>
    <s v="x"/>
    <n v="0"/>
    <n v="0"/>
    <n v="1"/>
    <n v="0"/>
  </r>
  <r>
    <s v="India"/>
    <x v="3"/>
    <s v="P070421"/>
    <s v="C1"/>
    <s v="S1"/>
    <s v="P070421C1S1"/>
    <s v="Ratio"/>
    <s v="2001 / 2008"/>
    <s v="Widening and Reconstruction"/>
    <s v=""/>
    <n v="1"/>
    <m/>
    <m/>
    <n v="1.4233797698364625"/>
    <n v="1.4233797698364627"/>
    <s v=""/>
    <n v="0"/>
    <n v="0"/>
    <n v="0"/>
    <n v="0"/>
  </r>
  <r>
    <s v="India"/>
    <x v="3"/>
    <s v="P070421"/>
    <s v="C1"/>
    <s v="S10"/>
    <s v="P070421C1S10"/>
    <s v="Ratio"/>
    <s v="2001 / 2008"/>
    <s v="Widening and Reconstruction"/>
    <s v=""/>
    <n v="1"/>
    <m/>
    <m/>
    <n v="1.9791967639410575"/>
    <n v="1.9791967639410575"/>
    <s v="x"/>
    <n v="0"/>
    <n v="0"/>
    <n v="1"/>
    <n v="0"/>
  </r>
  <r>
    <s v="India"/>
    <x v="3"/>
    <s v="P070421"/>
    <s v="C1"/>
    <s v="S11"/>
    <s v="P070421C1S11"/>
    <s v="Ratio"/>
    <s v="2001 / 2008"/>
    <s v="New 2L Highway"/>
    <s v=""/>
    <n v="1"/>
    <m/>
    <m/>
    <n v="0.17227235438884334"/>
    <n v="0.17227235438884334"/>
    <s v="x"/>
    <n v="0"/>
    <n v="0"/>
    <n v="0"/>
    <n v="1"/>
  </r>
  <r>
    <s v="India"/>
    <x v="3"/>
    <s v="P070421"/>
    <s v="C1"/>
    <s v="S2"/>
    <s v="P070421C1S2"/>
    <s v="Ratio"/>
    <s v="2001 / 2008"/>
    <s v="Widening and Reconstruction"/>
    <s v=""/>
    <n v="1"/>
    <m/>
    <m/>
    <n v="1.1487559555320275"/>
    <n v="1.1487559555320277"/>
    <s v=""/>
    <n v="0"/>
    <n v="0"/>
    <n v="0"/>
    <n v="0"/>
  </r>
  <r>
    <s v="India"/>
    <x v="3"/>
    <s v="P070421"/>
    <s v="C1"/>
    <s v="S3"/>
    <s v="P070421C1S3"/>
    <s v="Ratio"/>
    <s v="2001 / 2008"/>
    <s v="Widening and Reconstruction"/>
    <s v=""/>
    <n v="1"/>
    <m/>
    <m/>
    <n v="1.089727568107973"/>
    <n v="1.089727568107973"/>
    <s v=""/>
    <n v="0"/>
    <n v="0"/>
    <n v="0"/>
    <n v="0"/>
  </r>
  <r>
    <s v="India"/>
    <x v="3"/>
    <s v="P070421"/>
    <s v="C1"/>
    <s v="S4"/>
    <s v="P070421C1S4"/>
    <s v="Ratio"/>
    <s v="2001 / 2008"/>
    <s v="Widening and Reconstruction"/>
    <s v=""/>
    <n v="1"/>
    <m/>
    <m/>
    <n v="0.80645161290322587"/>
    <n v="0.80645161290322576"/>
    <s v=""/>
    <n v="0"/>
    <n v="0"/>
    <n v="0"/>
    <n v="0"/>
  </r>
  <r>
    <s v="India"/>
    <x v="3"/>
    <s v="P070421"/>
    <s v="C1"/>
    <s v="S5"/>
    <s v="P070421C1S5"/>
    <s v="Ratio"/>
    <s v="2001 / 2008"/>
    <s v="Widening and Reconstruction"/>
    <s v=""/>
    <n v="1"/>
    <m/>
    <m/>
    <n v="1.1597938144329898"/>
    <n v="1.1597938144329898"/>
    <s v=""/>
    <n v="0"/>
    <n v="0"/>
    <n v="0"/>
    <n v="0"/>
  </r>
  <r>
    <s v="India"/>
    <x v="3"/>
    <s v="P070421"/>
    <s v="C1"/>
    <s v="S6"/>
    <s v="P070421C1S6"/>
    <s v="Ratio"/>
    <s v="2001 / 2008"/>
    <s v="Widening and Reconstruction"/>
    <s v=""/>
    <n v="1"/>
    <m/>
    <m/>
    <n v="0.93722755013077585"/>
    <n v="0.93722755013077585"/>
    <s v=""/>
    <n v="0"/>
    <n v="0"/>
    <n v="0"/>
    <n v="0"/>
  </r>
  <r>
    <s v="India"/>
    <x v="3"/>
    <s v="P070421"/>
    <s v="C1"/>
    <s v="S7"/>
    <s v="P070421C1S7"/>
    <s v="Ratio"/>
    <s v="2001 / 2008"/>
    <s v="Widening and Reconstruction"/>
    <s v=""/>
    <n v="1"/>
    <m/>
    <m/>
    <n v="0.57199211045364884"/>
    <n v="0.57199211045364884"/>
    <s v=""/>
    <n v="0"/>
    <n v="0"/>
    <n v="0"/>
    <n v="0"/>
  </r>
  <r>
    <s v="India"/>
    <x v="3"/>
    <s v="P070421"/>
    <s v="C1"/>
    <s v="S8"/>
    <s v="P070421C1S8"/>
    <s v="Ratio"/>
    <s v="2001 / 2008"/>
    <s v="Widening and Reconstruction"/>
    <s v=""/>
    <n v="1"/>
    <m/>
    <m/>
    <n v="0.38756295160937154"/>
    <n v="0.38756295160937149"/>
    <s v="x"/>
    <n v="0"/>
    <n v="0"/>
    <n v="0"/>
    <n v="1"/>
  </r>
  <r>
    <s v="India"/>
    <x v="3"/>
    <s v="P070421"/>
    <s v="C1"/>
    <s v="S9"/>
    <s v="P070421C1S9"/>
    <s v="Ratio"/>
    <s v="2001 / 2008"/>
    <s v="Widening and Reconstruction"/>
    <s v=""/>
    <n v="1"/>
    <m/>
    <m/>
    <n v="9.8834498834498827"/>
    <n v="9.8834498834498827"/>
    <s v="x"/>
    <n v="0"/>
    <n v="0"/>
    <n v="1"/>
    <n v="0"/>
  </r>
  <r>
    <s v="India"/>
    <x v="3"/>
    <s v="P070421"/>
    <s v="C2"/>
    <s v=""/>
    <s v="P070421C2"/>
    <s v="Ratio"/>
    <s v="2001 / 2008"/>
    <s v="Asphalt Mix Resurfacing"/>
    <s v=""/>
    <n v="0.96153846153846156"/>
    <m/>
    <m/>
    <n v="1.74141524958859"/>
    <n v="1.8110718595721336"/>
    <s v="x"/>
    <n v="0"/>
    <n v="0"/>
    <n v="1"/>
    <n v="0"/>
  </r>
  <r>
    <s v="China"/>
    <x v="2"/>
    <s v="P070441"/>
    <s v="C1"/>
    <s v=""/>
    <s v="P070441C1"/>
    <s v="Ratio"/>
    <s v="2002 / 2008"/>
    <s v="New 4L Expressway"/>
    <n v="1"/>
    <n v="1"/>
    <m/>
    <m/>
    <n v="1.5874406645569621"/>
    <n v="1.5874406645569621"/>
    <s v="x"/>
    <n v="0"/>
    <n v="0"/>
    <n v="1"/>
    <n v="0"/>
  </r>
  <r>
    <s v="China"/>
    <x v="2"/>
    <s v="P070441"/>
    <s v="C2"/>
    <s v=""/>
    <s v="P070441C2"/>
    <s v="Ratio"/>
    <s v="2002 / 2008"/>
    <s v="Upgrading"/>
    <s v=""/>
    <n v="1"/>
    <m/>
    <m/>
    <n v="0.63444108761329299"/>
    <n v="0.63444108761329299"/>
    <s v=""/>
    <n v="0"/>
    <n v="0"/>
    <n v="0"/>
    <n v="0"/>
  </r>
  <r>
    <s v="China"/>
    <x v="2"/>
    <s v="P070459"/>
    <s v="C1"/>
    <s v=""/>
    <s v="P070459C1"/>
    <s v="Ratio"/>
    <s v="2002 / 2008"/>
    <s v="New 4L Expressway"/>
    <s v=""/>
    <n v="1"/>
    <m/>
    <m/>
    <n v="0.90989827224285491"/>
    <n v="0.90989827224285491"/>
    <s v=""/>
    <n v="0"/>
    <n v="0"/>
    <n v="0"/>
    <n v="0"/>
  </r>
  <r>
    <s v="China"/>
    <x v="2"/>
    <s v="P070459"/>
    <s v="C2"/>
    <s v=""/>
    <s v="P070459C2"/>
    <s v="Ratio"/>
    <s v="2002 / 2008"/>
    <s v="Upgrading"/>
    <s v=""/>
    <n v="1.935860058309038"/>
    <m/>
    <m/>
    <n v="1.3363338788870704"/>
    <n v="0.69030500069015843"/>
    <s v="x"/>
    <n v="1"/>
    <n v="0"/>
    <n v="0"/>
    <n v="0"/>
  </r>
  <r>
    <s v="China"/>
    <x v="2"/>
    <s v="P070459"/>
    <s v="C2"/>
    <s v="S1"/>
    <s v="P070459C2S1"/>
    <s v="Ratio"/>
    <s v="2002 / 2008"/>
    <s v="Upgrading"/>
    <s v=""/>
    <n v="1"/>
    <m/>
    <m/>
    <n v="0.9573067632850244"/>
    <n v="0.9573067632850244"/>
    <s v=""/>
    <n v="0"/>
    <n v="0"/>
    <n v="0"/>
    <n v="0"/>
  </r>
  <r>
    <s v="China"/>
    <x v="2"/>
    <s v="P070459"/>
    <s v="C2"/>
    <s v="S2"/>
    <s v="P070459C2S2"/>
    <s v="Ratio"/>
    <s v="2002 / 2008"/>
    <s v="Upgrading"/>
    <s v=""/>
    <n v="1"/>
    <m/>
    <m/>
    <n v="0.79828722002635055"/>
    <n v="0.79828722002635055"/>
    <s v=""/>
    <n v="0"/>
    <n v="0"/>
    <n v="0"/>
    <n v="0"/>
  </r>
  <r>
    <s v="China"/>
    <x v="2"/>
    <s v="P070459"/>
    <s v="C2"/>
    <s v="S3"/>
    <s v="P070459C2S3"/>
    <s v="Ratio"/>
    <s v="2002 / 2008"/>
    <s v="Upgrading"/>
    <s v=""/>
    <n v="1"/>
    <m/>
    <m/>
    <n v="0.51323671497584544"/>
    <n v="0.51323671497584555"/>
    <s v=""/>
    <n v="0"/>
    <n v="0"/>
    <n v="0"/>
    <n v="0"/>
  </r>
  <r>
    <s v="China"/>
    <x v="2"/>
    <s v="P070459"/>
    <s v="C2"/>
    <s v="S4"/>
    <s v="P070459C2S4"/>
    <s v="Ratio"/>
    <s v="2002 / 2008"/>
    <s v="Upgrading"/>
    <s v=""/>
    <n v="1"/>
    <m/>
    <m/>
    <n v="0.98523119392684622"/>
    <n v="0.98523119392684622"/>
    <s v=""/>
    <n v="0"/>
    <n v="0"/>
    <n v="0"/>
    <n v="0"/>
  </r>
  <r>
    <s v="Cambodia"/>
    <x v="2"/>
    <s v="P071207"/>
    <s v="C1"/>
    <s v="S1"/>
    <s v="P071207C1S1"/>
    <s v="Ratio"/>
    <s v="2003 / 2012"/>
    <s v="Upgrading"/>
    <s v=""/>
    <n v="0.90825688073394495"/>
    <m/>
    <m/>
    <n v="0.9044943820224719"/>
    <n v="0.99585745091363054"/>
    <s v=""/>
    <n v="0"/>
    <n v="0"/>
    <n v="0"/>
    <n v="0"/>
  </r>
  <r>
    <s v="Cambodia"/>
    <x v="2"/>
    <s v="P071207"/>
    <s v="C1"/>
    <s v="S10"/>
    <s v="P071207C1S10"/>
    <s v="Ratio"/>
    <s v="2003 / 2012"/>
    <s v="Upgrading"/>
    <s v=""/>
    <n v="0.7407407407407407"/>
    <m/>
    <m/>
    <n v="1.0769230769230769"/>
    <n v="1.453846153846154"/>
    <s v=""/>
    <n v="0"/>
    <n v="0"/>
    <n v="0"/>
    <n v="0"/>
  </r>
  <r>
    <s v="Cambodia"/>
    <x v="2"/>
    <s v="P071207"/>
    <s v="C1"/>
    <s v="S2"/>
    <s v="P071207C1S2"/>
    <s v="Ratio"/>
    <s v="2003 / 2012"/>
    <s v="Upgrading"/>
    <s v=""/>
    <n v="1.0169491525423728"/>
    <m/>
    <m/>
    <n v="1.4021739130434783"/>
    <n v="1.3788043478260872"/>
    <s v=""/>
    <n v="0"/>
    <n v="0"/>
    <n v="0"/>
    <n v="0"/>
  </r>
  <r>
    <s v="Cambodia"/>
    <x v="2"/>
    <s v="P071207"/>
    <s v="C1"/>
    <s v="S3"/>
    <s v="P071207C1S3"/>
    <s v="Ratio"/>
    <s v="2003 / 2012"/>
    <s v="Upgrading"/>
    <s v=""/>
    <n v="1.5168539325842696"/>
    <m/>
    <m/>
    <n v="1.6101694915254237"/>
    <n v="1.061519146264909"/>
    <s v="x"/>
    <n v="1"/>
    <n v="0"/>
    <n v="0"/>
    <n v="0"/>
  </r>
  <r>
    <s v="Cambodia"/>
    <x v="2"/>
    <s v="P071207"/>
    <s v="C1"/>
    <s v="S4"/>
    <s v="P071207C1S4"/>
    <s v="Ratio"/>
    <s v="2003 / 2012"/>
    <s v="Upgrading"/>
    <s v=""/>
    <n v="0.8351648351648352"/>
    <m/>
    <m/>
    <n v="0.81538461538461537"/>
    <n v="0.97631578947368425"/>
    <s v=""/>
    <n v="0"/>
    <n v="0"/>
    <n v="0"/>
    <n v="0"/>
  </r>
  <r>
    <s v="Cambodia"/>
    <x v="2"/>
    <s v="P071207"/>
    <s v="C1"/>
    <s v="S5"/>
    <s v="P071207C1S5"/>
    <s v="Ratio"/>
    <s v="2003 / 2012"/>
    <s v="Upgrading"/>
    <s v=""/>
    <n v="1.0130718954248366"/>
    <m/>
    <m/>
    <n v="1.0650406504065042"/>
    <n v="1.051298190401259"/>
    <s v=""/>
    <n v="0"/>
    <n v="0"/>
    <n v="0"/>
    <n v="0"/>
  </r>
  <r>
    <s v="Cambodia"/>
    <x v="2"/>
    <s v="P071207"/>
    <s v="C1"/>
    <s v="S6"/>
    <s v="P071207C1S6"/>
    <s v="Ratio"/>
    <s v="2003 / 2012"/>
    <s v="Upgrading"/>
    <s v=""/>
    <n v="1.0054347826086958"/>
    <m/>
    <m/>
    <n v="1.36697247706422"/>
    <n v="1.3595834366476565"/>
    <s v=""/>
    <n v="0"/>
    <n v="0"/>
    <n v="0"/>
    <n v="0"/>
  </r>
  <r>
    <s v="Cambodia"/>
    <x v="2"/>
    <s v="P071207"/>
    <s v="C1"/>
    <s v="S7"/>
    <s v="P071207C1S7"/>
    <s v="Ratio"/>
    <s v="2003 / 2012"/>
    <s v="Upgrading"/>
    <s v=""/>
    <n v="1.6292134831460674"/>
    <m/>
    <m/>
    <n v="1.8965517241379313"/>
    <n v="1.1640903686087996"/>
    <s v="x"/>
    <n v="1"/>
    <n v="0"/>
    <n v="0"/>
    <n v="0"/>
  </r>
  <r>
    <s v="Cambodia"/>
    <x v="2"/>
    <s v="P071207"/>
    <s v="C1"/>
    <s v="S8"/>
    <s v="P071207C1S8"/>
    <s v="Ratio"/>
    <s v="2003 / 2012"/>
    <s v="Upgrading"/>
    <s v=""/>
    <n v="0.99212598425196852"/>
    <m/>
    <m/>
    <n v="1.6904761904761905"/>
    <n v="1.7038926681783826"/>
    <s v="x"/>
    <n v="0"/>
    <n v="0"/>
    <n v="1"/>
    <n v="0"/>
  </r>
  <r>
    <s v="Cambodia"/>
    <x v="2"/>
    <s v="P071207"/>
    <s v="C1"/>
    <s v="S9"/>
    <s v="P071207C1S9"/>
    <s v="Ratio"/>
    <s v="2003 / 2012"/>
    <s v="Reconstruction"/>
    <s v=""/>
    <n v="1.0179640718562875"/>
    <m/>
    <m/>
    <n v="1.75"/>
    <n v="1.7191176470588234"/>
    <s v="x"/>
    <n v="0"/>
    <n v="0"/>
    <n v="1"/>
    <n v="0"/>
  </r>
  <r>
    <s v="Zambia"/>
    <x v="0"/>
    <s v="P071985"/>
    <s v="C1"/>
    <s v="S1"/>
    <s v="P071985C1S1"/>
    <s v="Ratio"/>
    <s v="2004 / 2015"/>
    <s v="Asphalt Mix Resurfacing"/>
    <n v="0.89189189189189189"/>
    <n v="1"/>
    <m/>
    <m/>
    <n v="0.85041322314049583"/>
    <n v="0.85041322314049583"/>
    <s v=""/>
    <n v="0"/>
    <n v="0"/>
    <n v="0"/>
    <n v="0"/>
  </r>
  <r>
    <s v="Zambia"/>
    <x v="0"/>
    <s v="P071985"/>
    <s v="C1"/>
    <s v="S2"/>
    <s v="P071985C1S2"/>
    <s v="Ratio"/>
    <s v="2004 / 2015"/>
    <s v="Asphalt Mix Resurfacing"/>
    <n v="1"/>
    <n v="1"/>
    <m/>
    <m/>
    <n v="0.80219780219780223"/>
    <n v="0.80219780219780212"/>
    <s v=""/>
    <n v="0"/>
    <n v="0"/>
    <n v="0"/>
    <n v="0"/>
  </r>
  <r>
    <s v="Zambia"/>
    <x v="0"/>
    <s v="P071985"/>
    <s v="C1"/>
    <s v="S3"/>
    <s v="P071985C1S3"/>
    <s v="Ratio"/>
    <s v="2004 / 2015"/>
    <s v="Asphalt Mix Resurfacing"/>
    <n v="1.173913043478261"/>
    <n v="1"/>
    <m/>
    <m/>
    <n v="0.4588571428571428"/>
    <n v="0.45885714285714285"/>
    <s v="x"/>
    <n v="0"/>
    <n v="0"/>
    <n v="0"/>
    <n v="1"/>
  </r>
  <r>
    <s v="Zambia"/>
    <x v="0"/>
    <s v="P071985"/>
    <s v="C1"/>
    <s v="S4"/>
    <s v="P071985C1S4"/>
    <s v="Ratio"/>
    <s v="2004 / 2015"/>
    <s v="Asphalt Mix Resurfacing"/>
    <s v=""/>
    <n v="1"/>
    <m/>
    <m/>
    <n v="0.62209302325581395"/>
    <n v="0.62209302325581384"/>
    <s v=""/>
    <n v="0"/>
    <n v="0"/>
    <n v="0"/>
    <n v="0"/>
  </r>
  <r>
    <s v="India"/>
    <x v="3"/>
    <s v="P072539"/>
    <s v="C1"/>
    <s v=""/>
    <s v="P072539C1"/>
    <s v="Ratio"/>
    <s v="2002 / 2011"/>
    <s v="Widening and Reconstruction"/>
    <s v=""/>
    <n v="0.43868739205526769"/>
    <m/>
    <m/>
    <n v="0.71923415492957754"/>
    <n v="1.6395140775756902"/>
    <s v="x"/>
    <n v="0"/>
    <n v="1"/>
    <n v="1"/>
    <n v="0"/>
  </r>
  <r>
    <s v="India"/>
    <x v="3"/>
    <s v="P072539"/>
    <s v="C2"/>
    <s v=""/>
    <s v="P072539C2"/>
    <s v="Ratio"/>
    <s v="2002 / 2011"/>
    <s v="Asphalt Mix Resurfacing"/>
    <s v=""/>
    <n v="1.1456888007928643"/>
    <m/>
    <m/>
    <n v="2.3926062846580405"/>
    <n v="2.0883561775259198"/>
    <s v="x"/>
    <n v="0"/>
    <n v="0"/>
    <n v="1"/>
    <n v="0"/>
  </r>
  <r>
    <s v="Burkina Faso"/>
    <x v="0"/>
    <s v="P074030"/>
    <s v="C1"/>
    <s v=""/>
    <s v="P074030C1"/>
    <s v="Ratio"/>
    <s v="2003 / 2014"/>
    <s v="Reconstruction"/>
    <s v=""/>
    <n v="0.37948136601955507"/>
    <m/>
    <m/>
    <n v="1.0064985300943834"/>
    <n v="2.6523002714249677"/>
    <s v="x"/>
    <n v="0"/>
    <n v="1"/>
    <n v="1"/>
    <n v="0"/>
  </r>
  <r>
    <s v="Indonesia"/>
    <x v="2"/>
    <s v="P074290"/>
    <s v="C1"/>
    <s v=""/>
    <s v="P074290C1"/>
    <s v="Ratio"/>
    <s v="2004 / 2012"/>
    <s v="Reconstruction"/>
    <n v="1"/>
    <n v="0.49467812259553734"/>
    <m/>
    <m/>
    <n v="1.1620157480314961"/>
    <n v="2.349034038405601"/>
    <s v="x"/>
    <n v="0"/>
    <n v="1"/>
    <n v="1"/>
    <n v="0"/>
  </r>
  <r>
    <s v="Indonesia"/>
    <x v="2"/>
    <s v="P074290"/>
    <s v="C1"/>
    <s v="S1"/>
    <s v="P074290C1S1"/>
    <s v="Ratio"/>
    <s v="2004 / 2012"/>
    <s v="Asphalt Mix Resurfacing"/>
    <s v=""/>
    <n v="0.38033843674456086"/>
    <m/>
    <m/>
    <n v="0.75980392156862742"/>
    <n v="1.9977048022598864"/>
    <s v="x"/>
    <n v="0"/>
    <n v="1"/>
    <n v="1"/>
    <n v="0"/>
  </r>
  <r>
    <s v="Indonesia"/>
    <x v="2"/>
    <s v="P074290"/>
    <s v="C1"/>
    <s v="S2"/>
    <s v="P074290C1S2"/>
    <s v="Ratio"/>
    <s v="2004 / 2012"/>
    <s v="Reconstruction"/>
    <s v=""/>
    <n v="4.3481152993348111"/>
    <m/>
    <m/>
    <n v="8.5329192546583847"/>
    <n v="1.9624408892661558"/>
    <s v="x"/>
    <n v="1"/>
    <n v="0"/>
    <n v="1"/>
    <n v="0"/>
  </r>
  <r>
    <s v="Indonesia"/>
    <x v="2"/>
    <s v="P074290"/>
    <s v="C1"/>
    <s v="S3"/>
    <s v="P074290C1S3"/>
    <s v="Ratio"/>
    <s v="2004 / 2012"/>
    <s v="Asphalt Mix Resurfacing"/>
    <s v=""/>
    <n v="0.88698630136986301"/>
    <m/>
    <m/>
    <n v="1.2551210428305402"/>
    <n v="1.4150399401796052"/>
    <s v=""/>
    <n v="0"/>
    <n v="0"/>
    <n v="0"/>
    <n v="0"/>
  </r>
  <r>
    <s v="Indonesia"/>
    <x v="2"/>
    <s v="P074290"/>
    <s v="C1"/>
    <s v="S4"/>
    <s v="P074290C1S4"/>
    <s v="Ratio"/>
    <s v="2004 / 2012"/>
    <s v="Reconstruction"/>
    <s v=""/>
    <n v="0.38235294117647056"/>
    <m/>
    <m/>
    <n v="0.86565096952908593"/>
    <n v="2.2640102279991479"/>
    <s v="x"/>
    <n v="0"/>
    <n v="1"/>
    <n v="1"/>
    <n v="0"/>
  </r>
  <r>
    <s v="Indonesia"/>
    <x v="2"/>
    <s v="P074290"/>
    <s v="C1"/>
    <s v="S5"/>
    <s v="P074290C1S5"/>
    <s v="Ratio"/>
    <s v="2004 / 2012"/>
    <s v="Asphalt Mix Resurfacing"/>
    <s v=""/>
    <n v="0.32367927058192547"/>
    <m/>
    <m/>
    <n v="0.47022268254790267"/>
    <n v="1.4527426538700323"/>
    <s v="x"/>
    <n v="0"/>
    <n v="1"/>
    <n v="0"/>
    <n v="0"/>
  </r>
  <r>
    <s v="Indonesia"/>
    <x v="2"/>
    <s v="P074290"/>
    <s v="C1"/>
    <s v="S6"/>
    <s v="P074290C1S6"/>
    <s v="Ratio"/>
    <s v="2004 / 2012"/>
    <s v="Reconstruction"/>
    <s v=""/>
    <n v="0.40903903218443272"/>
    <m/>
    <m/>
    <n v="0.76982405398891296"/>
    <n v="1.8820307927039222"/>
    <s v="x"/>
    <n v="0"/>
    <n v="1"/>
    <n v="1"/>
    <n v="0"/>
  </r>
  <r>
    <s v="Indonesia"/>
    <x v="2"/>
    <s v="P074290"/>
    <s v="C1"/>
    <s v="S7"/>
    <s v="P074290C1S7"/>
    <s v="Ratio"/>
    <s v="2004 / 2012"/>
    <s v="Asphalt Mix Resurfacing"/>
    <s v=""/>
    <n v="0.26055063351433744"/>
    <m/>
    <m/>
    <n v="0.56571654790182102"/>
    <n v="2.1712345898813221"/>
    <s v="x"/>
    <n v="0"/>
    <n v="1"/>
    <n v="1"/>
    <n v="0"/>
  </r>
  <r>
    <s v="Indonesia"/>
    <x v="2"/>
    <s v="P074290"/>
    <s v="C1"/>
    <s v="S8"/>
    <s v="P074290C1S8"/>
    <s v="Ratio"/>
    <s v="2004 / 2012"/>
    <s v="Reconstruction"/>
    <s v=""/>
    <n v="0.49090714591356438"/>
    <m/>
    <m/>
    <n v="0.94053315105946689"/>
    <n v="1.9159084541520803"/>
    <s v="x"/>
    <n v="0"/>
    <n v="1"/>
    <n v="1"/>
    <n v="0"/>
  </r>
  <r>
    <s v="Nigeria"/>
    <x v="0"/>
    <s v="P074963"/>
    <s v="C1"/>
    <s v=""/>
    <s v="P074963C1"/>
    <s v="Ratio"/>
    <s v="2002 / 2011"/>
    <s v="Strengthening"/>
    <s v=""/>
    <n v="1.0466666666666666"/>
    <m/>
    <m/>
    <n v="1.6121827411167513"/>
    <n v="1.5403019819586798"/>
    <s v="x"/>
    <n v="0"/>
    <n v="0"/>
    <n v="1"/>
    <n v="0"/>
  </r>
  <r>
    <s v="Nigeria"/>
    <x v="0"/>
    <s v="P074963"/>
    <s v="C1"/>
    <s v="S1"/>
    <s v="P074963C1S1"/>
    <s v="Ratio"/>
    <s v="2002 / 2011"/>
    <s v="Asphalt Mix Resurfacing"/>
    <s v=""/>
    <n v="1"/>
    <m/>
    <m/>
    <n v="1.0322864045684164"/>
    <n v="1.0322864045684164"/>
    <s v=""/>
    <n v="0"/>
    <n v="0"/>
    <n v="0"/>
    <n v="0"/>
  </r>
  <r>
    <s v="Nigeria"/>
    <x v="0"/>
    <s v="P074963"/>
    <s v="C1"/>
    <s v="S2"/>
    <s v="P074963C1S2"/>
    <s v="Ratio"/>
    <s v="2002 / 2011"/>
    <s v="Asphalt Mix Resurfacing"/>
    <s v=""/>
    <n v="1.3311827956989246"/>
    <m/>
    <m/>
    <n v="1.2843837990036819"/>
    <n v="0.96484404933232981"/>
    <s v=""/>
    <n v="0"/>
    <n v="0"/>
    <n v="0"/>
    <n v="0"/>
  </r>
  <r>
    <s v="Yugoslavia, FR (Serbia/Montenegro)"/>
    <x v="1"/>
    <s v="P075207"/>
    <s v="C1"/>
    <s v="S1"/>
    <s v="P075207C1S1"/>
    <s v="Ratio"/>
    <s v="2004 / 2013"/>
    <s v="Reconstruction"/>
    <s v=""/>
    <n v="1"/>
    <m/>
    <m/>
    <n v="1.8954545454545453"/>
    <n v="1.8954545454545453"/>
    <s v="x"/>
    <n v="0"/>
    <n v="0"/>
    <n v="1"/>
    <n v="0"/>
  </r>
  <r>
    <s v="Yugoslavia, FR (Serbia/Montenegro)"/>
    <x v="1"/>
    <s v="P075207"/>
    <s v="C1"/>
    <s v="S2"/>
    <s v="P075207C1S2"/>
    <s v="Ratio"/>
    <s v="2004 / 2013"/>
    <s v="Reconstruction"/>
    <s v=""/>
    <n v="1"/>
    <m/>
    <m/>
    <n v="1.8052631578947369"/>
    <n v="1.8052631578947369"/>
    <s v="x"/>
    <n v="0"/>
    <n v="0"/>
    <n v="1"/>
    <n v="0"/>
  </r>
  <r>
    <s v="Yugoslavia, FR (Serbia/Montenegro)"/>
    <x v="1"/>
    <s v="P075207"/>
    <s v="C1"/>
    <s v="S3"/>
    <s v="P075207C1S3"/>
    <s v="Ratio"/>
    <s v="2004 / 2013"/>
    <s v="Reconstruction"/>
    <s v=""/>
    <n v="1"/>
    <m/>
    <m/>
    <n v="1.4307692307692308"/>
    <n v="1.4307692307692308"/>
    <s v=""/>
    <n v="0"/>
    <n v="0"/>
    <n v="0"/>
    <n v="0"/>
  </r>
  <r>
    <s v="Yugoslavia, FR (Serbia/Montenegro)"/>
    <x v="1"/>
    <s v="P075207"/>
    <s v="C1"/>
    <s v="S4"/>
    <s v="P075207C1S4"/>
    <s v="Ratio"/>
    <s v="2004 / 2013"/>
    <s v="Reconstruction"/>
    <s v=""/>
    <n v="1"/>
    <m/>
    <m/>
    <n v="0.75"/>
    <n v="0.75000000000000011"/>
    <s v=""/>
    <n v="0"/>
    <n v="0"/>
    <n v="0"/>
    <n v="0"/>
  </r>
  <r>
    <s v="Samoa"/>
    <x v="2"/>
    <s v="P075523"/>
    <s v="C1"/>
    <s v="S1"/>
    <s v="P075523C1S1"/>
    <s v="Ratio"/>
    <s v="2003 / 2014"/>
    <s v="Surface Treatment Resurfacing"/>
    <n v="1.2666666666666666"/>
    <n v="0.9375"/>
    <m/>
    <m/>
    <n v="3.6357142857142857"/>
    <n v="3.8780952380952383"/>
    <s v="x"/>
    <n v="0"/>
    <n v="0"/>
    <n v="1"/>
    <n v="0"/>
  </r>
  <r>
    <s v="Samoa"/>
    <x v="2"/>
    <s v="P075523"/>
    <s v="C1"/>
    <s v="S2"/>
    <s v="P075523C1S2"/>
    <s v="Ratio"/>
    <s v="2003 / 2014"/>
    <s v="Widening"/>
    <n v="1"/>
    <n v="1"/>
    <m/>
    <m/>
    <n v="4.407258064516129"/>
    <n v="4.407258064516129"/>
    <s v="x"/>
    <n v="0"/>
    <n v="0"/>
    <n v="1"/>
    <n v="0"/>
  </r>
  <r>
    <s v="Samoa"/>
    <x v="2"/>
    <s v="P075523"/>
    <s v="C1"/>
    <s v="S3"/>
    <s v="P075523C1S3"/>
    <s v="Ratio"/>
    <s v="2003 / 2014"/>
    <s v="Upgrading"/>
    <n v="0.33333333333333331"/>
    <n v="1.0076923076923077"/>
    <m/>
    <m/>
    <n v="3.8666666666666667"/>
    <n v="3.8371501272264625"/>
    <s v="x"/>
    <n v="0"/>
    <n v="0"/>
    <n v="1"/>
    <n v="0"/>
  </r>
  <r>
    <s v="China"/>
    <x v="2"/>
    <s v="P075613"/>
    <s v="C1"/>
    <s v=""/>
    <s v="P075613C1"/>
    <s v="Ratio"/>
    <s v="2007 / 2013"/>
    <s v="New 4L Expressway"/>
    <s v=""/>
    <n v="1"/>
    <m/>
    <m/>
    <n v="1.9539947259639372"/>
    <n v="1.9539947259639372"/>
    <s v="x"/>
    <n v="0"/>
    <n v="0"/>
    <n v="1"/>
    <n v="0"/>
  </r>
  <r>
    <s v="China"/>
    <x v="2"/>
    <s v="P075613"/>
    <s v="C2"/>
    <s v=""/>
    <s v="P075613C2"/>
    <s v="Ratio"/>
    <s v="2007 / 2013"/>
    <s v="Upgrading"/>
    <s v=""/>
    <n v="1"/>
    <m/>
    <m/>
    <n v="1.6431596781024991"/>
    <n v="1.6431596781024993"/>
    <s v="x"/>
    <n v="0"/>
    <n v="0"/>
    <n v="1"/>
    <n v="0"/>
  </r>
  <r>
    <s v="India"/>
    <x v="3"/>
    <s v="P077977"/>
    <s v="C1"/>
    <s v="S1"/>
    <s v="P077977C1S1"/>
    <s v="Ratio"/>
    <s v="2004 / 2012"/>
    <s v="Upgrading"/>
    <n v="2"/>
    <n v="1.4642857142857142"/>
    <m/>
    <m/>
    <n v="1.5618004205569556"/>
    <n v="1.0665954091608476"/>
    <s v=""/>
    <n v="0"/>
    <n v="0"/>
    <n v="0"/>
    <n v="0"/>
  </r>
  <r>
    <s v="India"/>
    <x v="3"/>
    <s v="P077977"/>
    <s v="C1"/>
    <s v="S2"/>
    <s v="P077977C1S2"/>
    <s v="Ratio"/>
    <s v="2004 / 2012"/>
    <s v="Upgrading"/>
    <n v="1.5"/>
    <n v="0.96923076923076923"/>
    <m/>
    <m/>
    <n v="0.85712729826807488"/>
    <n v="0.88433768868928364"/>
    <s v=""/>
    <n v="0"/>
    <n v="0"/>
    <n v="0"/>
    <n v="0"/>
  </r>
  <r>
    <s v="India"/>
    <x v="3"/>
    <s v="P077977"/>
    <s v="C1"/>
    <s v="S3"/>
    <s v="P077977C1S3"/>
    <s v="Ratio"/>
    <s v="2004 / 2012"/>
    <s v="Upgrading"/>
    <n v="1.5"/>
    <n v="2.7550394390885189"/>
    <m/>
    <m/>
    <n v="2.3828938269413533"/>
    <n v="0.86492185670115607"/>
    <s v="x"/>
    <n v="1"/>
    <n v="0"/>
    <n v="0"/>
    <n v="0"/>
  </r>
  <r>
    <s v="India"/>
    <x v="3"/>
    <s v="P077977"/>
    <s v="C1"/>
    <s v="S4"/>
    <s v="P077977C1S4"/>
    <s v="Ratio"/>
    <s v="2004 / 2012"/>
    <s v="Upgrading"/>
    <n v="1.5"/>
    <n v="1.5197135061391542"/>
    <m/>
    <m/>
    <n v="1.6639535289921741"/>
    <n v="1.0949126412776726"/>
    <s v="x"/>
    <n v="1"/>
    <n v="0"/>
    <n v="0"/>
    <n v="0"/>
  </r>
  <r>
    <s v="Poland"/>
    <x v="1"/>
    <s v="P078170"/>
    <s v="C2"/>
    <s v=""/>
    <s v="P078170C2"/>
    <s v="Ratio"/>
    <s v="2004 / 2009"/>
    <s v="Concrete Pavement Restoration"/>
    <s v=""/>
    <n v="1"/>
    <m/>
    <m/>
    <n v="0.84047919293820939"/>
    <n v="0.84047919293820939"/>
    <s v=""/>
    <n v="0"/>
    <n v="0"/>
    <n v="0"/>
    <n v="0"/>
  </r>
  <r>
    <s v="Afghanistan"/>
    <x v="3"/>
    <s v="P078284"/>
    <s v="C1"/>
    <s v=""/>
    <s v="P078284C1"/>
    <s v="Ratio"/>
    <s v="2003 / 2008"/>
    <s v="Strengthening"/>
    <s v=""/>
    <n v="0.9948096885813148"/>
    <m/>
    <m/>
    <n v="1.4092989985693849"/>
    <n v="1.4166518629097469"/>
    <s v=""/>
    <n v="0"/>
    <n v="0"/>
    <n v="0"/>
    <n v="0"/>
  </r>
  <r>
    <s v="Afghanistan"/>
    <x v="3"/>
    <s v="P078284"/>
    <s v="C1"/>
    <s v="S1"/>
    <s v="P078284C1S1"/>
    <s v="Ratio"/>
    <s v="2003 / 2008"/>
    <s v="Strengthening"/>
    <n v="5"/>
    <n v="1"/>
    <m/>
    <m/>
    <n v="1.4997772828507796"/>
    <n v="1.4997772828507796"/>
    <s v=""/>
    <n v="0"/>
    <n v="0"/>
    <n v="0"/>
    <n v="0"/>
  </r>
  <r>
    <s v="Afghanistan"/>
    <x v="3"/>
    <s v="P078284"/>
    <s v="C1"/>
    <s v="S2"/>
    <s v="P078284C1S2"/>
    <s v="Ratio"/>
    <s v="2003 / 2008"/>
    <s v="Strengthening"/>
    <n v="1.5714285714285714"/>
    <n v="0.98952270081490101"/>
    <m/>
    <m/>
    <n v="1.2468000000000001"/>
    <n v="1.260001411764706"/>
    <s v=""/>
    <n v="0"/>
    <n v="0"/>
    <n v="0"/>
    <n v="0"/>
  </r>
  <r>
    <s v="Afghanistan"/>
    <x v="3"/>
    <s v="P078284"/>
    <s v="C2"/>
    <s v=""/>
    <s v="P078284C2"/>
    <s v="Ratio"/>
    <s v="2003 / 2008"/>
    <s v="Upgrading"/>
    <s v=""/>
    <n v="0.24399999999999999"/>
    <m/>
    <m/>
    <n v="0.73185378590078343"/>
    <n v="2.9994007618884568"/>
    <s v="x"/>
    <n v="0"/>
    <n v="1"/>
    <n v="1"/>
    <n v="0"/>
  </r>
  <r>
    <s v="Tanzania"/>
    <x v="0"/>
    <s v="P078387"/>
    <s v="C1"/>
    <s v="S1"/>
    <s v="P078387C1S1"/>
    <s v="Ratio"/>
    <s v="2004 / 2010"/>
    <s v="Upgrading"/>
    <s v=""/>
    <n v="1.0490909090909091"/>
    <m/>
    <m/>
    <n v="0.9870805670195586"/>
    <n v="0.94089135504463983"/>
    <s v=""/>
    <n v="0"/>
    <n v="0"/>
    <n v="0"/>
    <n v="0"/>
  </r>
  <r>
    <s v="Tanzania"/>
    <x v="0"/>
    <s v="P078387"/>
    <s v="C1"/>
    <s v="S2"/>
    <s v="P078387C1S2"/>
    <s v="Ratio"/>
    <s v="2004 / 2010"/>
    <s v="Upgrading"/>
    <n v="2"/>
    <n v="0.98245614035087714"/>
    <m/>
    <m/>
    <n v="1.1384615384615384"/>
    <n v="1.1587912087912089"/>
    <s v=""/>
    <n v="0"/>
    <n v="0"/>
    <n v="0"/>
    <n v="0"/>
  </r>
  <r>
    <s v="Peru"/>
    <x v="4"/>
    <s v="P078813"/>
    <s v="C1"/>
    <s v=""/>
    <s v="P078813C1"/>
    <s v="Ratio"/>
    <s v="2005 / 2014"/>
    <s v="Reconstruction"/>
    <s v=""/>
    <n v="1.0414285714285714"/>
    <m/>
    <m/>
    <n v="1.0190867185249208"/>
    <n v="0.97854691765081558"/>
    <s v=""/>
    <n v="0"/>
    <n v="0"/>
    <n v="0"/>
    <n v="0"/>
  </r>
  <r>
    <s v="Peru"/>
    <x v="4"/>
    <s v="P078813"/>
    <s v="C1"/>
    <s v="S1"/>
    <s v="P078813C1S1"/>
    <s v="Ratio"/>
    <s v="2005 / 2014"/>
    <s v="Reconstruction"/>
    <s v=""/>
    <n v="0.71"/>
    <m/>
    <m/>
    <n v="0.93054545454545456"/>
    <n v="1.3106274007682457"/>
    <s v=""/>
    <n v="0"/>
    <n v="0"/>
    <n v="0"/>
    <n v="0"/>
  </r>
  <r>
    <s v="Peru"/>
    <x v="4"/>
    <s v="P078813"/>
    <s v="C1"/>
    <s v="S2"/>
    <s v="P078813C1S2"/>
    <s v="Ratio"/>
    <s v="2005 / 2014"/>
    <s v="Gravel Resurfacing"/>
    <s v=""/>
    <n v="1.3114814814814815"/>
    <m/>
    <m/>
    <n v="1.4928609201480698"/>
    <n v="1.138301181700025"/>
    <s v=""/>
    <n v="0"/>
    <n v="0"/>
    <n v="0"/>
    <n v="0"/>
  </r>
  <r>
    <s v="Mali"/>
    <x v="0"/>
    <s v="P079351"/>
    <s v="C1"/>
    <s v=""/>
    <s v="P079351C1"/>
    <s v="Ratio"/>
    <s v="2004 / 2010"/>
    <s v="Asphalt Mix Resurfacing"/>
    <n v="1.2"/>
    <n v="0.42375886524822692"/>
    <m/>
    <m/>
    <n v="0.98830049261083752"/>
    <n v="2.3322237566213904"/>
    <s v="x"/>
    <n v="0"/>
    <n v="1"/>
    <n v="1"/>
    <n v="0"/>
  </r>
  <r>
    <s v="Indonesia"/>
    <x v="2"/>
    <s v="P079906"/>
    <s v="C1"/>
    <s v=""/>
    <s v="P079906C1"/>
    <s v="Ratio"/>
    <s v="2006 / 2014"/>
    <s v="Reconstruction"/>
    <s v=""/>
    <n v="0.56889165628891658"/>
    <m/>
    <m/>
    <n v="0.79664250286150318"/>
    <n v="1.4003413375022702"/>
    <s v=""/>
    <n v="0"/>
    <n v="0"/>
    <n v="0"/>
    <n v="0"/>
  </r>
  <r>
    <s v="Indonesia"/>
    <x v="2"/>
    <s v="P079906"/>
    <s v="C1"/>
    <s v="S1"/>
    <s v="P079906C1S1"/>
    <s v="Ratio"/>
    <s v="2006 / 2014"/>
    <s v="Strengthening"/>
    <s v=""/>
    <n v="0.7503526093088857"/>
    <m/>
    <m/>
    <n v="0.84154460719041291"/>
    <n v="1.1215321926654187"/>
    <s v=""/>
    <n v="0"/>
    <n v="0"/>
    <n v="0"/>
    <n v="0"/>
  </r>
  <r>
    <s v="Indonesia"/>
    <x v="2"/>
    <s v="P079906"/>
    <s v="C1"/>
    <s v="S2"/>
    <s v="P079906C1S2"/>
    <s v="Ratio"/>
    <s v="2006 / 2014"/>
    <s v="Widening"/>
    <s v=""/>
    <n v="0.82731707317073166"/>
    <m/>
    <m/>
    <n v="0.94984954864593785"/>
    <n v="1.148108239813781"/>
    <s v=""/>
    <n v="0"/>
    <n v="0"/>
    <n v="0"/>
    <n v="0"/>
  </r>
  <r>
    <s v="Indonesia"/>
    <x v="2"/>
    <s v="P079906"/>
    <s v="C1"/>
    <s v="S3"/>
    <s v="P079906C1S3"/>
    <s v="Ratio"/>
    <s v="2006 / 2014"/>
    <s v="New 2L Highway"/>
    <s v=""/>
    <n v="0.79273504273504281"/>
    <m/>
    <m/>
    <n v="0.81562320505456642"/>
    <n v="1.0288723988289408"/>
    <s v=""/>
    <n v="0"/>
    <n v="0"/>
    <n v="0"/>
    <n v="0"/>
  </r>
  <r>
    <s v="Jordan"/>
    <x v="5"/>
    <s v="P081505"/>
    <s v="C1"/>
    <s v="S1"/>
    <s v="P081505C1S1"/>
    <s v="Ratio"/>
    <s v="2004 / 2013"/>
    <s v="New 4L Expressway"/>
    <s v=""/>
    <n v="1"/>
    <m/>
    <m/>
    <n v="2.6628440366972477"/>
    <n v="2.6628440366972477"/>
    <s v="x"/>
    <n v="0"/>
    <n v="0"/>
    <n v="1"/>
    <n v="0"/>
  </r>
  <r>
    <s v="Jordan"/>
    <x v="5"/>
    <s v="P081505"/>
    <s v="C1"/>
    <s v="S2"/>
    <s v="P081505C1S2"/>
    <s v="Ratio"/>
    <s v="2004 / 2013"/>
    <s v="New 4L Expressway"/>
    <s v=""/>
    <n v="1"/>
    <m/>
    <m/>
    <n v="2.2540983606557381"/>
    <n v="2.2540983606557381"/>
    <s v="x"/>
    <n v="0"/>
    <n v="0"/>
    <n v="1"/>
    <n v="0"/>
  </r>
  <r>
    <s v="Jordan"/>
    <x v="5"/>
    <s v="P081505"/>
    <s v="C1"/>
    <s v="S3"/>
    <s v="P081505C1S3"/>
    <s v="Ratio"/>
    <s v="2004 / 2013"/>
    <s v="New 4L Expressway"/>
    <s v=""/>
    <n v="1"/>
    <m/>
    <m/>
    <n v="2.9766803840877913"/>
    <n v="2.9766803840877918"/>
    <s v="x"/>
    <n v="0"/>
    <n v="0"/>
    <n v="1"/>
    <n v="0"/>
  </r>
  <r>
    <s v="Paraguay"/>
    <x v="4"/>
    <s v="P082026"/>
    <s v="C1"/>
    <s v=""/>
    <s v="P082026C1"/>
    <s v="Ratio"/>
    <s v="2006 / 2016"/>
    <s v="Strengthening"/>
    <s v=""/>
    <n v="0.64359504132231404"/>
    <m/>
    <m/>
    <n v="1.6909090909090907"/>
    <n v="2.6272873194221504"/>
    <s v="x"/>
    <n v="0"/>
    <n v="0"/>
    <n v="1"/>
    <n v="0"/>
  </r>
  <r>
    <s v="Paraguay"/>
    <x v="4"/>
    <s v="P082026"/>
    <s v="C1"/>
    <s v="S1"/>
    <s v="P082026C1S1"/>
    <s v="Ratio"/>
    <s v="2006 / 2016"/>
    <s v="Strengthening"/>
    <n v="1"/>
    <n v="1"/>
    <m/>
    <m/>
    <n v="1.1891304347826088"/>
    <n v="1.1891304347826086"/>
    <s v=""/>
    <n v="0"/>
    <n v="0"/>
    <n v="0"/>
    <n v="0"/>
  </r>
  <r>
    <s v="Paraguay"/>
    <x v="4"/>
    <s v="P082026"/>
    <s v="C1"/>
    <s v="S2"/>
    <s v="P082026C1S2"/>
    <s v="Ratio"/>
    <s v="2006 / 2016"/>
    <s v="Strengthening"/>
    <n v="1"/>
    <n v="1"/>
    <m/>
    <m/>
    <n v="1.744660194174757"/>
    <n v="1.744660194174757"/>
    <s v="x"/>
    <n v="0"/>
    <n v="0"/>
    <n v="1"/>
    <n v="0"/>
  </r>
  <r>
    <s v="Paraguay"/>
    <x v="4"/>
    <s v="P082026"/>
    <s v="C1"/>
    <s v="S3"/>
    <s v="P082026C1S3"/>
    <s v="Ratio"/>
    <s v="2006 / 2016"/>
    <s v="Strengthening"/>
    <n v="1.7284069981583792"/>
    <n v="1"/>
    <m/>
    <m/>
    <n v="3.9459532710280376"/>
    <n v="3.9459532710280376"/>
    <s v="x"/>
    <n v="0"/>
    <n v="0"/>
    <n v="1"/>
    <n v="0"/>
  </r>
  <r>
    <s v="Paraguay"/>
    <x v="4"/>
    <s v="P082026"/>
    <s v="C2"/>
    <s v=""/>
    <s v="P082026C2"/>
    <s v="Ratio"/>
    <s v="2006 / 2016"/>
    <s v="Reconstruction"/>
    <s v=""/>
    <n v="0.42320213080793134"/>
    <m/>
    <m/>
    <n v="0.61398601398601405"/>
    <n v="1.4508103085725463"/>
    <s v="x"/>
    <n v="0"/>
    <n v="1"/>
    <n v="0"/>
    <n v="0"/>
  </r>
  <r>
    <s v="Paraguay"/>
    <x v="4"/>
    <s v="P082026"/>
    <s v="C2"/>
    <s v="S1"/>
    <s v="P082026C2S1"/>
    <s v="Ratio"/>
    <s v="2006 / 2016"/>
    <s v="Reconstruction"/>
    <n v="1.25"/>
    <n v="0.29358552631578949"/>
    <m/>
    <m/>
    <n v="1.4020408163265305"/>
    <n v="4.7755788029497497"/>
    <s v="x"/>
    <n v="0"/>
    <n v="1"/>
    <n v="1"/>
    <n v="0"/>
  </r>
  <r>
    <s v="Paraguay"/>
    <x v="4"/>
    <s v="P082026"/>
    <s v="C2"/>
    <s v="S2"/>
    <s v="P082026C2S2"/>
    <s v="Ratio"/>
    <s v="2006 / 2016"/>
    <s v="Reconstruction"/>
    <n v="1.0666666666666667"/>
    <n v="0.31305114638447973"/>
    <m/>
    <m/>
    <n v="1.4738095238095239"/>
    <n v="4.7078873239436625"/>
    <s v="x"/>
    <n v="0"/>
    <n v="1"/>
    <n v="1"/>
    <n v="0"/>
  </r>
  <r>
    <s v="Paraguay"/>
    <x v="4"/>
    <s v="P082026"/>
    <s v="C2"/>
    <s v="S3"/>
    <s v="P082026C2S3"/>
    <s v="Ratio"/>
    <s v="2006 / 2016"/>
    <s v="Reconstruction"/>
    <n v="1.8972343522561863"/>
    <n v="0.14285714285714285"/>
    <m/>
    <m/>
    <n v="0.93142857142857138"/>
    <n v="6.5200000000000005"/>
    <s v="x"/>
    <n v="0"/>
    <n v="1"/>
    <n v="1"/>
    <n v="0"/>
  </r>
  <r>
    <s v="Afghanistan"/>
    <x v="3"/>
    <s v="P082472"/>
    <s v="C1"/>
    <s v=""/>
    <s v="P082472C1"/>
    <s v="Ratio"/>
    <s v="2008 / 2008"/>
    <s v="Reconstruction"/>
    <s v=""/>
    <n v="0.75834999999999997"/>
    <m/>
    <m/>
    <n v="1.0997076023391812"/>
    <n v="1.4501320001835316"/>
    <s v=""/>
    <n v="0"/>
    <n v="0"/>
    <n v="0"/>
    <n v="0"/>
  </r>
  <r>
    <s v="Kenya"/>
    <x v="0"/>
    <s v="P082615"/>
    <s v="C1"/>
    <s v="S1"/>
    <s v="P082615C1S1"/>
    <s v="Ratio"/>
    <s v="2004 / 2016"/>
    <s v="Widening and Reconstruction"/>
    <s v=""/>
    <n v="1"/>
    <m/>
    <m/>
    <n v="3.3104152484683462"/>
    <n v="3.3104152484683458"/>
    <s v="x"/>
    <n v="0"/>
    <n v="0"/>
    <n v="1"/>
    <n v="0"/>
  </r>
  <r>
    <s v="Kenya"/>
    <x v="0"/>
    <s v="P082615"/>
    <s v="C1"/>
    <s v="S2"/>
    <s v="P082615C1S2"/>
    <s v="Ratio"/>
    <s v="2004 / 2016"/>
    <s v="Reconstruction"/>
    <s v=""/>
    <n v="0.6"/>
    <m/>
    <m/>
    <n v="2.3371551415263347"/>
    <n v="3.8952585692105579"/>
    <s v="x"/>
    <n v="0"/>
    <n v="0"/>
    <n v="1"/>
    <n v="0"/>
  </r>
  <r>
    <s v="Kenya"/>
    <x v="0"/>
    <s v="P082615"/>
    <s v="C1"/>
    <s v="S3"/>
    <s v="P082615C1S3"/>
    <s v="Ratio"/>
    <s v="2004 / 2016"/>
    <s v="Widening"/>
    <s v=""/>
    <n v="1"/>
    <m/>
    <m/>
    <n v="3.0033836543466945"/>
    <n v="3.0033836543466941"/>
    <s v="x"/>
    <n v="0"/>
    <n v="0"/>
    <n v="1"/>
    <n v="0"/>
  </r>
  <r>
    <s v="Kenya"/>
    <x v="0"/>
    <s v="P082615"/>
    <s v="C1"/>
    <s v="S4"/>
    <s v="P082615C1S4"/>
    <s v="Ratio"/>
    <s v="2004 / 2016"/>
    <s v="Reconstruction"/>
    <s v=""/>
    <n v="1.0309278350515463"/>
    <m/>
    <m/>
    <n v="3.3933136676499505"/>
    <n v="3.2915142576204519"/>
    <s v="x"/>
    <n v="0"/>
    <n v="0"/>
    <n v="1"/>
    <n v="0"/>
  </r>
  <r>
    <s v="Kenya"/>
    <x v="0"/>
    <s v="P082615"/>
    <s v="C1"/>
    <s v="S5"/>
    <s v="P082615C1S5"/>
    <s v="Ratio"/>
    <s v="2004 / 2016"/>
    <s v="Reconstruction"/>
    <s v=""/>
    <n v="0.91724137931034477"/>
    <m/>
    <m/>
    <n v="3.7055903302395858"/>
    <n v="4.0399293074040594"/>
    <s v="x"/>
    <n v="0"/>
    <n v="0"/>
    <n v="1"/>
    <n v="0"/>
  </r>
  <r>
    <s v="Georgia"/>
    <x v="1"/>
    <s v="P083110"/>
    <s v="C1"/>
    <s v=""/>
    <s v="P083110C1"/>
    <s v="Ratio"/>
    <s v="2006 / 2013"/>
    <s v="Widening and Reconstruction"/>
    <s v=""/>
    <n v="1.0655737704918034"/>
    <m/>
    <m/>
    <n v="1.1477707006369426"/>
    <n v="1.0771386575208231"/>
    <s v=""/>
    <n v="0"/>
    <n v="0"/>
    <n v="0"/>
    <n v="0"/>
  </r>
  <r>
    <s v="Lao PDR"/>
    <x v="2"/>
    <s v="P083543"/>
    <s v="C1"/>
    <s v=""/>
    <s v="P083543C1"/>
    <s v="Ratio"/>
    <s v="2004 / 2012"/>
    <s v="Routine Maintenance"/>
    <n v="1.263157894736842"/>
    <n v="0.68350538106742809"/>
    <m/>
    <m/>
    <n v="1.8259325044404975"/>
    <n v="2.6714237444465243"/>
    <s v="x"/>
    <n v="0"/>
    <n v="0"/>
    <n v="1"/>
    <n v="0"/>
  </r>
  <r>
    <s v="Lao PDR"/>
    <x v="2"/>
    <s v="P083543"/>
    <s v="C1"/>
    <s v="S1"/>
    <s v="P083543C1S1"/>
    <s v="Ratio"/>
    <s v="2004 / 2011"/>
    <s v="Surface Treatment Resurfacing"/>
    <n v="1"/>
    <n v="1"/>
    <m/>
    <m/>
    <n v="1.0076083333333334"/>
    <n v="1.0076083333333334"/>
    <s v=""/>
    <n v="0"/>
    <n v="0"/>
    <n v="0"/>
    <n v="0"/>
  </r>
  <r>
    <s v="Lao PDR"/>
    <x v="2"/>
    <s v="P083543"/>
    <s v="C1"/>
    <s v="S10"/>
    <s v="P083543C1S10"/>
    <s v="Ratio"/>
    <s v="2004 / 2011"/>
    <s v="Asphalt Mix Resurfacing"/>
    <n v="1"/>
    <n v="1"/>
    <m/>
    <m/>
    <n v="1.1642465753424658"/>
    <n v="1.1642465753424658"/>
    <s v=""/>
    <n v="0"/>
    <n v="0"/>
    <n v="0"/>
    <n v="0"/>
  </r>
  <r>
    <s v="Lao PDR"/>
    <x v="2"/>
    <s v="P083543"/>
    <s v="C1"/>
    <s v="S11"/>
    <s v="P083543C1S11"/>
    <s v="Ratio"/>
    <s v="2004 / 2011"/>
    <s v="Surface Treatment Resurfacing"/>
    <n v="1"/>
    <n v="1"/>
    <m/>
    <m/>
    <n v="0.82405555555555554"/>
    <n v="0.82405555555555543"/>
    <s v=""/>
    <n v="0"/>
    <n v="0"/>
    <n v="0"/>
    <n v="0"/>
  </r>
  <r>
    <s v="Lao PDR"/>
    <x v="2"/>
    <s v="P083543"/>
    <s v="C1"/>
    <s v="S12"/>
    <s v="P083543C1S12"/>
    <s v="Ratio"/>
    <s v="2004 / 2011"/>
    <s v="Surface Treatment Resurfacing"/>
    <n v="1"/>
    <n v="1"/>
    <m/>
    <m/>
    <n v="0.68967999999999996"/>
    <n v="0.68968000000000007"/>
    <s v=""/>
    <n v="0"/>
    <n v="0"/>
    <n v="0"/>
    <n v="0"/>
  </r>
  <r>
    <s v="Lao PDR"/>
    <x v="2"/>
    <s v="P083543"/>
    <s v="C1"/>
    <s v="S13"/>
    <s v="P083543C1S13"/>
    <s v="Ratio"/>
    <s v="2004 / 2011"/>
    <s v="Asphalt Mix Resurfacing"/>
    <n v="1"/>
    <n v="1"/>
    <m/>
    <m/>
    <n v="0.76888499999999993"/>
    <n v="0.76888499999999993"/>
    <s v=""/>
    <n v="0"/>
    <n v="0"/>
    <n v="0"/>
    <n v="0"/>
  </r>
  <r>
    <s v="Lao PDR"/>
    <x v="2"/>
    <s v="P083543"/>
    <s v="C1"/>
    <s v="S14"/>
    <s v="P083543C1S14"/>
    <s v="Ratio"/>
    <s v="2004 / 2011"/>
    <s v="Gravel Resurfacing"/>
    <n v="1"/>
    <n v="1"/>
    <m/>
    <m/>
    <n v="0.72873529411764693"/>
    <n v="0.72873529411764693"/>
    <s v=""/>
    <n v="0"/>
    <n v="0"/>
    <n v="0"/>
    <n v="0"/>
  </r>
  <r>
    <s v="Lao PDR"/>
    <x v="2"/>
    <s v="P083543"/>
    <s v="C1"/>
    <s v="S15"/>
    <s v="P083543C1S15"/>
    <s v="Ratio"/>
    <s v="2004 / 2011"/>
    <s v="Gravel Resurfacing"/>
    <n v="1"/>
    <n v="1"/>
    <m/>
    <m/>
    <n v="1.1428083333333334"/>
    <n v="1.1428083333333334"/>
    <s v=""/>
    <n v="0"/>
    <n v="0"/>
    <n v="0"/>
    <n v="0"/>
  </r>
  <r>
    <s v="Lao PDR"/>
    <x v="2"/>
    <s v="P083543"/>
    <s v="C1"/>
    <s v="S16"/>
    <s v="P083543C1S16"/>
    <s v="Ratio"/>
    <s v="2004 / 2011"/>
    <s v="Gravel Resurfacing"/>
    <n v="1"/>
    <n v="1"/>
    <m/>
    <m/>
    <n v="1.0186885714285714"/>
    <n v="1.0186885714285714"/>
    <s v=""/>
    <n v="0"/>
    <n v="0"/>
    <n v="0"/>
    <n v="0"/>
  </r>
  <r>
    <s v="Lao PDR"/>
    <x v="2"/>
    <s v="P083543"/>
    <s v="C1"/>
    <s v="S17"/>
    <s v="P083543C1S17"/>
    <s v="Ratio"/>
    <s v="2004 / 2011"/>
    <s v="Asphalt Mix Resurfacing"/>
    <n v="1"/>
    <n v="1"/>
    <m/>
    <m/>
    <n v="0.83362083333333337"/>
    <n v="0.83362083333333326"/>
    <s v=""/>
    <n v="0"/>
    <n v="0"/>
    <n v="0"/>
    <n v="0"/>
  </r>
  <r>
    <s v="Lao PDR"/>
    <x v="2"/>
    <s v="P083543"/>
    <s v="C1"/>
    <s v="S18"/>
    <s v="P083543C1S18"/>
    <s v="Ratio"/>
    <s v="2004 / 2011"/>
    <s v="Surface Treatment Resurfacing"/>
    <n v="1"/>
    <n v="1"/>
    <m/>
    <m/>
    <n v="0.88611333333333342"/>
    <n v="0.88611333333333342"/>
    <s v=""/>
    <n v="0"/>
    <n v="0"/>
    <n v="0"/>
    <n v="0"/>
  </r>
  <r>
    <s v="Lao PDR"/>
    <x v="2"/>
    <s v="P083543"/>
    <s v="C1"/>
    <s v="S19"/>
    <s v="P083543C1S19"/>
    <s v="Ratio"/>
    <s v="2004 / 2011"/>
    <s v="Gravel Resurfacing"/>
    <n v="1"/>
    <n v="1"/>
    <m/>
    <m/>
    <n v="1.5803119999999999"/>
    <n v="1.5803119999999999"/>
    <s v="x"/>
    <n v="0"/>
    <n v="0"/>
    <n v="1"/>
    <n v="0"/>
  </r>
  <r>
    <s v="Lao PDR"/>
    <x v="2"/>
    <s v="P083543"/>
    <s v="C1"/>
    <s v="S2"/>
    <s v="P083543C1S2"/>
    <s v="Ratio"/>
    <s v="2004 / 2011"/>
    <s v="Asphalt Mix Resurfacing"/>
    <n v="1"/>
    <n v="1"/>
    <m/>
    <m/>
    <n v="1.0940676470588235"/>
    <n v="1.0940676470588235"/>
    <s v=""/>
    <n v="0"/>
    <n v="0"/>
    <n v="0"/>
    <n v="0"/>
  </r>
  <r>
    <s v="Lao PDR"/>
    <x v="2"/>
    <s v="P083543"/>
    <s v="C1"/>
    <s v="S20"/>
    <s v="P083543C1S20"/>
    <s v="Ratio"/>
    <s v="2004 / 2011"/>
    <s v="Surface Treatment Resurfacing"/>
    <n v="1"/>
    <n v="1"/>
    <m/>
    <m/>
    <n v="0.62789259259259256"/>
    <n v="0.62789259259259256"/>
    <s v=""/>
    <n v="0"/>
    <n v="0"/>
    <n v="0"/>
    <n v="0"/>
  </r>
  <r>
    <s v="Lao PDR"/>
    <x v="2"/>
    <s v="P083543"/>
    <s v="C1"/>
    <s v="S21"/>
    <s v="P083543C1S21"/>
    <s v="Ratio"/>
    <s v="2004 / 2011"/>
    <s v="Gravel Resurfacing"/>
    <n v="1"/>
    <n v="1"/>
    <m/>
    <m/>
    <n v="0.59084999999999999"/>
    <n v="0.59084999999999999"/>
    <s v=""/>
    <n v="0"/>
    <n v="0"/>
    <n v="0"/>
    <n v="0"/>
  </r>
  <r>
    <s v="Lao PDR"/>
    <x v="2"/>
    <s v="P083543"/>
    <s v="C1"/>
    <s v="S22"/>
    <s v="P083543C1S22"/>
    <s v="Ratio"/>
    <s v="2004 / 2011"/>
    <s v="Asphalt Mix Resurfacing"/>
    <n v="1"/>
    <n v="1"/>
    <m/>
    <m/>
    <n v="0.76255757575757566"/>
    <n v="0.76255757575757566"/>
    <s v=""/>
    <n v="0"/>
    <n v="0"/>
    <n v="0"/>
    <n v="0"/>
  </r>
  <r>
    <s v="Lao PDR"/>
    <x v="2"/>
    <s v="P083543"/>
    <s v="C1"/>
    <s v="S23"/>
    <s v="P083543C1S23"/>
    <s v="Ratio"/>
    <s v="2004 / 2011"/>
    <s v="Surface Treatment Resurfacing"/>
    <n v="1"/>
    <n v="1"/>
    <m/>
    <m/>
    <n v="0.82217999999999991"/>
    <n v="0.82217999999999991"/>
    <s v=""/>
    <n v="0"/>
    <n v="0"/>
    <n v="0"/>
    <n v="0"/>
  </r>
  <r>
    <s v="Lao PDR"/>
    <x v="2"/>
    <s v="P083543"/>
    <s v="C1"/>
    <s v="S24"/>
    <s v="P083543C1S24"/>
    <s v="Ratio"/>
    <s v="2004 / 2011"/>
    <s v="Gravel Resurfacing"/>
    <n v="1"/>
    <n v="1"/>
    <m/>
    <m/>
    <n v="0.81637999999999999"/>
    <n v="0.81637999999999999"/>
    <s v=""/>
    <n v="0"/>
    <n v="0"/>
    <n v="0"/>
    <n v="0"/>
  </r>
  <r>
    <s v="Lao PDR"/>
    <x v="2"/>
    <s v="P083543"/>
    <s v="C1"/>
    <s v="S25"/>
    <s v="P083543C1S25"/>
    <s v="Ratio"/>
    <s v="2004 / 2011"/>
    <s v="Gravel Resurfacing"/>
    <n v="1"/>
    <n v="1"/>
    <m/>
    <m/>
    <n v="0.53620499999999993"/>
    <n v="0.53620499999999993"/>
    <s v=""/>
    <n v="0"/>
    <n v="0"/>
    <n v="0"/>
    <n v="0"/>
  </r>
  <r>
    <s v="Lao PDR"/>
    <x v="2"/>
    <s v="P083543"/>
    <s v="C1"/>
    <s v="S26"/>
    <s v="P083543C1S26"/>
    <s v="Ratio"/>
    <s v="2004 / 2011"/>
    <s v="Surface Treatment Resurfacing"/>
    <n v="1"/>
    <n v="1"/>
    <m/>
    <m/>
    <n v="1.0122142857142857"/>
    <n v="1.0122142857142857"/>
    <s v=""/>
    <n v="0"/>
    <n v="0"/>
    <n v="0"/>
    <n v="0"/>
  </r>
  <r>
    <s v="Lao PDR"/>
    <x v="2"/>
    <s v="P083543"/>
    <s v="C1"/>
    <s v="S27"/>
    <s v="P083543C1S27"/>
    <s v="Ratio"/>
    <s v="2004 / 2011"/>
    <s v="Gravel Resurfacing"/>
    <n v="1"/>
    <n v="1"/>
    <m/>
    <m/>
    <n v="1.1431285714285715"/>
    <n v="1.1431285714285715"/>
    <s v=""/>
    <n v="0"/>
    <n v="0"/>
    <n v="0"/>
    <n v="0"/>
  </r>
  <r>
    <s v="Lao PDR"/>
    <x v="2"/>
    <s v="P083543"/>
    <s v="C1"/>
    <s v="S28"/>
    <s v="P083543C1S28"/>
    <s v="Ratio"/>
    <s v="2004 / 2011"/>
    <s v="Gravel Resurfacing"/>
    <n v="1"/>
    <n v="1"/>
    <m/>
    <m/>
    <n v="2.0662970662970661"/>
    <n v="2.0662970662970661"/>
    <s v="x"/>
    <n v="0"/>
    <n v="0"/>
    <n v="1"/>
    <n v="0"/>
  </r>
  <r>
    <s v="Lao PDR"/>
    <x v="2"/>
    <s v="P083543"/>
    <s v="C1"/>
    <s v="S29"/>
    <s v="P083543C1S29"/>
    <s v="Ratio"/>
    <s v="2004 / 2011"/>
    <s v="Gravel Resurfacing"/>
    <n v="1"/>
    <n v="1"/>
    <m/>
    <m/>
    <n v="2.3544362292051755"/>
    <n v="2.3544362292051755"/>
    <s v="x"/>
    <n v="0"/>
    <n v="0"/>
    <n v="1"/>
    <n v="0"/>
  </r>
  <r>
    <s v="Lao PDR"/>
    <x v="2"/>
    <s v="P083543"/>
    <s v="C1"/>
    <s v="S3"/>
    <s v="P083543C1S3"/>
    <s v="Ratio"/>
    <s v="2004 / 2011"/>
    <s v="Gravel Resurfacing"/>
    <n v="1"/>
    <n v="1"/>
    <m/>
    <m/>
    <n v="0.59000714285714273"/>
    <n v="0.59000714285714273"/>
    <s v=""/>
    <n v="0"/>
    <n v="0"/>
    <n v="0"/>
    <n v="0"/>
  </r>
  <r>
    <s v="Lao PDR"/>
    <x v="2"/>
    <s v="P083543"/>
    <s v="C1"/>
    <s v="S30"/>
    <s v="P083543C1S30"/>
    <s v="Ratio"/>
    <s v="2004 / 2011"/>
    <s v="Gravel Resurfacing"/>
    <n v="1"/>
    <n v="1"/>
    <m/>
    <m/>
    <n v="0.81465218396117411"/>
    <n v="0.81465218396117411"/>
    <s v=""/>
    <n v="0"/>
    <n v="0"/>
    <n v="0"/>
    <n v="0"/>
  </r>
  <r>
    <s v="Lao PDR"/>
    <x v="2"/>
    <s v="P083543"/>
    <s v="C1"/>
    <s v="S31"/>
    <s v="P083543C1S31"/>
    <s v="Ratio"/>
    <s v="2004 / 2011"/>
    <s v="Gravel Resurfacing"/>
    <n v="1"/>
    <n v="1"/>
    <m/>
    <m/>
    <n v="0.8345656192236599"/>
    <n v="0.8345656192236599"/>
    <s v=""/>
    <n v="0"/>
    <n v="0"/>
    <n v="0"/>
    <n v="0"/>
  </r>
  <r>
    <s v="Lao PDR"/>
    <x v="2"/>
    <s v="P083543"/>
    <s v="C1"/>
    <s v="S32"/>
    <s v="P083543C1S32"/>
    <s v="Ratio"/>
    <s v="2004 / 2011"/>
    <s v="Gravel Resurfacing"/>
    <n v="1"/>
    <n v="1"/>
    <m/>
    <m/>
    <n v="1.1799907578558224"/>
    <n v="1.1799907578558224"/>
    <s v=""/>
    <n v="0"/>
    <n v="0"/>
    <n v="0"/>
    <n v="0"/>
  </r>
  <r>
    <s v="Lao PDR"/>
    <x v="2"/>
    <s v="P083543"/>
    <s v="C1"/>
    <s v="S33"/>
    <s v="P083543C1S33"/>
    <s v="Ratio"/>
    <s v="2004 / 2011"/>
    <s v="Gravel Resurfacing"/>
    <n v="1"/>
    <n v="1"/>
    <m/>
    <m/>
    <n v="1.09865988909427"/>
    <n v="1.0986598890942703"/>
    <s v=""/>
    <n v="0"/>
    <n v="0"/>
    <n v="0"/>
    <n v="0"/>
  </r>
  <r>
    <s v="Lao PDR"/>
    <x v="2"/>
    <s v="P083543"/>
    <s v="C1"/>
    <s v="S34"/>
    <s v="P083543C1S34"/>
    <s v="Ratio"/>
    <s v="2004 / 2011"/>
    <s v="Gravel Resurfacing"/>
    <n v="1"/>
    <n v="1"/>
    <m/>
    <m/>
    <n v="1.5946383175410215"/>
    <n v="1.5946383175410215"/>
    <s v="x"/>
    <n v="0"/>
    <n v="0"/>
    <n v="1"/>
    <n v="0"/>
  </r>
  <r>
    <s v="Lao PDR"/>
    <x v="2"/>
    <s v="P083543"/>
    <s v="C1"/>
    <s v="S35"/>
    <s v="P083543C1S35"/>
    <s v="Ratio"/>
    <s v="2004 / 2011"/>
    <s v="Gravel Resurfacing"/>
    <n v="1"/>
    <n v="1"/>
    <m/>
    <m/>
    <n v="1.1494571494571493"/>
    <n v="1.1494571494571493"/>
    <s v=""/>
    <n v="0"/>
    <n v="0"/>
    <n v="0"/>
    <n v="0"/>
  </r>
  <r>
    <s v="Lao PDR"/>
    <x v="2"/>
    <s v="P083543"/>
    <s v="C1"/>
    <s v="S36"/>
    <s v="P083543C1S36"/>
    <s v="Ratio"/>
    <s v="2004 / 2011"/>
    <s v="Gravel Resurfacing"/>
    <n v="1"/>
    <n v="1"/>
    <m/>
    <m/>
    <n v="0.99352900392881893"/>
    <n v="0.99352900392881882"/>
    <s v=""/>
    <n v="0"/>
    <n v="0"/>
    <n v="0"/>
    <n v="0"/>
  </r>
  <r>
    <s v="Lao PDR"/>
    <x v="2"/>
    <s v="P083543"/>
    <s v="C1"/>
    <s v="S37"/>
    <s v="P083543C1S37"/>
    <s v="Ratio"/>
    <s v="2004 / 2011"/>
    <s v="Asphalt Mix Resurfacing"/>
    <n v="1"/>
    <n v="1"/>
    <m/>
    <m/>
    <n v="1.0084028382920454"/>
    <n v="1.0084028382920454"/>
    <s v=""/>
    <n v="0"/>
    <n v="0"/>
    <n v="0"/>
    <n v="0"/>
  </r>
  <r>
    <s v="Lao PDR"/>
    <x v="2"/>
    <s v="P083543"/>
    <s v="C1"/>
    <s v="S38"/>
    <s v="P083543C1S38"/>
    <s v="Ratio"/>
    <s v="2004 / 2011"/>
    <s v="Gravel Resurfacing"/>
    <n v="1"/>
    <n v="1"/>
    <m/>
    <m/>
    <n v="1.4136973623322537"/>
    <n v="1.4136973623322537"/>
    <s v=""/>
    <n v="0"/>
    <n v="0"/>
    <n v="0"/>
    <n v="0"/>
  </r>
  <r>
    <s v="Lao PDR"/>
    <x v="2"/>
    <s v="P083543"/>
    <s v="C1"/>
    <s v="S39"/>
    <s v="P083543C1S39"/>
    <s v="Ratio"/>
    <s v="2004 / 2011"/>
    <s v="Gravel Resurfacing"/>
    <n v="1"/>
    <n v="1"/>
    <m/>
    <m/>
    <n v="1.2760055478502081"/>
    <n v="1.2760055478502079"/>
    <s v=""/>
    <n v="0"/>
    <n v="0"/>
    <n v="0"/>
    <n v="0"/>
  </r>
  <r>
    <s v="Lao PDR"/>
    <x v="2"/>
    <s v="P083543"/>
    <s v="C1"/>
    <s v="S4"/>
    <s v="P083543C1S4"/>
    <s v="Ratio"/>
    <s v="2004 / 2011"/>
    <s v="Surface Treatment Resurfacing"/>
    <n v="1"/>
    <n v="1"/>
    <m/>
    <m/>
    <n v="1.449086956521739"/>
    <n v="1.449086956521739"/>
    <s v=""/>
    <n v="0"/>
    <n v="0"/>
    <n v="0"/>
    <n v="0"/>
  </r>
  <r>
    <s v="Lao PDR"/>
    <x v="2"/>
    <s v="P083543"/>
    <s v="C1"/>
    <s v="S40"/>
    <s v="P083543C1S40"/>
    <s v="Ratio"/>
    <s v="2004 / 2011"/>
    <s v="Gravel Resurfacing"/>
    <n v="1"/>
    <n v="1"/>
    <m/>
    <m/>
    <n v="1.30998613037448"/>
    <n v="1.30998613037448"/>
    <s v=""/>
    <n v="0"/>
    <n v="0"/>
    <n v="0"/>
    <n v="0"/>
  </r>
  <r>
    <s v="Lao PDR"/>
    <x v="2"/>
    <s v="P083543"/>
    <s v="C1"/>
    <s v="S5"/>
    <s v="P083543C1S5"/>
    <s v="Ratio"/>
    <s v="2004 / 2011"/>
    <s v="Surface Treatment Resurfacing"/>
    <n v="1"/>
    <n v="1"/>
    <m/>
    <m/>
    <n v="1.0424529411764707"/>
    <n v="1.0424529411764707"/>
    <s v=""/>
    <n v="0"/>
    <n v="0"/>
    <n v="0"/>
    <n v="0"/>
  </r>
  <r>
    <s v="Lao PDR"/>
    <x v="2"/>
    <s v="P083543"/>
    <s v="C1"/>
    <s v="S6"/>
    <s v="P083543C1S6"/>
    <s v="Ratio"/>
    <s v="2004 / 2011"/>
    <s v="Asphalt Mix Resurfacing"/>
    <n v="1"/>
    <n v="1"/>
    <m/>
    <m/>
    <n v="1.1105878787878787"/>
    <n v="1.1105878787878787"/>
    <s v=""/>
    <n v="0"/>
    <n v="0"/>
    <n v="0"/>
    <n v="0"/>
  </r>
  <r>
    <s v="Lao PDR"/>
    <x v="2"/>
    <s v="P083543"/>
    <s v="C1"/>
    <s v="S7"/>
    <s v="P083543C1S7"/>
    <s v="Ratio"/>
    <s v="2004 / 2011"/>
    <s v="Gravel Resurfacing"/>
    <n v="1"/>
    <n v="1"/>
    <m/>
    <m/>
    <n v="0.75434000000000001"/>
    <n v="0.75434000000000001"/>
    <s v=""/>
    <n v="0"/>
    <n v="0"/>
    <n v="0"/>
    <n v="0"/>
  </r>
  <r>
    <s v="Lao PDR"/>
    <x v="2"/>
    <s v="P083543"/>
    <s v="C1"/>
    <s v="S8"/>
    <s v="P083543C1S8"/>
    <s v="Ratio"/>
    <s v="2004 / 2011"/>
    <s v="Gravel Resurfacing"/>
    <n v="1"/>
    <n v="1"/>
    <m/>
    <m/>
    <n v="0.871888"/>
    <n v="0.871888"/>
    <s v=""/>
    <n v="0"/>
    <n v="0"/>
    <n v="0"/>
    <n v="0"/>
  </r>
  <r>
    <s v="Lao PDR"/>
    <x v="2"/>
    <s v="P083543"/>
    <s v="C1"/>
    <s v="S9"/>
    <s v="P083543C1S9"/>
    <s v="Ratio"/>
    <s v="2004 / 2011"/>
    <s v="Gravel Resurfacing"/>
    <n v="1"/>
    <n v="1"/>
    <m/>
    <m/>
    <n v="1.0147549999999999"/>
    <n v="1.0147549999999999"/>
    <s v=""/>
    <n v="0"/>
    <n v="0"/>
    <n v="0"/>
    <n v="0"/>
  </r>
  <r>
    <s v="Georgia"/>
    <x v="1"/>
    <s v="P086277"/>
    <s v="C1"/>
    <s v=""/>
    <s v="P086277C1"/>
    <s v="Ratio"/>
    <s v="2004 / 2013"/>
    <s v="Strengthening"/>
    <n v="1.28125"/>
    <n v="1.6839999999999999"/>
    <m/>
    <m/>
    <n v="6.3261927945472252"/>
    <n v="3.7566465525814881"/>
    <s v="x"/>
    <n v="1"/>
    <n v="0"/>
    <n v="1"/>
    <n v="0"/>
  </r>
  <r>
    <s v="Cape Verde"/>
    <x v="0"/>
    <s v="P087004"/>
    <s v="C1"/>
    <s v="S1"/>
    <s v="P087004C1S1"/>
    <s v="Ratio"/>
    <s v="2005 / 2014"/>
    <s v="Upgrading"/>
    <s v=""/>
    <n v="1"/>
    <m/>
    <m/>
    <n v="1.2096774193548387"/>
    <n v="1.2096774193548387"/>
    <s v=""/>
    <n v="0"/>
    <n v="0"/>
    <n v="0"/>
    <n v="0"/>
  </r>
  <r>
    <s v="Cape Verde"/>
    <x v="0"/>
    <s v="P087004"/>
    <s v="C1"/>
    <s v="S2"/>
    <s v="P087004C1S2"/>
    <s v="Ratio"/>
    <s v="2005 / 2014"/>
    <s v="Upgrading"/>
    <s v=""/>
    <n v="1"/>
    <m/>
    <m/>
    <n v="1.1546961325966849"/>
    <n v="1.1546961325966849"/>
    <s v=""/>
    <n v="0"/>
    <n v="0"/>
    <n v="0"/>
    <n v="0"/>
  </r>
  <r>
    <s v="Cape Verde"/>
    <x v="0"/>
    <s v="P087004"/>
    <s v="C1"/>
    <s v="S3"/>
    <s v="P087004C1S3"/>
    <s v="Ratio"/>
    <s v="2005 / 2014"/>
    <s v="Upgrading"/>
    <s v=""/>
    <n v="1"/>
    <m/>
    <m/>
    <n v="1.4833948339483394"/>
    <n v="1.4833948339483394"/>
    <s v=""/>
    <n v="0"/>
    <n v="0"/>
    <n v="0"/>
    <n v="0"/>
  </r>
  <r>
    <s v="Iraq"/>
    <x v="5"/>
    <s v="P087735"/>
    <s v="C1"/>
    <s v=""/>
    <s v="P087735C1"/>
    <s v="Ratio"/>
    <s v="2014 / 2014"/>
    <s v="Strengthening"/>
    <s v=""/>
    <n v="0.43"/>
    <m/>
    <m/>
    <n v="0.81307494173923711"/>
    <n v="1.8908719575331099"/>
    <s v="x"/>
    <n v="0"/>
    <n v="1"/>
    <n v="1"/>
    <n v="0"/>
  </r>
  <r>
    <s v="Iraq"/>
    <x v="5"/>
    <s v="P087735"/>
    <s v="C1"/>
    <s v="S1"/>
    <s v="P087735C1S1"/>
    <s v="Ratio"/>
    <s v="2014 / 2014"/>
    <s v="Strengthening"/>
    <n v="1.3333333333333333"/>
    <n v="1"/>
    <m/>
    <m/>
    <n v="0.96"/>
    <n v="0.96"/>
    <s v=""/>
    <n v="0"/>
    <n v="0"/>
    <n v="0"/>
    <n v="0"/>
  </r>
  <r>
    <s v="Iraq"/>
    <x v="5"/>
    <s v="P087735"/>
    <s v="C1"/>
    <s v="S10"/>
    <s v="P087735C1S10"/>
    <s v="Ratio"/>
    <s v="2014 / 2014"/>
    <s v="Reconstruction"/>
    <s v=""/>
    <n v="1"/>
    <m/>
    <m/>
    <n v="0.99456521739130443"/>
    <n v="0.99456521739130443"/>
    <s v=""/>
    <n v="0"/>
    <n v="0"/>
    <n v="0"/>
    <n v="0"/>
  </r>
  <r>
    <s v="Iraq"/>
    <x v="5"/>
    <s v="P087735"/>
    <s v="C1"/>
    <s v="S11"/>
    <s v="P087735C1S11"/>
    <s v="Ratio"/>
    <s v="2014 / 2014"/>
    <s v="Strengthening"/>
    <s v=""/>
    <n v="1"/>
    <m/>
    <m/>
    <n v="0.86956521739130443"/>
    <n v="0.86956521739130443"/>
    <s v=""/>
    <n v="0"/>
    <n v="0"/>
    <n v="0"/>
    <n v="0"/>
  </r>
  <r>
    <s v="Iraq"/>
    <x v="5"/>
    <s v="P087735"/>
    <s v="C1"/>
    <s v="S12"/>
    <s v="P087735C1S12"/>
    <s v="Ratio"/>
    <s v="2014 / 2014"/>
    <s v="Strengthening"/>
    <s v=""/>
    <n v="1"/>
    <m/>
    <m/>
    <n v="0.95"/>
    <n v="0.95000000000000007"/>
    <s v=""/>
    <n v="0"/>
    <n v="0"/>
    <n v="0"/>
    <n v="0"/>
  </r>
  <r>
    <s v="Iraq"/>
    <x v="5"/>
    <s v="P087735"/>
    <s v="C1"/>
    <s v="S13"/>
    <s v="P087735C1S13"/>
    <s v="Ratio"/>
    <s v="2014 / 2014"/>
    <s v="Strengthening"/>
    <n v="1.4"/>
    <n v="1"/>
    <m/>
    <m/>
    <n v="1.1355932203389829"/>
    <n v="1.1355932203389831"/>
    <s v=""/>
    <n v="0"/>
    <n v="0"/>
    <n v="0"/>
    <n v="0"/>
  </r>
  <r>
    <s v="Iraq"/>
    <x v="5"/>
    <s v="P087735"/>
    <s v="C1"/>
    <s v="S2"/>
    <s v="P087735C1S2"/>
    <s v="Ratio"/>
    <s v="2014 / 2014"/>
    <s v="Strengthening"/>
    <n v="1.0833333333333333"/>
    <n v="1"/>
    <m/>
    <m/>
    <n v="1"/>
    <n v="1"/>
    <s v=""/>
    <n v="0"/>
    <n v="0"/>
    <n v="0"/>
    <n v="0"/>
  </r>
  <r>
    <s v="Iraq"/>
    <x v="5"/>
    <s v="P087735"/>
    <s v="C1"/>
    <s v="S3"/>
    <s v="P087735C1S3"/>
    <s v="Ratio"/>
    <s v="2014 / 2014"/>
    <s v="Strengthening"/>
    <n v="1.3076923076923077"/>
    <n v="1"/>
    <m/>
    <m/>
    <n v="1.064516129032258"/>
    <n v="1.064516129032258"/>
    <s v=""/>
    <n v="0"/>
    <n v="0"/>
    <n v="0"/>
    <n v="0"/>
  </r>
  <r>
    <s v="Iraq"/>
    <x v="5"/>
    <s v="P087735"/>
    <s v="C1"/>
    <s v="S4"/>
    <s v="P087735C1S4"/>
    <s v="Ratio"/>
    <s v="2014 / 2014"/>
    <s v="Strengthening"/>
    <n v="1"/>
    <n v="1"/>
    <m/>
    <m/>
    <n v="0.92307692307692302"/>
    <n v="0.92307692307692302"/>
    <s v=""/>
    <n v="0"/>
    <n v="0"/>
    <n v="0"/>
    <n v="0"/>
  </r>
  <r>
    <s v="Iraq"/>
    <x v="5"/>
    <s v="P087735"/>
    <s v="C1"/>
    <s v="S5"/>
    <s v="P087735C1S5"/>
    <s v="Ratio"/>
    <s v="2014 / 2014"/>
    <s v="Strengthening"/>
    <n v="1"/>
    <n v="1"/>
    <m/>
    <m/>
    <n v="1"/>
    <n v="1"/>
    <s v=""/>
    <n v="0"/>
    <n v="0"/>
    <n v="0"/>
    <n v="0"/>
  </r>
  <r>
    <s v="Iraq"/>
    <x v="5"/>
    <s v="P087735"/>
    <s v="C1"/>
    <s v="S6"/>
    <s v="P087735C1S6"/>
    <s v="Ratio"/>
    <s v="2014 / 2014"/>
    <s v="Strengthening"/>
    <s v=""/>
    <n v="1"/>
    <m/>
    <m/>
    <n v="0.8928571428571429"/>
    <n v="0.8928571428571429"/>
    <s v=""/>
    <n v="0"/>
    <n v="0"/>
    <n v="0"/>
    <n v="0"/>
  </r>
  <r>
    <s v="Iraq"/>
    <x v="5"/>
    <s v="P087735"/>
    <s v="C1"/>
    <s v="S7"/>
    <s v="P087735C1S7"/>
    <s v="Ratio"/>
    <s v="2014 / 2014"/>
    <s v="Strengthening"/>
    <n v="0.9"/>
    <n v="1"/>
    <m/>
    <m/>
    <n v="0.97142857142857142"/>
    <n v="0.97142857142857131"/>
    <s v=""/>
    <n v="0"/>
    <n v="0"/>
    <n v="0"/>
    <n v="0"/>
  </r>
  <r>
    <s v="Iraq"/>
    <x v="5"/>
    <s v="P087735"/>
    <s v="C1"/>
    <s v="S8"/>
    <s v="P087735C1S8"/>
    <s v="Ratio"/>
    <s v="2014 / 2014"/>
    <s v="Strengthening"/>
    <s v=""/>
    <n v="1"/>
    <m/>
    <m/>
    <n v="1.1428571428571428"/>
    <n v="1.1428571428571428"/>
    <s v=""/>
    <n v="0"/>
    <n v="0"/>
    <n v="0"/>
    <n v="0"/>
  </r>
  <r>
    <s v="Iraq"/>
    <x v="5"/>
    <s v="P087735"/>
    <s v="C1"/>
    <s v="S9"/>
    <s v="P087735C1S9"/>
    <s v="Ratio"/>
    <s v="2014 / 2014"/>
    <s v="Reconstruction"/>
    <s v=""/>
    <n v="1"/>
    <m/>
    <m/>
    <n v="0.99456521739130443"/>
    <n v="0.99456521739130443"/>
    <s v=""/>
    <n v="0"/>
    <n v="0"/>
    <n v="0"/>
    <n v="0"/>
  </r>
  <r>
    <s v="Iraq"/>
    <x v="5"/>
    <s v="P087735"/>
    <s v="C2"/>
    <s v=""/>
    <s v="P087735C2"/>
    <s v="Ratio"/>
    <s v="2014 / 2014"/>
    <s v="Widening"/>
    <s v=""/>
    <n v="1.0581497797356827"/>
    <m/>
    <m/>
    <n v="1.173571953910272"/>
    <n v="1.1090792403731546"/>
    <s v=""/>
    <n v="0"/>
    <n v="0"/>
    <n v="0"/>
    <n v="0"/>
  </r>
  <r>
    <s v="Iraq"/>
    <x v="5"/>
    <s v="P087735"/>
    <s v="C2"/>
    <s v="S1"/>
    <s v="P087735C2S1"/>
    <s v="Ratio"/>
    <s v="2014 / 2014"/>
    <s v="Widening"/>
    <s v=""/>
    <n v="1"/>
    <m/>
    <m/>
    <n v="1.1661891117478511"/>
    <n v="1.1661891117478511"/>
    <s v=""/>
    <n v="0"/>
    <n v="0"/>
    <n v="0"/>
    <n v="0"/>
  </r>
  <r>
    <s v="Iraq"/>
    <x v="5"/>
    <s v="P087735"/>
    <s v="C2"/>
    <s v="S2"/>
    <s v="P087735C2S2"/>
    <s v="Ratio"/>
    <s v="2014 / 2014"/>
    <s v="Reconstruction"/>
    <s v=""/>
    <n v="1"/>
    <m/>
    <m/>
    <n v="1"/>
    <n v="1"/>
    <s v=""/>
    <n v="0"/>
    <n v="0"/>
    <n v="0"/>
    <n v="0"/>
  </r>
  <r>
    <s v="Iraq"/>
    <x v="5"/>
    <s v="P087735"/>
    <s v="C2"/>
    <s v="S3"/>
    <s v="P087735C2S3"/>
    <s v="Ratio"/>
    <s v="2014 / 2014"/>
    <s v="Surface Treatment Resurfacing"/>
    <s v=""/>
    <n v="1"/>
    <m/>
    <m/>
    <n v="1"/>
    <n v="1"/>
    <s v=""/>
    <n v="0"/>
    <n v="0"/>
    <n v="0"/>
    <n v="0"/>
  </r>
  <r>
    <s v="Iraq"/>
    <x v="5"/>
    <s v="P087735"/>
    <s v="C2"/>
    <s v="S4"/>
    <s v="P087735C2S4"/>
    <s v="Ratio"/>
    <s v="2014 / 2014"/>
    <s v="Surface Treatment Resurfacing"/>
    <s v=""/>
    <n v="1"/>
    <m/>
    <m/>
    <n v="0.95652173913043492"/>
    <n v="0.95652173913043492"/>
    <s v=""/>
    <n v="0"/>
    <n v="0"/>
    <n v="0"/>
    <n v="0"/>
  </r>
  <r>
    <s v="Argentina"/>
    <x v="4"/>
    <s v="P088153"/>
    <s v="C1"/>
    <s v=""/>
    <s v="P088153C1"/>
    <s v="Ratio"/>
    <s v="2004 / 2011"/>
    <s v="Strengthening"/>
    <s v=""/>
    <n v="0.60184393118524859"/>
    <m/>
    <m/>
    <n v="2.6362582141476616"/>
    <n v="4.3803020642841988"/>
    <s v="x"/>
    <n v="0"/>
    <n v="0"/>
    <n v="1"/>
    <n v="0"/>
  </r>
  <r>
    <s v="Ethiopia"/>
    <x v="0"/>
    <s v="P091077"/>
    <s v="C1"/>
    <s v=""/>
    <s v="P091077C1"/>
    <s v="Ratio"/>
    <s v="2007 / 2015"/>
    <s v="Upgrading"/>
    <s v=""/>
    <n v="0.98159135559921418"/>
    <m/>
    <m/>
    <n v="1.4986962676003874"/>
    <n v="1.5268026343666257"/>
    <s v="x"/>
    <n v="0"/>
    <n v="0"/>
    <n v="1"/>
    <n v="0"/>
  </r>
  <r>
    <s v="Ethiopia"/>
    <x v="0"/>
    <s v="P091077"/>
    <s v="C1"/>
    <s v="S1"/>
    <s v="P091077C1S1"/>
    <s v="Ratio"/>
    <s v="2007 / 2015"/>
    <s v="Upgrading"/>
    <n v="1.7242009132420091"/>
    <n v="1"/>
    <m/>
    <m/>
    <n v="1.615072463768116"/>
    <n v="1.615072463768116"/>
    <s v="x"/>
    <n v="0"/>
    <n v="0"/>
    <n v="1"/>
    <n v="0"/>
  </r>
  <r>
    <s v="Ethiopia"/>
    <x v="0"/>
    <s v="P091077"/>
    <s v="C1"/>
    <s v="S2"/>
    <s v="P091077C1S2"/>
    <s v="Ratio"/>
    <s v="2007 / 2015"/>
    <s v="Reconstruction"/>
    <n v="2.0328587075575029"/>
    <n v="1"/>
    <m/>
    <m/>
    <n v="1.4831251660908848"/>
    <n v="1.4831251660908851"/>
    <s v=""/>
    <n v="0"/>
    <n v="0"/>
    <n v="0"/>
    <n v="0"/>
  </r>
  <r>
    <s v="Ethiopia"/>
    <x v="0"/>
    <s v="P091077"/>
    <s v="C1"/>
    <s v="S3"/>
    <s v="P091077C1S3"/>
    <s v="Ratio"/>
    <s v="2007 / 2015"/>
    <s v="Reconstruction"/>
    <n v="1.1846994535519126"/>
    <n v="1"/>
    <m/>
    <m/>
    <n v="1.233502538071066"/>
    <n v="1.233502538071066"/>
    <s v=""/>
    <n v="0"/>
    <n v="0"/>
    <n v="0"/>
    <n v="0"/>
  </r>
  <r>
    <s v="Ethiopia"/>
    <x v="0"/>
    <s v="P091077"/>
    <s v="C1"/>
    <s v="S4"/>
    <s v="P091077C1S4"/>
    <s v="Ratio"/>
    <s v="2007 / 2015"/>
    <s v="Upgrading"/>
    <n v="0.9214611872146119"/>
    <n v="1"/>
    <m/>
    <m/>
    <n v="1.6840785624738821"/>
    <n v="1.6840785624738823"/>
    <s v="x"/>
    <n v="0"/>
    <n v="0"/>
    <n v="1"/>
    <n v="0"/>
  </r>
  <r>
    <s v="Ethiopia"/>
    <x v="0"/>
    <s v="P091077"/>
    <s v="C1"/>
    <s v="S5"/>
    <s v="P091077C1S5"/>
    <s v="Ratio"/>
    <s v="2007 / 2015"/>
    <s v="Upgrading"/>
    <n v="1.5525114155251141"/>
    <n v="1"/>
    <m/>
    <m/>
    <n v="1.5177656303382301"/>
    <n v="1.5177656303382303"/>
    <s v="x"/>
    <n v="0"/>
    <n v="0"/>
    <n v="1"/>
    <n v="0"/>
  </r>
  <r>
    <s v="Ethiopia"/>
    <x v="0"/>
    <s v="P091077"/>
    <s v="C1"/>
    <s v="S6"/>
    <s v="P091077C1S6"/>
    <s v="Ratio"/>
    <s v="2007 / 2015"/>
    <s v="Upgrading"/>
    <n v="1.6703296703296704"/>
    <n v="1"/>
    <m/>
    <m/>
    <n v="0.99041342121030551"/>
    <n v="0.99041342121030562"/>
    <s v=""/>
    <n v="0"/>
    <n v="0"/>
    <n v="0"/>
    <n v="0"/>
  </r>
  <r>
    <s v="Mauritius"/>
    <x v="0"/>
    <s v="P091828"/>
    <s v="C1"/>
    <s v="S1"/>
    <s v="P091828C1S1"/>
    <s v="Ratio"/>
    <s v="2009 / 2015"/>
    <s v="Partial Widening and Reconstruction"/>
    <s v=""/>
    <n v="1"/>
    <m/>
    <m/>
    <n v="1.5685185185185184"/>
    <n v="1.5685185185185184"/>
    <s v="x"/>
    <n v="0"/>
    <n v="0"/>
    <n v="1"/>
    <n v="0"/>
  </r>
  <r>
    <s v="Mauritius"/>
    <x v="0"/>
    <s v="P091828"/>
    <s v="C1"/>
    <s v="S2"/>
    <s v="P091828C1S2"/>
    <s v="Ratio"/>
    <s v="2009 / 2015"/>
    <s v="Reconstruction"/>
    <s v=""/>
    <n v="1"/>
    <m/>
    <m/>
    <n v="0.80862920370621794"/>
    <n v="0.80862920370621794"/>
    <s v=""/>
    <n v="0"/>
    <n v="0"/>
    <n v="0"/>
    <n v="0"/>
  </r>
  <r>
    <s v="Mauritius"/>
    <x v="0"/>
    <s v="P091828"/>
    <s v="C1"/>
    <s v="S3"/>
    <s v="P091828C1S3"/>
    <s v="Ratio"/>
    <s v="2009 / 2015"/>
    <s v="Reconstruction"/>
    <s v=""/>
    <n v="1"/>
    <m/>
    <m/>
    <n v="1.917416478588825"/>
    <n v="1.917416478588825"/>
    <s v="x"/>
    <n v="0"/>
    <n v="0"/>
    <n v="1"/>
    <n v="0"/>
  </r>
  <r>
    <s v="Mauritius"/>
    <x v="0"/>
    <s v="P091828"/>
    <s v="C1"/>
    <s v="S4"/>
    <s v="P091828C1S4"/>
    <s v="Ratio"/>
    <s v="2009 / 2015"/>
    <s v="Reconstruction"/>
    <s v=""/>
    <n v="1"/>
    <m/>
    <m/>
    <n v="0.91823932691746857"/>
    <n v="0.91823932691746857"/>
    <s v=""/>
    <n v="0"/>
    <n v="0"/>
    <n v="0"/>
    <n v="0"/>
  </r>
  <r>
    <s v="Romania"/>
    <x v="1"/>
    <s v="P093812"/>
    <s v="C1"/>
    <s v=""/>
    <s v="P093812C1"/>
    <s v="Ratio"/>
    <s v="2006 / 2010"/>
    <s v="Surface Treatment Resurfacing"/>
    <s v=""/>
    <n v="0.75524235132347883"/>
    <m/>
    <m/>
    <n v="1.1146666666666667"/>
    <n v="1.4759059323319681"/>
    <s v=""/>
    <n v="0"/>
    <n v="0"/>
    <n v="0"/>
    <n v="0"/>
  </r>
  <r>
    <s v="China"/>
    <x v="2"/>
    <s v="P093906"/>
    <s v="C1"/>
    <s v=""/>
    <s v="P093906C1"/>
    <s v="Ratio"/>
    <s v="2006 / 2011"/>
    <s v="New 4L Expressway"/>
    <s v=""/>
    <n v="1"/>
    <m/>
    <m/>
    <n v="1.1404465709728866"/>
    <n v="1.1404465709728868"/>
    <s v=""/>
    <n v="0"/>
    <n v="0"/>
    <n v="0"/>
    <n v="0"/>
  </r>
  <r>
    <s v="China"/>
    <x v="2"/>
    <s v="P093906"/>
    <s v="C2"/>
    <s v=""/>
    <s v="P093906C2"/>
    <s v="Ratio"/>
    <s v="2006 / 2011"/>
    <s v="Upgrading"/>
    <s v=""/>
    <n v="0.46818727490996398"/>
    <m/>
    <m/>
    <n v="0.22567567567567567"/>
    <n v="0.48202009702009702"/>
    <s v="x"/>
    <n v="0"/>
    <n v="1"/>
    <n v="0"/>
    <n v="1"/>
  </r>
  <r>
    <s v="Georgia"/>
    <x v="1"/>
    <s v="P094044"/>
    <s v="C1"/>
    <s v="S1"/>
    <s v="P094044C1S1"/>
    <s v="Ratio"/>
    <s v="2007 / 2012"/>
    <s v="Widening"/>
    <n v="1.4"/>
    <n v="1"/>
    <m/>
    <m/>
    <n v="1.6495828367103695"/>
    <n v="1.6495828367103693"/>
    <s v="x"/>
    <n v="0"/>
    <n v="0"/>
    <n v="1"/>
    <n v="0"/>
  </r>
  <r>
    <s v="Azerbaijan"/>
    <x v="1"/>
    <s v="P094488"/>
    <s v="C1"/>
    <s v="S1"/>
    <s v="P094488C1S1"/>
    <s v="Ratio"/>
    <s v="2005 / 2005"/>
    <s v="Widening"/>
    <s v=""/>
    <n v="0.38750000000000001"/>
    <m/>
    <m/>
    <n v="0.69519152404237972"/>
    <n v="1.7940426426900122"/>
    <s v="x"/>
    <n v="0"/>
    <n v="1"/>
    <n v="1"/>
    <n v="0"/>
  </r>
  <r>
    <s v="Azerbaijan"/>
    <x v="1"/>
    <s v="P094488"/>
    <s v="C1"/>
    <s v="S2"/>
    <s v="P094488C1S2"/>
    <s v="Ratio"/>
    <s v="2005 / 2005"/>
    <s v="Reconstruction"/>
    <s v=""/>
    <n v="1"/>
    <m/>
    <m/>
    <n v="1.78125"/>
    <n v="1.78125"/>
    <s v="x"/>
    <n v="0"/>
    <n v="0"/>
    <n v="1"/>
    <n v="0"/>
  </r>
  <r>
    <s v="Angola"/>
    <x v="0"/>
    <s v="P095229"/>
    <s v="C1"/>
    <s v="S1"/>
    <s v="P095229C1S1"/>
    <s v="Ratio"/>
    <s v="2014 / 2014"/>
    <s v="Reconstruction"/>
    <s v=""/>
    <n v="0.33333333333333331"/>
    <m/>
    <m/>
    <n v="1.5384615384615385"/>
    <n v="4.6153846153846159"/>
    <s v="x"/>
    <n v="0"/>
    <n v="1"/>
    <n v="1"/>
    <n v="0"/>
  </r>
  <r>
    <s v="Haiti"/>
    <x v="4"/>
    <s v="P095523"/>
    <s v="C1"/>
    <s v="S1"/>
    <s v="P095523C1S1"/>
    <s v="Ratio"/>
    <s v="2006 / 2014"/>
    <s v="Upgrading"/>
    <s v=""/>
    <n v="0.2061855670103093"/>
    <m/>
    <m/>
    <n v="1.1882352941176471"/>
    <n v="5.762941176470588"/>
    <s v="x"/>
    <n v="0"/>
    <n v="1"/>
    <n v="1"/>
    <n v="0"/>
  </r>
  <r>
    <s v="Haiti"/>
    <x v="4"/>
    <s v="P095523"/>
    <s v="C1"/>
    <s v="S2"/>
    <s v="P095523C1S2"/>
    <s v="Ratio"/>
    <s v="2006 / 2014"/>
    <s v="Upgrading"/>
    <s v=""/>
    <n v="0.63492063492063489"/>
    <m/>
    <m/>
    <n v="3.4041666666666668"/>
    <n v="5.3615624999999998"/>
    <s v="x"/>
    <n v="0"/>
    <n v="0"/>
    <n v="1"/>
    <n v="0"/>
  </r>
  <r>
    <s v="Argentina"/>
    <x v="4"/>
    <s v="P095569"/>
    <s v="C1"/>
    <s v=""/>
    <s v="P095569C1"/>
    <s v="Ratio"/>
    <s v="2007 / 2014"/>
    <s v="Asphalt Mix Resurfacing"/>
    <s v=""/>
    <n v="1.0112462006079028"/>
    <m/>
    <m/>
    <n v="1.0140478668054111"/>
    <n v="1.0027705085030967"/>
    <s v=""/>
    <n v="0"/>
    <n v="0"/>
    <n v="0"/>
    <n v="0"/>
  </r>
  <r>
    <s v="Peru"/>
    <x v="4"/>
    <s v="P095570"/>
    <s v="C1"/>
    <s v=""/>
    <s v="P095570C1"/>
    <s v="Ratio"/>
    <s v="2006 / 2014"/>
    <s v="Gravel Resurfacing"/>
    <s v=""/>
    <n v="0.79756676557863504"/>
    <m/>
    <m/>
    <n v="1.3032128514056227"/>
    <n v="1.6339859026850763"/>
    <s v="x"/>
    <n v="0"/>
    <n v="0"/>
    <n v="1"/>
    <n v="0"/>
  </r>
  <r>
    <s v="Peru"/>
    <x v="4"/>
    <s v="P095570"/>
    <s v="C1"/>
    <s v="S1"/>
    <s v="P095570C1S1"/>
    <s v="Ratio"/>
    <s v="2006 / 2014"/>
    <s v="Reconstruction"/>
    <s v=""/>
    <n v="1.0923333333333334"/>
    <m/>
    <m/>
    <n v="1.7059548427672957"/>
    <n v="1.5617529839187936"/>
    <s v="x"/>
    <n v="0"/>
    <n v="0"/>
    <n v="1"/>
    <n v="0"/>
  </r>
  <r>
    <s v="Peru"/>
    <x v="4"/>
    <s v="P095570"/>
    <s v="C1"/>
    <s v="S2"/>
    <s v="P095570C1S2"/>
    <s v="Ratio"/>
    <s v="2006 / 2014"/>
    <s v="Gravel Resurfacing"/>
    <s v=""/>
    <n v="0.6969642857142857"/>
    <m/>
    <m/>
    <n v="1.2739611464968155"/>
    <n v="1.82787148869643"/>
    <s v="x"/>
    <n v="0"/>
    <n v="0"/>
    <n v="1"/>
    <n v="0"/>
  </r>
  <r>
    <s v="Peru"/>
    <x v="4"/>
    <s v="P095570"/>
    <s v="C1"/>
    <s v="S3"/>
    <s v="P095570C1S3"/>
    <s v="Ratio"/>
    <s v="2006 / 2014"/>
    <s v="Reconstruction"/>
    <s v=""/>
    <n v="0.88905660377358486"/>
    <m/>
    <m/>
    <n v="1.2798240000000001"/>
    <n v="1.43953039049236"/>
    <s v=""/>
    <n v="0"/>
    <n v="0"/>
    <n v="0"/>
    <n v="0"/>
  </r>
  <r>
    <s v="India"/>
    <x v="3"/>
    <s v="P096023"/>
    <s v="C1"/>
    <s v="S1"/>
    <s v="P096023C1S1"/>
    <s v="Ratio"/>
    <s v="2008 / 2017"/>
    <s v="Partial Widening and Reconstruction"/>
    <s v=""/>
    <n v="1"/>
    <m/>
    <m/>
    <n v="0.85423565514273192"/>
    <n v="0.85423565514273192"/>
    <s v=""/>
    <n v="0"/>
    <n v="0"/>
    <n v="0"/>
    <n v="0"/>
  </r>
  <r>
    <s v="India"/>
    <x v="3"/>
    <s v="P096023"/>
    <s v="C1"/>
    <s v="S2"/>
    <s v="P096023C1S2"/>
    <s v="Ratio"/>
    <s v="2008 / 2017"/>
    <s v="Partial Widening and Reconstruction"/>
    <s v=""/>
    <n v="0.95121951219512191"/>
    <m/>
    <m/>
    <n v="1.0446415151059671"/>
    <n v="1.0982128748549911"/>
    <s v=""/>
    <n v="0"/>
    <n v="0"/>
    <n v="0"/>
    <n v="0"/>
  </r>
  <r>
    <s v="Sudan"/>
    <x v="0"/>
    <s v="P098837"/>
    <s v="C1"/>
    <s v=""/>
    <s v="P098837C1"/>
    <s v="Ratio"/>
    <s v="2011 / 2013"/>
    <s v="Upgrading"/>
    <s v=""/>
    <n v="0.43959731543624159"/>
    <m/>
    <m/>
    <n v="1.1415929203539823"/>
    <n v="2.596906032560967"/>
    <s v="x"/>
    <n v="0"/>
    <n v="1"/>
    <n v="1"/>
    <n v="0"/>
  </r>
  <r>
    <s v="Bulgaria"/>
    <x v="1"/>
    <s v="P099894"/>
    <s v="C1"/>
    <s v=""/>
    <s v="P099894C1"/>
    <s v="Ratio"/>
    <s v="2007 / 2013"/>
    <s v="Strengthening"/>
    <s v=""/>
    <n v="0.68222222222222217"/>
    <m/>
    <m/>
    <n v="0.67988626207157454"/>
    <n v="0.99657595417657496"/>
    <s v=""/>
    <n v="0"/>
    <n v="0"/>
    <n v="0"/>
    <n v="0"/>
  </r>
  <r>
    <s v="Bulgaria"/>
    <x v="1"/>
    <s v="P099894"/>
    <s v="C1"/>
    <s v="S1"/>
    <s v="P099894C1S1"/>
    <s v="Ratio"/>
    <s v="2007 / 2013"/>
    <s v="Strengthening"/>
    <s v=""/>
    <n v="0.98546042003231016"/>
    <m/>
    <m/>
    <n v="1.1824324324324322"/>
    <n v="1.1998781568453698"/>
    <s v=""/>
    <n v="0"/>
    <n v="0"/>
    <n v="0"/>
    <n v="0"/>
  </r>
  <r>
    <s v="Bulgaria"/>
    <x v="1"/>
    <s v="P099894"/>
    <s v="C1"/>
    <s v="S2"/>
    <s v="P099894C1S2"/>
    <s v="Ratio"/>
    <s v="2007 / 2013"/>
    <s v="Strengthening"/>
    <s v=""/>
    <n v="1.0629213483146067"/>
    <m/>
    <m/>
    <n v="0.88955162484574235"/>
    <n v="0.83689317770899652"/>
    <s v=""/>
    <n v="0"/>
    <n v="0"/>
    <n v="0"/>
    <n v="0"/>
  </r>
  <r>
    <s v="Bulgaria"/>
    <x v="1"/>
    <s v="P099894"/>
    <s v="C1"/>
    <s v="S3"/>
    <s v="P099894C1S3"/>
    <s v="Ratio"/>
    <s v="2007 / 2013"/>
    <s v="Strengthening"/>
    <s v=""/>
    <n v="0.75573770491803283"/>
    <m/>
    <m/>
    <n v="0.70315011250401793"/>
    <n v="0.93041555016800637"/>
    <s v=""/>
    <n v="0"/>
    <n v="0"/>
    <n v="0"/>
    <n v="0"/>
  </r>
  <r>
    <s v="Bulgaria"/>
    <x v="1"/>
    <s v="P099894"/>
    <s v="C1"/>
    <s v="S4"/>
    <s v="P099894C1S4"/>
    <s v="Ratio"/>
    <s v="2007 / 2013"/>
    <s v="Strengthening"/>
    <s v=""/>
    <n v="0.99105545617173529"/>
    <m/>
    <m/>
    <n v="0.58760683760683752"/>
    <n v="0.59291014841556355"/>
    <s v=""/>
    <n v="0"/>
    <n v="0"/>
    <n v="0"/>
    <n v="0"/>
  </r>
  <r>
    <s v="Bulgaria"/>
    <x v="1"/>
    <s v="P099894"/>
    <s v="C1"/>
    <s v="S5"/>
    <s v="P099894C1S5"/>
    <s v="Ratio"/>
    <s v="2007 / 2013"/>
    <s v="Strengthening"/>
    <s v=""/>
    <n v="0.96769230769230763"/>
    <m/>
    <m/>
    <n v="0.90729274165806661"/>
    <n v="0.937583914273042"/>
    <s v=""/>
    <n v="0"/>
    <n v="0"/>
    <n v="0"/>
    <n v="0"/>
  </r>
  <r>
    <s v="Bulgaria"/>
    <x v="1"/>
    <s v="P099894"/>
    <s v="C1"/>
    <s v="S6"/>
    <s v="P099894C1S6"/>
    <s v="Ratio"/>
    <s v="2007 / 2013"/>
    <s v="Strengthening"/>
    <s v=""/>
    <n v="0.9507692307692307"/>
    <m/>
    <m/>
    <n v="0.65261044176706828"/>
    <n v="0.68640256820160894"/>
    <s v=""/>
    <n v="0"/>
    <n v="0"/>
    <n v="0"/>
    <n v="0"/>
  </r>
  <r>
    <s v="Bhutan"/>
    <x v="3"/>
    <s v="P100332"/>
    <s v="C1"/>
    <s v=""/>
    <s v="P100332C1"/>
    <s v="Ratio"/>
    <s v="2007 / 2013"/>
    <s v="New 1L Road"/>
    <s v=""/>
    <n v="1.0112359550561798"/>
    <m/>
    <m/>
    <n v="1.245977011494253"/>
    <n v="1.23213282247765"/>
    <s v=""/>
    <n v="0"/>
    <n v="0"/>
    <n v="0"/>
    <n v="0"/>
  </r>
  <r>
    <s v="Bhutan"/>
    <x v="3"/>
    <s v="P100332"/>
    <s v="C1"/>
    <s v="S1"/>
    <s v="P100332C1S1"/>
    <s v="Ratio"/>
    <s v="2007 / 2013"/>
    <s v="New 1L Road"/>
    <s v=""/>
    <n v="0.86350364963503656"/>
    <m/>
    <m/>
    <n v="0.83"/>
    <n v="0.96120033812341499"/>
    <s v=""/>
    <n v="0"/>
    <n v="0"/>
    <n v="0"/>
    <n v="0"/>
  </r>
  <r>
    <s v="Bhutan"/>
    <x v="3"/>
    <s v="P100332"/>
    <s v="C1"/>
    <s v="S2"/>
    <s v="P100332C1S2"/>
    <s v="Ratio"/>
    <s v="2007 / 2013"/>
    <s v="New 1L Road"/>
    <s v=""/>
    <n v="1.1863636363636365"/>
    <m/>
    <m/>
    <n v="1.276"/>
    <n v="1.0755555555555556"/>
    <s v=""/>
    <n v="0"/>
    <n v="0"/>
    <n v="0"/>
    <n v="0"/>
  </r>
  <r>
    <s v="Bhutan"/>
    <x v="3"/>
    <s v="P100332"/>
    <s v="C1"/>
    <s v="S3"/>
    <s v="P100332C1S3"/>
    <s v="Ratio"/>
    <s v="2007 / 2013"/>
    <s v="New 1L Road"/>
    <s v=""/>
    <n v="1"/>
    <m/>
    <m/>
    <n v="1.2242424242424244"/>
    <n v="1.2242424242424244"/>
    <s v=""/>
    <n v="0"/>
    <n v="0"/>
    <n v="0"/>
    <n v="0"/>
  </r>
  <r>
    <s v="China"/>
    <x v="2"/>
    <s v="P101258"/>
    <s v="C1"/>
    <s v=""/>
    <s v="P101258C1"/>
    <s v="Ratio"/>
    <s v="2009 / 2016"/>
    <s v="New 4L Expressway"/>
    <s v=""/>
    <n v="1"/>
    <m/>
    <m/>
    <n v="1.1853444955949355"/>
    <n v="1.1853444955949353"/>
    <s v=""/>
    <n v="0"/>
    <n v="0"/>
    <n v="0"/>
    <n v="0"/>
  </r>
  <r>
    <s v="Afghanistan"/>
    <x v="3"/>
    <s v="P107101"/>
    <s v="C1"/>
    <s v="S1"/>
    <s v="P107101C1S1"/>
    <s v="Ratio"/>
    <s v="2010 / 2012"/>
    <s v="Strengthening"/>
    <n v="8.25"/>
    <n v="1"/>
    <m/>
    <m/>
    <n v="0.99789156626506037"/>
    <n v="0.99789156626506026"/>
    <s v=""/>
    <n v="0"/>
    <n v="0"/>
    <n v="0"/>
    <n v="0"/>
  </r>
  <r>
    <s v="Afghanistan"/>
    <x v="3"/>
    <s v="P107101"/>
    <s v="C1"/>
    <s v="S2"/>
    <s v="P107101C1S2"/>
    <s v="Ratio"/>
    <s v="2010 / 2012"/>
    <s v="Strengthening"/>
    <n v="8.25"/>
    <n v="1"/>
    <m/>
    <m/>
    <n v="0.98597402597402595"/>
    <n v="0.98597402597402584"/>
    <s v=""/>
    <n v="0"/>
    <n v="0"/>
    <n v="0"/>
    <n v="0"/>
  </r>
  <r>
    <s v="Afghanistan"/>
    <x v="3"/>
    <s v="P107101"/>
    <s v="C1"/>
    <s v="S3"/>
    <s v="P107101C1S3"/>
    <s v="Ratio"/>
    <s v="2010 / 2012"/>
    <s v="Strengthening"/>
    <n v="7.5"/>
    <n v="1"/>
    <m/>
    <m/>
    <n v="0.74125874125874136"/>
    <n v="0.74125874125874147"/>
    <s v=""/>
    <n v="0"/>
    <n v="0"/>
    <n v="0"/>
    <n v="0"/>
  </r>
  <r>
    <s v="Afghanistan"/>
    <x v="3"/>
    <s v="P107101"/>
    <s v="C1"/>
    <s v="S4"/>
    <s v="P107101C1S4"/>
    <s v="Ratio"/>
    <s v="2010 / 2012"/>
    <s v="Strengthening"/>
    <n v="7.5"/>
    <n v="1"/>
    <m/>
    <m/>
    <n v="0.66279069767441867"/>
    <n v="0.66279069767441856"/>
    <s v=""/>
    <n v="0"/>
    <n v="0"/>
    <n v="0"/>
    <n v="0"/>
  </r>
  <r>
    <s v="Macedonia, FYR"/>
    <x v="1"/>
    <s v="P107840"/>
    <s v="C1"/>
    <s v="S1"/>
    <s v="P107840C1S1"/>
    <s v="Ratio"/>
    <s v="2008 / 2016"/>
    <s v="Reconstruction"/>
    <s v=""/>
    <n v="1.2565789473684212"/>
    <m/>
    <m/>
    <n v="1.2003254658385092"/>
    <n v="0.95523283145263549"/>
    <s v=""/>
    <n v="0"/>
    <n v="0"/>
    <n v="0"/>
    <n v="0"/>
  </r>
  <r>
    <s v="Macedonia, FYR"/>
    <x v="1"/>
    <s v="P107840"/>
    <s v="C1"/>
    <s v="S10"/>
    <s v="P107840C1S10"/>
    <s v="Ratio"/>
    <s v="2008 / 2016"/>
    <s v="Reconstruction"/>
    <s v=""/>
    <n v="0.72928176795580102"/>
    <m/>
    <m/>
    <n v="0.88368000000000013"/>
    <n v="1.2117127272727277"/>
    <s v=""/>
    <n v="0"/>
    <n v="0"/>
    <n v="0"/>
    <n v="0"/>
  </r>
  <r>
    <s v="Macedonia, FYR"/>
    <x v="1"/>
    <s v="P107840"/>
    <s v="C1"/>
    <s v="S11"/>
    <s v="P107840C1S11"/>
    <s v="Ratio"/>
    <s v="2008 / 2016"/>
    <s v="Reconstruction"/>
    <s v=""/>
    <n v="0.86832740213523119"/>
    <m/>
    <m/>
    <n v="0.78554452554744525"/>
    <n v="0.90466398229029565"/>
    <s v=""/>
    <n v="0"/>
    <n v="0"/>
    <n v="0"/>
    <n v="0"/>
  </r>
  <r>
    <s v="Macedonia, FYR"/>
    <x v="1"/>
    <s v="P107840"/>
    <s v="C1"/>
    <s v="S2"/>
    <s v="P107840C1S2"/>
    <s v="Ratio"/>
    <s v="2008 / 2016"/>
    <s v="Reconstruction"/>
    <s v=""/>
    <n v="0.93157894736842106"/>
    <m/>
    <m/>
    <n v="0.7023468208092486"/>
    <n v="0.75393161555795041"/>
    <s v=""/>
    <n v="0"/>
    <n v="0"/>
    <n v="0"/>
    <n v="0"/>
  </r>
  <r>
    <s v="Macedonia, FYR"/>
    <x v="1"/>
    <s v="P107840"/>
    <s v="C1"/>
    <s v="S3"/>
    <s v="P107840C1S3"/>
    <s v="Ratio"/>
    <s v="2008 / 2016"/>
    <s v="Reconstruction"/>
    <s v=""/>
    <n v="1.2324723247232472"/>
    <m/>
    <m/>
    <n v="1.2288138808559859"/>
    <n v="0.99703162189213235"/>
    <s v=""/>
    <n v="0"/>
    <n v="0"/>
    <n v="0"/>
    <n v="0"/>
  </r>
  <r>
    <s v="Macedonia, FYR"/>
    <x v="1"/>
    <s v="P107840"/>
    <s v="C1"/>
    <s v="S4"/>
    <s v="P107840C1S4"/>
    <s v="Ratio"/>
    <s v="2008 / 2016"/>
    <s v="Reconstruction"/>
    <s v=""/>
    <n v="1.2434782608695654"/>
    <m/>
    <m/>
    <n v="0.72738285714285711"/>
    <n v="0.58495824175824163"/>
    <s v=""/>
    <n v="0"/>
    <n v="0"/>
    <n v="0"/>
    <n v="0"/>
  </r>
  <r>
    <s v="Macedonia, FYR"/>
    <x v="1"/>
    <s v="P107840"/>
    <s v="C1"/>
    <s v="S5"/>
    <s v="P107840C1S5"/>
    <s v="Ratio"/>
    <s v="2008 / 2016"/>
    <s v="Reconstruction"/>
    <s v=""/>
    <n v="1.0079051383399209"/>
    <m/>
    <m/>
    <n v="1.2851388819875778"/>
    <n v="1.275059361344538"/>
    <s v=""/>
    <n v="0"/>
    <n v="0"/>
    <n v="0"/>
    <n v="0"/>
  </r>
  <r>
    <s v="Macedonia, FYR"/>
    <x v="1"/>
    <s v="P107840"/>
    <s v="C1"/>
    <s v="S6"/>
    <s v="P107840C1S6"/>
    <s v="Ratio"/>
    <s v="2008 / 2016"/>
    <s v="Reconstruction"/>
    <s v=""/>
    <n v="1.0999999999999999"/>
    <m/>
    <m/>
    <n v="2.2069457142857143"/>
    <n v="2.0063142857142857"/>
    <s v="x"/>
    <n v="0"/>
    <n v="0"/>
    <n v="1"/>
    <n v="0"/>
  </r>
  <r>
    <s v="Macedonia, FYR"/>
    <x v="1"/>
    <s v="P107840"/>
    <s v="C1"/>
    <s v="S7"/>
    <s v="P107840C1S7"/>
    <s v="Ratio"/>
    <s v="2008 / 2016"/>
    <s v="Reconstruction"/>
    <s v=""/>
    <n v="1.3741007194244605"/>
    <m/>
    <m/>
    <n v="1.0935471309853582"/>
    <n v="0.79582749323018209"/>
    <s v=""/>
    <n v="0"/>
    <n v="0"/>
    <n v="0"/>
    <n v="0"/>
  </r>
  <r>
    <s v="Macedonia, FYR"/>
    <x v="1"/>
    <s v="P107840"/>
    <s v="C1"/>
    <s v="S8"/>
    <s v="P107840C1S8"/>
    <s v="Ratio"/>
    <s v="2008 / 2016"/>
    <s v="Reconstruction"/>
    <s v=""/>
    <n v="1.0277777777777777"/>
    <m/>
    <m/>
    <n v="1.1672801393728223"/>
    <n v="1.135732027497881"/>
    <s v=""/>
    <n v="0"/>
    <n v="0"/>
    <n v="0"/>
    <n v="0"/>
  </r>
  <r>
    <s v="Macedonia, FYR"/>
    <x v="1"/>
    <s v="P107840"/>
    <s v="C1"/>
    <s v="S9"/>
    <s v="P107840C1S9"/>
    <s v="Ratio"/>
    <s v="2008 / 2016"/>
    <s v="Reconstruction"/>
    <s v=""/>
    <n v="0.72868217054263562"/>
    <m/>
    <m/>
    <n v="0.4500496375266525"/>
    <n v="0.61762131107381035"/>
    <s v=""/>
    <n v="0"/>
    <n v="0"/>
    <n v="0"/>
    <n v="0"/>
  </r>
  <r>
    <s v="Sri Lanka"/>
    <x v="3"/>
    <s v="P107847"/>
    <s v="C1"/>
    <s v="S1"/>
    <s v="P107847C1S1"/>
    <s v="Ratio"/>
    <s v="2009 / 2015"/>
    <s v="Partial Widening and Reconstruction"/>
    <n v="0.98333333333333328"/>
    <n v="0.78193333333333337"/>
    <m/>
    <m/>
    <n v="1.41643059490085"/>
    <n v="1.8114467493829609"/>
    <s v="x"/>
    <n v="0"/>
    <n v="0"/>
    <n v="1"/>
    <n v="0"/>
  </r>
  <r>
    <s v="Sri Lanka"/>
    <x v="3"/>
    <s v="P107847"/>
    <s v="C1"/>
    <s v="S2"/>
    <s v="P107847C1S2"/>
    <s v="Ratio"/>
    <s v="2009 / 2015"/>
    <s v="Partial Widening and Reconstruction"/>
    <n v="0.98333333333333328"/>
    <n v="0.59150000000000003"/>
    <m/>
    <m/>
    <n v="1.4285714285714286"/>
    <n v="2.4151672503320851"/>
    <s v="x"/>
    <n v="0"/>
    <n v="0"/>
    <n v="1"/>
    <n v="0"/>
  </r>
  <r>
    <s v="Sri Lanka"/>
    <x v="3"/>
    <s v="P107847"/>
    <s v="C1"/>
    <s v="S3"/>
    <s v="P107847C1S3"/>
    <s v="Ratio"/>
    <s v="2009 / 2015"/>
    <s v="Partial Widening and Reconstruction"/>
    <n v="0.98333333333333328"/>
    <n v="0.55720000000000003"/>
    <m/>
    <m/>
    <n v="1.4285714285714286"/>
    <n v="2.5638396061942363"/>
    <s v="x"/>
    <n v="0"/>
    <n v="0"/>
    <n v="1"/>
    <n v="0"/>
  </r>
  <r>
    <s v="Honduras"/>
    <x v="4"/>
    <s v="P109058"/>
    <s v="C1"/>
    <s v="S1"/>
    <s v="P109058C1S1"/>
    <s v="Ratio"/>
    <s v="2008 / 2015"/>
    <s v="Upgrading"/>
    <s v=""/>
    <n v="1"/>
    <m/>
    <m/>
    <n v="1.0847658565500888"/>
    <n v="1.0847658565500891"/>
    <s v=""/>
    <n v="0"/>
    <n v="0"/>
    <n v="0"/>
    <n v="0"/>
  </r>
  <r>
    <s v="Honduras"/>
    <x v="4"/>
    <s v="P109058"/>
    <s v="C1"/>
    <s v="S2"/>
    <s v="P109058C1S2"/>
    <s v="Ratio"/>
    <s v="2008 / 2015"/>
    <s v="Upgrading"/>
    <s v=""/>
    <n v="1"/>
    <m/>
    <m/>
    <n v="1.2946690099589924"/>
    <n v="1.2946690099589926"/>
    <s v=""/>
    <n v="0"/>
    <n v="0"/>
    <n v="0"/>
    <n v="0"/>
  </r>
  <r>
    <s v="Honduras"/>
    <x v="4"/>
    <s v="P109058"/>
    <s v="C1"/>
    <s v="S3"/>
    <s v="P109058C1S3"/>
    <s v="Ratio"/>
    <s v="2008 / 2015"/>
    <s v="Upgrading"/>
    <s v=""/>
    <n v="0.36363636363636365"/>
    <m/>
    <m/>
    <n v="1.1426959954878737"/>
    <n v="3.1424139875916528"/>
    <s v="x"/>
    <n v="0"/>
    <n v="1"/>
    <n v="1"/>
    <n v="0"/>
  </r>
  <r>
    <s v="Belarus"/>
    <x v="1"/>
    <s v="P118375"/>
    <s v="C1"/>
    <s v="S1"/>
    <s v="P118375C1S1"/>
    <s v="Ratio"/>
    <s v="2010 / 2016"/>
    <s v="Widening and Reconstruction"/>
    <n v="0.77419354838709675"/>
    <n v="1"/>
    <m/>
    <m/>
    <n v="0.83851508120649654"/>
    <n v="0.83851508120649654"/>
    <s v=""/>
    <n v="0"/>
    <n v="0"/>
    <n v="0"/>
    <n v="0"/>
  </r>
  <r>
    <s v="Belarus"/>
    <x v="1"/>
    <s v="P118375"/>
    <s v="C1"/>
    <s v="S2"/>
    <s v="P118375C1S2"/>
    <s v="Ratio"/>
    <s v="2010 / 2016"/>
    <s v="Widening and Reconstruction"/>
    <n v="0.77419354838709675"/>
    <n v="1"/>
    <m/>
    <m/>
    <n v="1.3287937743190661"/>
    <n v="1.3287937743190661"/>
    <s v=""/>
    <n v="0"/>
    <n v="0"/>
    <n v="0"/>
    <n v="0"/>
  </r>
  <r>
    <s v="Belarus"/>
    <x v="1"/>
    <s v="P118375"/>
    <s v="C1"/>
    <s v="S3"/>
    <s v="P118375C1S3"/>
    <s v="Ratio"/>
    <s v="2010 / 2016"/>
    <s v="Widening and Reconstruction"/>
    <n v="0.77419354838709675"/>
    <n v="1"/>
    <m/>
    <m/>
    <n v="0.81219512195121946"/>
    <n v="0.81219512195121946"/>
    <s v=""/>
    <n v="0"/>
    <n v="0"/>
    <n v="0"/>
    <n v="0"/>
  </r>
  <r>
    <s v="Belarus"/>
    <x v="1"/>
    <s v="P118375"/>
    <s v="C1"/>
    <s v="S4"/>
    <s v="P118375C1S4"/>
    <s v="Ratio"/>
    <s v="2010 / 2016"/>
    <s v="Widening and Reconstruction"/>
    <n v="0.77419354838709675"/>
    <n v="1"/>
    <m/>
    <m/>
    <n v="1.4740384615384614"/>
    <n v="1.4740384615384614"/>
    <s v=""/>
    <n v="0"/>
    <n v="0"/>
    <n v="0"/>
    <n v="0"/>
  </r>
  <r>
    <s v="South Sudan"/>
    <x v="0"/>
    <s v="P118579"/>
    <s v="C1"/>
    <s v="S1"/>
    <s v="P118579C1S1"/>
    <s v="Ratio"/>
    <s v="2010 / 2013"/>
    <s v="Routine Maintenance"/>
    <s v=""/>
    <n v="0.84848484848484851"/>
    <m/>
    <m/>
    <n v="0.98406244458762893"/>
    <n v="1.1597878811211342"/>
    <s v=""/>
    <n v="0"/>
    <n v="0"/>
    <n v="0"/>
    <n v="0"/>
  </r>
  <r>
    <s v="South Sudan"/>
    <x v="0"/>
    <s v="P118579"/>
    <s v="C1"/>
    <s v="S2"/>
    <s v="P118579C1S2"/>
    <s v="Ratio"/>
    <s v="2010 / 2013"/>
    <s v="Routine Maintenance"/>
    <s v=""/>
    <n v="0.70625000000000004"/>
    <m/>
    <m/>
    <n v="1.0144039270588237"/>
    <n v="1.4363241445080688"/>
    <s v=""/>
    <n v="0"/>
    <n v="0"/>
    <n v="0"/>
    <n v="0"/>
  </r>
  <r>
    <s v="South Sudan"/>
    <x v="0"/>
    <s v="P118579"/>
    <s v="C1"/>
    <s v="S3"/>
    <s v="P118579C1S3"/>
    <s v="Ratio"/>
    <s v="2010 / 2013"/>
    <s v="Routine Maintenance"/>
    <s v=""/>
    <n v="0.79473684210526319"/>
    <m/>
    <m/>
    <n v="1.1176118740740741"/>
    <n v="1.4062665965170469"/>
    <s v=""/>
    <n v="0"/>
    <n v="0"/>
    <n v="0"/>
    <n v="0"/>
  </r>
  <r>
    <s v="South Sudan"/>
    <x v="0"/>
    <s v="P118579"/>
    <s v="C1"/>
    <s v="S4"/>
    <s v="P118579C1S4"/>
    <s v="Ratio"/>
    <s v="2010 / 2013"/>
    <s v="Routine Maintenance"/>
    <s v=""/>
    <n v="0.95102040816326527"/>
    <m/>
    <m/>
    <n v="0.95798102592592582"/>
    <n v="1.0073191045143857"/>
    <s v=""/>
    <n v="0"/>
    <n v="0"/>
    <n v="0"/>
    <n v="0"/>
  </r>
  <r>
    <s v="South Sudan"/>
    <x v="0"/>
    <s v="P118579"/>
    <s v="C1"/>
    <s v="S5"/>
    <s v="P118579C1S5"/>
    <s v="Ratio"/>
    <s v="2010 / 2013"/>
    <s v="Routine Maintenance"/>
    <s v=""/>
    <n v="0.44791666666666669"/>
    <m/>
    <m/>
    <n v="0.76475004608294939"/>
    <n v="1.7073489400921662"/>
    <s v="x"/>
    <n v="0"/>
    <n v="1"/>
    <n v="1"/>
    <n v="0"/>
  </r>
  <r>
    <s v="South Sudan"/>
    <x v="0"/>
    <s v="P118579"/>
    <s v="C1"/>
    <s v="S6"/>
    <s v="P118579C1S6"/>
    <s v="Ratio"/>
    <s v="2010 / 2013"/>
    <s v="Routine Maintenance"/>
    <s v=""/>
    <n v="1"/>
    <m/>
    <m/>
    <n v="0.95409011727416804"/>
    <n v="0.95409011727416804"/>
    <s v=""/>
    <n v="0"/>
    <n v="0"/>
    <n v="0"/>
    <n v="0"/>
  </r>
  <r>
    <s v="South Sudan"/>
    <x v="0"/>
    <s v="P118579"/>
    <s v="C1"/>
    <s v="S7"/>
    <s v="P118579C1S7"/>
    <s v="Ratio"/>
    <s v="2010 / 2013"/>
    <s v="Routine Maintenance"/>
    <s v=""/>
    <n v="0.93333333333333335"/>
    <m/>
    <m/>
    <n v="1.1493094748427672"/>
    <n v="1.2314030087601078"/>
    <s v=""/>
    <n v="0"/>
    <n v="0"/>
    <n v="0"/>
    <n v="0"/>
  </r>
  <r>
    <s v="South Sudan"/>
    <x v="0"/>
    <s v="P118579"/>
    <s v="C1"/>
    <s v="S8"/>
    <s v="P118579C1S8"/>
    <s v="Ratio"/>
    <s v="2010 / 2013"/>
    <s v="Routine Maintenance"/>
    <s v=""/>
    <n v="0.49615384615384617"/>
    <m/>
    <m/>
    <n v="1.1423927173913044"/>
    <n v="2.3024969497809238"/>
    <s v="x"/>
    <n v="0"/>
    <n v="1"/>
    <n v="1"/>
    <n v="0"/>
  </r>
  <r>
    <s v="Pakistan"/>
    <x v="3"/>
    <s v="P125584"/>
    <s v="C1"/>
    <s v="S1"/>
    <s v="P125584C1S1"/>
    <s v="Ratio"/>
    <s v="2011 / 2016"/>
    <s v="Partial Widening and Reconstruction"/>
    <n v="1"/>
    <n v="1.4761904761904763"/>
    <m/>
    <m/>
    <n v="1.4396887159533076"/>
    <n v="0.97527300112965998"/>
    <s v=""/>
    <n v="0"/>
    <n v="0"/>
    <n v="0"/>
    <n v="0"/>
  </r>
  <r>
    <s v="Pakistan"/>
    <x v="3"/>
    <s v="P128966"/>
    <s v="C1"/>
    <s v=""/>
    <s v="P128966C1"/>
    <s v="Ratio"/>
    <s v="2012 / 2016"/>
    <s v="Upgrading"/>
    <s v=""/>
    <n v="1"/>
    <m/>
    <m/>
    <n v="0.99555555555555553"/>
    <n v="0.99555555555555542"/>
    <s v=""/>
    <n v="0"/>
    <n v="0"/>
    <n v="0"/>
    <n v="0"/>
  </r>
  <r>
    <s v="Chad"/>
    <x v="0"/>
    <s v="AfDB project - P-TD-DB0-008"/>
    <s v="C1"/>
    <s v=""/>
    <s v="AfDB project - P-TD-DB0-008C1"/>
    <s v="Ratio"/>
    <s v="2009 / 2017"/>
    <s v="Asphalt Mix Resurfacing"/>
    <n v="1"/>
    <n v="1"/>
    <n v="1.683027639178504"/>
    <m/>
    <n v="1.7447877214006935"/>
    <n v="1.7447877214006935"/>
    <s v="x"/>
    <n v="0"/>
    <n v="0"/>
    <n v="1"/>
    <n v="0"/>
  </r>
  <r>
    <s v="Swaziland"/>
    <x v="0"/>
    <s v="Loan numbers: ADB loan: B/SWA/ROD/89/15 and ADF loan: F/SWA/ROD/89/6"/>
    <s v="C1"/>
    <s v=""/>
    <s v="Loan numbers: ADB loan: B/SWA/ROD/89/15 and ADF loan: F/SWA/ROD/89/6C1"/>
    <s v="Ratio"/>
    <s v="1988 / 1994"/>
    <s v="Strengthening"/>
    <n v="1"/>
    <n v="1"/>
    <n v="6.0425838282608426"/>
    <m/>
    <n v="3.8689557863765907"/>
    <n v="3.8689557863765902"/>
    <s v="x"/>
    <n v="0"/>
    <n v="0"/>
    <n v="1"/>
    <n v="0"/>
  </r>
  <r>
    <s v="Niger"/>
    <x v="0"/>
    <n v="0"/>
    <s v="C1"/>
    <s v=""/>
    <s v="0C1"/>
    <s v="Ratio"/>
    <s v="1989 / 1999"/>
    <s v="Partial Widening"/>
    <s v=""/>
    <n v="0.89114266396213682"/>
    <n v="2.2549884031391891"/>
    <m/>
    <n v="0.85590803626214118"/>
    <n v="1.3110693350540821"/>
    <s v=""/>
    <n v="0"/>
    <n v="0"/>
    <n v="0"/>
    <n v="0"/>
  </r>
  <r>
    <s v="Zambia"/>
    <x v="0"/>
    <s v="AfDB project - P –Z1-DB0 -063 "/>
    <s v="C1"/>
    <s v=""/>
    <s v="AfDB project - P –Z1-DB0 -063 C1"/>
    <s v="Ratio"/>
    <s v="2010 / 2017"/>
    <s v="Reconstruction"/>
    <n v="1.0833333333333333"/>
    <n v="1"/>
    <n v="0.939306358381503"/>
    <m/>
    <n v="0.939306358381503"/>
    <n v="0.939306358381503"/>
    <s v=""/>
    <n v="0"/>
    <n v="0"/>
    <n v="0"/>
    <n v="0"/>
  </r>
  <r>
    <s v="Kenya"/>
    <x v="0"/>
    <s v="AfDB project P-KE-DB0-019"/>
    <s v="C1"/>
    <s v=""/>
    <s v="AfDB project P-KE-DB0-019C1"/>
    <s v="Ratio"/>
    <s v="2010 / 2017"/>
    <s v="Reconstruction"/>
    <n v="1.4166666666666667"/>
    <n v="1"/>
    <n v="1.3051760233667675"/>
    <m/>
    <n v="1.0004160961538076"/>
    <n v="1.0004160961538076"/>
    <s v=""/>
    <n v="0"/>
    <n v="0"/>
    <n v="0"/>
    <n v="0"/>
  </r>
  <r>
    <s v="Guinea"/>
    <x v="0"/>
    <s v="AfDB P-GN-AB0-005_x000a_"/>
    <s v="C1"/>
    <s v=""/>
    <s v="AfDB P-GN-AB0-005_x000a_C1"/>
    <s v="Ratio"/>
    <s v="2012 / 2011"/>
    <s v="Asphalt Mix Resurfacing"/>
    <s v=""/>
    <n v="0.25740740740740742"/>
    <n v="0.40072289156626506"/>
    <m/>
    <n v="0.39306576624971218"/>
    <n v="1.5270180847111121"/>
    <s v="x"/>
    <n v="0"/>
    <n v="1"/>
    <n v="1"/>
    <n v="0"/>
  </r>
  <r>
    <s v="Benin"/>
    <x v="0"/>
    <s v="AfDB-P-BJ-DB0-010 "/>
    <s v="C1"/>
    <s v=""/>
    <s v="AfDB-P-BJ-DB0-010 C1"/>
    <s v="Ratio"/>
    <s v="2002 / 2011"/>
    <s v="New 2L Highway"/>
    <s v=""/>
    <n v="1"/>
    <n v="1.0560310173402154"/>
    <m/>
    <n v="1.5598535550073822"/>
    <n v="1.5598535550073824"/>
    <s v="x"/>
    <n v="0"/>
    <n v="0"/>
    <n v="1"/>
    <n v="0"/>
  </r>
  <r>
    <s v="Cameroon"/>
    <x v="0"/>
    <s v="AfDB loan number: B/CAM/RTE/89/16"/>
    <s v="C1"/>
    <s v="S1"/>
    <s v="AfDB loan number: B/CAM/RTE/89/16C1S1"/>
    <s v="Ratio"/>
    <s v="1988 / 1998"/>
    <s v="Upgrading"/>
    <n v="2"/>
    <n v="1"/>
    <n v="1.0206057259366239"/>
    <m/>
    <n v="0.51525927521478776"/>
    <n v="0.51525927521478776"/>
    <s v=""/>
    <n v="0"/>
    <n v="0"/>
    <n v="0"/>
    <n v="0"/>
  </r>
  <r>
    <s v="Cameroon"/>
    <x v="0"/>
    <s v="AfDB loan number: B/CAM/RTE/89/16"/>
    <s v="C1"/>
    <s v="S2"/>
    <s v="AfDB loan number: B/CAM/RTE/89/16C1S2"/>
    <s v="Ratio"/>
    <s v="1988 / 1998"/>
    <s v="Strengthening"/>
    <n v="2"/>
    <n v="0.99596774193548376"/>
    <n v="0.94175406155065389"/>
    <m/>
    <n v="0.47545051223365831"/>
    <n v="0.47737541309290393"/>
    <s v="x"/>
    <n v="0"/>
    <n v="0"/>
    <n v="0"/>
    <n v="1"/>
  </r>
  <r>
    <s v="Burkina Faso"/>
    <x v="0"/>
    <s v="AfDB loan number: F/BUF/RTE/92/19"/>
    <s v="C1"/>
    <s v=""/>
    <s v="AfDB loan number: F/BUF/RTE/92/19C1"/>
    <s v="Ratio"/>
    <s v="1990 / 1999"/>
    <s v="Upgrading"/>
    <n v="2.2000000000000002"/>
    <n v="1.7591623036649213"/>
    <n v="1.2002132764596107"/>
    <m/>
    <n v="0.53073797958208446"/>
    <n v="0.30169926815529213"/>
    <s v="x"/>
    <n v="1"/>
    <n v="0"/>
    <n v="0"/>
    <n v="1"/>
  </r>
  <r>
    <s v="Lesotho"/>
    <x v="0"/>
    <s v="AfDB loan number: CS/LES/TR/86/18_x000a_"/>
    <s v="C1"/>
    <s v=""/>
    <s v="AfDB loan number: CS/LES/TR/86/18_x000a_C1"/>
    <s v="Ratio"/>
    <s v="1985 / 1991"/>
    <s v="Upgrading"/>
    <n v="1.4583333333333333"/>
    <n v="1"/>
    <n v="2.3029832569756454"/>
    <m/>
    <n v="1.8584015561541973"/>
    <n v="1.8584015561541973"/>
    <s v="x"/>
    <n v="0"/>
    <n v="0"/>
    <n v="1"/>
    <n v="0"/>
  </r>
  <r>
    <s v="Morocco"/>
    <x v="5"/>
    <s v="AfDB loan number B/MRC/RTE/90/35"/>
    <s v="C1"/>
    <s v=""/>
    <s v="AfDB loan number B/MRC/RTE/90/35C1"/>
    <s v="Ratio"/>
    <s v="1989 / 1998"/>
    <s v="Strengthening"/>
    <s v=""/>
    <n v="1.3698034682080926"/>
    <n v="0.97047046176863261"/>
    <m/>
    <n v="0.85770025817286066"/>
    <n v="0.62614840601539767"/>
    <s v=""/>
    <n v="0"/>
    <n v="0"/>
    <n v="0"/>
    <n v="0"/>
  </r>
  <r>
    <s v="Namibia"/>
    <x v="0"/>
    <s v="AfDB loan number: F/NAM/ROD/92/1_x000a_"/>
    <s v="C1"/>
    <s v=""/>
    <s v="AfDB loan number: F/NAM/ROD/92/1_x000a_C1"/>
    <s v="Ratio"/>
    <s v="1991 / 1995"/>
    <s v="Upgrading"/>
    <s v=""/>
    <n v="1"/>
    <n v="1.5053558411093844"/>
    <m/>
    <n v="1.1459298255591426"/>
    <n v="1.1459298255591424"/>
    <s v=""/>
    <n v="0"/>
    <n v="0"/>
    <n v="0"/>
    <n v="0"/>
  </r>
  <r>
    <s v="Lesotho"/>
    <x v="0"/>
    <s v="AfDB loan numbers: F/LES/TRA-ROD/87/20 &amp; F/LES/ROD/93/SUP/8_x000a_"/>
    <s v="C1"/>
    <s v=""/>
    <s v="AfDB loan numbers: F/LES/TRA-ROD/87/20 &amp; F/LES/ROD/93/SUP/8_x000a_C1"/>
    <s v="Ratio"/>
    <s v="1987 / 1997"/>
    <s v="Upgrading"/>
    <n v="3.5"/>
    <n v="1"/>
    <n v="5.8584874016811224"/>
    <m/>
    <n v="2.5890775667077852"/>
    <n v="2.5890775667077852"/>
    <s v="x"/>
    <n v="0"/>
    <n v="0"/>
    <n v="1"/>
    <n v="0"/>
  </r>
  <r>
    <s v="Benin"/>
    <x v="0"/>
    <s v="AfDB loan number: F/BEN/ROD/92/27_x000a_"/>
    <s v="C1"/>
    <s v=""/>
    <s v="AfDB loan number: F/BEN/ROD/92/27_x000a_C1"/>
    <s v="Ratio"/>
    <s v="1992 / 1999"/>
    <s v="New 2L Highway"/>
    <s v=""/>
    <n v="1"/>
    <n v="1.3157443157443158"/>
    <m/>
    <n v="1"/>
    <n v="0.56564888650840994"/>
    <s v=""/>
    <n v="0"/>
    <n v="0"/>
    <n v="0"/>
    <n v="0"/>
  </r>
  <r>
    <s v="Benin"/>
    <x v="0"/>
    <s v="AfDB loan number: F/BEN/ROD/92/27_x000a_"/>
    <s v="C2"/>
    <s v=""/>
    <s v="AfDB loan number: F/BEN/ROD/92/27_x000a_C2"/>
    <s v="Ratio"/>
    <s v="1992 / 1999"/>
    <s v="Partial Widening and Reconstruction"/>
    <s v=""/>
    <n v="1"/>
    <n v="2.8122489959839356"/>
    <m/>
    <n v="1.209008083202566"/>
    <n v="1.209008083202566"/>
    <s v=""/>
    <n v="0"/>
    <n v="0"/>
    <n v="0"/>
    <n v="0"/>
  </r>
  <r>
    <s v="Malawi"/>
    <x v="0"/>
    <s v="AfDB loan F/MLW/AGR(RD)/87/15"/>
    <s v="C1"/>
    <s v=""/>
    <s v="AfDB loan F/MLW/AGR(RD)/87/15C1"/>
    <s v="Ratio"/>
    <s v="1987 / 1999"/>
    <s v="Upgrading"/>
    <s v=""/>
    <n v="1.0483870967741935"/>
    <n v="1.8660098522167488"/>
    <m/>
    <n v="9.313116322315898E-2"/>
    <n v="8.8832801843628573E-2"/>
    <s v="x"/>
    <n v="0"/>
    <n v="0"/>
    <n v="0"/>
    <n v="1"/>
  </r>
  <r>
    <s v="Burkina Faso"/>
    <x v="0"/>
    <s v="AfDB P-BF-DB0-012"/>
    <s v="C1"/>
    <s v=""/>
    <s v="AfDB P-BF-DB0-012C1"/>
    <s v="Ratio"/>
    <s v="2004 / 2011"/>
    <s v="Strengthening"/>
    <s v=""/>
    <n v="0.94256410256410261"/>
    <n v="0.92980259223227979"/>
    <m/>
    <n v="1.040978496639827"/>
    <n v="1.1044113538888263"/>
    <s v=""/>
    <n v="0"/>
    <n v="0"/>
    <n v="0"/>
    <n v="0"/>
  </r>
  <r>
    <s v="China"/>
    <x v="2"/>
    <s v="Project number: 42017-013"/>
    <s v="C1"/>
    <s v="S1"/>
    <s v="Project number: 42017-013C1S1"/>
    <s v="Ratio"/>
    <s v="2010 / 2016"/>
    <s v="New 4L Expressway"/>
    <s v=""/>
    <n v="1"/>
    <n v="1.2183760957194958"/>
    <m/>
    <n v="1.2422298445814739"/>
    <n v="1.2422298445814739"/>
    <s v=""/>
    <n v="0"/>
    <n v="0"/>
    <n v="0"/>
    <n v="0"/>
  </r>
  <r>
    <s v="China"/>
    <x v="2"/>
    <s v="Project number: 42017-013"/>
    <s v="C1"/>
    <s v="S2"/>
    <s v="Project number: 42017-013C1S2"/>
    <s v="Ratio"/>
    <s v="2010 / 2016"/>
    <s v="Upgrading"/>
    <s v=""/>
    <n v="1"/>
    <n v="1.1482381530984205"/>
    <m/>
    <n v="1.1707187193488413"/>
    <n v="1.1707187193488413"/>
    <s v=""/>
    <n v="0"/>
    <n v="0"/>
    <n v="0"/>
    <n v="0"/>
  </r>
  <r>
    <s v="China"/>
    <x v="2"/>
    <s v="Project number: 42017-013"/>
    <s v="C1"/>
    <s v="S3"/>
    <s v="Project number: 42017-013C1S3"/>
    <s v="Ratio"/>
    <s v="2010 / 2016"/>
    <s v="New 2L Highway"/>
    <s v=""/>
    <n v="1"/>
    <n v="1.2559878342415411"/>
    <m/>
    <n v="1.280577957502294"/>
    <n v="1.280577957502294"/>
    <s v=""/>
    <n v="0"/>
    <n v="0"/>
    <n v="0"/>
    <n v="0"/>
  </r>
  <r>
    <s v="Kazakhstan"/>
    <x v="1"/>
    <s v="Project numbers 29568 &amp; 32463 "/>
    <s v="C1"/>
    <s v=""/>
    <s v="Project numbers 29568 &amp; 32463 C1"/>
    <s v="Ratio"/>
    <s v="2000 / 2007"/>
    <s v="Surface Treatment Resurfacing"/>
    <s v=""/>
    <n v="0.90204081632653066"/>
    <n v="1.5145340939961967"/>
    <m/>
    <n v="1.7565135110540957"/>
    <n v="1.947266109539608"/>
    <s v="x"/>
    <n v="0"/>
    <n v="0"/>
    <n v="1"/>
    <n v="0"/>
  </r>
  <r>
    <s v="Cambodia"/>
    <x v="2"/>
    <s v="Project Number: 42358-013"/>
    <s v="C1"/>
    <s v=""/>
    <s v="Project Number: 42358-013C1"/>
    <s v="Ratio"/>
    <s v="2009 / 2014"/>
    <s v="Upgrading"/>
    <m/>
    <n v="1"/>
    <n v="1.510933557611438"/>
    <m/>
    <n v="1.570977963634659"/>
    <n v="1.5709779636346592"/>
    <s v="x"/>
    <n v="0"/>
    <n v="0"/>
    <n v="1"/>
    <n v="0"/>
  </r>
  <r>
    <s v="Kazakhstan"/>
    <x v="1"/>
    <s v="Project Number: 43439-023 "/>
    <s v="C1"/>
    <s v=""/>
    <s v="Project Number: 43439-023 C1"/>
    <s v="Ratio"/>
    <s v="2010 / 2016"/>
    <s v="Asphalt Mix Resurfacing"/>
    <m/>
    <n v="1"/>
    <n v="0.60246868091378036"/>
    <m/>
    <n v="0.60246868091378036"/>
    <n v="0.60246868091378036"/>
    <s v=""/>
    <n v="0"/>
    <n v="0"/>
    <n v="0"/>
    <n v="0"/>
  </r>
</pivotCacheRecords>
</file>

<file path=xl/pivotCache/pivotCacheRecords6.xml><?xml version="1.0" encoding="utf-8"?>
<pivotCacheRecords xmlns="http://schemas.openxmlformats.org/spreadsheetml/2006/main" xmlns:r="http://schemas.openxmlformats.org/officeDocument/2006/relationships" count="1685">
  <r>
    <s v="Afghanistan"/>
    <x v="0"/>
    <s v="P078284"/>
    <s v="C1"/>
    <s v=""/>
    <s v="P078284C1"/>
    <x v="0"/>
    <n v="2003"/>
    <x v="0"/>
    <s v=""/>
    <n v="346.8"/>
    <n v="69.900000000000006"/>
    <s v="USD"/>
    <n v="69.900000000000006"/>
    <n v="0.20155709342560554"/>
    <s v=""/>
    <s v=""/>
    <x v="0"/>
    <s v=""/>
    <s v=""/>
    <m/>
  </r>
  <r>
    <s v="Afghanistan"/>
    <x v="0"/>
    <s v="P078284"/>
    <s v="C1"/>
    <s v=""/>
    <s v="P078284C1"/>
    <x v="1"/>
    <n v="2008"/>
    <x v="0"/>
    <s v=""/>
    <n v="345"/>
    <n v="98.51"/>
    <s v="USD"/>
    <n v="98.51"/>
    <n v="0.28553623188405797"/>
    <s v=""/>
    <s v=""/>
    <x v="0"/>
    <s v=""/>
    <s v=""/>
    <m/>
  </r>
  <r>
    <s v="Afghanistan"/>
    <x v="0"/>
    <s v="P078284"/>
    <s v="C1"/>
    <s v=""/>
    <s v="P078284C1"/>
    <x v="2"/>
    <s v="2003 / 2008"/>
    <x v="0"/>
    <s v=""/>
    <n v="0.9948096885813148"/>
    <n v="1.4092989985693849"/>
    <m/>
    <n v="1.4092989985693849"/>
    <n v="1.4166518629097469"/>
    <s v=""/>
    <s v=""/>
    <x v="0"/>
    <s v=""/>
    <s v=""/>
    <s v=""/>
  </r>
  <r>
    <s v="Afghanistan"/>
    <x v="0"/>
    <s v="P078284"/>
    <s v="C1"/>
    <s v="S1"/>
    <s v="P078284C1S1"/>
    <x v="0"/>
    <n v="2003"/>
    <x v="0"/>
    <n v="6"/>
    <n v="175"/>
    <n v="44.9"/>
    <s v="USD"/>
    <n v="44.9"/>
    <n v="0.25657142857142856"/>
    <s v=""/>
    <s v=""/>
    <x v="0"/>
    <s v=""/>
    <s v=""/>
    <m/>
  </r>
  <r>
    <s v="Afghanistan"/>
    <x v="0"/>
    <s v="P078284"/>
    <s v="C1"/>
    <s v="S1"/>
    <s v="P078284C1S1"/>
    <x v="1"/>
    <n v="2008"/>
    <x v="0"/>
    <n v="30"/>
    <n v="175"/>
    <n v="67.34"/>
    <s v="USD"/>
    <n v="67.34"/>
    <n v="0.38480000000000003"/>
    <s v=""/>
    <s v=""/>
    <x v="0"/>
    <s v=""/>
    <s v=""/>
    <m/>
  </r>
  <r>
    <s v="Afghanistan"/>
    <x v="0"/>
    <s v="P078284"/>
    <s v="C1"/>
    <s v=""/>
    <s v="P078284C1S1"/>
    <x v="2"/>
    <s v="2003 / 2008"/>
    <x v="0"/>
    <n v="5"/>
    <n v="1"/>
    <n v="1.4997772828507796"/>
    <m/>
    <n v="1.4997772828507796"/>
    <n v="1.4997772828507796"/>
    <s v=""/>
    <s v=""/>
    <x v="0"/>
    <s v=""/>
    <s v=""/>
    <s v=""/>
  </r>
  <r>
    <s v="Afghanistan"/>
    <x v="0"/>
    <s v="P078284"/>
    <s v="C1"/>
    <s v="S2"/>
    <s v="P078284C1S2"/>
    <x v="0"/>
    <n v="2003"/>
    <x v="0"/>
    <n v="21"/>
    <n v="171.8"/>
    <n v="25"/>
    <s v="USD"/>
    <n v="25"/>
    <n v="0.14551804423748543"/>
    <s v=""/>
    <s v=""/>
    <x v="0"/>
    <s v=""/>
    <s v=""/>
    <m/>
  </r>
  <r>
    <s v="Afghanistan"/>
    <x v="0"/>
    <s v="P078284"/>
    <s v="C1"/>
    <s v="S2"/>
    <s v="P078284C1S2"/>
    <x v="1"/>
    <n v="2008"/>
    <x v="0"/>
    <n v="33"/>
    <n v="170"/>
    <n v="31.17"/>
    <s v="USD"/>
    <n v="31.17"/>
    <n v="0.18335294117647061"/>
    <s v=""/>
    <s v=""/>
    <x v="0"/>
    <s v=""/>
    <s v=""/>
    <m/>
  </r>
  <r>
    <s v="Afghanistan"/>
    <x v="0"/>
    <s v="P078284"/>
    <s v="C1"/>
    <s v=""/>
    <s v="P078284C1S2"/>
    <x v="2"/>
    <s v="2003 / 2008"/>
    <x v="0"/>
    <n v="1.5714285714285714"/>
    <n v="0.98952270081490101"/>
    <n v="1.2468000000000001"/>
    <m/>
    <n v="1.2468000000000001"/>
    <n v="1.260001411764706"/>
    <s v=""/>
    <s v=""/>
    <x v="0"/>
    <s v=""/>
    <s v=""/>
    <s v=""/>
  </r>
  <r>
    <s v="Afghanistan"/>
    <x v="0"/>
    <s v="P078284"/>
    <s v="C2"/>
    <s v=""/>
    <s v="P078284C2"/>
    <x v="0"/>
    <n v="2003"/>
    <x v="1"/>
    <s v=""/>
    <n v="250"/>
    <n v="38.299999999999997"/>
    <s v="USD"/>
    <n v="38.299999999999997"/>
    <n v="0.15319999999999998"/>
    <s v="x"/>
    <s v=""/>
    <x v="0"/>
    <s v="x"/>
    <s v="x"/>
    <m/>
  </r>
  <r>
    <s v="Afghanistan"/>
    <x v="0"/>
    <s v="P078284"/>
    <s v="C2"/>
    <s v=""/>
    <s v="P078284C2"/>
    <x v="1"/>
    <n v="2008"/>
    <x v="1"/>
    <s v=""/>
    <n v="61"/>
    <n v="28.03"/>
    <s v="USD"/>
    <n v="28.03"/>
    <n v="0.45950819672131149"/>
    <s v="x"/>
    <s v=""/>
    <x v="0"/>
    <s v="x"/>
    <s v="x"/>
    <m/>
  </r>
  <r>
    <s v="Afghanistan"/>
    <x v="0"/>
    <s v="P078284"/>
    <s v="C1"/>
    <s v=""/>
    <s v="P078284C2"/>
    <x v="2"/>
    <s v="2003 / 2008"/>
    <x v="1"/>
    <s v=""/>
    <n v="0.24399999999999999"/>
    <n v="0.73185378590078343"/>
    <m/>
    <n v="0.73185378590078343"/>
    <n v="2.9994007618884568"/>
    <s v="x"/>
    <s v=""/>
    <x v="0"/>
    <s v="x"/>
    <s v="x"/>
    <s v="Political events; Competition; Change of project scope"/>
  </r>
  <r>
    <s v="Afghanistan"/>
    <x v="0"/>
    <s v="P082472"/>
    <s v="C1"/>
    <s v=""/>
    <s v="P082472C1"/>
    <x v="0"/>
    <n v="2008"/>
    <x v="2"/>
    <s v=""/>
    <n v="2000"/>
    <n v="34.200000000000003"/>
    <s v="USD"/>
    <n v="34.200000000000003"/>
    <n v="1.7100000000000001E-2"/>
    <s v=""/>
    <s v=""/>
    <x v="0"/>
    <s v=""/>
    <s v=""/>
    <m/>
  </r>
  <r>
    <s v="Afghanistan"/>
    <x v="0"/>
    <s v="P082472"/>
    <s v="C1"/>
    <s v=""/>
    <s v="P082472C1"/>
    <x v="1"/>
    <n v="2008"/>
    <x v="2"/>
    <s v=""/>
    <n v="1516.7"/>
    <n v="37.61"/>
    <s v="USD"/>
    <n v="37.61"/>
    <n v="2.4797257203138391E-2"/>
    <s v=""/>
    <s v=""/>
    <x v="0"/>
    <s v=""/>
    <s v=""/>
    <m/>
  </r>
  <r>
    <s v="Afghanistan"/>
    <x v="0"/>
    <s v="P082472"/>
    <s v="C1"/>
    <s v=""/>
    <s v="P082472C1"/>
    <x v="2"/>
    <s v="2003 / 2008"/>
    <x v="2"/>
    <s v=""/>
    <n v="0.75834999999999997"/>
    <n v="1.0997076023391812"/>
    <m/>
    <n v="1.0997076023391812"/>
    <n v="1.4501320001835316"/>
    <s v=""/>
    <s v=""/>
    <x v="0"/>
    <s v=""/>
    <s v=""/>
    <s v=""/>
  </r>
  <r>
    <s v="Afghanistan"/>
    <x v="0"/>
    <s v="P107101"/>
    <s v="C1"/>
    <s v="S1"/>
    <s v="P107101C1S1"/>
    <x v="0"/>
    <n v="2010"/>
    <x v="0"/>
    <n v="4"/>
    <n v="3.14"/>
    <n v="3.32"/>
    <s v="USD"/>
    <n v="3.32"/>
    <n v="1.0573248407643312"/>
    <s v=""/>
    <s v=""/>
    <x v="0"/>
    <s v=""/>
    <s v=""/>
    <m/>
  </r>
  <r>
    <s v="Afghanistan"/>
    <x v="0"/>
    <s v="P107101"/>
    <s v="C1"/>
    <s v="S1"/>
    <s v="P107101C1S1"/>
    <x v="1"/>
    <n v="2012"/>
    <x v="0"/>
    <n v="33"/>
    <n v="3.14"/>
    <n v="3.3130000000000002"/>
    <s v="USD"/>
    <n v="3.3130000000000002"/>
    <n v="1.0550955414012739"/>
    <s v=""/>
    <s v=""/>
    <x v="0"/>
    <s v=""/>
    <s v=""/>
    <m/>
  </r>
  <r>
    <s v="Afghanistan"/>
    <x v="0"/>
    <s v="P107101"/>
    <s v="C1"/>
    <s v=""/>
    <s v="P107101C1S1"/>
    <x v="2"/>
    <s v="2003 / 2008"/>
    <x v="0"/>
    <n v="8.25"/>
    <n v="1"/>
    <n v="0.99789156626506037"/>
    <m/>
    <n v="0.99789156626506037"/>
    <n v="0.99789156626506026"/>
    <s v=""/>
    <s v=""/>
    <x v="0"/>
    <s v=""/>
    <s v=""/>
    <s v=""/>
  </r>
  <r>
    <s v="Afghanistan"/>
    <x v="0"/>
    <s v="P107101"/>
    <s v="C1"/>
    <s v="S2"/>
    <s v="P107101C1S2"/>
    <x v="0"/>
    <n v="2010"/>
    <x v="0"/>
    <n v="4"/>
    <n v="3.28"/>
    <n v="3.85"/>
    <s v="USD"/>
    <n v="3.85"/>
    <n v="1.1737804878048781"/>
    <s v=""/>
    <s v=""/>
    <x v="0"/>
    <s v=""/>
    <s v=""/>
    <m/>
  </r>
  <r>
    <s v="Afghanistan"/>
    <x v="0"/>
    <s v="P107101"/>
    <s v="C1"/>
    <s v="S2"/>
    <s v="P107101C1S2"/>
    <x v="1"/>
    <n v="2012"/>
    <x v="0"/>
    <n v="33"/>
    <n v="3.28"/>
    <n v="3.7959999999999998"/>
    <s v="USD"/>
    <n v="3.7959999999999998"/>
    <n v="1.1573170731707316"/>
    <s v=""/>
    <s v=""/>
    <x v="0"/>
    <s v=""/>
    <s v=""/>
    <m/>
  </r>
  <r>
    <s v="Afghanistan"/>
    <x v="0"/>
    <s v="P107101"/>
    <s v="C1"/>
    <s v=""/>
    <s v="P107101C1S2"/>
    <x v="2"/>
    <s v="2003 / 2008"/>
    <x v="0"/>
    <n v="8.25"/>
    <n v="1"/>
    <n v="0.98597402597402595"/>
    <m/>
    <n v="0.98597402597402595"/>
    <n v="0.98597402597402584"/>
    <s v=""/>
    <s v=""/>
    <x v="0"/>
    <s v=""/>
    <s v=""/>
    <s v=""/>
  </r>
  <r>
    <s v="Afghanistan"/>
    <x v="0"/>
    <s v="P107101"/>
    <s v="C1"/>
    <s v="S3"/>
    <s v="P107101C1S3"/>
    <x v="0"/>
    <n v="2010"/>
    <x v="0"/>
    <n v="4"/>
    <n v="2.2200000000000002"/>
    <n v="2.86"/>
    <s v="USD"/>
    <n v="2.86"/>
    <n v="1.288288288288288"/>
    <s v=""/>
    <s v=""/>
    <x v="0"/>
    <s v=""/>
    <s v=""/>
    <m/>
  </r>
  <r>
    <s v="Afghanistan"/>
    <x v="0"/>
    <s v="P107101"/>
    <s v="C1"/>
    <s v="S3"/>
    <s v="P107101C1S3"/>
    <x v="1"/>
    <n v="2012"/>
    <x v="0"/>
    <n v="30"/>
    <n v="2.2200000000000002"/>
    <n v="2.12"/>
    <s v="USD"/>
    <n v="2.12"/>
    <n v="0.95495495495495497"/>
    <s v=""/>
    <s v=""/>
    <x v="0"/>
    <s v=""/>
    <s v=""/>
    <m/>
  </r>
  <r>
    <s v="Afghanistan"/>
    <x v="0"/>
    <s v="P107101"/>
    <s v="C1"/>
    <s v=""/>
    <s v="P107101C1S3"/>
    <x v="2"/>
    <s v="2003 / 2008"/>
    <x v="0"/>
    <n v="7.5"/>
    <n v="1"/>
    <n v="0.74125874125874136"/>
    <m/>
    <n v="0.74125874125874136"/>
    <n v="0.74125874125874147"/>
    <s v=""/>
    <s v=""/>
    <x v="0"/>
    <s v=""/>
    <s v=""/>
    <s v=""/>
  </r>
  <r>
    <s v="Afghanistan"/>
    <x v="0"/>
    <s v="P107101"/>
    <s v="C1"/>
    <s v="S4"/>
    <s v="P107101C1S4"/>
    <x v="0"/>
    <n v="2010"/>
    <x v="0"/>
    <n v="4"/>
    <n v="3.27"/>
    <n v="4.3"/>
    <s v="USD"/>
    <n v="4.3"/>
    <n v="1.3149847094801224"/>
    <s v=""/>
    <s v=""/>
    <x v="0"/>
    <s v=""/>
    <s v=""/>
    <m/>
  </r>
  <r>
    <s v="Afghanistan"/>
    <x v="0"/>
    <s v="P107101"/>
    <s v="C1"/>
    <s v="S4"/>
    <s v="P107101C1S4"/>
    <x v="1"/>
    <n v="2012"/>
    <x v="0"/>
    <n v="30"/>
    <n v="3.27"/>
    <n v="2.85"/>
    <s v="USD"/>
    <n v="2.85"/>
    <n v="0.87155963302752293"/>
    <s v=""/>
    <s v=""/>
    <x v="0"/>
    <s v=""/>
    <s v=""/>
    <m/>
  </r>
  <r>
    <s v="Afghanistan"/>
    <x v="0"/>
    <s v="P107101"/>
    <s v="C1"/>
    <s v=""/>
    <s v="P107101C1S4"/>
    <x v="2"/>
    <s v="2003 / 2008"/>
    <x v="0"/>
    <n v="7.5"/>
    <n v="1"/>
    <n v="0.66279069767441867"/>
    <m/>
    <n v="0.66279069767441867"/>
    <n v="0.66279069767441856"/>
    <s v=""/>
    <s v=""/>
    <x v="0"/>
    <s v=""/>
    <s v=""/>
    <s v=""/>
  </r>
  <r>
    <s v="Albania"/>
    <x v="1"/>
    <s v="P068853"/>
    <s v="C1"/>
    <s v="S1"/>
    <s v="P068853C1S1"/>
    <x v="0"/>
    <n v="1999"/>
    <x v="3"/>
    <n v="15"/>
    <n v="22"/>
    <n v="0.73"/>
    <s v="USD"/>
    <n v="0.73"/>
    <n v="3.318181818181818E-2"/>
    <s v=""/>
    <s v=""/>
    <x v="0"/>
    <s v="x"/>
    <s v="x"/>
    <m/>
  </r>
  <r>
    <s v="Albania"/>
    <x v="1"/>
    <s v="P068853"/>
    <s v="C1"/>
    <s v="S1"/>
    <s v="P068853C1S1"/>
    <x v="1"/>
    <n v="2004"/>
    <x v="4"/>
    <s v=""/>
    <n v="12.3"/>
    <n v="0.99990000000000001"/>
    <s v="USD"/>
    <n v="0.99990000000000001"/>
    <n v="8.1292682926829271E-2"/>
    <s v=""/>
    <s v=""/>
    <x v="0"/>
    <s v="x"/>
    <s v="x"/>
    <m/>
  </r>
  <r>
    <s v="Albania"/>
    <x v="1"/>
    <s v="P068853"/>
    <s v="C1"/>
    <s v=""/>
    <s v="P068853C1S1"/>
    <x v="2"/>
    <s v="2003 / 2008"/>
    <x v="4"/>
    <s v=""/>
    <n v="0.55909090909090908"/>
    <n v="1.3697260273972602"/>
    <m/>
    <n v="1.3697260273972602"/>
    <n v="2.4499164717674575"/>
    <s v=""/>
    <s v=""/>
    <x v="0"/>
    <s v="x"/>
    <s v="x"/>
    <s v="Capacity of counterpart ; Weather shocks; Macroeconomic conditions "/>
  </r>
  <r>
    <s v="Albania"/>
    <x v="1"/>
    <s v="P068853"/>
    <s v="C1"/>
    <s v="S2"/>
    <s v="P068853C1S2"/>
    <x v="0"/>
    <n v="1999"/>
    <x v="3"/>
    <n v="15"/>
    <n v="26"/>
    <n v="0.87"/>
    <s v="USD"/>
    <n v="0.87"/>
    <n v="3.3461538461538459E-2"/>
    <s v=""/>
    <s v=""/>
    <x v="0"/>
    <s v="x"/>
    <s v="x"/>
    <m/>
  </r>
  <r>
    <s v="Albania"/>
    <x v="1"/>
    <s v="P068853"/>
    <s v="C1"/>
    <s v="S2"/>
    <s v="P068853C1S2"/>
    <x v="1"/>
    <n v="2004"/>
    <x v="4"/>
    <s v=""/>
    <n v="14.9"/>
    <n v="1.0980000000000001"/>
    <s v="USD"/>
    <n v="1.0980000000000001"/>
    <n v="7.3691275167785245E-2"/>
    <s v=""/>
    <s v=""/>
    <x v="0"/>
    <s v="x"/>
    <s v="x"/>
    <m/>
  </r>
  <r>
    <s v="Albania"/>
    <x v="1"/>
    <s v="P068853"/>
    <s v="C1"/>
    <s v=""/>
    <s v="P068853C1S2"/>
    <x v="2"/>
    <s v="2003 / 2008"/>
    <x v="4"/>
    <s v=""/>
    <n v="0.57307692307692304"/>
    <n v="1.2620689655172415"/>
    <m/>
    <n v="1.2620689655172415"/>
    <n v="2.2022679935200191"/>
    <s v=""/>
    <s v=""/>
    <x v="0"/>
    <s v="x"/>
    <s v="x"/>
    <s v="Capacity of counterpart ; Weather shocks; Macroeconomic conditions "/>
  </r>
  <r>
    <s v="Albania"/>
    <x v="1"/>
    <s v="P068853"/>
    <s v="C1"/>
    <s v="S3"/>
    <s v="P068853C1S3"/>
    <x v="0"/>
    <n v="1999"/>
    <x v="5"/>
    <n v="15"/>
    <n v="30"/>
    <n v="1.9"/>
    <s v="USD"/>
    <n v="1.9"/>
    <n v="6.3333333333333325E-2"/>
    <s v=""/>
    <s v=""/>
    <x v="1"/>
    <s v=""/>
    <s v="x"/>
    <m/>
  </r>
  <r>
    <s v="Albania"/>
    <x v="1"/>
    <s v="P068853"/>
    <s v="C1"/>
    <s v="S3"/>
    <s v="P068853C1S3"/>
    <x v="1"/>
    <n v="2004"/>
    <x v="5"/>
    <n v="4"/>
    <n v="29"/>
    <n v="0.188"/>
    <s v="USD"/>
    <n v="0.188"/>
    <n v="6.482758620689655E-3"/>
    <s v=""/>
    <s v=""/>
    <x v="1"/>
    <s v=""/>
    <s v="x"/>
    <m/>
  </r>
  <r>
    <s v="Albania"/>
    <x v="1"/>
    <s v="P068853"/>
    <s v="C1"/>
    <s v=""/>
    <s v="P068853C1S3"/>
    <x v="2"/>
    <s v="2003 / 2008"/>
    <x v="5"/>
    <n v="0.26666666666666666"/>
    <n v="0.96666666666666667"/>
    <n v="9.8947368421052631E-2"/>
    <m/>
    <n v="9.8947368421052631E-2"/>
    <n v="0.10235934664246825"/>
    <s v=""/>
    <s v=""/>
    <x v="1"/>
    <s v=""/>
    <s v="x"/>
    <s v="Capacity of counterpart ; Weather shocks; Macroeconomic conditions "/>
  </r>
  <r>
    <s v="Albania"/>
    <x v="1"/>
    <s v="P068853"/>
    <s v="C1"/>
    <s v="S4"/>
    <s v="P068853C1S4"/>
    <x v="0"/>
    <n v="1999"/>
    <x v="4"/>
    <n v="15"/>
    <n v="49"/>
    <n v="1.43"/>
    <s v="USD"/>
    <n v="1.43"/>
    <n v="2.9183673469387755E-2"/>
    <s v=""/>
    <s v=""/>
    <x v="0"/>
    <s v=""/>
    <s v=""/>
    <m/>
  </r>
  <r>
    <s v="Albania"/>
    <x v="1"/>
    <s v="P068853"/>
    <s v="C1"/>
    <s v="S4"/>
    <s v="P068853C1S4"/>
    <x v="1"/>
    <n v="2004"/>
    <x v="4"/>
    <n v="8"/>
    <n v="42.7"/>
    <n v="1.591"/>
    <s v="USD"/>
    <n v="1.591"/>
    <n v="3.7259953161592502E-2"/>
    <s v=""/>
    <s v=""/>
    <x v="0"/>
    <s v=""/>
    <s v=""/>
    <m/>
  </r>
  <r>
    <s v="Albania"/>
    <x v="1"/>
    <s v="P068853"/>
    <s v="C1"/>
    <s v=""/>
    <s v="P068853C1S4"/>
    <x v="2"/>
    <s v="2003 / 2008"/>
    <x v="4"/>
    <n v="0.53333333333333333"/>
    <n v="0.87142857142857144"/>
    <n v="1.1125874125874127"/>
    <m/>
    <n v="1.1125874125874127"/>
    <n v="1.276739653788834"/>
    <s v=""/>
    <s v=""/>
    <x v="0"/>
    <s v=""/>
    <s v=""/>
    <s v=""/>
  </r>
  <r>
    <s v="Albania"/>
    <x v="1"/>
    <s v="P068853"/>
    <s v="C1"/>
    <s v="S5"/>
    <s v="P068853C1S5"/>
    <x v="0"/>
    <n v="1999"/>
    <x v="5"/>
    <n v="15"/>
    <n v="70"/>
    <n v="5.4"/>
    <s v="USD"/>
    <n v="5.4"/>
    <n v="7.7142857142857152E-2"/>
    <s v=""/>
    <s v=""/>
    <x v="0"/>
    <s v=""/>
    <s v=""/>
    <m/>
  </r>
  <r>
    <s v="Albania"/>
    <x v="1"/>
    <s v="P068853"/>
    <s v="C1"/>
    <s v="S5"/>
    <s v="P068853C1S5"/>
    <x v="1"/>
    <n v="2004"/>
    <x v="5"/>
    <n v="44"/>
    <n v="55.3"/>
    <n v="6.3699999999999992"/>
    <s v="USD"/>
    <n v="6.3699999999999992"/>
    <n v="0.11518987341772151"/>
    <s v=""/>
    <s v=""/>
    <x v="0"/>
    <s v=""/>
    <s v=""/>
    <m/>
  </r>
  <r>
    <s v="Albania"/>
    <x v="1"/>
    <s v="P068853"/>
    <s v="C1"/>
    <s v=""/>
    <s v="P068853C1S5"/>
    <x v="2"/>
    <s v="2003 / 2008"/>
    <x v="5"/>
    <n v="2.9333333333333331"/>
    <n v="0.78999999999999992"/>
    <n v="1.1796296296296294"/>
    <m/>
    <n v="1.1796296296296294"/>
    <n v="1.4932020628223157"/>
    <s v=""/>
    <s v=""/>
    <x v="0"/>
    <s v=""/>
    <s v=""/>
    <s v=""/>
  </r>
  <r>
    <s v="Albania"/>
    <x v="1"/>
    <s v="P068853"/>
    <s v="C1"/>
    <s v="S6"/>
    <s v="P068853C1S6"/>
    <x v="0"/>
    <n v="1999"/>
    <x v="6"/>
    <n v="15"/>
    <n v="24"/>
    <n v="1.2"/>
    <s v="USD"/>
    <n v="1.2"/>
    <n v="4.9999999999999996E-2"/>
    <s v="x"/>
    <s v=""/>
    <x v="0"/>
    <s v="x"/>
    <s v="x"/>
    <m/>
  </r>
  <r>
    <s v="Albania"/>
    <x v="1"/>
    <s v="P068853"/>
    <s v="C1"/>
    <s v="S6"/>
    <s v="P068853C1S6"/>
    <x v="1"/>
    <n v="2004"/>
    <x v="4"/>
    <n v="4"/>
    <n v="1.5"/>
    <n v="0.14599999999999999"/>
    <s v="USD"/>
    <n v="0.14599999999999999"/>
    <n v="9.7333333333333327E-2"/>
    <s v="x"/>
    <s v=""/>
    <x v="0"/>
    <s v="x"/>
    <s v="x"/>
    <m/>
  </r>
  <r>
    <s v="Albania"/>
    <x v="1"/>
    <s v="P068853"/>
    <s v="C1"/>
    <s v=""/>
    <s v="P068853C1S6"/>
    <x v="2"/>
    <s v="2003 / 2008"/>
    <x v="4"/>
    <n v="0.26666666666666666"/>
    <n v="6.25E-2"/>
    <n v="0.12166666666666666"/>
    <m/>
    <n v="0.12166666666666666"/>
    <n v="1.9466666666666668"/>
    <s v="x"/>
    <s v=""/>
    <x v="0"/>
    <s v="x"/>
    <s v="x"/>
    <s v="Capacity of counterpart ; Capacity of counterpart ; Macroeconomic conditions "/>
  </r>
  <r>
    <s v="Albania"/>
    <x v="1"/>
    <s v="P078949"/>
    <s v="C1"/>
    <s v="S1"/>
    <s v="P078949C1S1"/>
    <x v="0"/>
    <n v="2007"/>
    <x v="7"/>
    <n v="22"/>
    <n v="9"/>
    <n v="12.32"/>
    <s v="USD"/>
    <n v="12.32"/>
    <n v="1.3688888888888888"/>
    <s v=""/>
    <s v=""/>
    <x v="0"/>
    <s v=""/>
    <s v=""/>
    <m/>
  </r>
  <r>
    <s v="Albania"/>
    <x v="1"/>
    <s v="P078949"/>
    <s v="C1"/>
    <s v="S1"/>
    <s v="P078949C1S1"/>
    <x v="1"/>
    <n v="2011"/>
    <x v="8"/>
    <n v="49"/>
    <n v="9"/>
    <n v="14.48"/>
    <s v="USD"/>
    <n v="14.48"/>
    <n v="1.608888888888889"/>
    <s v=""/>
    <s v=""/>
    <x v="0"/>
    <s v=""/>
    <s v=""/>
    <m/>
  </r>
  <r>
    <s v="Albania"/>
    <x v="1"/>
    <s v="P078949"/>
    <s v="C1"/>
    <s v=""/>
    <s v="P078949C1S1"/>
    <x v="2"/>
    <s v="2003 / 2008"/>
    <x v="8"/>
    <n v="2.2272727272727271"/>
    <n v="1"/>
    <n v="1.1753246753246753"/>
    <m/>
    <n v="1.1753246753246753"/>
    <n v="1.1753246753246755"/>
    <s v=""/>
    <s v=""/>
    <x v="0"/>
    <s v=""/>
    <s v=""/>
    <s v=""/>
  </r>
  <r>
    <s v="Albania"/>
    <x v="1"/>
    <s v="P078949"/>
    <s v="C1"/>
    <s v="S2"/>
    <s v="P078949C1S2"/>
    <x v="0"/>
    <n v="2007"/>
    <x v="7"/>
    <n v="11"/>
    <n v="9"/>
    <n v="10.68"/>
    <s v="USD"/>
    <n v="10.68"/>
    <n v="1.1866666666666665"/>
    <s v=""/>
    <s v=""/>
    <x v="0"/>
    <s v=""/>
    <s v=""/>
    <m/>
  </r>
  <r>
    <s v="Albania"/>
    <x v="1"/>
    <s v="P078949"/>
    <s v="C1"/>
    <s v="S2"/>
    <s v="P078949C1S2"/>
    <x v="1"/>
    <n v="2011"/>
    <x v="8"/>
    <n v="41"/>
    <n v="9"/>
    <n v="10.32"/>
    <s v="USD"/>
    <n v="10.32"/>
    <n v="1.1466666666666667"/>
    <s v=""/>
    <s v=""/>
    <x v="0"/>
    <s v=""/>
    <s v=""/>
    <m/>
  </r>
  <r>
    <s v="Albania"/>
    <x v="1"/>
    <s v="P078949"/>
    <s v="C1"/>
    <s v=""/>
    <s v="P078949C1S2"/>
    <x v="2"/>
    <s v="2003 / 2008"/>
    <x v="8"/>
    <n v="3.7272727272727271"/>
    <n v="1"/>
    <n v="0.9662921348314607"/>
    <m/>
    <n v="0.9662921348314607"/>
    <n v="0.96629213483146081"/>
    <s v=""/>
    <s v=""/>
    <x v="0"/>
    <s v=""/>
    <s v=""/>
    <s v=""/>
  </r>
  <r>
    <s v="Albania"/>
    <x v="1"/>
    <s v="P078949"/>
    <s v="C1"/>
    <s v="S3"/>
    <s v="P078949C1S3"/>
    <x v="0"/>
    <n v="2007"/>
    <x v="7"/>
    <n v="16"/>
    <n v="8"/>
    <n v="13.2"/>
    <s v="USD"/>
    <n v="13.2"/>
    <n v="1.65"/>
    <s v=""/>
    <s v=""/>
    <x v="0"/>
    <s v=""/>
    <s v=""/>
    <m/>
  </r>
  <r>
    <s v="Albania"/>
    <x v="1"/>
    <s v="P078949"/>
    <s v="C1"/>
    <s v="S3"/>
    <s v="P078949C1S3"/>
    <x v="1"/>
    <n v="2011"/>
    <x v="8"/>
    <n v="35"/>
    <n v="8"/>
    <n v="13.64"/>
    <s v="USD"/>
    <n v="13.64"/>
    <n v="1.7050000000000001"/>
    <s v=""/>
    <s v=""/>
    <x v="0"/>
    <s v=""/>
    <s v=""/>
    <m/>
  </r>
  <r>
    <s v="Albania"/>
    <x v="1"/>
    <s v="P078949"/>
    <s v="C1"/>
    <s v=""/>
    <s v="P078949C1S3"/>
    <x v="2"/>
    <s v="2003 / 2008"/>
    <x v="8"/>
    <n v="2.1875"/>
    <n v="1"/>
    <n v="1.0333333333333334"/>
    <m/>
    <n v="1.0333333333333334"/>
    <n v="1.0333333333333334"/>
    <s v=""/>
    <s v=""/>
    <x v="0"/>
    <s v=""/>
    <s v=""/>
    <s v=""/>
  </r>
  <r>
    <s v="Albania"/>
    <x v="1"/>
    <s v="P107833"/>
    <s v="C1"/>
    <s v="S1"/>
    <s v="P107833C1S1"/>
    <x v="0"/>
    <n v="2008"/>
    <x v="2"/>
    <n v="5"/>
    <n v="10.9"/>
    <n v="2.42"/>
    <s v="USD"/>
    <n v="2.42"/>
    <n v="0.2220183486238532"/>
    <s v=""/>
    <s v=""/>
    <x v="0"/>
    <s v=""/>
    <s v=""/>
    <m/>
  </r>
  <r>
    <s v="Albania"/>
    <x v="1"/>
    <s v="P107833"/>
    <s v="C1"/>
    <s v="S1"/>
    <s v="P107833C1S1"/>
    <x v="1"/>
    <n v="2013"/>
    <x v="2"/>
    <n v="12"/>
    <n v="10.9"/>
    <n v="1.79"/>
    <s v="USD"/>
    <n v="1.79"/>
    <n v="0.16422018348623854"/>
    <s v=""/>
    <s v=""/>
    <x v="0"/>
    <s v=""/>
    <s v=""/>
    <m/>
  </r>
  <r>
    <s v="Albania"/>
    <x v="1"/>
    <s v="P107833"/>
    <s v="C1"/>
    <s v=""/>
    <s v="P107833C1S1"/>
    <x v="2"/>
    <s v="2003 / 2008"/>
    <x v="2"/>
    <n v="2.4"/>
    <n v="1"/>
    <n v="0.7396694214876034"/>
    <m/>
    <n v="0.7396694214876034"/>
    <n v="0.7396694214876034"/>
    <s v=""/>
    <s v=""/>
    <x v="0"/>
    <s v=""/>
    <s v=""/>
    <s v=""/>
  </r>
  <r>
    <s v="Albania"/>
    <x v="1"/>
    <s v="P107833"/>
    <s v="C1"/>
    <s v="S2"/>
    <s v="P107833C1S2"/>
    <x v="0"/>
    <n v="2008"/>
    <x v="2"/>
    <n v="8"/>
    <n v="6.6"/>
    <n v="2.06"/>
    <s v="USD"/>
    <n v="2.06"/>
    <n v="0.31212121212121213"/>
    <s v=""/>
    <s v=""/>
    <x v="0"/>
    <s v=""/>
    <s v=""/>
    <m/>
  </r>
  <r>
    <s v="Albania"/>
    <x v="1"/>
    <s v="P107833"/>
    <s v="C1"/>
    <s v="S2"/>
    <s v="P107833C1S2"/>
    <x v="1"/>
    <n v="2013"/>
    <x v="2"/>
    <n v="12"/>
    <n v="6.6"/>
    <n v="2.0099999999999998"/>
    <s v="USD"/>
    <n v="2.0099999999999998"/>
    <n v="0.30454545454545451"/>
    <s v=""/>
    <s v=""/>
    <x v="0"/>
    <s v=""/>
    <s v=""/>
    <m/>
  </r>
  <r>
    <s v="Albania"/>
    <x v="1"/>
    <s v="P107833"/>
    <s v="C1"/>
    <s v=""/>
    <s v="P107833C1S2"/>
    <x v="2"/>
    <s v="2003 / 2008"/>
    <x v="2"/>
    <n v="1.5"/>
    <n v="1"/>
    <n v="0.97572815533980572"/>
    <m/>
    <n v="0.97572815533980572"/>
    <n v="0.97572815533980572"/>
    <s v=""/>
    <s v=""/>
    <x v="0"/>
    <s v=""/>
    <s v=""/>
    <s v=""/>
  </r>
  <r>
    <s v="Albania"/>
    <x v="1"/>
    <s v="P107833"/>
    <s v="C1"/>
    <s v="S3"/>
    <s v="P107833C1S3"/>
    <x v="0"/>
    <n v="2008"/>
    <x v="2"/>
    <n v="10"/>
    <n v="10.5"/>
    <n v="2.57"/>
    <s v="USD"/>
    <n v="2.57"/>
    <n v="0.24476190476190474"/>
    <s v=""/>
    <s v=""/>
    <x v="0"/>
    <s v=""/>
    <s v=""/>
    <m/>
  </r>
  <r>
    <s v="Albania"/>
    <x v="1"/>
    <s v="P107833"/>
    <s v="C1"/>
    <s v="S3"/>
    <s v="P107833C1S3"/>
    <x v="1"/>
    <n v="2013"/>
    <x v="2"/>
    <n v="12"/>
    <n v="10.5"/>
    <n v="2.14"/>
    <s v="USD"/>
    <n v="2.14"/>
    <n v="0.20380952380952383"/>
    <s v=""/>
    <s v=""/>
    <x v="0"/>
    <s v=""/>
    <s v=""/>
    <m/>
  </r>
  <r>
    <s v="Albania"/>
    <x v="1"/>
    <s v="P107833"/>
    <s v="C1"/>
    <s v=""/>
    <s v="P107833C1S3"/>
    <x v="2"/>
    <s v="2003 / 2008"/>
    <x v="2"/>
    <n v="1.2"/>
    <n v="1"/>
    <n v="0.83268482490272389"/>
    <m/>
    <n v="0.83268482490272389"/>
    <n v="0.83268482490272389"/>
    <s v=""/>
    <s v=""/>
    <x v="0"/>
    <s v=""/>
    <s v=""/>
    <s v=""/>
  </r>
  <r>
    <s v="Albania"/>
    <x v="1"/>
    <s v="P107833"/>
    <s v="C2"/>
    <s v="S1"/>
    <s v="P107833C2S1"/>
    <x v="0"/>
    <n v="2008"/>
    <x v="2"/>
    <n v="11"/>
    <n v="12.6"/>
    <n v="2.4700000000000002"/>
    <s v="USD"/>
    <n v="2.4700000000000002"/>
    <n v="0.19603174603174606"/>
    <s v=""/>
    <s v=""/>
    <x v="0"/>
    <s v=""/>
    <s v=""/>
    <m/>
  </r>
  <r>
    <s v="Albania"/>
    <x v="1"/>
    <s v="P107833"/>
    <s v="C2"/>
    <s v="S1"/>
    <s v="P107833C2S1"/>
    <x v="1"/>
    <n v="2013"/>
    <x v="2"/>
    <n v="12"/>
    <n v="12.6"/>
    <n v="1.45"/>
    <s v="USD"/>
    <n v="1.45"/>
    <n v="0.11507936507936507"/>
    <s v=""/>
    <s v=""/>
    <x v="0"/>
    <s v=""/>
    <s v=""/>
    <m/>
  </r>
  <r>
    <s v="Albania"/>
    <x v="1"/>
    <s v="P107833"/>
    <s v="C1"/>
    <s v=""/>
    <s v="P107833C2S1"/>
    <x v="2"/>
    <s v="2003 / 2008"/>
    <x v="2"/>
    <n v="1.0909090909090908"/>
    <n v="1"/>
    <n v="0.58704453441295545"/>
    <m/>
    <n v="0.58704453441295545"/>
    <n v="0.58704453441295534"/>
    <s v=""/>
    <s v=""/>
    <x v="0"/>
    <s v=""/>
    <s v=""/>
    <s v=""/>
  </r>
  <r>
    <s v="Albania"/>
    <x v="1"/>
    <s v="P107833"/>
    <s v="C2"/>
    <s v="S2"/>
    <s v="P107833C2S2"/>
    <x v="0"/>
    <n v="2008"/>
    <x v="2"/>
    <n v="12"/>
    <n v="9.8000000000000007"/>
    <n v="2.19"/>
    <s v="USD"/>
    <n v="2.19"/>
    <n v="0.22346938775510203"/>
    <s v=""/>
    <s v=""/>
    <x v="0"/>
    <s v=""/>
    <s v=""/>
    <m/>
  </r>
  <r>
    <s v="Albania"/>
    <x v="1"/>
    <s v="P107833"/>
    <s v="C2"/>
    <s v="S2"/>
    <s v="P107833C2S2"/>
    <x v="1"/>
    <n v="2013"/>
    <x v="2"/>
    <n v="24"/>
    <n v="9.8000000000000007"/>
    <n v="1.93"/>
    <s v="USD"/>
    <n v="1.93"/>
    <n v="0.19693877551020406"/>
    <s v=""/>
    <s v=""/>
    <x v="0"/>
    <s v=""/>
    <s v=""/>
    <m/>
  </r>
  <r>
    <s v="Albania"/>
    <x v="1"/>
    <s v="P107833"/>
    <s v="C1"/>
    <s v=""/>
    <s v="P107833C2S2"/>
    <x v="2"/>
    <s v="2003 / 2008"/>
    <x v="2"/>
    <n v="2"/>
    <n v="1"/>
    <n v="0.88127853881278539"/>
    <m/>
    <n v="0.88127853881278539"/>
    <n v="0.88127853881278528"/>
    <s v=""/>
    <s v=""/>
    <x v="0"/>
    <s v=""/>
    <s v=""/>
    <s v=""/>
  </r>
  <r>
    <s v="Albania"/>
    <x v="1"/>
    <s v="P107833"/>
    <s v="C2"/>
    <s v="S3"/>
    <s v="P107833C2S3"/>
    <x v="0"/>
    <n v="2008"/>
    <x v="2"/>
    <n v="13"/>
    <n v="12.8"/>
    <n v="3.15"/>
    <s v="USD"/>
    <n v="3.15"/>
    <n v="0.24609374999999997"/>
    <s v=""/>
    <s v=""/>
    <x v="0"/>
    <s v=""/>
    <s v=""/>
    <m/>
  </r>
  <r>
    <s v="Albania"/>
    <x v="1"/>
    <s v="P107833"/>
    <s v="C2"/>
    <s v="S3"/>
    <s v="P107833C2S3"/>
    <x v="1"/>
    <n v="2013"/>
    <x v="2"/>
    <n v="12"/>
    <n v="12.8"/>
    <n v="2.81"/>
    <s v="USD"/>
    <n v="2.81"/>
    <n v="0.21953124999999998"/>
    <s v=""/>
    <s v=""/>
    <x v="0"/>
    <s v=""/>
    <s v=""/>
    <m/>
  </r>
  <r>
    <s v="Albania"/>
    <x v="1"/>
    <s v="P107833"/>
    <s v="C1"/>
    <s v=""/>
    <s v="P107833C2S3"/>
    <x v="2"/>
    <s v="2003 / 2008"/>
    <x v="2"/>
    <n v="0.92307692307692313"/>
    <n v="1"/>
    <n v="0.89206349206349211"/>
    <m/>
    <n v="0.89206349206349211"/>
    <n v="0.89206349206349211"/>
    <s v=""/>
    <s v=""/>
    <x v="0"/>
    <s v=""/>
    <s v=""/>
    <s v=""/>
  </r>
  <r>
    <s v="Albania"/>
    <x v="1"/>
    <s v="P107833"/>
    <s v="C2"/>
    <s v="S4"/>
    <s v="P107833C2S4"/>
    <x v="0"/>
    <n v="2008"/>
    <x v="2"/>
    <n v="21"/>
    <n v="11.5"/>
    <n v="2.09"/>
    <s v="USD"/>
    <n v="2.09"/>
    <n v="0.1817391304347826"/>
    <s v=""/>
    <s v=""/>
    <x v="0"/>
    <s v=""/>
    <s v=""/>
    <m/>
  </r>
  <r>
    <s v="Albania"/>
    <x v="1"/>
    <s v="P107833"/>
    <s v="C2"/>
    <s v="S4"/>
    <s v="P107833C2S4"/>
    <x v="1"/>
    <n v="2013"/>
    <x v="2"/>
    <n v="36"/>
    <n v="11.5"/>
    <n v="2.92"/>
    <s v="USD"/>
    <n v="2.92"/>
    <n v="0.25391304347826088"/>
    <s v=""/>
    <s v=""/>
    <x v="0"/>
    <s v=""/>
    <s v=""/>
    <m/>
  </r>
  <r>
    <s v="Albania"/>
    <x v="1"/>
    <s v="P107833"/>
    <s v="C1"/>
    <s v=""/>
    <s v="P107833C2S4"/>
    <x v="2"/>
    <s v="2003 / 2008"/>
    <x v="2"/>
    <n v="1.7142857142857142"/>
    <n v="1"/>
    <n v="1.3971291866028708"/>
    <m/>
    <n v="1.3971291866028708"/>
    <n v="1.397129186602871"/>
    <s v=""/>
    <s v=""/>
    <x v="0"/>
    <s v=""/>
    <s v=""/>
    <s v=""/>
  </r>
  <r>
    <s v="Albania"/>
    <x v="1"/>
    <s v="P107833"/>
    <s v="C2"/>
    <s v="S5"/>
    <s v="P107833C2S5"/>
    <x v="0"/>
    <n v="2008"/>
    <x v="2"/>
    <n v="12"/>
    <n v="11.8"/>
    <n v="2.0099999999999998"/>
    <s v="USD"/>
    <n v="2.0099999999999998"/>
    <n v="0.17033898305084744"/>
    <s v=""/>
    <s v=""/>
    <x v="0"/>
    <s v=""/>
    <s v=""/>
    <m/>
  </r>
  <r>
    <s v="Albania"/>
    <x v="1"/>
    <s v="P107833"/>
    <s v="C2"/>
    <s v="S5"/>
    <s v="P107833C2S5"/>
    <x v="1"/>
    <n v="2013"/>
    <x v="2"/>
    <n v="12"/>
    <n v="11.8"/>
    <n v="2.19"/>
    <s v="USD"/>
    <n v="2.19"/>
    <n v="0.18559322033898304"/>
    <s v=""/>
    <s v=""/>
    <x v="0"/>
    <s v=""/>
    <s v=""/>
    <m/>
  </r>
  <r>
    <s v="Albania"/>
    <x v="1"/>
    <s v="P107833"/>
    <s v="C1"/>
    <s v=""/>
    <s v="P107833C2S5"/>
    <x v="2"/>
    <s v="2003 / 2008"/>
    <x v="2"/>
    <n v="1"/>
    <n v="1"/>
    <n v="1.0895522388059702"/>
    <m/>
    <n v="1.0895522388059702"/>
    <n v="1.0895522388059702"/>
    <s v=""/>
    <s v=""/>
    <x v="0"/>
    <s v=""/>
    <s v=""/>
    <s v=""/>
  </r>
  <r>
    <s v="Albania"/>
    <x v="1"/>
    <s v="P107833"/>
    <s v="C2"/>
    <s v="S6"/>
    <s v="P107833C2S6"/>
    <x v="0"/>
    <n v="2008"/>
    <x v="2"/>
    <n v="10"/>
    <n v="9"/>
    <n v="2.5499999999999998"/>
    <s v="USD"/>
    <n v="2.5499999999999998"/>
    <n v="0.28333333333333333"/>
    <s v=""/>
    <s v=""/>
    <x v="0"/>
    <s v=""/>
    <s v=""/>
    <m/>
  </r>
  <r>
    <s v="Albania"/>
    <x v="1"/>
    <s v="P107833"/>
    <s v="C2"/>
    <s v="S6"/>
    <s v="P107833C2S6"/>
    <x v="1"/>
    <n v="2013"/>
    <x v="2"/>
    <n v="12"/>
    <n v="9"/>
    <n v="1.64"/>
    <s v="USD"/>
    <n v="1.64"/>
    <n v="0.1822222222222222"/>
    <s v=""/>
    <s v=""/>
    <x v="0"/>
    <s v=""/>
    <s v=""/>
    <m/>
  </r>
  <r>
    <s v="Albania"/>
    <x v="1"/>
    <s v="P107833"/>
    <s v="C1"/>
    <s v=""/>
    <s v="P107833C2S6"/>
    <x v="2"/>
    <s v="2003 / 2008"/>
    <x v="2"/>
    <n v="1.2"/>
    <n v="1"/>
    <n v="0.64313725490196083"/>
    <m/>
    <n v="0.64313725490196083"/>
    <n v="0.64313725490196072"/>
    <s v=""/>
    <s v=""/>
    <x v="0"/>
    <s v=""/>
    <s v=""/>
    <s v=""/>
  </r>
  <r>
    <s v="Albania"/>
    <x v="1"/>
    <s v="P107833"/>
    <s v="C2"/>
    <s v="S7"/>
    <s v="P107833C2S7"/>
    <x v="0"/>
    <n v="2008"/>
    <x v="2"/>
    <n v="8"/>
    <n v="7.8"/>
    <n v="2.06"/>
    <s v="USD"/>
    <n v="2.06"/>
    <n v="0.26410256410256411"/>
    <s v=""/>
    <s v=""/>
    <x v="0"/>
    <s v=""/>
    <s v=""/>
    <m/>
  </r>
  <r>
    <s v="Albania"/>
    <x v="1"/>
    <s v="P107833"/>
    <s v="C2"/>
    <s v="S7"/>
    <s v="P107833C2S7"/>
    <x v="1"/>
    <n v="2013"/>
    <x v="2"/>
    <n v="12"/>
    <n v="7.8"/>
    <n v="1.97"/>
    <s v="USD"/>
    <n v="1.97"/>
    <n v="0.25256410256410255"/>
    <s v=""/>
    <s v=""/>
    <x v="0"/>
    <s v=""/>
    <s v=""/>
    <m/>
  </r>
  <r>
    <s v="Albania"/>
    <x v="1"/>
    <s v="P107833"/>
    <s v="C1"/>
    <s v=""/>
    <s v="P107833C2S7"/>
    <x v="2"/>
    <s v="2003 / 2008"/>
    <x v="2"/>
    <n v="1.5"/>
    <n v="1"/>
    <n v="0.95631067961165039"/>
    <m/>
    <n v="0.95631067961165039"/>
    <n v="0.95631067961165039"/>
    <s v=""/>
    <s v=""/>
    <x v="0"/>
    <s v=""/>
    <s v=""/>
    <s v=""/>
  </r>
  <r>
    <s v="Albania"/>
    <x v="1"/>
    <s v="P107833"/>
    <s v="C2"/>
    <s v="S8"/>
    <s v="P107833C2S8"/>
    <x v="0"/>
    <n v="2008"/>
    <x v="2"/>
    <n v="6"/>
    <n v="5.4"/>
    <n v="1.24"/>
    <s v="USD"/>
    <n v="1.24"/>
    <n v="0.2296296296296296"/>
    <s v=""/>
    <s v=""/>
    <x v="0"/>
    <s v=""/>
    <s v=""/>
    <m/>
  </r>
  <r>
    <s v="Albania"/>
    <x v="1"/>
    <s v="P107833"/>
    <s v="C2"/>
    <s v="S8"/>
    <s v="P107833C2S8"/>
    <x v="1"/>
    <n v="2013"/>
    <x v="2"/>
    <n v="12"/>
    <n v="5.4"/>
    <n v="0.86"/>
    <s v="USD"/>
    <n v="0.86"/>
    <n v="0.15925925925925924"/>
    <s v=""/>
    <s v=""/>
    <x v="0"/>
    <s v=""/>
    <s v=""/>
    <m/>
  </r>
  <r>
    <s v="Albania"/>
    <x v="1"/>
    <s v="P107833"/>
    <s v="C1"/>
    <s v=""/>
    <s v="P107833C2S8"/>
    <x v="2"/>
    <s v="2003 / 2008"/>
    <x v="2"/>
    <n v="2"/>
    <n v="1"/>
    <n v="0.69354838709677413"/>
    <m/>
    <n v="0.69354838709677413"/>
    <n v="0.69354838709677424"/>
    <s v=""/>
    <s v=""/>
    <x v="0"/>
    <s v=""/>
    <s v=""/>
    <s v=""/>
  </r>
  <r>
    <s v="Angola"/>
    <x v="2"/>
    <s v="P095229"/>
    <s v="C1"/>
    <s v="S1"/>
    <s v="P095229C1S1"/>
    <x v="0"/>
    <n v="2014"/>
    <x v="2"/>
    <s v=""/>
    <n v="600"/>
    <n v="13"/>
    <s v="USD"/>
    <n v="13"/>
    <n v="2.1666666666666667E-2"/>
    <s v="x"/>
    <s v=""/>
    <x v="0"/>
    <s v="x"/>
    <s v="x"/>
    <m/>
  </r>
  <r>
    <s v="Angola"/>
    <x v="2"/>
    <s v="P095229"/>
    <s v="C1"/>
    <s v="S1"/>
    <s v="P095229C1S1"/>
    <x v="1"/>
    <n v="2014"/>
    <x v="2"/>
    <s v=""/>
    <n v="200"/>
    <n v="20"/>
    <s v="USD"/>
    <n v="20"/>
    <n v="0.1"/>
    <s v="x"/>
    <s v=""/>
    <x v="0"/>
    <s v="x"/>
    <s v="x"/>
    <m/>
  </r>
  <r>
    <s v="Angola"/>
    <x v="2"/>
    <s v="P095229"/>
    <s v="C1"/>
    <s v=""/>
    <s v="P095229C1S1"/>
    <x v="2"/>
    <s v="2003 / 2008"/>
    <x v="2"/>
    <s v=""/>
    <n v="0.33333333333333331"/>
    <n v="1.5384615384615385"/>
    <m/>
    <n v="1.5384615384615385"/>
    <n v="4.6153846153846159"/>
    <s v="x"/>
    <s v=""/>
    <x v="0"/>
    <s v="x"/>
    <s v="x"/>
    <s v="Political events; Administrative processes; "/>
  </r>
  <r>
    <s v="Argentina"/>
    <x v="3"/>
    <s v="P099585"/>
    <s v="C1"/>
    <s v=""/>
    <s v="P099585C1"/>
    <x v="0"/>
    <n v="2006"/>
    <x v="0"/>
    <s v=""/>
    <n v="174.26"/>
    <n v="42.21"/>
    <s v="USD"/>
    <n v="42.21"/>
    <n v="0.24222426259612076"/>
    <s v=""/>
    <s v=""/>
    <x v="0"/>
    <s v="x"/>
    <s v="x"/>
    <m/>
  </r>
  <r>
    <s v="Argentina"/>
    <x v="3"/>
    <s v="P099585"/>
    <s v="C1"/>
    <s v=""/>
    <s v="P099585C1"/>
    <x v="1"/>
    <n v="2014"/>
    <x v="0"/>
    <s v=""/>
    <n v="125"/>
    <n v="50.53"/>
    <s v="USD"/>
    <n v="50.53"/>
    <n v="0.40423999999999999"/>
    <s v=""/>
    <s v=""/>
    <x v="0"/>
    <s v="x"/>
    <s v="x"/>
    <m/>
  </r>
  <r>
    <s v="Argentina"/>
    <x v="3"/>
    <s v="P099585"/>
    <s v="C1"/>
    <s v=""/>
    <s v="P099585C1"/>
    <x v="2"/>
    <s v="2003 / 2008"/>
    <x v="0"/>
    <s v=""/>
    <n v="0.7173189486973488"/>
    <n v="1.197109689647003"/>
    <m/>
    <n v="1.197109689647003"/>
    <n v="1.6688666761430939"/>
    <s v=""/>
    <s v=""/>
    <x v="0"/>
    <s v="x"/>
    <s v="x"/>
    <s v="Quality of estimates; Macroeconomic conditions; "/>
  </r>
  <r>
    <s v="Argentina"/>
    <x v="3"/>
    <s v="P099585"/>
    <s v="C2"/>
    <s v=""/>
    <s v="P099585C2"/>
    <x v="0"/>
    <n v="2006"/>
    <x v="0"/>
    <s v=""/>
    <n v="424"/>
    <n v="34.5"/>
    <s v="USD"/>
    <n v="34.5"/>
    <n v="8.1367924528301883E-2"/>
    <s v="x"/>
    <s v=""/>
    <x v="0"/>
    <s v="x"/>
    <s v="x"/>
    <m/>
  </r>
  <r>
    <s v="Argentina"/>
    <x v="3"/>
    <s v="P099585"/>
    <s v="C2"/>
    <s v=""/>
    <s v="P099585C2"/>
    <x v="1"/>
    <n v="2014"/>
    <x v="0"/>
    <s v=""/>
    <n v="136.93"/>
    <n v="42.4"/>
    <s v="USD"/>
    <n v="42.4"/>
    <n v="0.30964726502592566"/>
    <s v="x"/>
    <s v=""/>
    <x v="0"/>
    <s v="x"/>
    <s v="x"/>
    <m/>
  </r>
  <r>
    <s v="Argentina"/>
    <x v="3"/>
    <s v="P099585"/>
    <s v="C1"/>
    <s v=""/>
    <s v="P099585C2"/>
    <x v="2"/>
    <s v="2003 / 2008"/>
    <x v="0"/>
    <s v=""/>
    <n v="0.32294811320754718"/>
    <n v="1.2289855072463767"/>
    <m/>
    <n v="1.2289855072463767"/>
    <n v="3.8055200107534053"/>
    <s v="x"/>
    <s v=""/>
    <x v="0"/>
    <s v="x"/>
    <s v="x"/>
    <s v="Quality of estimates; Macroeconomic conditions; Political events"/>
  </r>
  <r>
    <s v="Argentina"/>
    <x v="3"/>
    <s v="P088153"/>
    <s v="C1"/>
    <s v=""/>
    <s v="P088153C1"/>
    <x v="0"/>
    <n v="2004"/>
    <x v="0"/>
    <n v="72"/>
    <n v="21042"/>
    <n v="258.7"/>
    <s v="USD"/>
    <n v="258.7"/>
    <n v="1.2294458701644331E-2"/>
    <s v=""/>
    <s v=""/>
    <x v="0"/>
    <s v="x"/>
    <s v="x"/>
    <m/>
  </r>
  <r>
    <s v="Argentina"/>
    <x v="3"/>
    <s v="P088153"/>
    <s v="C1"/>
    <s v=""/>
    <s v="P088153C1"/>
    <x v="1"/>
    <n v="2011"/>
    <x v="0"/>
    <s v=""/>
    <n v="12664"/>
    <n v="682"/>
    <s v="USD"/>
    <n v="682"/>
    <n v="5.3853442830069487E-2"/>
    <s v=""/>
    <s v=""/>
    <x v="0"/>
    <s v="x"/>
    <s v="x"/>
    <m/>
  </r>
  <r>
    <s v="Argentina"/>
    <x v="3"/>
    <s v="P088153"/>
    <s v="C1"/>
    <s v=""/>
    <s v="P088153C1"/>
    <x v="2"/>
    <s v="2003 / 2008"/>
    <x v="0"/>
    <s v=""/>
    <n v="0.60184393118524859"/>
    <n v="2.6362582141476616"/>
    <m/>
    <n v="2.6362582141476616"/>
    <n v="4.3803020642841988"/>
    <s v=""/>
    <s v=""/>
    <x v="0"/>
    <s v="x"/>
    <s v="x"/>
    <s v="Macroeconomic conditions; Competition; Quality of estimates"/>
  </r>
  <r>
    <s v="Argentina"/>
    <x v="3"/>
    <s v="P095569"/>
    <s v="C1"/>
    <s v=""/>
    <s v="P095569C1"/>
    <x v="0"/>
    <n v="2007"/>
    <x v="5"/>
    <s v=""/>
    <n v="3290"/>
    <n v="384.4"/>
    <s v="USD"/>
    <n v="384.4"/>
    <n v="0.11683890577507598"/>
    <s v=""/>
    <s v=""/>
    <x v="0"/>
    <s v=""/>
    <s v=""/>
    <m/>
  </r>
  <r>
    <s v="Argentina"/>
    <x v="3"/>
    <s v="P095569"/>
    <s v="C1"/>
    <s v=""/>
    <s v="P095569C1"/>
    <x v="1"/>
    <n v="2014"/>
    <x v="5"/>
    <s v=""/>
    <n v="3327"/>
    <n v="389.8"/>
    <s v="USD"/>
    <n v="389.8"/>
    <n v="0.11716260895701834"/>
    <s v=""/>
    <s v=""/>
    <x v="0"/>
    <s v=""/>
    <s v=""/>
    <m/>
  </r>
  <r>
    <s v="Argentina"/>
    <x v="3"/>
    <s v="P095569"/>
    <s v="C1"/>
    <s v=""/>
    <s v="P095569C1"/>
    <x v="2"/>
    <s v="2003 / 2008"/>
    <x v="5"/>
    <s v=""/>
    <n v="1.0112462006079028"/>
    <n v="1.0140478668054111"/>
    <m/>
    <n v="1.0140478668054111"/>
    <n v="1.0027705085030967"/>
    <s v=""/>
    <s v=""/>
    <x v="0"/>
    <s v=""/>
    <s v=""/>
    <s v=""/>
  </r>
  <r>
    <s v="Armenia"/>
    <x v="1"/>
    <s v="P115486"/>
    <s v="C1"/>
    <s v=""/>
    <s v="P115486C1"/>
    <x v="0"/>
    <n v="2009"/>
    <x v="2"/>
    <n v="7"/>
    <n v="99.8"/>
    <n v="27.1"/>
    <s v="USD"/>
    <n v="27.1"/>
    <n v="0.27154308617234474"/>
    <s v=""/>
    <s v="x"/>
    <x v="0"/>
    <s v=""/>
    <s v="x"/>
    <m/>
  </r>
  <r>
    <s v="Armenia"/>
    <x v="1"/>
    <s v="P115486"/>
    <s v="C1"/>
    <s v=""/>
    <s v="P115486C1"/>
    <x v="1"/>
    <n v="2014"/>
    <x v="2"/>
    <n v="43"/>
    <n v="446"/>
    <n v="116.598226"/>
    <s v="USD"/>
    <n v="116.598226"/>
    <n v="0.26143099999999997"/>
    <s v=""/>
    <s v="x"/>
    <x v="0"/>
    <s v=""/>
    <s v="x"/>
    <m/>
  </r>
  <r>
    <s v="Armenia"/>
    <x v="1"/>
    <s v="P115486"/>
    <s v="C1"/>
    <s v=""/>
    <s v="P115486C1"/>
    <x v="2"/>
    <s v="2003 / 2008"/>
    <x v="2"/>
    <n v="6.1428571428571432"/>
    <n v="4.4689378757515028"/>
    <n v="4.3025175645756457"/>
    <m/>
    <n v="4.3025175645756457"/>
    <n v="0.96276065682656797"/>
    <s v=""/>
    <s v="x"/>
    <x v="0"/>
    <s v=""/>
    <s v="x"/>
    <s v="Capacity of contractors; Change of project scope; "/>
  </r>
  <r>
    <s v="Armenia"/>
    <x v="1"/>
    <s v="P044829"/>
    <s v="C1"/>
    <s v=""/>
    <s v="P044829C1"/>
    <x v="0"/>
    <n v="2000"/>
    <x v="5"/>
    <s v=""/>
    <n v="350.7"/>
    <n v="26.8"/>
    <s v="USD"/>
    <n v="26.8"/>
    <n v="7.6418591388651272E-2"/>
    <s v=""/>
    <s v=""/>
    <x v="0"/>
    <s v="x"/>
    <s v="x"/>
    <m/>
  </r>
  <r>
    <s v="Armenia"/>
    <x v="1"/>
    <s v="P044829"/>
    <s v="C1"/>
    <s v=""/>
    <s v="P044829C1"/>
    <x v="1"/>
    <n v="2005"/>
    <x v="5"/>
    <s v=""/>
    <n v="227"/>
    <n v="33.299999999999997"/>
    <s v="USD"/>
    <n v="33.299999999999997"/>
    <n v="0.14669603524229075"/>
    <s v=""/>
    <s v=""/>
    <x v="0"/>
    <s v="x"/>
    <s v="x"/>
    <m/>
  </r>
  <r>
    <s v="Armenia"/>
    <x v="1"/>
    <s v="P044829"/>
    <s v="C1"/>
    <s v=""/>
    <s v="P044829C1"/>
    <x v="2"/>
    <s v="2003 / 2008"/>
    <x v="5"/>
    <s v=""/>
    <n v="0.64727687482178498"/>
    <n v="1.2425373134328357"/>
    <m/>
    <n v="1.2425373134328357"/>
    <n v="1.9196380432638569"/>
    <s v=""/>
    <s v=""/>
    <x v="0"/>
    <s v="x"/>
    <s v="x"/>
    <s v="Political events ; ; "/>
  </r>
  <r>
    <s v="Armenia"/>
    <x v="1"/>
    <s v="P044829"/>
    <s v="C1"/>
    <s v="S1"/>
    <s v="P044829C1S1"/>
    <x v="0"/>
    <n v="2000"/>
    <x v="6"/>
    <n v="15"/>
    <n v="18.7"/>
    <n v="1.19"/>
    <s v="USD"/>
    <n v="1.19"/>
    <n v="6.363636363636363E-2"/>
    <s v=""/>
    <s v=""/>
    <x v="0"/>
    <s v=""/>
    <s v=""/>
    <m/>
  </r>
  <r>
    <s v="Armenia"/>
    <x v="1"/>
    <s v="P044829"/>
    <s v="C1"/>
    <s v="S1"/>
    <s v="P044829C1S1"/>
    <x v="1"/>
    <n v="2005"/>
    <x v="6"/>
    <s v=""/>
    <n v="18.7"/>
    <n v="1.2000000000000002"/>
    <s v="USD"/>
    <n v="1.2000000000000002"/>
    <n v="6.4171122994652413E-2"/>
    <s v=""/>
    <s v=""/>
    <x v="0"/>
    <s v=""/>
    <s v=""/>
    <m/>
  </r>
  <r>
    <s v="Armenia"/>
    <x v="1"/>
    <s v="P044829"/>
    <s v="C1"/>
    <s v=""/>
    <s v="P044829C1S1"/>
    <x v="2"/>
    <s v="2003 / 2008"/>
    <x v="6"/>
    <s v=""/>
    <n v="1"/>
    <n v="1.008403361344538"/>
    <m/>
    <n v="1.008403361344538"/>
    <n v="1.008403361344538"/>
    <s v=""/>
    <s v=""/>
    <x v="0"/>
    <s v=""/>
    <s v=""/>
    <s v=""/>
  </r>
  <r>
    <s v="Armenia"/>
    <x v="1"/>
    <s v="P044829"/>
    <s v="C1"/>
    <s v="S2"/>
    <s v="P044829C1S2"/>
    <x v="0"/>
    <n v="2000"/>
    <x v="5"/>
    <n v="15"/>
    <n v="8.5"/>
    <n v="1.42"/>
    <s v="USD"/>
    <n v="1.42"/>
    <n v="0.16705882352941176"/>
    <s v=""/>
    <s v=""/>
    <x v="0"/>
    <s v=""/>
    <s v=""/>
    <m/>
  </r>
  <r>
    <s v="Armenia"/>
    <x v="1"/>
    <s v="P044829"/>
    <s v="C1"/>
    <s v="S2"/>
    <s v="P044829C1S2"/>
    <x v="1"/>
    <n v="2005"/>
    <x v="5"/>
    <s v=""/>
    <n v="8.5"/>
    <n v="1.671"/>
    <s v="USD"/>
    <n v="1.671"/>
    <n v="0.19658823529411765"/>
    <s v=""/>
    <s v=""/>
    <x v="0"/>
    <s v=""/>
    <s v=""/>
    <m/>
  </r>
  <r>
    <s v="Armenia"/>
    <x v="1"/>
    <s v="P044829"/>
    <s v="C1"/>
    <s v=""/>
    <s v="P044829C1S2"/>
    <x v="2"/>
    <s v="2003 / 2008"/>
    <x v="5"/>
    <s v=""/>
    <n v="1"/>
    <n v="1.1767605633802818"/>
    <m/>
    <n v="1.1767605633802818"/>
    <n v="1.1767605633802818"/>
    <s v=""/>
    <s v=""/>
    <x v="0"/>
    <s v=""/>
    <s v=""/>
    <s v=""/>
  </r>
  <r>
    <s v="Armenia"/>
    <x v="1"/>
    <s v="P044829"/>
    <s v="C1"/>
    <s v="S3"/>
    <s v="P044829C1S3"/>
    <x v="0"/>
    <n v="2000"/>
    <x v="5"/>
    <n v="15"/>
    <n v="11.6"/>
    <n v="1.03"/>
    <s v="USD"/>
    <n v="1.03"/>
    <n v="8.8793103448275873E-2"/>
    <s v=""/>
    <s v=""/>
    <x v="0"/>
    <s v=""/>
    <s v=""/>
    <m/>
  </r>
  <r>
    <s v="Armenia"/>
    <x v="1"/>
    <s v="P044829"/>
    <s v="C1"/>
    <s v="S3"/>
    <s v="P044829C1S3"/>
    <x v="1"/>
    <n v="2005"/>
    <x v="5"/>
    <s v=""/>
    <n v="11.6"/>
    <n v="1.17"/>
    <s v="USD"/>
    <n v="1.17"/>
    <n v="0.10086206896551723"/>
    <s v=""/>
    <s v=""/>
    <x v="0"/>
    <s v=""/>
    <s v=""/>
    <m/>
  </r>
  <r>
    <s v="Armenia"/>
    <x v="1"/>
    <s v="P044829"/>
    <s v="C1"/>
    <s v=""/>
    <s v="P044829C1S3"/>
    <x v="2"/>
    <s v="2003 / 2008"/>
    <x v="5"/>
    <s v=""/>
    <n v="1"/>
    <n v="1.1359223300970873"/>
    <m/>
    <n v="1.1359223300970873"/>
    <n v="1.1359223300970871"/>
    <s v=""/>
    <s v=""/>
    <x v="0"/>
    <s v=""/>
    <s v=""/>
    <s v=""/>
  </r>
  <r>
    <s v="Armenia"/>
    <x v="1"/>
    <s v="P044829"/>
    <s v="C1"/>
    <s v="S4"/>
    <s v="P044829C1S4"/>
    <x v="0"/>
    <n v="2000"/>
    <x v="5"/>
    <n v="14"/>
    <n v="2.6"/>
    <n v="0.6"/>
    <s v="USD"/>
    <n v="0.6"/>
    <n v="0.23076923076923075"/>
    <s v=""/>
    <s v=""/>
    <x v="0"/>
    <s v=""/>
    <s v=""/>
    <m/>
  </r>
  <r>
    <s v="Armenia"/>
    <x v="1"/>
    <s v="P044829"/>
    <s v="C1"/>
    <s v="S4"/>
    <s v="P044829C1S4"/>
    <x v="1"/>
    <n v="2005"/>
    <x v="5"/>
    <s v=""/>
    <n v="2.6"/>
    <n v="0.55600000000000005"/>
    <s v="USD"/>
    <n v="0.55600000000000005"/>
    <n v="0.21384615384615385"/>
    <s v=""/>
    <s v=""/>
    <x v="0"/>
    <s v=""/>
    <s v=""/>
    <m/>
  </r>
  <r>
    <s v="Armenia"/>
    <x v="1"/>
    <s v="P044829"/>
    <s v="C1"/>
    <s v=""/>
    <s v="P044829C1S4"/>
    <x v="2"/>
    <s v="2003 / 2008"/>
    <x v="5"/>
    <s v=""/>
    <n v="1"/>
    <n v="0.92666666666666675"/>
    <m/>
    <n v="0.92666666666666675"/>
    <n v="0.92666666666666675"/>
    <s v=""/>
    <s v=""/>
    <x v="0"/>
    <s v=""/>
    <s v=""/>
    <s v=""/>
  </r>
  <r>
    <s v="Armenia"/>
    <x v="1"/>
    <s v="P044829"/>
    <s v="C1"/>
    <s v="S5"/>
    <s v="P044829C1S5"/>
    <x v="0"/>
    <n v="2000"/>
    <x v="5"/>
    <n v="14"/>
    <n v="16"/>
    <n v="1.75"/>
    <s v="USD"/>
    <n v="1.75"/>
    <n v="0.109375"/>
    <s v=""/>
    <s v=""/>
    <x v="0"/>
    <s v=""/>
    <s v=""/>
    <m/>
  </r>
  <r>
    <s v="Armenia"/>
    <x v="1"/>
    <s v="P044829"/>
    <s v="C1"/>
    <s v="S5"/>
    <s v="P044829C1S5"/>
    <x v="1"/>
    <n v="2005"/>
    <x v="5"/>
    <s v=""/>
    <n v="16"/>
    <n v="1.9020000000000001"/>
    <s v="USD"/>
    <n v="1.9020000000000001"/>
    <n v="0.11887500000000001"/>
    <s v=""/>
    <s v=""/>
    <x v="0"/>
    <s v=""/>
    <s v=""/>
    <m/>
  </r>
  <r>
    <s v="Armenia"/>
    <x v="1"/>
    <s v="P044829"/>
    <s v="C1"/>
    <s v=""/>
    <s v="P044829C1S5"/>
    <x v="2"/>
    <s v="2003 / 2008"/>
    <x v="5"/>
    <s v=""/>
    <n v="1"/>
    <n v="1.086857142857143"/>
    <m/>
    <n v="1.086857142857143"/>
    <n v="1.086857142857143"/>
    <s v=""/>
    <s v=""/>
    <x v="0"/>
    <s v=""/>
    <s v=""/>
    <s v=""/>
  </r>
  <r>
    <s v="Armenia"/>
    <x v="1"/>
    <s v="P044829"/>
    <s v="C1"/>
    <s v="S6"/>
    <s v="P044829C1S6"/>
    <x v="0"/>
    <n v="2000"/>
    <x v="5"/>
    <n v="14"/>
    <n v="10.4"/>
    <n v="1.24"/>
    <s v="USD"/>
    <n v="1.24"/>
    <n v="0.11923076923076922"/>
    <s v=""/>
    <s v=""/>
    <x v="0"/>
    <s v=""/>
    <s v=""/>
    <m/>
  </r>
  <r>
    <s v="Armenia"/>
    <x v="1"/>
    <s v="P044829"/>
    <s v="C1"/>
    <s v="S6"/>
    <s v="P044829C1S6"/>
    <x v="1"/>
    <n v="2005"/>
    <x v="5"/>
    <s v=""/>
    <n v="10.4"/>
    <n v="1.1200000000000001"/>
    <s v="USD"/>
    <n v="1.1200000000000001"/>
    <n v="0.1076923076923077"/>
    <s v=""/>
    <s v=""/>
    <x v="0"/>
    <s v=""/>
    <s v=""/>
    <m/>
  </r>
  <r>
    <s v="Armenia"/>
    <x v="1"/>
    <s v="P044829"/>
    <s v="C1"/>
    <s v=""/>
    <s v="P044829C1S6"/>
    <x v="2"/>
    <s v="2003 / 2008"/>
    <x v="5"/>
    <s v=""/>
    <n v="1"/>
    <n v="0.90322580645161299"/>
    <m/>
    <n v="0.90322580645161299"/>
    <n v="0.90322580645161299"/>
    <s v=""/>
    <s v=""/>
    <x v="0"/>
    <s v=""/>
    <s v=""/>
    <s v=""/>
  </r>
  <r>
    <s v="Azerbaijan"/>
    <x v="1"/>
    <s v="P040716"/>
    <s v="C1"/>
    <s v="S1"/>
    <s v="P040716C1S1"/>
    <x v="0"/>
    <n v="2001"/>
    <x v="2"/>
    <s v=""/>
    <n v="21.3"/>
    <n v="9.01"/>
    <s v="USD"/>
    <n v="9.01"/>
    <n v="0.42300469483568071"/>
    <s v=""/>
    <s v=""/>
    <x v="0"/>
    <s v=""/>
    <s v=""/>
    <m/>
  </r>
  <r>
    <s v="Azerbaijan"/>
    <x v="1"/>
    <s v="P040716"/>
    <s v="C1"/>
    <s v="S1"/>
    <s v="P040716C1S1"/>
    <x v="1"/>
    <n v="2009"/>
    <x v="2"/>
    <s v=""/>
    <n v="21.3"/>
    <n v="7.5"/>
    <s v="USD"/>
    <n v="7.5"/>
    <n v="0.352112676056338"/>
    <s v=""/>
    <s v=""/>
    <x v="0"/>
    <s v=""/>
    <s v=""/>
    <m/>
  </r>
  <r>
    <s v="Azerbaijan"/>
    <x v="1"/>
    <s v="P040716"/>
    <s v="C1"/>
    <s v=""/>
    <s v="P040716C1S1"/>
    <x v="2"/>
    <s v="2003 / 2008"/>
    <x v="2"/>
    <s v=""/>
    <n v="1"/>
    <n v="0.83240843507214213"/>
    <m/>
    <n v="0.83240843507214213"/>
    <n v="0.83240843507214213"/>
    <s v=""/>
    <s v=""/>
    <x v="0"/>
    <s v=""/>
    <s v=""/>
    <s v=""/>
  </r>
  <r>
    <s v="Azerbaijan"/>
    <x v="1"/>
    <s v="P040716"/>
    <s v="C1"/>
    <s v="S2"/>
    <s v="P040716C1S2"/>
    <x v="0"/>
    <n v="2001"/>
    <x v="2"/>
    <s v=""/>
    <n v="72.7"/>
    <n v="34.43"/>
    <s v="USD"/>
    <n v="34.43"/>
    <n v="0.47359009628610726"/>
    <s v=""/>
    <s v=""/>
    <x v="0"/>
    <s v=""/>
    <s v=""/>
    <m/>
  </r>
  <r>
    <s v="Azerbaijan"/>
    <x v="1"/>
    <s v="P040716"/>
    <s v="C1"/>
    <s v="S2"/>
    <s v="P040716C1S2"/>
    <x v="1"/>
    <n v="2009"/>
    <x v="2"/>
    <s v=""/>
    <n v="72.7"/>
    <n v="30.8"/>
    <s v="USD"/>
    <n v="30.8"/>
    <n v="0.4236588720770289"/>
    <s v=""/>
    <s v=""/>
    <x v="0"/>
    <s v=""/>
    <s v=""/>
    <m/>
  </r>
  <r>
    <s v="Azerbaijan"/>
    <x v="1"/>
    <s v="P040716"/>
    <s v="C1"/>
    <s v=""/>
    <s v="P040716C1S2"/>
    <x v="2"/>
    <s v="2003 / 2008"/>
    <x v="2"/>
    <s v=""/>
    <n v="1"/>
    <n v="0.89456869009584672"/>
    <m/>
    <n v="0.89456869009584672"/>
    <n v="0.89456869009584672"/>
    <s v=""/>
    <s v=""/>
    <x v="0"/>
    <s v=""/>
    <s v=""/>
    <s v=""/>
  </r>
  <r>
    <s v="Azerbaijan"/>
    <x v="1"/>
    <s v="P094488"/>
    <s v="C1"/>
    <s v="S1"/>
    <s v="P094488C1S1"/>
    <x v="0"/>
    <n v="2005"/>
    <x v="9"/>
    <s v=""/>
    <n v="80"/>
    <n v="122.7"/>
    <s v="USD"/>
    <n v="122.7"/>
    <n v="1.5337499999999999"/>
    <s v="x"/>
    <s v=""/>
    <x v="0"/>
    <s v="x"/>
    <s v="x"/>
    <m/>
  </r>
  <r>
    <s v="Azerbaijan"/>
    <x v="1"/>
    <s v="P094488"/>
    <s v="C1"/>
    <s v="S1"/>
    <s v="P094488C1S1"/>
    <x v="1"/>
    <n v="2005"/>
    <x v="9"/>
    <s v=""/>
    <n v="31"/>
    <n v="85.3"/>
    <s v="USD"/>
    <n v="85.3"/>
    <n v="2.7516129032258063"/>
    <s v="x"/>
    <s v=""/>
    <x v="0"/>
    <s v="x"/>
    <s v="x"/>
    <m/>
  </r>
  <r>
    <s v="Azerbaijan"/>
    <x v="1"/>
    <s v="P094488"/>
    <s v="C1"/>
    <s v=""/>
    <s v="P094488C1S1"/>
    <x v="2"/>
    <s v="2003 / 2008"/>
    <x v="9"/>
    <s v=""/>
    <n v="0.38750000000000001"/>
    <n v="0.69519152404237972"/>
    <m/>
    <n v="0.69519152404237972"/>
    <n v="1.7940426426900122"/>
    <s v="x"/>
    <s v=""/>
    <x v="0"/>
    <s v="x"/>
    <s v="x"/>
    <s v="Administrative processes; Macroeconomic conditions; Competition"/>
  </r>
  <r>
    <s v="Azerbaijan"/>
    <x v="1"/>
    <s v="P094488"/>
    <s v="C1"/>
    <s v="S2"/>
    <s v="P094488C1S2"/>
    <x v="0"/>
    <n v="2005"/>
    <x v="2"/>
    <s v=""/>
    <n v="124"/>
    <n v="80"/>
    <s v="USD"/>
    <n v="80"/>
    <n v="0.64516129032258063"/>
    <s v=""/>
    <s v=""/>
    <x v="0"/>
    <s v="x"/>
    <s v="x"/>
    <m/>
  </r>
  <r>
    <s v="Azerbaijan"/>
    <x v="1"/>
    <s v="P094488"/>
    <s v="C1"/>
    <s v="S2"/>
    <s v="P094488C1S2"/>
    <x v="1"/>
    <n v="2005"/>
    <x v="2"/>
    <s v=""/>
    <n v="124"/>
    <n v="142.5"/>
    <s v="USD"/>
    <n v="142.5"/>
    <n v="1.1491935483870968"/>
    <s v=""/>
    <s v=""/>
    <x v="0"/>
    <s v="x"/>
    <s v="x"/>
    <m/>
  </r>
  <r>
    <s v="Azerbaijan"/>
    <x v="1"/>
    <s v="P094488"/>
    <s v="C1"/>
    <s v=""/>
    <s v="P094488C1S2"/>
    <x v="2"/>
    <s v="2003 / 2008"/>
    <x v="2"/>
    <s v=""/>
    <n v="1"/>
    <n v="1.78125"/>
    <m/>
    <n v="1.78125"/>
    <n v="1.78125"/>
    <s v=""/>
    <s v=""/>
    <x v="0"/>
    <s v="x"/>
    <s v="x"/>
    <s v="Administrative processes; Macroeconomic conditions; Competition"/>
  </r>
  <r>
    <s v="Bangladesh"/>
    <x v="0"/>
    <s v="P071435"/>
    <s v="C1"/>
    <s v=""/>
    <s v="P071435C1"/>
    <x v="0"/>
    <n v="2003"/>
    <x v="10"/>
    <s v=""/>
    <n v="1100"/>
    <n v="6353.75"/>
    <s v="BDT"/>
    <n v="110.5"/>
    <n v="0.10045454545454545"/>
    <s v=""/>
    <s v=""/>
    <x v="0"/>
    <s v=""/>
    <s v=""/>
    <m/>
  </r>
  <r>
    <s v="Bangladesh"/>
    <x v="0"/>
    <s v="P071435"/>
    <s v="C1"/>
    <s v=""/>
    <s v="P071435C1"/>
    <x v="1"/>
    <n v="2013"/>
    <x v="10"/>
    <s v=""/>
    <n v="1115"/>
    <n v="8638.09"/>
    <s v="BDT"/>
    <n v="105.63886510945335"/>
    <n v="9.4743376779778787E-2"/>
    <s v=""/>
    <s v=""/>
    <x v="0"/>
    <s v=""/>
    <s v=""/>
    <m/>
  </r>
  <r>
    <s v="Bangladesh"/>
    <x v="0"/>
    <s v="P071435"/>
    <s v="C1"/>
    <s v=""/>
    <s v="P071435C1"/>
    <x v="2"/>
    <s v="2003 / 2008"/>
    <x v="10"/>
    <s v=""/>
    <n v="1.0136363636363637"/>
    <n v="1.3595262640173127"/>
    <m/>
    <n v="0.95600782904482673"/>
    <n v="0.94314673717426856"/>
    <s v=""/>
    <s v=""/>
    <x v="0"/>
    <s v=""/>
    <s v=""/>
    <s v=""/>
  </r>
  <r>
    <s v="Bangladesh"/>
    <x v="0"/>
    <s v="P071435"/>
    <s v="C2"/>
    <s v=""/>
    <s v="P071435C2"/>
    <x v="0"/>
    <n v="2003"/>
    <x v="1"/>
    <s v=""/>
    <n v="500"/>
    <n v="1351.25"/>
    <s v="BDT"/>
    <n v="23.5"/>
    <n v="4.7E-2"/>
    <s v=""/>
    <s v=""/>
    <x v="0"/>
    <s v=""/>
    <s v=""/>
    <m/>
  </r>
  <r>
    <s v="Bangladesh"/>
    <x v="0"/>
    <s v="P071435"/>
    <s v="C2"/>
    <s v=""/>
    <s v="P071435C2"/>
    <x v="1"/>
    <n v="2013"/>
    <x v="1"/>
    <s v=""/>
    <n v="515"/>
    <n v="2085.7800000000002"/>
    <s v="BDT"/>
    <n v="25.507887978476216"/>
    <n v="4.952987956985673E-2"/>
    <s v=""/>
    <s v=""/>
    <x v="0"/>
    <s v=""/>
    <s v=""/>
    <m/>
  </r>
  <r>
    <s v="Bangladesh"/>
    <x v="0"/>
    <s v="P071435"/>
    <s v="C1"/>
    <s v=""/>
    <s v="P071435C2"/>
    <x v="2"/>
    <s v="2003 / 2008"/>
    <x v="1"/>
    <s v=""/>
    <n v="1.03"/>
    <n v="1.5435929694727106"/>
    <m/>
    <n v="1.0854420416372859"/>
    <n v="1.0538272248905687"/>
    <s v=""/>
    <s v=""/>
    <x v="0"/>
    <s v=""/>
    <s v=""/>
    <s v=""/>
  </r>
  <r>
    <s v="Bangladesh"/>
    <x v="0"/>
    <s v="P071435"/>
    <s v="C3"/>
    <s v=""/>
    <s v="P071435C3"/>
    <x v="0"/>
    <n v="2003"/>
    <x v="5"/>
    <s v=""/>
    <n v="1500"/>
    <n v="2242.5"/>
    <s v="BDT"/>
    <n v="39"/>
    <n v="2.5999999999999999E-2"/>
    <s v=""/>
    <s v=""/>
    <x v="0"/>
    <s v=""/>
    <s v=""/>
    <m/>
  </r>
  <r>
    <s v="Bangladesh"/>
    <x v="0"/>
    <s v="P071435"/>
    <s v="C3"/>
    <s v=""/>
    <s v="P071435C3"/>
    <x v="1"/>
    <n v="2013"/>
    <x v="5"/>
    <s v=""/>
    <n v="2120"/>
    <n v="3425.22"/>
    <s v="BDT"/>
    <n v="41.888467653173535"/>
    <n v="1.9758711157157327E-2"/>
    <s v=""/>
    <s v=""/>
    <x v="0"/>
    <s v=""/>
    <s v=""/>
    <m/>
  </r>
  <r>
    <s v="Bangladesh"/>
    <x v="0"/>
    <s v="P071435"/>
    <s v="C1"/>
    <s v=""/>
    <s v="P071435C3"/>
    <x v="2"/>
    <s v="2003 / 2008"/>
    <x v="5"/>
    <s v=""/>
    <n v="1.4133333333333333"/>
    <n v="1.5274113712374582"/>
    <m/>
    <n v="1.0740632731582958"/>
    <n v="0.75995042912143573"/>
    <s v=""/>
    <s v=""/>
    <x v="0"/>
    <s v=""/>
    <s v=""/>
    <s v=""/>
  </r>
  <r>
    <s v="Belarus"/>
    <x v="1"/>
    <s v="P118375"/>
    <s v="C1"/>
    <s v="S1"/>
    <s v="P118375C1S1"/>
    <x v="0"/>
    <n v="2010"/>
    <x v="11"/>
    <n v="31"/>
    <n v="17.420000000000002"/>
    <n v="43.1"/>
    <s v="USD"/>
    <n v="43.1"/>
    <n v="2.4741676234213545"/>
    <s v=""/>
    <s v=""/>
    <x v="0"/>
    <s v=""/>
    <s v=""/>
    <m/>
  </r>
  <r>
    <s v="Belarus"/>
    <x v="1"/>
    <s v="P118375"/>
    <s v="C1"/>
    <s v="S1"/>
    <s v="P118375C1S1"/>
    <x v="1"/>
    <n v="2016"/>
    <x v="11"/>
    <n v="24"/>
    <n v="17.420000000000002"/>
    <n v="36.14"/>
    <s v="USD"/>
    <n v="36.14"/>
    <n v="2.0746268656716418"/>
    <s v=""/>
    <s v=""/>
    <x v="0"/>
    <s v=""/>
    <s v=""/>
    <m/>
  </r>
  <r>
    <s v="Belarus"/>
    <x v="1"/>
    <s v="P118375"/>
    <s v="C1"/>
    <s v=""/>
    <s v="P118375C1S1"/>
    <x v="2"/>
    <s v="2003 / 2008"/>
    <x v="11"/>
    <n v="0.77419354838709675"/>
    <n v="1"/>
    <n v="0.83851508120649654"/>
    <m/>
    <n v="0.83851508120649654"/>
    <n v="0.83851508120649654"/>
    <s v=""/>
    <s v=""/>
    <x v="0"/>
    <s v=""/>
    <s v=""/>
    <s v=""/>
  </r>
  <r>
    <s v="Belarus"/>
    <x v="1"/>
    <s v="P118375"/>
    <s v="C1"/>
    <s v="S2"/>
    <s v="P118375C1S2"/>
    <x v="0"/>
    <n v="2010"/>
    <x v="11"/>
    <n v="31"/>
    <n v="10.4"/>
    <n v="25.7"/>
    <s v="USD"/>
    <n v="25.7"/>
    <n v="2.4711538461538458"/>
    <s v=""/>
    <s v=""/>
    <x v="0"/>
    <s v=""/>
    <s v=""/>
    <m/>
  </r>
  <r>
    <s v="Belarus"/>
    <x v="1"/>
    <s v="P118375"/>
    <s v="C1"/>
    <s v="S2"/>
    <s v="P118375C1S2"/>
    <x v="1"/>
    <n v="2016"/>
    <x v="11"/>
    <n v="24"/>
    <n v="10.4"/>
    <n v="34.15"/>
    <s v="USD"/>
    <n v="34.15"/>
    <n v="3.2836538461538458"/>
    <s v=""/>
    <s v=""/>
    <x v="0"/>
    <s v=""/>
    <s v=""/>
    <m/>
  </r>
  <r>
    <s v="Belarus"/>
    <x v="1"/>
    <s v="P118375"/>
    <s v="C1"/>
    <s v=""/>
    <s v="P118375C1S2"/>
    <x v="2"/>
    <s v="2003 / 2008"/>
    <x v="11"/>
    <n v="0.77419354838709675"/>
    <n v="1"/>
    <n v="1.3287937743190661"/>
    <m/>
    <n v="1.3287937743190661"/>
    <n v="1.3287937743190661"/>
    <s v=""/>
    <s v=""/>
    <x v="0"/>
    <s v=""/>
    <s v=""/>
    <s v=""/>
  </r>
  <r>
    <s v="Belarus"/>
    <x v="1"/>
    <s v="P118375"/>
    <s v="C1"/>
    <s v="S3"/>
    <s v="P118375C1S3"/>
    <x v="0"/>
    <n v="2010"/>
    <x v="11"/>
    <n v="31"/>
    <n v="16.5"/>
    <n v="41"/>
    <s v="USD"/>
    <n v="41"/>
    <n v="2.4848484848484849"/>
    <s v=""/>
    <s v=""/>
    <x v="0"/>
    <s v=""/>
    <s v=""/>
    <m/>
  </r>
  <r>
    <s v="Belarus"/>
    <x v="1"/>
    <s v="P118375"/>
    <s v="C1"/>
    <s v="S3"/>
    <s v="P118375C1S3"/>
    <x v="1"/>
    <n v="2016"/>
    <x v="11"/>
    <n v="24"/>
    <n v="16.5"/>
    <n v="33.299999999999997"/>
    <s v="USD"/>
    <n v="33.299999999999997"/>
    <n v="2.0181818181818181"/>
    <s v=""/>
    <s v=""/>
    <x v="0"/>
    <s v=""/>
    <s v=""/>
    <m/>
  </r>
  <r>
    <s v="Belarus"/>
    <x v="1"/>
    <s v="P118375"/>
    <s v="C1"/>
    <s v=""/>
    <s v="P118375C1S3"/>
    <x v="2"/>
    <s v="2003 / 2008"/>
    <x v="11"/>
    <n v="0.77419354838709675"/>
    <n v="1"/>
    <n v="0.81219512195121946"/>
    <m/>
    <n v="0.81219512195121946"/>
    <n v="0.81219512195121946"/>
    <s v=""/>
    <s v=""/>
    <x v="0"/>
    <s v=""/>
    <s v=""/>
    <s v=""/>
  </r>
  <r>
    <s v="Belarus"/>
    <x v="1"/>
    <s v="P118375"/>
    <s v="C1"/>
    <s v="S4"/>
    <s v="P118375C1S4"/>
    <x v="0"/>
    <n v="2010"/>
    <x v="11"/>
    <n v="31"/>
    <n v="8.4"/>
    <n v="20.8"/>
    <s v="USD"/>
    <n v="20.8"/>
    <n v="2.4761904761904763"/>
    <s v=""/>
    <s v=""/>
    <x v="0"/>
    <s v=""/>
    <s v=""/>
    <m/>
  </r>
  <r>
    <s v="Belarus"/>
    <x v="1"/>
    <s v="P118375"/>
    <s v="C1"/>
    <s v="S4"/>
    <s v="P118375C1S4"/>
    <x v="1"/>
    <n v="2016"/>
    <x v="11"/>
    <n v="24"/>
    <n v="8.4"/>
    <n v="30.66"/>
    <s v="USD"/>
    <n v="30.66"/>
    <n v="3.65"/>
    <s v=""/>
    <s v=""/>
    <x v="0"/>
    <s v=""/>
    <s v=""/>
    <m/>
  </r>
  <r>
    <s v="Belarus"/>
    <x v="1"/>
    <s v="P118375"/>
    <s v="C1"/>
    <s v=""/>
    <s v="P118375C1S4"/>
    <x v="2"/>
    <s v="2003 / 2008"/>
    <x v="11"/>
    <n v="0.77419354838709675"/>
    <n v="1"/>
    <n v="1.4740384615384614"/>
    <m/>
    <n v="1.4740384615384614"/>
    <n v="1.4740384615384614"/>
    <s v=""/>
    <s v=""/>
    <x v="0"/>
    <s v=""/>
    <s v=""/>
    <s v=""/>
  </r>
  <r>
    <s v="Belize"/>
    <x v="3"/>
    <s v="P040150"/>
    <s v="C1"/>
    <s v="S1"/>
    <s v="P040150C1S1"/>
    <x v="0"/>
    <n v="2000"/>
    <x v="1"/>
    <s v=""/>
    <n v="20"/>
    <n v="6.8"/>
    <s v="USD"/>
    <n v="6.8"/>
    <n v="0.33999999999999997"/>
    <s v=""/>
    <s v=""/>
    <x v="0"/>
    <s v=""/>
    <s v=""/>
    <m/>
  </r>
  <r>
    <s v="Belize"/>
    <x v="3"/>
    <s v="P040150"/>
    <s v="C1"/>
    <s v="S1"/>
    <s v="P040150C1S1"/>
    <x v="1"/>
    <n v="2006"/>
    <x v="1"/>
    <s v=""/>
    <n v="20"/>
    <n v="8.68"/>
    <s v="USD"/>
    <n v="8.68"/>
    <n v="0.434"/>
    <s v=""/>
    <s v=""/>
    <x v="0"/>
    <s v=""/>
    <s v=""/>
    <m/>
  </r>
  <r>
    <s v="Belize"/>
    <x v="3"/>
    <s v="P040150"/>
    <s v="C1"/>
    <s v=""/>
    <s v="P040150C1S1"/>
    <x v="2"/>
    <s v="2003 / 2008"/>
    <x v="1"/>
    <s v=""/>
    <n v="1"/>
    <n v="1.276470588235294"/>
    <m/>
    <n v="1.276470588235294"/>
    <n v="1.2764705882352942"/>
    <s v=""/>
    <s v=""/>
    <x v="0"/>
    <s v=""/>
    <s v=""/>
    <s v=""/>
  </r>
  <r>
    <s v="Benin"/>
    <x v="2"/>
    <s v="AfDB-P-BJ-DB0-010 "/>
    <s v="C1"/>
    <s v=""/>
    <s v="AfDB-P-BJ-DB0-010 C1"/>
    <x v="0"/>
    <n v="2002"/>
    <x v="7"/>
    <s v=""/>
    <n v="125"/>
    <n v="18918.45"/>
    <s v="CFAF"/>
    <n v="27.143461792303942"/>
    <n v="0.21714769433843154"/>
    <s v="x"/>
    <s v=""/>
    <x v="1"/>
    <s v="macroeconomic conditions"/>
    <s v="Depreciation of the UA (p.10 &amp; 28)"/>
    <m/>
  </r>
  <r>
    <s v="Benin"/>
    <x v="2"/>
    <s v="AfDB-P-BJ-DB0-010 "/>
    <s v="C1"/>
    <s v=""/>
    <s v="AfDB-P-BJ-DB0-010 C1"/>
    <x v="1"/>
    <n v="2011"/>
    <x v="7"/>
    <s v=""/>
    <n v="125"/>
    <n v="19978.47"/>
    <s v="CFAF"/>
    <n v="42.339825371932356"/>
    <n v="0.33871860297545886"/>
    <s v="x"/>
    <s v=""/>
    <x v="1"/>
    <s v="macroeconomic conditions"/>
    <s v="The cost of works per kilometre rose to CFAF 155 million instead of the CFAF 145 million estimated at appraisal in 2003, owing to a surge in petroleum product prices in 2007 and 2008 (p.28)"/>
    <m/>
  </r>
  <r>
    <s v="Benin"/>
    <x v="2"/>
    <s v="AfDB-P-BJ-DB0-010 "/>
    <s v="C1"/>
    <s v=""/>
    <s v="AfDB-P-BJ-DB0-010 C1"/>
    <x v="2"/>
    <s v="2003 / 2008"/>
    <x v="7"/>
    <s v=""/>
    <n v="1"/>
    <n v="1.0560310173402154"/>
    <m/>
    <n v="1.5598535550073822"/>
    <n v="1.5598535550073824"/>
    <s v="x"/>
    <s v=""/>
    <x v="1"/>
    <s v="change of project scope"/>
    <s v="line items were revised upwards due to construction of a new bridge and road alignment rectifications (p.28)"/>
    <s v="macroeconomic conditions; macroeconomic conditions; change of project scope"/>
  </r>
  <r>
    <s v="Benin"/>
    <x v="2"/>
    <s v="AfDB loan number: F/BEN/ROD/92/27_x000a_"/>
    <s v="C1"/>
    <s v=""/>
    <s v="AfDB loan number: F/BEN/ROD/92/27_x000a_C1"/>
    <x v="0"/>
    <n v="1992"/>
    <x v="7"/>
    <s v=""/>
    <n v="2.2999999999999998"/>
    <n v="4662"/>
    <s v="FCFA"/>
    <n v="17.613056783407004"/>
    <n v="7.6578507753943503"/>
    <s v=""/>
    <s v=""/>
    <x v="0"/>
    <m/>
    <m/>
    <m/>
  </r>
  <r>
    <s v="Benin"/>
    <x v="2"/>
    <s v="AfDB loan number: F/BEN/ROD/92/27_x000a_"/>
    <s v="C1"/>
    <s v=""/>
    <s v="AfDB loan number: F/BEN/ROD/92/27_x000a_C1"/>
    <x v="1"/>
    <n v="1999"/>
    <x v="7"/>
    <s v=""/>
    <n v="2.2999999999999998"/>
    <n v="6134"/>
    <s v="FCFA"/>
    <n v="9.9628059575435675"/>
    <n v="4.3316547641493779"/>
    <s v=""/>
    <s v=""/>
    <x v="0"/>
    <m/>
    <m/>
    <m/>
  </r>
  <r>
    <s v="Benin"/>
    <x v="2"/>
    <s v="AfDB loan number: F/BEN/ROD/92/27_x000a_"/>
    <s v="C1"/>
    <s v=""/>
    <s v="AfDB loan number: F/BEN/ROD/92/27_x000a_C1"/>
    <x v="2"/>
    <s v="2003 / 2008"/>
    <x v="7"/>
    <s v=""/>
    <n v="1"/>
    <n v="1.3157443157443158"/>
    <m/>
    <n v="0.56564888650840994"/>
    <n v="0.56564888650840994"/>
    <s v=""/>
    <s v=""/>
    <x v="0"/>
    <m/>
    <m/>
    <s v=""/>
  </r>
  <r>
    <s v="Benin"/>
    <x v="2"/>
    <s v="AfDB loan number: F/BEN/ROD/92/27_x000a_"/>
    <s v="C2"/>
    <s v=""/>
    <s v="AfDB loan number: F/BEN/ROD/92/27_x000a_C2"/>
    <x v="0"/>
    <n v="1992"/>
    <x v="12"/>
    <s v=""/>
    <n v="4.5"/>
    <n v="1992"/>
    <s v="FCFA"/>
    <n v="7.5257848804261593"/>
    <n v="1.6723966400947021"/>
    <s v=""/>
    <s v=""/>
    <x v="0"/>
    <m/>
    <m/>
    <m/>
  </r>
  <r>
    <s v="Benin"/>
    <x v="2"/>
    <s v="AfDB loan number: F/BEN/ROD/92/27_x000a_"/>
    <s v="C2"/>
    <s v=""/>
    <s v="AfDB loan number: F/BEN/ROD/92/27_x000a_C2"/>
    <x v="1"/>
    <n v="1999"/>
    <x v="12"/>
    <s v=""/>
    <n v="4.5"/>
    <n v="5602"/>
    <s v="FCFA"/>
    <n v="9.0987347528788831"/>
    <n v="2.0219410561953075"/>
    <s v=""/>
    <s v=""/>
    <x v="0"/>
    <m/>
    <m/>
    <m/>
  </r>
  <r>
    <s v="Benin"/>
    <x v="2"/>
    <s v="AfDB loan number: F/BEN/ROD/92/27_x000a_"/>
    <s v="C1"/>
    <s v=""/>
    <s v="AfDB loan number: F/BEN/ROD/92/27_x000a_C2"/>
    <x v="2"/>
    <s v="2003 / 2008"/>
    <x v="12"/>
    <s v=""/>
    <n v="1"/>
    <n v="2.8122489959839356"/>
    <m/>
    <n v="1.209008083202566"/>
    <n v="1.209008083202566"/>
    <s v=""/>
    <s v=""/>
    <x v="0"/>
    <m/>
    <m/>
    <s v=""/>
  </r>
  <r>
    <s v="Bhutan"/>
    <x v="0"/>
    <s v="P059481"/>
    <s v="C1"/>
    <s v=""/>
    <s v="P059481C1"/>
    <x v="0"/>
    <n v="1999"/>
    <x v="13"/>
    <n v="60"/>
    <n v="122"/>
    <n v="12.5"/>
    <s v="USD"/>
    <n v="12.5"/>
    <n v="0.10245901639344263"/>
    <s v=""/>
    <s v=""/>
    <x v="0"/>
    <s v=""/>
    <s v=""/>
    <m/>
  </r>
  <r>
    <s v="Bhutan"/>
    <x v="0"/>
    <s v="P059481"/>
    <s v="C1"/>
    <s v=""/>
    <s v="P059481C1"/>
    <x v="1"/>
    <n v="2006"/>
    <x v="13"/>
    <n v="74"/>
    <n v="128.76"/>
    <n v="12.6"/>
    <s v="USD"/>
    <n v="12.6"/>
    <n v="9.7856477166821998E-2"/>
    <s v=""/>
    <s v=""/>
    <x v="0"/>
    <s v=""/>
    <s v=""/>
    <m/>
  </r>
  <r>
    <s v="Bhutan"/>
    <x v="0"/>
    <s v="P059481"/>
    <s v="C1"/>
    <s v=""/>
    <s v="P059481C1"/>
    <x v="2"/>
    <s v="2003 / 2008"/>
    <x v="13"/>
    <n v="1.2333333333333334"/>
    <n v="1.0554098360655737"/>
    <n v="1.008"/>
    <m/>
    <n v="1.008"/>
    <n v="0.95507921714818267"/>
    <s v=""/>
    <s v=""/>
    <x v="0"/>
    <s v=""/>
    <s v=""/>
    <s v=""/>
  </r>
  <r>
    <s v="Bhutan"/>
    <x v="0"/>
    <s v="P100332"/>
    <s v="C1"/>
    <s v=""/>
    <s v="P100332C1"/>
    <x v="0"/>
    <n v="2007"/>
    <x v="13"/>
    <s v=""/>
    <n v="89"/>
    <n v="8.6999999999999993"/>
    <s v="USD"/>
    <n v="8.6999999999999993"/>
    <n v="9.7752808988764039E-2"/>
    <s v=""/>
    <s v=""/>
    <x v="0"/>
    <s v=""/>
    <s v=""/>
    <m/>
  </r>
  <r>
    <s v="Bhutan"/>
    <x v="0"/>
    <s v="P100332"/>
    <s v="C1"/>
    <s v=""/>
    <s v="P100332C1"/>
    <x v="1"/>
    <n v="2013"/>
    <x v="13"/>
    <s v=""/>
    <n v="90"/>
    <n v="10.84"/>
    <s v="USD"/>
    <n v="10.84"/>
    <n v="0.12044444444444444"/>
    <s v=""/>
    <s v=""/>
    <x v="0"/>
    <s v=""/>
    <s v=""/>
    <m/>
  </r>
  <r>
    <s v="Bhutan"/>
    <x v="0"/>
    <s v="P100332"/>
    <s v="C1"/>
    <s v=""/>
    <s v="P100332C1"/>
    <x v="2"/>
    <s v="2003 / 2008"/>
    <x v="13"/>
    <s v=""/>
    <n v="1.0112359550561798"/>
    <n v="1.245977011494253"/>
    <m/>
    <n v="1.245977011494253"/>
    <n v="1.23213282247765"/>
    <s v=""/>
    <s v=""/>
    <x v="0"/>
    <s v=""/>
    <s v=""/>
    <s v=""/>
  </r>
  <r>
    <s v="Bhutan"/>
    <x v="0"/>
    <s v="P100332"/>
    <s v="C1"/>
    <s v="S1"/>
    <s v="P100332C1S1"/>
    <x v="0"/>
    <n v="2007"/>
    <x v="13"/>
    <n v="10"/>
    <n v="13.7"/>
    <n v="2"/>
    <s v="USD"/>
    <n v="2"/>
    <n v="0.14598540145985403"/>
    <s v=""/>
    <s v=""/>
    <x v="0"/>
    <s v=""/>
    <s v=""/>
    <m/>
  </r>
  <r>
    <s v="Bhutan"/>
    <x v="0"/>
    <s v="P100332"/>
    <s v="C1"/>
    <s v="S1"/>
    <s v="P100332C1S1"/>
    <x v="1"/>
    <n v="2013"/>
    <x v="13"/>
    <s v=""/>
    <n v="11.83"/>
    <n v="1.66"/>
    <s v="USD"/>
    <n v="1.66"/>
    <n v="0.14032121724429417"/>
    <s v=""/>
    <s v=""/>
    <x v="0"/>
    <s v=""/>
    <s v=""/>
    <m/>
  </r>
  <r>
    <s v="Bhutan"/>
    <x v="0"/>
    <s v="P100332"/>
    <s v="C1"/>
    <s v=""/>
    <s v="P100332C1S1"/>
    <x v="2"/>
    <s v="2003 / 2008"/>
    <x v="13"/>
    <s v=""/>
    <n v="0.86350364963503656"/>
    <n v="0.83"/>
    <m/>
    <n v="0.83"/>
    <n v="0.96120033812341499"/>
    <s v=""/>
    <s v=""/>
    <x v="0"/>
    <s v=""/>
    <s v=""/>
    <s v=""/>
  </r>
  <r>
    <s v="Bhutan"/>
    <x v="0"/>
    <s v="P100332"/>
    <s v="C1"/>
    <s v="S2"/>
    <s v="P100332C1S2"/>
    <x v="0"/>
    <n v="2007"/>
    <x v="13"/>
    <n v="10"/>
    <n v="22"/>
    <n v="2.5"/>
    <s v="USD"/>
    <n v="2.5"/>
    <n v="0.11363636363636363"/>
    <s v=""/>
    <s v=""/>
    <x v="0"/>
    <s v=""/>
    <s v=""/>
    <m/>
  </r>
  <r>
    <s v="Bhutan"/>
    <x v="0"/>
    <s v="P100332"/>
    <s v="C1"/>
    <s v="S2"/>
    <s v="P100332C1S2"/>
    <x v="1"/>
    <n v="2013"/>
    <x v="13"/>
    <s v=""/>
    <n v="26.1"/>
    <n v="3.19"/>
    <s v="USD"/>
    <n v="3.19"/>
    <n v="0.12222222222222222"/>
    <s v=""/>
    <s v=""/>
    <x v="0"/>
    <s v=""/>
    <s v=""/>
    <m/>
  </r>
  <r>
    <s v="Bhutan"/>
    <x v="0"/>
    <s v="P100332"/>
    <s v="C1"/>
    <s v=""/>
    <s v="P100332C1S2"/>
    <x v="2"/>
    <s v="2003 / 2008"/>
    <x v="13"/>
    <s v=""/>
    <n v="1.1863636363636365"/>
    <n v="1.276"/>
    <m/>
    <n v="1.276"/>
    <n v="1.0755555555555556"/>
    <s v=""/>
    <s v=""/>
    <x v="0"/>
    <s v=""/>
    <s v=""/>
    <s v=""/>
  </r>
  <r>
    <s v="Bhutan"/>
    <x v="0"/>
    <s v="P100332"/>
    <s v="C1"/>
    <s v="S3"/>
    <s v="P100332C1S3"/>
    <x v="0"/>
    <n v="2007"/>
    <x v="13"/>
    <n v="16"/>
    <n v="29"/>
    <n v="3.3"/>
    <s v="USD"/>
    <n v="3.3"/>
    <n v="0.11379310344827585"/>
    <s v=""/>
    <s v=""/>
    <x v="0"/>
    <s v=""/>
    <s v=""/>
    <m/>
  </r>
  <r>
    <s v="Bhutan"/>
    <x v="0"/>
    <s v="P100332"/>
    <s v="C1"/>
    <s v="S3"/>
    <s v="P100332C1S3"/>
    <x v="1"/>
    <n v="2013"/>
    <x v="13"/>
    <s v=""/>
    <n v="29"/>
    <n v="4.04"/>
    <s v="USD"/>
    <n v="4.04"/>
    <n v="0.1393103448275862"/>
    <s v=""/>
    <s v=""/>
    <x v="0"/>
    <s v=""/>
    <s v=""/>
    <m/>
  </r>
  <r>
    <s v="Bhutan"/>
    <x v="0"/>
    <s v="P100332"/>
    <s v="C1"/>
    <s v=""/>
    <s v="P100332C1S3"/>
    <x v="2"/>
    <s v="2003 / 2008"/>
    <x v="13"/>
    <s v=""/>
    <n v="1"/>
    <n v="1.2242424242424244"/>
    <m/>
    <n v="1.2242424242424244"/>
    <n v="1.2242424242424244"/>
    <s v=""/>
    <s v=""/>
    <x v="0"/>
    <s v=""/>
    <s v=""/>
    <s v=""/>
  </r>
  <r>
    <s v="Bolivia"/>
    <x v="3"/>
    <s v="P068968"/>
    <s v="C1"/>
    <s v=""/>
    <s v="P068968C1"/>
    <x v="0"/>
    <n v="2002"/>
    <x v="2"/>
    <s v=""/>
    <n v="353"/>
    <n v="36.39"/>
    <s v="USD"/>
    <n v="36.39"/>
    <n v="0.10308781869688385"/>
    <s v=""/>
    <s v=""/>
    <x v="0"/>
    <s v=""/>
    <s v=""/>
    <m/>
  </r>
  <r>
    <s v="Bolivia"/>
    <x v="3"/>
    <s v="P068968"/>
    <s v="C1"/>
    <s v=""/>
    <s v="P068968C1"/>
    <x v="1"/>
    <n v="2011"/>
    <x v="2"/>
    <s v=""/>
    <n v="353"/>
    <n v="42.5"/>
    <s v="USD"/>
    <n v="42.5"/>
    <n v="0.12039660056657224"/>
    <s v=""/>
    <s v=""/>
    <x v="0"/>
    <s v=""/>
    <s v=""/>
    <m/>
  </r>
  <r>
    <s v="Bolivia"/>
    <x v="3"/>
    <s v="P068968"/>
    <s v="C1"/>
    <s v=""/>
    <s v="P068968C1"/>
    <x v="2"/>
    <s v="2003 / 2008"/>
    <x v="2"/>
    <s v=""/>
    <n v="1"/>
    <n v="1.1679032701291563"/>
    <m/>
    <n v="1.1679032701291563"/>
    <n v="1.1679032701291563"/>
    <s v=""/>
    <s v=""/>
    <x v="0"/>
    <s v=""/>
    <s v=""/>
    <s v=""/>
  </r>
  <r>
    <s v="Bolivia"/>
    <x v="3"/>
    <s v="P068968"/>
    <s v="C2"/>
    <s v=""/>
    <s v="P068968C2"/>
    <x v="0"/>
    <n v="2002"/>
    <x v="5"/>
    <s v=""/>
    <n v="3000"/>
    <n v="108"/>
    <s v="USD"/>
    <n v="108"/>
    <n v="3.5999999999999997E-2"/>
    <s v="x"/>
    <s v=""/>
    <x v="0"/>
    <s v=""/>
    <s v="x"/>
    <m/>
  </r>
  <r>
    <s v="Bolivia"/>
    <x v="3"/>
    <s v="P068968"/>
    <s v="C2"/>
    <s v=""/>
    <s v="P068968C2"/>
    <x v="1"/>
    <n v="2011"/>
    <x v="5"/>
    <s v=""/>
    <n v="1330"/>
    <n v="61"/>
    <s v="USD"/>
    <n v="61"/>
    <n v="4.5864661654135337E-2"/>
    <s v="x"/>
    <s v=""/>
    <x v="0"/>
    <s v=""/>
    <s v="x"/>
    <m/>
  </r>
  <r>
    <s v="Bolivia"/>
    <x v="3"/>
    <s v="P068968"/>
    <s v="C1"/>
    <s v=""/>
    <s v="P068968C2"/>
    <x v="2"/>
    <s v="2003 / 2008"/>
    <x v="5"/>
    <s v=""/>
    <n v="0.44333333333333336"/>
    <n v="0.56481481481481477"/>
    <m/>
    <n v="0.56481481481481477"/>
    <n v="1.2740183792815372"/>
    <s v="x"/>
    <s v=""/>
    <x v="0"/>
    <s v=""/>
    <s v="x"/>
    <s v="Macroeconomic conditions; Weather shocks ; Change of project scope"/>
  </r>
  <r>
    <s v="Brazil"/>
    <x v="3"/>
    <s v="P055954"/>
    <s v="C1"/>
    <s v=""/>
    <s v="P055954C1"/>
    <x v="0"/>
    <n v="2001"/>
    <x v="6"/>
    <s v=""/>
    <n v="1500"/>
    <n v="62.2"/>
    <s v="USD"/>
    <n v="62.2"/>
    <n v="4.1466666666666666E-2"/>
    <s v=""/>
    <s v=""/>
    <x v="0"/>
    <s v=""/>
    <s v=""/>
    <m/>
  </r>
  <r>
    <s v="Brazil"/>
    <x v="3"/>
    <s v="P055954"/>
    <s v="C1"/>
    <s v=""/>
    <s v="P055954C1"/>
    <x v="1"/>
    <n v="2006"/>
    <x v="6"/>
    <s v=""/>
    <n v="1250"/>
    <n v="77.2"/>
    <s v="USD"/>
    <n v="77.2"/>
    <n v="6.1760000000000002E-2"/>
    <s v=""/>
    <s v=""/>
    <x v="0"/>
    <s v=""/>
    <s v=""/>
    <m/>
  </r>
  <r>
    <s v="Brazil"/>
    <x v="3"/>
    <s v="P055954"/>
    <s v="C1"/>
    <s v=""/>
    <s v="P055954C1"/>
    <x v="2"/>
    <s v="2003 / 2008"/>
    <x v="6"/>
    <s v=""/>
    <n v="0.83333333333333337"/>
    <n v="1.2411575562700965"/>
    <m/>
    <n v="1.2411575562700965"/>
    <n v="1.4893890675241159"/>
    <s v=""/>
    <s v=""/>
    <x v="0"/>
    <s v=""/>
    <s v=""/>
    <s v=""/>
  </r>
  <r>
    <s v="Brazil"/>
    <x v="3"/>
    <s v="P055954"/>
    <s v="C2"/>
    <s v=""/>
    <s v="P055954C2"/>
    <x v="0"/>
    <n v="2001"/>
    <x v="5"/>
    <s v=""/>
    <n v="300"/>
    <n v="40.1"/>
    <s v="USD"/>
    <n v="40.1"/>
    <n v="0.13366666666666668"/>
    <s v=""/>
    <s v=""/>
    <x v="0"/>
    <s v=""/>
    <s v=""/>
    <m/>
  </r>
  <r>
    <s v="Brazil"/>
    <x v="3"/>
    <s v="P055954"/>
    <s v="C2"/>
    <s v=""/>
    <s v="P055954C2"/>
    <x v="1"/>
    <n v="2006"/>
    <x v="5"/>
    <s v=""/>
    <n v="270"/>
    <n v="37.6"/>
    <s v="USD"/>
    <n v="37.6"/>
    <n v="0.13925925925925928"/>
    <s v=""/>
    <s v=""/>
    <x v="0"/>
    <s v=""/>
    <s v=""/>
    <m/>
  </r>
  <r>
    <s v="Brazil"/>
    <x v="3"/>
    <s v="P055954"/>
    <s v="C1"/>
    <s v=""/>
    <s v="P055954C2"/>
    <x v="2"/>
    <s v="2003 / 2008"/>
    <x v="5"/>
    <s v=""/>
    <n v="0.9"/>
    <n v="0.93765586034912718"/>
    <m/>
    <n v="0.93765586034912718"/>
    <n v="1.0418398448323636"/>
    <s v=""/>
    <s v=""/>
    <x v="0"/>
    <s v=""/>
    <s v=""/>
    <s v=""/>
  </r>
  <r>
    <s v="Brazil"/>
    <x v="3"/>
    <s v="P095460"/>
    <s v="C1"/>
    <s v=""/>
    <s v="P095460C1"/>
    <x v="0"/>
    <n v="2006"/>
    <x v="5"/>
    <s v=""/>
    <n v="2000"/>
    <n v="140.6"/>
    <s v="USD"/>
    <n v="140.6"/>
    <n v="7.0300000000000001E-2"/>
    <s v=""/>
    <s v=""/>
    <x v="0"/>
    <s v="x"/>
    <s v="x"/>
    <m/>
  </r>
  <r>
    <s v="Brazil"/>
    <x v="3"/>
    <s v="P095460"/>
    <s v="C1"/>
    <s v=""/>
    <s v="P095460C1"/>
    <x v="1"/>
    <n v="2014"/>
    <x v="5"/>
    <s v=""/>
    <n v="1196"/>
    <n v="194.07"/>
    <s v="USD"/>
    <n v="194.07"/>
    <n v="0.16226588628762542"/>
    <s v=""/>
    <s v=""/>
    <x v="0"/>
    <s v="x"/>
    <s v="x"/>
    <m/>
  </r>
  <r>
    <s v="Brazil"/>
    <x v="3"/>
    <s v="P095460"/>
    <s v="C1"/>
    <s v=""/>
    <s v="P095460C1"/>
    <x v="2"/>
    <s v="2003 / 2008"/>
    <x v="5"/>
    <s v=""/>
    <n v="0.59799999999999998"/>
    <n v="1.3802987197724039"/>
    <m/>
    <n v="1.3802987197724039"/>
    <n v="2.3081918390842877"/>
    <s v=""/>
    <s v=""/>
    <x v="0"/>
    <s v="x"/>
    <s v="x"/>
    <s v="Macroeconomic conditions; Quality of estimates; Capacity of Counterpart "/>
  </r>
  <r>
    <s v="Brazil"/>
    <x v="3"/>
    <s v="P106663"/>
    <s v="C1"/>
    <s v=""/>
    <s v="P106663C1"/>
    <x v="0"/>
    <n v="2009"/>
    <x v="2"/>
    <s v=""/>
    <n v="3100"/>
    <n v="477.04"/>
    <s v="USD"/>
    <n v="477.04"/>
    <n v="0.15388387096774195"/>
    <s v=""/>
    <s v="x"/>
    <x v="0"/>
    <s v=""/>
    <s v="x"/>
    <m/>
  </r>
  <r>
    <s v="Brazil"/>
    <x v="3"/>
    <s v="P106663"/>
    <s v="C1"/>
    <s v=""/>
    <s v="P106663C1"/>
    <x v="1"/>
    <n v="2015"/>
    <x v="2"/>
    <s v=""/>
    <n v="6409"/>
    <n v="1010.25"/>
    <s v="USD"/>
    <n v="1010.25"/>
    <n v="0.15762989545951006"/>
    <s v=""/>
    <s v="x"/>
    <x v="0"/>
    <s v=""/>
    <s v="x"/>
    <m/>
  </r>
  <r>
    <s v="Brazil"/>
    <x v="3"/>
    <s v="P106663"/>
    <s v="C1"/>
    <s v=""/>
    <s v="P106663C1"/>
    <x v="2"/>
    <s v="2003 / 2008"/>
    <x v="2"/>
    <s v=""/>
    <n v="2.0674193548387096"/>
    <n v="2.1177469394600035"/>
    <m/>
    <n v="2.1177469394600035"/>
    <n v="1.0243431911883305"/>
    <s v=""/>
    <s v="x"/>
    <x v="0"/>
    <s v=""/>
    <s v="x"/>
    <s v="; Change of project scope; "/>
  </r>
  <r>
    <s v="Bulgaria"/>
    <x v="1"/>
    <s v="P094018"/>
    <s v="C1"/>
    <s v=""/>
    <s v="P094018C1"/>
    <x v="0"/>
    <n v="2007"/>
    <x v="8"/>
    <n v="19"/>
    <n v="3.4"/>
    <n v="12.9"/>
    <s v="USD"/>
    <n v="12.9"/>
    <n v="3.7941176470588238"/>
    <s v=""/>
    <s v=""/>
    <x v="0"/>
    <s v=""/>
    <s v=""/>
    <m/>
  </r>
  <r>
    <s v="Bulgaria"/>
    <x v="1"/>
    <s v="P094018"/>
    <s v="C1"/>
    <s v=""/>
    <s v="P094018C1"/>
    <x v="1"/>
    <n v="2014"/>
    <x v="8"/>
    <n v="26"/>
    <n v="3.4"/>
    <n v="14.71"/>
    <s v="USD"/>
    <n v="14.71"/>
    <n v="4.3264705882352947"/>
    <s v=""/>
    <s v=""/>
    <x v="0"/>
    <s v=""/>
    <s v=""/>
    <m/>
  </r>
  <r>
    <s v="Bulgaria"/>
    <x v="1"/>
    <s v="P094018"/>
    <s v="C1"/>
    <s v=""/>
    <s v="P094018C1"/>
    <x v="2"/>
    <s v="2003 / 2008"/>
    <x v="8"/>
    <n v="1.368421052631579"/>
    <n v="1"/>
    <n v="1.14031007751938"/>
    <m/>
    <n v="1.14031007751938"/>
    <n v="1.14031007751938"/>
    <s v=""/>
    <s v=""/>
    <x v="0"/>
    <s v=""/>
    <s v=""/>
    <s v=""/>
  </r>
  <r>
    <s v="Bulgaria"/>
    <x v="1"/>
    <s v="P099894"/>
    <s v="C1"/>
    <s v=""/>
    <s v="P099894C1"/>
    <x v="0"/>
    <n v="2007"/>
    <x v="0"/>
    <s v=""/>
    <n v="450"/>
    <n v="140.15"/>
    <s v="EUR"/>
    <n v="190.60400000000001"/>
    <n v="0.42356444444444447"/>
    <s v=""/>
    <s v=""/>
    <x v="0"/>
    <s v=""/>
    <s v=""/>
    <m/>
  </r>
  <r>
    <s v="Bulgaria"/>
    <x v="1"/>
    <s v="P099894"/>
    <s v="C1"/>
    <s v=""/>
    <s v="P099894C1"/>
    <x v="1"/>
    <n v="2013"/>
    <x v="0"/>
    <s v=""/>
    <n v="307"/>
    <n v="94.6"/>
    <s v="EUR"/>
    <n v="129.58904109589039"/>
    <n v="0.42211414037749312"/>
    <s v=""/>
    <s v=""/>
    <x v="0"/>
    <s v=""/>
    <s v=""/>
    <m/>
  </r>
  <r>
    <s v="Bulgaria"/>
    <x v="1"/>
    <s v="P099894"/>
    <s v="C1"/>
    <s v=""/>
    <s v="P099894C1"/>
    <x v="2"/>
    <s v="2003 / 2008"/>
    <x v="0"/>
    <s v=""/>
    <n v="0.68222222222222217"/>
    <n v="0.67499108098465921"/>
    <m/>
    <n v="0.67988626207157454"/>
    <n v="0.99657595417657496"/>
    <s v=""/>
    <s v=""/>
    <x v="0"/>
    <s v=""/>
    <s v=""/>
    <s v=""/>
  </r>
  <r>
    <s v="Bulgaria"/>
    <x v="1"/>
    <s v="P099894"/>
    <s v="C1"/>
    <s v="S1"/>
    <s v="P099894C1S1"/>
    <x v="0"/>
    <n v="2007"/>
    <x v="0"/>
    <n v="15"/>
    <n v="37.14"/>
    <n v="7.4"/>
    <s v="EUR"/>
    <n v="10.064000000000002"/>
    <n v="0.27097469036079702"/>
    <s v=""/>
    <s v=""/>
    <x v="0"/>
    <s v=""/>
    <s v=""/>
    <m/>
  </r>
  <r>
    <s v="Bulgaria"/>
    <x v="1"/>
    <s v="P099894"/>
    <s v="C1"/>
    <s v="S1"/>
    <s v="P099894C1S1"/>
    <x v="1"/>
    <n v="2013"/>
    <x v="0"/>
    <s v=""/>
    <n v="36.6"/>
    <n v="11.9"/>
    <s v="USD"/>
    <n v="11.9"/>
    <n v="0.3251366120218579"/>
    <s v=""/>
    <s v=""/>
    <x v="0"/>
    <s v=""/>
    <s v=""/>
    <m/>
  </r>
  <r>
    <s v="Bulgaria"/>
    <x v="1"/>
    <s v="P099894"/>
    <s v="C1"/>
    <s v=""/>
    <s v="P099894C1S1"/>
    <x v="2"/>
    <s v="2003 / 2008"/>
    <x v="0"/>
    <s v=""/>
    <n v="0.98546042003231016"/>
    <n v="1.6081081081081081"/>
    <m/>
    <n v="1.1824324324324322"/>
    <n v="1.1998781568453698"/>
    <s v=""/>
    <s v=""/>
    <x v="0"/>
    <s v=""/>
    <s v=""/>
    <s v=""/>
  </r>
  <r>
    <s v="Bulgaria"/>
    <x v="1"/>
    <s v="P099894"/>
    <s v="C1"/>
    <s v="S2"/>
    <s v="P099894C1S2"/>
    <x v="0"/>
    <n v="2007"/>
    <x v="0"/>
    <n v="15"/>
    <n v="44.5"/>
    <n v="14.3"/>
    <s v="EUR"/>
    <n v="19.448000000000004"/>
    <n v="0.43703370786516865"/>
    <s v=""/>
    <s v=""/>
    <x v="0"/>
    <s v=""/>
    <s v=""/>
    <m/>
  </r>
  <r>
    <s v="Bulgaria"/>
    <x v="1"/>
    <s v="P099894"/>
    <s v="C1"/>
    <s v="S2"/>
    <s v="P099894C1S2"/>
    <x v="1"/>
    <n v="2013"/>
    <x v="0"/>
    <s v=""/>
    <n v="47.3"/>
    <n v="17.3"/>
    <s v="USD"/>
    <n v="17.3"/>
    <n v="0.36575052854122625"/>
    <s v=""/>
    <s v=""/>
    <x v="0"/>
    <s v=""/>
    <s v=""/>
    <m/>
  </r>
  <r>
    <s v="Bulgaria"/>
    <x v="1"/>
    <s v="P099894"/>
    <s v="C1"/>
    <s v=""/>
    <s v="P099894C1S2"/>
    <x v="2"/>
    <s v="2003 / 2008"/>
    <x v="0"/>
    <s v=""/>
    <n v="1.0629213483146067"/>
    <n v="1.2097902097902098"/>
    <m/>
    <n v="0.88955162484574235"/>
    <n v="0.83689317770899652"/>
    <s v=""/>
    <s v=""/>
    <x v="0"/>
    <s v=""/>
    <s v=""/>
    <s v=""/>
  </r>
  <r>
    <s v="Bulgaria"/>
    <x v="1"/>
    <s v="P099894"/>
    <s v="C1"/>
    <s v="S3"/>
    <s v="P099894C1S3"/>
    <x v="0"/>
    <n v="2007"/>
    <x v="0"/>
    <n v="19"/>
    <n v="61"/>
    <n v="18.3"/>
    <s v="EUR"/>
    <n v="24.888000000000002"/>
    <n v="0.40800000000000003"/>
    <s v=""/>
    <s v=""/>
    <x v="0"/>
    <s v=""/>
    <s v=""/>
    <m/>
  </r>
  <r>
    <s v="Bulgaria"/>
    <x v="1"/>
    <s v="P099894"/>
    <s v="C1"/>
    <s v="S3"/>
    <s v="P099894C1S3"/>
    <x v="1"/>
    <n v="2013"/>
    <x v="0"/>
    <s v=""/>
    <n v="46.1"/>
    <n v="17.5"/>
    <s v="USD"/>
    <n v="17.5"/>
    <n v="0.37960954446854661"/>
    <s v=""/>
    <s v=""/>
    <x v="0"/>
    <s v=""/>
    <s v=""/>
    <m/>
  </r>
  <r>
    <s v="Bulgaria"/>
    <x v="1"/>
    <s v="P099894"/>
    <s v="C1"/>
    <s v=""/>
    <s v="P099894C1S3"/>
    <x v="2"/>
    <s v="2003 / 2008"/>
    <x v="0"/>
    <s v=""/>
    <n v="0.75573770491803283"/>
    <n v="0.95628415300546443"/>
    <m/>
    <n v="0.70315011250401793"/>
    <n v="0.93041555016800637"/>
    <s v=""/>
    <s v=""/>
    <x v="0"/>
    <s v=""/>
    <s v=""/>
    <s v=""/>
  </r>
  <r>
    <s v="Bulgaria"/>
    <x v="1"/>
    <s v="P099894"/>
    <s v="C1"/>
    <s v="S4"/>
    <s v="P099894C1S4"/>
    <x v="0"/>
    <n v="2007"/>
    <x v="0"/>
    <n v="26"/>
    <n v="55.9"/>
    <n v="23.4"/>
    <s v="EUR"/>
    <n v="31.824000000000002"/>
    <n v="0.56930232558139537"/>
    <s v=""/>
    <s v=""/>
    <x v="0"/>
    <s v=""/>
    <s v=""/>
    <m/>
  </r>
  <r>
    <s v="Bulgaria"/>
    <x v="1"/>
    <s v="P099894"/>
    <s v="C1"/>
    <s v="S4"/>
    <s v="P099894C1S4"/>
    <x v="1"/>
    <n v="2013"/>
    <x v="0"/>
    <s v=""/>
    <n v="55.4"/>
    <n v="18.7"/>
    <s v="USD"/>
    <n v="18.7"/>
    <n v="0.33754512635379064"/>
    <s v=""/>
    <s v=""/>
    <x v="0"/>
    <s v=""/>
    <s v=""/>
    <m/>
  </r>
  <r>
    <s v="Bulgaria"/>
    <x v="1"/>
    <s v="P099894"/>
    <s v="C1"/>
    <s v=""/>
    <s v="P099894C1S4"/>
    <x v="2"/>
    <s v="2003 / 2008"/>
    <x v="0"/>
    <s v=""/>
    <n v="0.99105545617173529"/>
    <n v="0.79914529914529919"/>
    <m/>
    <n v="0.58760683760683752"/>
    <n v="0.59291014841556355"/>
    <s v=""/>
    <s v=""/>
    <x v="0"/>
    <s v=""/>
    <s v=""/>
    <s v=""/>
  </r>
  <r>
    <s v="Bulgaria"/>
    <x v="1"/>
    <s v="P099894"/>
    <s v="C1"/>
    <s v="S5"/>
    <s v="P099894C1S5"/>
    <x v="0"/>
    <n v="2007"/>
    <x v="0"/>
    <n v="24"/>
    <n v="65"/>
    <n v="17.100000000000001"/>
    <s v="EUR"/>
    <n v="23.256000000000004"/>
    <n v="0.35778461538461542"/>
    <s v=""/>
    <s v=""/>
    <x v="0"/>
    <s v=""/>
    <s v=""/>
    <m/>
  </r>
  <r>
    <s v="Bulgaria"/>
    <x v="1"/>
    <s v="P099894"/>
    <s v="C1"/>
    <s v="S5"/>
    <s v="P099894C1S5"/>
    <x v="1"/>
    <n v="2013"/>
    <x v="0"/>
    <s v=""/>
    <n v="62.9"/>
    <n v="21.1"/>
    <s v="USD"/>
    <n v="21.1"/>
    <n v="0.33545310015898255"/>
    <s v=""/>
    <s v=""/>
    <x v="0"/>
    <s v=""/>
    <s v=""/>
    <m/>
  </r>
  <r>
    <s v="Bulgaria"/>
    <x v="1"/>
    <s v="P099894"/>
    <s v="C1"/>
    <s v=""/>
    <s v="P099894C1S5"/>
    <x v="2"/>
    <s v="2003 / 2008"/>
    <x v="0"/>
    <s v=""/>
    <n v="0.96769230769230763"/>
    <n v="1.2339181286549707"/>
    <m/>
    <n v="0.90729274165806661"/>
    <n v="0.937583914273042"/>
    <s v=""/>
    <s v=""/>
    <x v="0"/>
    <s v=""/>
    <s v=""/>
    <s v=""/>
  </r>
  <r>
    <s v="Bulgaria"/>
    <x v="1"/>
    <s v="P099894"/>
    <s v="C1"/>
    <s v="S6"/>
    <s v="P099894C1S6"/>
    <x v="0"/>
    <n v="2007"/>
    <x v="0"/>
    <n v="25"/>
    <n v="65"/>
    <n v="24.9"/>
    <s v="EUR"/>
    <n v="33.864000000000004"/>
    <n v="0.52098461538461549"/>
    <s v=""/>
    <s v=""/>
    <x v="0"/>
    <s v=""/>
    <s v=""/>
    <m/>
  </r>
  <r>
    <s v="Bulgaria"/>
    <x v="1"/>
    <s v="P099894"/>
    <s v="C1"/>
    <s v="S6"/>
    <s v="P099894C1S6"/>
    <x v="1"/>
    <n v="2013"/>
    <x v="0"/>
    <s v=""/>
    <n v="61.8"/>
    <n v="22.1"/>
    <s v="USD"/>
    <n v="22.1"/>
    <n v="0.35760517799352753"/>
    <s v=""/>
    <s v=""/>
    <x v="0"/>
    <s v=""/>
    <s v=""/>
    <m/>
  </r>
  <r>
    <s v="Bulgaria"/>
    <x v="1"/>
    <s v="P099894"/>
    <s v="C1"/>
    <s v=""/>
    <s v="P099894C1S6"/>
    <x v="2"/>
    <s v="2003 / 2008"/>
    <x v="0"/>
    <s v=""/>
    <n v="0.9507692307692307"/>
    <n v="0.88755020080321301"/>
    <m/>
    <n v="0.65261044176706828"/>
    <n v="0.68640256820160894"/>
    <s v=""/>
    <s v=""/>
    <x v="0"/>
    <s v=""/>
    <s v=""/>
    <s v=""/>
  </r>
  <r>
    <s v="Burkina Faso"/>
    <x v="2"/>
    <s v="P074030"/>
    <s v="C1"/>
    <s v=""/>
    <s v="P074030C1"/>
    <x v="0"/>
    <n v="2003"/>
    <x v="2"/>
    <s v=""/>
    <n v="7057"/>
    <n v="129.26"/>
    <s v="USD"/>
    <n v="129.26"/>
    <n v="1.8316565112654101E-2"/>
    <s v="x"/>
    <s v=""/>
    <x v="0"/>
    <s v="x"/>
    <s v="x"/>
    <m/>
  </r>
  <r>
    <s v="Burkina Faso"/>
    <x v="2"/>
    <s v="P074030"/>
    <s v="C1"/>
    <s v=""/>
    <s v="P074030C1"/>
    <x v="1"/>
    <n v="2014"/>
    <x v="2"/>
    <s v=""/>
    <n v="2678"/>
    <n v="130.1"/>
    <s v="USD"/>
    <n v="130.1"/>
    <n v="4.8581030619865566E-2"/>
    <s v="x"/>
    <s v=""/>
    <x v="0"/>
    <s v="x"/>
    <s v="x"/>
    <m/>
  </r>
  <r>
    <s v="Burkina Faso"/>
    <x v="2"/>
    <s v="P074030"/>
    <s v="C1"/>
    <s v=""/>
    <s v="P074030C1"/>
    <x v="2"/>
    <s v="2003 / 2008"/>
    <x v="2"/>
    <s v=""/>
    <n v="0.37948136601955507"/>
    <n v="1.0064985300943834"/>
    <m/>
    <n v="1.0064985300943834"/>
    <n v="2.6523002714249677"/>
    <s v="x"/>
    <s v=""/>
    <x v="0"/>
    <s v="x"/>
    <s v="x"/>
    <s v="Macroeconomic conditions; Weather shocks ; Change of project scope"/>
  </r>
  <r>
    <s v="Burkina Faso"/>
    <x v="2"/>
    <s v="AfDB loan number: F/BUF/RTE/92/19"/>
    <s v="C1"/>
    <s v=""/>
    <s v="AfDB loan number: F/BUF/RTE/92/19C1"/>
    <x v="0"/>
    <n v="1990"/>
    <x v="1"/>
    <n v="20"/>
    <n v="76.400000000000006"/>
    <n v="3751"/>
    <s v="CFAF"/>
    <n v="13.777271725556453"/>
    <n v="0.18033078174812109"/>
    <s v="x"/>
    <s v="x"/>
    <x v="1"/>
    <m/>
    <m/>
    <m/>
  </r>
  <r>
    <s v="Burkina Faso"/>
    <x v="2"/>
    <s v="AfDB loan number: F/BUF/RTE/92/19"/>
    <s v="C1"/>
    <s v=""/>
    <s v="AfDB loan number: F/BUF/RTE/92/19C1"/>
    <x v="1"/>
    <n v="1999"/>
    <x v="1"/>
    <n v="44"/>
    <n v="134.4"/>
    <n v="4502"/>
    <s v="CFAF"/>
    <n v="7.3121213597752108"/>
    <n v="5.4405664879279843E-2"/>
    <s v="x"/>
    <s v="x"/>
    <x v="1"/>
    <m/>
    <m/>
    <m/>
  </r>
  <r>
    <s v="Burkina Faso"/>
    <x v="2"/>
    <s v="AfDB loan number: F/BUF/RTE/92/19"/>
    <s v="C1"/>
    <s v=""/>
    <s v="AfDB loan number: F/BUF/RTE/92/19C1"/>
    <x v="2"/>
    <s v="2003 / 2008"/>
    <x v="1"/>
    <n v="2.2000000000000002"/>
    <n v="1.7591623036649213"/>
    <n v="1.2002132764596107"/>
    <m/>
    <n v="0.53073797958208446"/>
    <n v="0.30169926815529213"/>
    <s v="x"/>
    <s v="x"/>
    <x v="1"/>
    <s v="Quality of estimates"/>
    <m/>
    <s v="; ; Quality of estimates"/>
  </r>
  <r>
    <s v="Burkina Faso"/>
    <x v="2"/>
    <s v="AfDB P-BF-DB0-012"/>
    <s v="C1"/>
    <s v=""/>
    <s v="AfDB P-BF-DB0-012C1"/>
    <x v="0"/>
    <n v="2004"/>
    <x v="0"/>
    <s v=""/>
    <n v="975"/>
    <n v="8912.01"/>
    <s v="CFAF"/>
    <n v="16.869860679942455"/>
    <n v="1.7302421210197389E-2"/>
    <s v=""/>
    <s v=""/>
    <x v="0"/>
    <m/>
    <m/>
    <m/>
  </r>
  <r>
    <s v="Burkina Faso"/>
    <x v="2"/>
    <s v="AfDB P-BF-DB0-012"/>
    <s v="C1"/>
    <s v=""/>
    <s v="AfDB P-BF-DB0-012C1"/>
    <x v="1"/>
    <n v="2011"/>
    <x v="0"/>
    <s v=""/>
    <n v="919"/>
    <n v="8286.41"/>
    <s v="CFAF"/>
    <n v="17.561162209129826"/>
    <n v="1.9108990434308842E-2"/>
    <s v=""/>
    <s v=""/>
    <x v="0"/>
    <m/>
    <m/>
    <m/>
  </r>
  <r>
    <s v="Burkina Faso"/>
    <x v="2"/>
    <s v="AfDB P-BF-DB0-012"/>
    <s v="C1"/>
    <s v=""/>
    <s v="AfDB P-BF-DB0-012C1"/>
    <x v="2"/>
    <s v="2003 / 2008"/>
    <x v="0"/>
    <s v=""/>
    <n v="0.94256410256410261"/>
    <n v="0.92980259223227979"/>
    <m/>
    <n v="1.040978496639827"/>
    <n v="1.1044113538888263"/>
    <s v=""/>
    <s v=""/>
    <x v="0"/>
    <m/>
    <m/>
    <s v=""/>
  </r>
  <r>
    <s v="Burundi"/>
    <x v="2"/>
    <s v="P064876"/>
    <s v="C1"/>
    <s v=""/>
    <s v="P064876C1"/>
    <x v="0"/>
    <n v="2004"/>
    <x v="2"/>
    <n v="9"/>
    <n v="161.80000000000001"/>
    <n v="29.167000000000002"/>
    <s v="USD"/>
    <n v="29.167000000000002"/>
    <n v="0.18026576019777502"/>
    <s v=""/>
    <s v=""/>
    <x v="0"/>
    <s v=""/>
    <s v=""/>
    <m/>
  </r>
  <r>
    <s v="Burundi"/>
    <x v="2"/>
    <s v="P064876"/>
    <s v="C1"/>
    <s v=""/>
    <s v="P064876C1"/>
    <x v="1"/>
    <n v="2016"/>
    <x v="2"/>
    <s v=""/>
    <n v="161.80000000000001"/>
    <n v="42.387999999999998"/>
    <s v="USD"/>
    <n v="42.387999999999998"/>
    <n v="0.26197775030902348"/>
    <s v=""/>
    <s v=""/>
    <x v="0"/>
    <s v=""/>
    <s v=""/>
    <m/>
  </r>
  <r>
    <s v="Burundi"/>
    <x v="2"/>
    <s v="P064876"/>
    <s v="C1"/>
    <s v=""/>
    <s v="P064876C1"/>
    <x v="2"/>
    <s v="2003 / 2008"/>
    <x v="2"/>
    <s v=""/>
    <n v="1"/>
    <n v="1.4532862481571638"/>
    <m/>
    <n v="1.4532862481571638"/>
    <n v="1.453286248157164"/>
    <s v=""/>
    <s v=""/>
    <x v="0"/>
    <s v=""/>
    <s v=""/>
    <s v=""/>
  </r>
  <r>
    <s v="Burundi"/>
    <x v="2"/>
    <s v="P064876"/>
    <s v="C2"/>
    <s v=""/>
    <s v="P064876C2"/>
    <x v="0"/>
    <n v="2004"/>
    <x v="14"/>
    <n v="5"/>
    <n v="350"/>
    <n v="9.5229999999999997"/>
    <s v="USD"/>
    <n v="9.5229999999999997"/>
    <n v="2.7208571428571429E-2"/>
    <s v=""/>
    <s v=""/>
    <x v="0"/>
    <s v=""/>
    <s v=""/>
    <m/>
  </r>
  <r>
    <s v="Burundi"/>
    <x v="2"/>
    <s v="P064876"/>
    <s v="C2"/>
    <s v=""/>
    <s v="P064876C2"/>
    <x v="1"/>
    <n v="2016"/>
    <x v="14"/>
    <s v=""/>
    <n v="355"/>
    <n v="8.1189999999999998"/>
    <s v="USD"/>
    <n v="8.1189999999999998"/>
    <n v="2.2870422535211266E-2"/>
    <s v=""/>
    <s v=""/>
    <x v="0"/>
    <s v=""/>
    <s v=""/>
    <m/>
  </r>
  <r>
    <s v="Burundi"/>
    <x v="2"/>
    <s v="P064876"/>
    <s v="C1"/>
    <s v=""/>
    <s v="P064876C2"/>
    <x v="2"/>
    <s v="2003 / 2008"/>
    <x v="14"/>
    <s v=""/>
    <n v="1.0142857142857142"/>
    <n v="0.85256746823480001"/>
    <m/>
    <n v="0.85256746823480001"/>
    <n v="0.84055947572445056"/>
    <s v=""/>
    <s v=""/>
    <x v="0"/>
    <s v=""/>
    <s v=""/>
    <s v=""/>
  </r>
  <r>
    <s v="Cambodia"/>
    <x v="4"/>
    <s v="P071207"/>
    <s v="C1"/>
    <s v="S1"/>
    <s v="P071207C1S1"/>
    <x v="0"/>
    <n v="2003"/>
    <x v="1"/>
    <n v="12"/>
    <n v="21.8"/>
    <n v="1.78"/>
    <s v="USD"/>
    <n v="1.78"/>
    <n v="8.1651376146788995E-2"/>
    <s v=""/>
    <s v=""/>
    <x v="0"/>
    <s v=""/>
    <s v=""/>
    <m/>
  </r>
  <r>
    <s v="Cambodia"/>
    <x v="4"/>
    <s v="P071207"/>
    <s v="C1"/>
    <s v="S1"/>
    <s v="P071207C1S1"/>
    <x v="1"/>
    <n v="2012"/>
    <x v="1"/>
    <s v=""/>
    <n v="19.8"/>
    <n v="1.61"/>
    <s v="USD"/>
    <n v="1.61"/>
    <n v="8.1313131313131309E-2"/>
    <s v=""/>
    <s v=""/>
    <x v="0"/>
    <s v=""/>
    <s v=""/>
    <m/>
  </r>
  <r>
    <s v="Cambodia"/>
    <x v="4"/>
    <s v="P071207"/>
    <s v="C1"/>
    <s v=""/>
    <s v="P071207C1S1"/>
    <x v="2"/>
    <s v="2003 / 2008"/>
    <x v="1"/>
    <s v=""/>
    <n v="0.90825688073394495"/>
    <n v="0.9044943820224719"/>
    <m/>
    <n v="0.9044943820224719"/>
    <n v="0.99585745091363054"/>
    <s v=""/>
    <s v=""/>
    <x v="0"/>
    <s v=""/>
    <s v=""/>
    <s v=""/>
  </r>
  <r>
    <s v="Cambodia"/>
    <x v="4"/>
    <s v="P071207"/>
    <s v="C1"/>
    <s v="S10"/>
    <s v="P071207C1S10"/>
    <x v="0"/>
    <n v="2003"/>
    <x v="1"/>
    <n v="12"/>
    <n v="10.8"/>
    <n v="0.39"/>
    <s v="USD"/>
    <n v="0.39"/>
    <n v="3.6111111111111108E-2"/>
    <s v=""/>
    <s v=""/>
    <x v="0"/>
    <s v=""/>
    <s v=""/>
    <m/>
  </r>
  <r>
    <s v="Cambodia"/>
    <x v="4"/>
    <s v="P071207"/>
    <s v="C1"/>
    <s v="S10"/>
    <s v="P071207C1S10"/>
    <x v="1"/>
    <n v="2012"/>
    <x v="1"/>
    <s v=""/>
    <n v="8"/>
    <n v="0.42"/>
    <s v="USD"/>
    <n v="0.42"/>
    <n v="5.2499999999999998E-2"/>
    <s v=""/>
    <s v=""/>
    <x v="0"/>
    <s v=""/>
    <s v=""/>
    <m/>
  </r>
  <r>
    <s v="Cambodia"/>
    <x v="4"/>
    <s v="P071207"/>
    <s v="C1"/>
    <s v=""/>
    <s v="P071207C1S10"/>
    <x v="2"/>
    <s v="2003 / 2008"/>
    <x v="1"/>
    <s v=""/>
    <n v="0.7407407407407407"/>
    <n v="1.0769230769230769"/>
    <m/>
    <n v="1.0769230769230769"/>
    <n v="1.453846153846154"/>
    <s v=""/>
    <s v=""/>
    <x v="0"/>
    <s v=""/>
    <s v=""/>
    <s v=""/>
  </r>
  <r>
    <s v="Cambodia"/>
    <x v="4"/>
    <s v="P071207"/>
    <s v="C1"/>
    <s v="S2"/>
    <s v="P071207C1S2"/>
    <x v="0"/>
    <n v="2003"/>
    <x v="1"/>
    <n v="12"/>
    <n v="11.8"/>
    <n v="0.92"/>
    <s v="USD"/>
    <n v="0.92"/>
    <n v="7.7966101694915246E-2"/>
    <s v=""/>
    <s v=""/>
    <x v="0"/>
    <s v=""/>
    <s v=""/>
    <m/>
  </r>
  <r>
    <s v="Cambodia"/>
    <x v="4"/>
    <s v="P071207"/>
    <s v="C1"/>
    <s v="S2"/>
    <s v="P071207C1S2"/>
    <x v="1"/>
    <n v="2012"/>
    <x v="1"/>
    <s v=""/>
    <n v="12"/>
    <n v="1.29"/>
    <s v="USD"/>
    <n v="1.29"/>
    <n v="0.1075"/>
    <s v=""/>
    <s v=""/>
    <x v="0"/>
    <s v=""/>
    <s v=""/>
    <m/>
  </r>
  <r>
    <s v="Cambodia"/>
    <x v="4"/>
    <s v="P071207"/>
    <s v="C1"/>
    <s v=""/>
    <s v="P071207C1S2"/>
    <x v="2"/>
    <s v="2003 / 2008"/>
    <x v="1"/>
    <s v=""/>
    <n v="1.0169491525423728"/>
    <n v="1.4021739130434783"/>
    <m/>
    <n v="1.4021739130434783"/>
    <n v="1.3788043478260872"/>
    <s v=""/>
    <s v=""/>
    <x v="0"/>
    <s v=""/>
    <s v=""/>
    <s v=""/>
  </r>
  <r>
    <s v="Cambodia"/>
    <x v="4"/>
    <s v="P071207"/>
    <s v="C1"/>
    <s v="S3"/>
    <s v="P071207C1S3"/>
    <x v="0"/>
    <n v="2003"/>
    <x v="1"/>
    <n v="12"/>
    <n v="8.9"/>
    <n v="0.59"/>
    <s v="USD"/>
    <n v="0.59"/>
    <n v="6.6292134831460667E-2"/>
    <s v=""/>
    <s v="x"/>
    <x v="0"/>
    <s v=""/>
    <s v="x"/>
    <m/>
  </r>
  <r>
    <s v="Cambodia"/>
    <x v="4"/>
    <s v="P071207"/>
    <s v="C1"/>
    <s v="S3"/>
    <s v="P071207C1S3"/>
    <x v="1"/>
    <n v="2012"/>
    <x v="1"/>
    <s v=""/>
    <n v="13.5"/>
    <n v="0.95"/>
    <s v="USD"/>
    <n v="0.95"/>
    <n v="7.0370370370370361E-2"/>
    <s v=""/>
    <s v="x"/>
    <x v="0"/>
    <s v=""/>
    <s v="x"/>
    <m/>
  </r>
  <r>
    <s v="Cambodia"/>
    <x v="4"/>
    <s v="P071207"/>
    <s v="C1"/>
    <s v=""/>
    <s v="P071207C1S3"/>
    <x v="2"/>
    <s v="2003 / 2008"/>
    <x v="1"/>
    <s v=""/>
    <n v="1.5168539325842696"/>
    <n v="1.6101694915254237"/>
    <m/>
    <n v="1.6101694915254237"/>
    <n v="1.061519146264909"/>
    <s v=""/>
    <s v="x"/>
    <x v="0"/>
    <s v=""/>
    <s v="x"/>
    <s v="Change of project scope; Capacity of counterpart; "/>
  </r>
  <r>
    <s v="Cambodia"/>
    <x v="4"/>
    <s v="P071207"/>
    <s v="C1"/>
    <s v="S4"/>
    <s v="P071207C1S4"/>
    <x v="0"/>
    <n v="2003"/>
    <x v="1"/>
    <n v="12"/>
    <n v="18.2"/>
    <n v="1.3"/>
    <s v="USD"/>
    <n v="1.3"/>
    <n v="7.1428571428571438E-2"/>
    <s v=""/>
    <s v=""/>
    <x v="0"/>
    <s v=""/>
    <s v=""/>
    <m/>
  </r>
  <r>
    <s v="Cambodia"/>
    <x v="4"/>
    <s v="P071207"/>
    <s v="C1"/>
    <s v="S4"/>
    <s v="P071207C1S4"/>
    <x v="1"/>
    <n v="2012"/>
    <x v="1"/>
    <s v=""/>
    <n v="15.2"/>
    <n v="1.06"/>
    <s v="USD"/>
    <n v="1.06"/>
    <n v="6.9736842105263167E-2"/>
    <s v=""/>
    <s v=""/>
    <x v="0"/>
    <s v=""/>
    <s v=""/>
    <m/>
  </r>
  <r>
    <s v="Cambodia"/>
    <x v="4"/>
    <s v="P071207"/>
    <s v="C1"/>
    <s v=""/>
    <s v="P071207C1S4"/>
    <x v="2"/>
    <s v="2003 / 2008"/>
    <x v="1"/>
    <s v=""/>
    <n v="0.8351648351648352"/>
    <n v="0.81538461538461537"/>
    <m/>
    <n v="0.81538461538461537"/>
    <n v="0.97631578947368425"/>
    <s v=""/>
    <s v=""/>
    <x v="0"/>
    <s v=""/>
    <s v=""/>
    <s v=""/>
  </r>
  <r>
    <s v="Cambodia"/>
    <x v="4"/>
    <s v="P071207"/>
    <s v="C1"/>
    <s v="S5"/>
    <s v="P071207C1S5"/>
    <x v="0"/>
    <n v="2003"/>
    <x v="1"/>
    <n v="12"/>
    <n v="15.3"/>
    <n v="1.23"/>
    <s v="USD"/>
    <n v="1.23"/>
    <n v="8.039215686274509E-2"/>
    <s v=""/>
    <s v=""/>
    <x v="0"/>
    <s v=""/>
    <s v=""/>
    <m/>
  </r>
  <r>
    <s v="Cambodia"/>
    <x v="4"/>
    <s v="P071207"/>
    <s v="C1"/>
    <s v="S5"/>
    <s v="P071207C1S5"/>
    <x v="1"/>
    <n v="2012"/>
    <x v="1"/>
    <s v=""/>
    <n v="15.5"/>
    <n v="1.31"/>
    <s v="USD"/>
    <n v="1.31"/>
    <n v="8.4516129032258067E-2"/>
    <s v=""/>
    <s v=""/>
    <x v="0"/>
    <s v=""/>
    <s v=""/>
    <m/>
  </r>
  <r>
    <s v="Cambodia"/>
    <x v="4"/>
    <s v="P071207"/>
    <s v="C1"/>
    <s v=""/>
    <s v="P071207C1S5"/>
    <x v="2"/>
    <s v="2003 / 2008"/>
    <x v="1"/>
    <s v=""/>
    <n v="1.0130718954248366"/>
    <n v="1.0650406504065042"/>
    <m/>
    <n v="1.0650406504065042"/>
    <n v="1.051298190401259"/>
    <s v=""/>
    <s v=""/>
    <x v="0"/>
    <s v=""/>
    <s v=""/>
    <s v=""/>
  </r>
  <r>
    <s v="Cambodia"/>
    <x v="4"/>
    <s v="P071207"/>
    <s v="C1"/>
    <s v="S6"/>
    <s v="P071207C1S6"/>
    <x v="0"/>
    <n v="2003"/>
    <x v="1"/>
    <n v="12"/>
    <n v="18.399999999999999"/>
    <n v="1.0900000000000001"/>
    <s v="USD"/>
    <n v="1.0900000000000001"/>
    <n v="5.9239130434782621E-2"/>
    <s v=""/>
    <s v=""/>
    <x v="0"/>
    <s v=""/>
    <s v=""/>
    <m/>
  </r>
  <r>
    <s v="Cambodia"/>
    <x v="4"/>
    <s v="P071207"/>
    <s v="C1"/>
    <s v="S6"/>
    <s v="P071207C1S6"/>
    <x v="1"/>
    <n v="2012"/>
    <x v="1"/>
    <s v=""/>
    <n v="18.5"/>
    <n v="1.49"/>
    <s v="USD"/>
    <n v="1.49"/>
    <n v="8.0540540540540537E-2"/>
    <s v=""/>
    <s v=""/>
    <x v="0"/>
    <s v=""/>
    <s v=""/>
    <m/>
  </r>
  <r>
    <s v="Cambodia"/>
    <x v="4"/>
    <s v="P071207"/>
    <s v="C1"/>
    <s v=""/>
    <s v="P071207C1S6"/>
    <x v="2"/>
    <s v="2003 / 2008"/>
    <x v="1"/>
    <s v=""/>
    <n v="1.0054347826086958"/>
    <n v="1.36697247706422"/>
    <m/>
    <n v="1.36697247706422"/>
    <n v="1.3595834366476565"/>
    <s v=""/>
    <s v=""/>
    <x v="0"/>
    <s v=""/>
    <s v=""/>
    <s v=""/>
  </r>
  <r>
    <s v="Cambodia"/>
    <x v="4"/>
    <s v="P071207"/>
    <s v="C1"/>
    <s v="S7"/>
    <s v="P071207C1S7"/>
    <x v="0"/>
    <n v="2003"/>
    <x v="1"/>
    <n v="12"/>
    <n v="17.8"/>
    <n v="0.57999999999999996"/>
    <s v="USD"/>
    <n v="0.57999999999999996"/>
    <n v="3.2584269662921342E-2"/>
    <s v=""/>
    <s v="x"/>
    <x v="0"/>
    <s v=""/>
    <s v="x"/>
    <m/>
  </r>
  <r>
    <s v="Cambodia"/>
    <x v="4"/>
    <s v="P071207"/>
    <s v="C1"/>
    <s v="S7"/>
    <s v="P071207C1S7"/>
    <x v="1"/>
    <n v="2012"/>
    <x v="1"/>
    <s v=""/>
    <n v="29"/>
    <n v="1.1000000000000001"/>
    <s v="USD"/>
    <n v="1.1000000000000001"/>
    <n v="3.7931034482758627E-2"/>
    <s v=""/>
    <s v="x"/>
    <x v="0"/>
    <s v=""/>
    <s v="x"/>
    <m/>
  </r>
  <r>
    <s v="Cambodia"/>
    <x v="4"/>
    <s v="P071207"/>
    <s v="C1"/>
    <s v=""/>
    <s v="P071207C1S7"/>
    <x v="2"/>
    <s v="2003 / 2008"/>
    <x v="1"/>
    <s v=""/>
    <n v="1.6292134831460674"/>
    <n v="1.8965517241379313"/>
    <m/>
    <n v="1.8965517241379313"/>
    <n v="1.1640903686087996"/>
    <s v=""/>
    <s v="x"/>
    <x v="0"/>
    <s v=""/>
    <s v="x"/>
    <s v="Change of project scope; Capacity of counterpart; "/>
  </r>
  <r>
    <s v="Cambodia"/>
    <x v="4"/>
    <s v="P071207"/>
    <s v="C1"/>
    <s v="S8"/>
    <s v="P071207C1S8"/>
    <x v="0"/>
    <n v="2003"/>
    <x v="1"/>
    <n v="12"/>
    <n v="12.7"/>
    <n v="0.42"/>
    <s v="USD"/>
    <n v="0.42"/>
    <n v="3.3070866141732283E-2"/>
    <s v=""/>
    <s v=""/>
    <x v="0"/>
    <s v="x"/>
    <s v="x"/>
    <m/>
  </r>
  <r>
    <s v="Cambodia"/>
    <x v="4"/>
    <s v="P071207"/>
    <s v="C1"/>
    <s v="S8"/>
    <s v="P071207C1S8"/>
    <x v="1"/>
    <n v="2012"/>
    <x v="1"/>
    <s v=""/>
    <n v="12.6"/>
    <n v="0.71"/>
    <s v="USD"/>
    <n v="0.71"/>
    <n v="5.634920634920635E-2"/>
    <s v=""/>
    <s v=""/>
    <x v="0"/>
    <s v="x"/>
    <s v="x"/>
    <m/>
  </r>
  <r>
    <s v="Cambodia"/>
    <x v="4"/>
    <s v="P071207"/>
    <s v="C1"/>
    <s v=""/>
    <s v="P071207C1S8"/>
    <x v="2"/>
    <s v="2003 / 2008"/>
    <x v="1"/>
    <s v=""/>
    <n v="0.99212598425196852"/>
    <n v="1.6904761904761905"/>
    <m/>
    <n v="1.6904761904761905"/>
    <n v="1.7038926681783826"/>
    <s v=""/>
    <s v=""/>
    <x v="0"/>
    <s v="x"/>
    <s v="x"/>
    <s v="Change of project scope; Procurement system; "/>
  </r>
  <r>
    <s v="Cambodia"/>
    <x v="4"/>
    <s v="P071207"/>
    <s v="C1"/>
    <s v="S9"/>
    <s v="P071207C1S9"/>
    <x v="0"/>
    <n v="2003"/>
    <x v="2"/>
    <n v="12"/>
    <n v="16.7"/>
    <n v="0.36"/>
    <s v="USD"/>
    <n v="0.36"/>
    <n v="2.1556886227544911E-2"/>
    <s v=""/>
    <s v=""/>
    <x v="0"/>
    <s v="x"/>
    <s v="x"/>
    <m/>
  </r>
  <r>
    <s v="Cambodia"/>
    <x v="4"/>
    <s v="P071207"/>
    <s v="C1"/>
    <s v="S9"/>
    <s v="P071207C1S9"/>
    <x v="1"/>
    <n v="2012"/>
    <x v="2"/>
    <s v=""/>
    <n v="17"/>
    <n v="0.63"/>
    <s v="USD"/>
    <n v="0.63"/>
    <n v="3.7058823529411762E-2"/>
    <s v=""/>
    <s v=""/>
    <x v="0"/>
    <s v="x"/>
    <s v="x"/>
    <m/>
  </r>
  <r>
    <s v="Cambodia"/>
    <x v="4"/>
    <s v="P071207"/>
    <s v="C1"/>
    <s v=""/>
    <s v="P071207C1S9"/>
    <x v="2"/>
    <s v="2003 / 2008"/>
    <x v="2"/>
    <s v=""/>
    <n v="1.0179640718562875"/>
    <n v="1.75"/>
    <m/>
    <n v="1.75"/>
    <n v="1.7191176470588234"/>
    <s v=""/>
    <s v=""/>
    <x v="0"/>
    <s v="x"/>
    <s v="x"/>
    <s v="Change of project scope; Procurement system; "/>
  </r>
  <r>
    <s v="Cambodia"/>
    <x v="4"/>
    <s v="Project Number: 42358-013"/>
    <s v="C1"/>
    <s v=""/>
    <s v="Project Number: 42358-013C1"/>
    <x v="0"/>
    <n v="2009"/>
    <x v="1"/>
    <s v=""/>
    <n v="113"/>
    <n v="23.78"/>
    <s v="KHR"/>
    <n v="5.6646696601912842E-3"/>
    <n v="5.0129820001692782E-5"/>
    <s v="x"/>
    <s v=""/>
    <x v="1"/>
    <m/>
    <m/>
    <m/>
  </r>
  <r>
    <s v="Cambodia"/>
    <x v="4"/>
    <s v="Project Number: 42358-013"/>
    <s v="C1"/>
    <s v=""/>
    <s v="Project Number: 42358-013C1"/>
    <x v="1"/>
    <n v="2014"/>
    <x v="1"/>
    <s v=""/>
    <n v="113"/>
    <n v="35.93"/>
    <s v="KHR"/>
    <n v="8.89907120743034E-3"/>
    <n v="7.8752842543631333E-5"/>
    <s v="x"/>
    <s v=""/>
    <x v="1"/>
    <m/>
    <m/>
    <m/>
  </r>
  <r>
    <s v="Cambodia"/>
    <x v="4"/>
    <s v="Project Number: 42358-013"/>
    <s v="C1"/>
    <s v=""/>
    <s v="Project Number: 42358-013C1"/>
    <x v="2"/>
    <s v="2003 / 2008"/>
    <x v="1"/>
    <s v=""/>
    <n v="1"/>
    <n v="1.510933557611438"/>
    <m/>
    <n v="1.570977963634659"/>
    <n v="1.5709779636346592"/>
    <s v="x"/>
    <s v=""/>
    <x v="1"/>
    <s v="macroeconomic conditions"/>
    <s v="The difference between total project costs at appraisal and completion is about $2.59 million, which was mainly due to the cost overruns of civil works, as a result of price increases beyond projections (PCR p. 5)"/>
    <s v="; ; macroeconomic conditions"/>
  </r>
  <r>
    <s v="Cameroon"/>
    <x v="2"/>
    <s v="P074490"/>
    <s v="C1"/>
    <s v=""/>
    <s v="P074490C1"/>
    <x v="0"/>
    <n v="2002"/>
    <x v="11"/>
    <s v=""/>
    <n v="23"/>
    <n v="58.13"/>
    <s v="USD"/>
    <n v="58.13"/>
    <n v="2.5273913043478262"/>
    <s v=""/>
    <s v=""/>
    <x v="0"/>
    <s v=""/>
    <s v=""/>
    <m/>
  </r>
  <r>
    <s v="Cameroon"/>
    <x v="2"/>
    <s v="P074490"/>
    <s v="C1"/>
    <s v=""/>
    <s v="P074490C1"/>
    <x v="1"/>
    <n v="2010"/>
    <x v="11"/>
    <n v="48"/>
    <n v="27"/>
    <n v="67.88"/>
    <s v="USD"/>
    <n v="67.88"/>
    <n v="2.5140740740740739"/>
    <s v=""/>
    <s v=""/>
    <x v="0"/>
    <s v=""/>
    <s v=""/>
    <m/>
  </r>
  <r>
    <s v="Cameroon"/>
    <x v="2"/>
    <s v="P074490"/>
    <s v="C1"/>
    <s v=""/>
    <s v="P074490C1"/>
    <x v="2"/>
    <s v="2003 / 2008"/>
    <x v="11"/>
    <s v=""/>
    <n v="1.173913043478261"/>
    <n v="1.167727507311199"/>
    <m/>
    <n v="1.167727507311199"/>
    <n v="0.99473083956139163"/>
    <s v=""/>
    <s v=""/>
    <x v="0"/>
    <s v=""/>
    <s v=""/>
    <s v=""/>
  </r>
  <r>
    <s v="Cameroon"/>
    <x v="2"/>
    <s v="AfDB loan number: B/CAM/RTE/89/16"/>
    <s v="C1"/>
    <s v="S1"/>
    <s v="AfDB loan number: B/CAM/RTE/89/16C1S1"/>
    <x v="0"/>
    <n v="1988"/>
    <x v="1"/>
    <n v="22"/>
    <n v="15.8"/>
    <n v="2354.1999999999998"/>
    <s v="CFAF"/>
    <n v="7.9042438893365565"/>
    <n v="0.50026860059092126"/>
    <s v=""/>
    <s v=""/>
    <x v="0"/>
    <m/>
    <m/>
    <m/>
  </r>
  <r>
    <s v="Cameroon"/>
    <x v="2"/>
    <s v="AfDB loan number: B/CAM/RTE/89/16"/>
    <s v="C1"/>
    <s v="S1"/>
    <s v="AfDB loan number: B/CAM/RTE/89/16C1S1"/>
    <x v="1"/>
    <n v="1998"/>
    <x v="1"/>
    <n v="44"/>
    <n v="15.8"/>
    <n v="2402.71"/>
    <s v="CFAF"/>
    <n v="4.0727349775404695"/>
    <n v="0.25776803655319425"/>
    <s v=""/>
    <s v=""/>
    <x v="0"/>
    <m/>
    <m/>
    <m/>
  </r>
  <r>
    <s v="Cameroon"/>
    <x v="2"/>
    <s v="AfDB loan number: B/CAM/RTE/89/16"/>
    <s v="C1"/>
    <s v=""/>
    <s v="AfDB loan number: B/CAM/RTE/89/16C1S1"/>
    <x v="2"/>
    <s v="2003 / 2008"/>
    <x v="1"/>
    <n v="2"/>
    <n v="1"/>
    <n v="1.0206057259366239"/>
    <m/>
    <n v="0.51525927521478776"/>
    <n v="0.51525927521478776"/>
    <s v=""/>
    <s v=""/>
    <x v="0"/>
    <m/>
    <m/>
    <s v=""/>
  </r>
  <r>
    <s v="Cameroon"/>
    <x v="2"/>
    <s v="AfDB loan number: B/CAM/RTE/89/16"/>
    <s v="C1"/>
    <s v="S2"/>
    <s v="AfDB loan number: B/CAM/RTE/89/16C1S2"/>
    <x v="0"/>
    <n v="1988"/>
    <x v="0"/>
    <n v="22"/>
    <n v="49.6"/>
    <n v="3785.5"/>
    <s v="CFAF"/>
    <n v="12.709844211657266"/>
    <n v="0.25624685910599326"/>
    <s v="x"/>
    <s v=""/>
    <x v="1"/>
    <m/>
    <m/>
    <m/>
  </r>
  <r>
    <s v="Cameroon"/>
    <x v="2"/>
    <s v="AfDB loan number: B/CAM/RTE/89/16"/>
    <s v="C1"/>
    <s v="S2"/>
    <s v="AfDB loan number: B/CAM/RTE/89/16C1S2"/>
    <x v="1"/>
    <n v="1998"/>
    <x v="0"/>
    <n v="44"/>
    <n v="49.4"/>
    <n v="3565.01"/>
    <s v="CFAF"/>
    <n v="6.0429019408424445"/>
    <n v="0.12232595021948268"/>
    <s v="x"/>
    <s v=""/>
    <x v="1"/>
    <m/>
    <m/>
    <m/>
  </r>
  <r>
    <s v="Cameroon"/>
    <x v="2"/>
    <s v="AfDB loan number: B/CAM/RTE/89/16"/>
    <s v="C1"/>
    <s v=""/>
    <s v="AfDB loan number: B/CAM/RTE/89/16C1S2"/>
    <x v="2"/>
    <s v="2003 / 2008"/>
    <x v="0"/>
    <n v="2"/>
    <n v="0.99596774193548376"/>
    <n v="0.94175406155065389"/>
    <m/>
    <n v="0.47545051223365831"/>
    <n v="0.47737541309290393"/>
    <s v="x"/>
    <s v=""/>
    <x v="1"/>
    <s v="change of project scope"/>
    <s v="Modifications to the layout were made in some areas situated between Bafoussam and the Noun bridge reducing the lehght of the road by 155 meters. This made it possible to to reduce the cost of the expropriations. (annex 5 p. 1 of 2)"/>
    <s v="; ; change of project scope"/>
  </r>
  <r>
    <s v="Cape Verde"/>
    <x v="2"/>
    <s v="P087004"/>
    <s v="C1"/>
    <s v="S1"/>
    <s v="P087004C1S1"/>
    <x v="0"/>
    <n v="2005"/>
    <x v="1"/>
    <s v=""/>
    <n v="3"/>
    <n v="0.62"/>
    <s v="USD"/>
    <n v="0.62"/>
    <n v="0.20666666666666667"/>
    <s v=""/>
    <s v=""/>
    <x v="0"/>
    <s v=""/>
    <s v=""/>
    <m/>
  </r>
  <r>
    <s v="Cape Verde"/>
    <x v="2"/>
    <s v="P087004"/>
    <s v="C1"/>
    <s v="S1"/>
    <s v="P087004C1S1"/>
    <x v="1"/>
    <n v="2014"/>
    <x v="1"/>
    <s v=""/>
    <n v="3"/>
    <n v="0.75"/>
    <s v="USD"/>
    <n v="0.75"/>
    <n v="0.25"/>
    <s v=""/>
    <s v=""/>
    <x v="0"/>
    <s v=""/>
    <s v=""/>
    <m/>
  </r>
  <r>
    <s v="Cape Verde"/>
    <x v="2"/>
    <s v="P087004"/>
    <s v="C1"/>
    <s v=""/>
    <s v="P087004C1S1"/>
    <x v="2"/>
    <s v="2003 / 2008"/>
    <x v="1"/>
    <s v=""/>
    <n v="1"/>
    <n v="1.2096774193548387"/>
    <m/>
    <n v="1.2096774193548387"/>
    <n v="1.2096774193548387"/>
    <s v=""/>
    <s v=""/>
    <x v="0"/>
    <s v=""/>
    <s v=""/>
    <s v=""/>
  </r>
  <r>
    <s v="Cape Verde"/>
    <x v="2"/>
    <s v="P087004"/>
    <s v="C1"/>
    <s v="S2"/>
    <s v="P087004C1S2"/>
    <x v="0"/>
    <n v="2005"/>
    <x v="1"/>
    <s v=""/>
    <n v="11"/>
    <n v="3.62"/>
    <s v="USD"/>
    <n v="3.62"/>
    <n v="0.3290909090909091"/>
    <s v=""/>
    <s v=""/>
    <x v="0"/>
    <s v=""/>
    <s v=""/>
    <m/>
  </r>
  <r>
    <s v="Cape Verde"/>
    <x v="2"/>
    <s v="P087004"/>
    <s v="C1"/>
    <s v="S2"/>
    <s v="P087004C1S2"/>
    <x v="1"/>
    <n v="2014"/>
    <x v="1"/>
    <s v=""/>
    <n v="11"/>
    <n v="4.18"/>
    <s v="USD"/>
    <n v="4.18"/>
    <n v="0.37999999999999995"/>
    <s v=""/>
    <s v=""/>
    <x v="0"/>
    <s v=""/>
    <s v=""/>
    <m/>
  </r>
  <r>
    <s v="Cape Verde"/>
    <x v="2"/>
    <s v="P087004"/>
    <s v="C1"/>
    <s v=""/>
    <s v="P087004C1S2"/>
    <x v="2"/>
    <s v="2003 / 2008"/>
    <x v="1"/>
    <s v=""/>
    <n v="1"/>
    <n v="1.1546961325966849"/>
    <m/>
    <n v="1.1546961325966849"/>
    <n v="1.1546961325966849"/>
    <s v=""/>
    <s v=""/>
    <x v="0"/>
    <s v=""/>
    <s v=""/>
    <s v=""/>
  </r>
  <r>
    <s v="Cape Verde"/>
    <x v="2"/>
    <s v="P087004"/>
    <s v="C1"/>
    <s v="S3"/>
    <s v="P087004C1S3"/>
    <x v="0"/>
    <n v="2005"/>
    <x v="1"/>
    <s v=""/>
    <n v="27"/>
    <n v="8.1300000000000008"/>
    <s v="USD"/>
    <n v="8.1300000000000008"/>
    <n v="0.30111111111111116"/>
    <s v=""/>
    <s v=""/>
    <x v="0"/>
    <s v=""/>
    <s v=""/>
    <m/>
  </r>
  <r>
    <s v="Cape Verde"/>
    <x v="2"/>
    <s v="P087004"/>
    <s v="C1"/>
    <s v="S3"/>
    <s v="P087004C1S3"/>
    <x v="1"/>
    <n v="2014"/>
    <x v="1"/>
    <s v=""/>
    <n v="27"/>
    <n v="12.06"/>
    <s v="USD"/>
    <n v="12.06"/>
    <n v="0.44666666666666671"/>
    <s v=""/>
    <s v=""/>
    <x v="0"/>
    <s v=""/>
    <s v=""/>
    <m/>
  </r>
  <r>
    <s v="Cape Verde"/>
    <x v="2"/>
    <s v="P087004"/>
    <s v="C1"/>
    <s v=""/>
    <s v="P087004C1S3"/>
    <x v="2"/>
    <s v="2003 / 2008"/>
    <x v="1"/>
    <s v=""/>
    <n v="1"/>
    <n v="1.4833948339483394"/>
    <m/>
    <n v="1.4833948339483394"/>
    <n v="1.4833948339483394"/>
    <s v=""/>
    <s v=""/>
    <x v="0"/>
    <s v=""/>
    <s v=""/>
    <s v=""/>
  </r>
  <r>
    <s v="Chad"/>
    <x v="2"/>
    <s v="P035672"/>
    <s v="C1"/>
    <s v="S1"/>
    <s v="P035672C1S1"/>
    <x v="0"/>
    <n v="2000"/>
    <x v="0"/>
    <s v=""/>
    <n v="104"/>
    <n v="35.54"/>
    <s v="USD"/>
    <n v="35.54"/>
    <n v="0.34173076923076923"/>
    <s v=""/>
    <s v=""/>
    <x v="0"/>
    <s v=""/>
    <s v=""/>
    <m/>
  </r>
  <r>
    <s v="Chad"/>
    <x v="2"/>
    <s v="P035672"/>
    <s v="C1"/>
    <s v="S1"/>
    <s v="P035672C1S1"/>
    <x v="1"/>
    <n v="2009"/>
    <x v="0"/>
    <s v=""/>
    <n v="104"/>
    <n v="39"/>
    <s v="USD"/>
    <n v="39"/>
    <n v="0.375"/>
    <s v=""/>
    <s v=""/>
    <x v="0"/>
    <s v=""/>
    <s v=""/>
    <m/>
  </r>
  <r>
    <s v="Chad"/>
    <x v="2"/>
    <s v="P035672"/>
    <s v="C1"/>
    <s v=""/>
    <s v="P035672C1S1"/>
    <x v="2"/>
    <s v="2003 / 2008"/>
    <x v="0"/>
    <s v=""/>
    <n v="1"/>
    <n v="1.0973550928531233"/>
    <m/>
    <n v="1.0973550928531233"/>
    <n v="1.0973550928531233"/>
    <s v=""/>
    <s v=""/>
    <x v="0"/>
    <s v=""/>
    <s v=""/>
    <s v=""/>
  </r>
  <r>
    <s v="Chad"/>
    <x v="2"/>
    <s v="P035672"/>
    <s v="C1"/>
    <s v="S2"/>
    <s v="P035672C1S2"/>
    <x v="0"/>
    <n v="2000"/>
    <x v="1"/>
    <s v=""/>
    <n v="286"/>
    <n v="25.36"/>
    <s v="USD"/>
    <n v="25.36"/>
    <n v="8.8671328671328667E-2"/>
    <s v=""/>
    <s v=""/>
    <x v="0"/>
    <s v="x"/>
    <s v="x"/>
    <m/>
  </r>
  <r>
    <s v="Chad"/>
    <x v="2"/>
    <s v="P035672"/>
    <s v="C1"/>
    <s v="S2"/>
    <s v="P035672C1S2"/>
    <x v="1"/>
    <n v="2009"/>
    <x v="1"/>
    <s v=""/>
    <n v="286"/>
    <n v="44"/>
    <s v="USD"/>
    <n v="44"/>
    <n v="0.15384615384615385"/>
    <s v=""/>
    <s v=""/>
    <x v="0"/>
    <s v="x"/>
    <s v="x"/>
    <m/>
  </r>
  <r>
    <s v="Chad"/>
    <x v="2"/>
    <s v="P035672"/>
    <s v="C1"/>
    <s v=""/>
    <s v="P035672C1S2"/>
    <x v="2"/>
    <s v="2003 / 2008"/>
    <x v="1"/>
    <s v=""/>
    <n v="1"/>
    <n v="1.7350157728706626"/>
    <m/>
    <n v="1.7350157728706626"/>
    <n v="1.7350157728706626"/>
    <s v=""/>
    <s v=""/>
    <x v="0"/>
    <s v="x"/>
    <s v="x"/>
    <s v="Change of project scope  ; Capacity of contractors; Macroeconomic conditions "/>
  </r>
  <r>
    <s v="Chad"/>
    <x v="2"/>
    <s v="P035672"/>
    <s v="C2"/>
    <s v=""/>
    <s v="P035672C2"/>
    <x v="0"/>
    <n v="2000"/>
    <x v="4"/>
    <n v="48"/>
    <n v="441"/>
    <n v="19.57"/>
    <s v="USD"/>
    <n v="19.57"/>
    <n v="4.4376417233560089E-2"/>
    <s v=""/>
    <s v=""/>
    <x v="0"/>
    <s v=""/>
    <s v=""/>
    <m/>
  </r>
  <r>
    <s v="Chad"/>
    <x v="2"/>
    <s v="P035672"/>
    <s v="C2"/>
    <s v=""/>
    <s v="P035672C2"/>
    <x v="1"/>
    <n v="2009"/>
    <x v="4"/>
    <n v="57"/>
    <n v="441"/>
    <n v="28"/>
    <s v="USD"/>
    <n v="28"/>
    <n v="6.3492063492063489E-2"/>
    <s v=""/>
    <s v=""/>
    <x v="0"/>
    <s v=""/>
    <s v=""/>
    <m/>
  </r>
  <r>
    <s v="Chad"/>
    <x v="2"/>
    <s v="P035672"/>
    <s v="C1"/>
    <s v=""/>
    <s v="P035672C2"/>
    <x v="2"/>
    <s v="2003 / 2008"/>
    <x v="4"/>
    <n v="1.1875"/>
    <n v="1"/>
    <n v="1.430761369443025"/>
    <m/>
    <n v="1.430761369443025"/>
    <n v="1.430761369443025"/>
    <s v=""/>
    <s v=""/>
    <x v="0"/>
    <s v=""/>
    <s v=""/>
    <s v=""/>
  </r>
  <r>
    <s v="Chad"/>
    <x v="2"/>
    <s v="AfDB project - P-TD-DB0-008"/>
    <s v="C1"/>
    <s v=""/>
    <s v="AfDB project - P-TD-DB0-008C1"/>
    <x v="0"/>
    <n v="2009"/>
    <x v="6"/>
    <n v="28"/>
    <n v="110"/>
    <n v="44.715040999999999"/>
    <s v="UA"/>
    <n v="30.473122478464724"/>
    <n v="0.27702838616786113"/>
    <s v="x"/>
    <s v=""/>
    <x v="1"/>
    <m/>
    <m/>
    <m/>
  </r>
  <r>
    <s v="Chad"/>
    <x v="2"/>
    <s v="AfDB project - P-TD-DB0-008"/>
    <s v="C1"/>
    <s v=""/>
    <s v="AfDB project - P-TD-DB0-008C1"/>
    <x v="1"/>
    <n v="2017"/>
    <x v="6"/>
    <n v="28"/>
    <n v="110"/>
    <n v="75.256649890000006"/>
    <s v="UA"/>
    <n v="53.169129933164719"/>
    <n v="0.48335572666513382"/>
    <s v="x"/>
    <s v=""/>
    <x v="1"/>
    <m/>
    <m/>
    <m/>
  </r>
  <r>
    <s v="Chad"/>
    <x v="2"/>
    <s v="AfDB project - P-TD-DB0-008"/>
    <s v="C1"/>
    <s v=""/>
    <s v="AfDB project - P-TD-DB0-008C1"/>
    <x v="2"/>
    <s v="2003 / 2008"/>
    <x v="6"/>
    <n v="1"/>
    <n v="1"/>
    <n v="1.683027639178504"/>
    <m/>
    <n v="1.7447877214006935"/>
    <n v="1.7447877214006935"/>
    <s v="x"/>
    <s v=""/>
    <x v="1"/>
    <s v="Change of project scope "/>
    <s v="The project cost differences are mainly explained by the additional costs of the modification of the roadway structure decided by the Government - The replacement of the two-layer surfacing course with 5 cm of bituminous concrete generated an additional cost of CFAF 11,055,332,234 or 30% of the total basic contract amount. "/>
    <s v="; ; Change of project scope "/>
  </r>
  <r>
    <s v="China"/>
    <x v="4"/>
    <s v="P045915"/>
    <s v="C1"/>
    <s v=""/>
    <s v="P045915C1"/>
    <x v="0"/>
    <n v="2000"/>
    <x v="15"/>
    <n v="54"/>
    <n v="31.25"/>
    <n v="194.8"/>
    <s v="USD"/>
    <n v="194.8"/>
    <n v="6.2336"/>
    <s v=""/>
    <s v=""/>
    <x v="0"/>
    <s v=""/>
    <s v=""/>
    <m/>
  </r>
  <r>
    <s v="China"/>
    <x v="4"/>
    <s v="P045915"/>
    <s v="C1"/>
    <s v=""/>
    <s v="P045915C1"/>
    <x v="1"/>
    <n v="2008"/>
    <x v="15"/>
    <n v="54"/>
    <n v="31.25"/>
    <n v="216.4"/>
    <s v="USD"/>
    <n v="216.4"/>
    <n v="6.9248000000000003"/>
    <s v=""/>
    <s v=""/>
    <x v="0"/>
    <s v=""/>
    <s v=""/>
    <m/>
  </r>
  <r>
    <s v="China"/>
    <x v="4"/>
    <s v="P045915"/>
    <s v="C1"/>
    <s v=""/>
    <s v="P045915C1"/>
    <x v="2"/>
    <s v="2003 / 2008"/>
    <x v="15"/>
    <n v="1"/>
    <n v="1"/>
    <n v="1.1108829568788501"/>
    <m/>
    <n v="1.1108829568788501"/>
    <n v="1.1108829568788501"/>
    <s v=""/>
    <s v=""/>
    <x v="0"/>
    <s v=""/>
    <s v=""/>
    <s v=""/>
  </r>
  <r>
    <s v="China"/>
    <x v="4"/>
    <s v="P056596 "/>
    <s v="C1"/>
    <s v=""/>
    <s v="P056596 C1"/>
    <x v="0"/>
    <n v="2001"/>
    <x v="9"/>
    <s v=""/>
    <n v="32.9"/>
    <n v="170.3"/>
    <s v="USD"/>
    <n v="170.3"/>
    <n v="5.1762917933130703"/>
    <s v=""/>
    <s v=""/>
    <x v="0"/>
    <s v=""/>
    <s v=""/>
    <m/>
  </r>
  <r>
    <s v="China"/>
    <x v="4"/>
    <s v="P056596 "/>
    <s v="C1"/>
    <s v=""/>
    <s v="P056596 C1"/>
    <x v="1"/>
    <n v="2009"/>
    <x v="9"/>
    <s v=""/>
    <n v="43.4"/>
    <n v="204.5"/>
    <s v="USD"/>
    <n v="204.5"/>
    <n v="4.7119815668202767"/>
    <s v=""/>
    <s v=""/>
    <x v="0"/>
    <s v=""/>
    <s v=""/>
    <m/>
  </r>
  <r>
    <s v="China"/>
    <x v="4"/>
    <s v="P056596 "/>
    <s v="C1"/>
    <s v=""/>
    <s v="P056596 C1"/>
    <x v="2"/>
    <s v="2003 / 2008"/>
    <x v="9"/>
    <s v=""/>
    <n v="1.3191489361702127"/>
    <n v="1.2008220786846739"/>
    <m/>
    <n v="1.2008220786846739"/>
    <n v="0.91030060803515611"/>
    <s v=""/>
    <s v=""/>
    <x v="0"/>
    <s v=""/>
    <s v=""/>
    <s v=""/>
  </r>
  <r>
    <s v="China"/>
    <x v="4"/>
    <s v="P058843"/>
    <s v="C1"/>
    <s v=""/>
    <s v="P058843C1"/>
    <x v="0"/>
    <n v="2000"/>
    <x v="5"/>
    <n v="48"/>
    <n v="236"/>
    <n v="56.72"/>
    <s v="USD"/>
    <n v="56.72"/>
    <n v="0.24033898305084744"/>
    <s v=""/>
    <s v=""/>
    <x v="0"/>
    <s v=""/>
    <s v=""/>
    <m/>
  </r>
  <r>
    <s v="China"/>
    <x v="4"/>
    <s v="P058843"/>
    <s v="C1"/>
    <s v=""/>
    <s v="P058843C1"/>
    <x v="1"/>
    <n v="2007"/>
    <x v="5"/>
    <n v="60"/>
    <n v="231.1"/>
    <n v="48.61"/>
    <s v="USD"/>
    <n v="48.61"/>
    <n v="0.21034184335785375"/>
    <s v=""/>
    <s v=""/>
    <x v="0"/>
    <s v=""/>
    <s v=""/>
    <m/>
  </r>
  <r>
    <s v="China"/>
    <x v="4"/>
    <s v="P058843"/>
    <s v="C1"/>
    <s v=""/>
    <s v="P058843C1"/>
    <x v="2"/>
    <s v="2003 / 2008"/>
    <x v="5"/>
    <n v="1.25"/>
    <n v="0.97923728813559319"/>
    <n v="0.85701692524682649"/>
    <m/>
    <n v="0.85701692524682649"/>
    <n v="0.87518820579078782"/>
    <s v=""/>
    <s v=""/>
    <x v="0"/>
    <s v=""/>
    <s v=""/>
    <s v=""/>
  </r>
  <r>
    <s v="China"/>
    <x v="4"/>
    <s v="P058845"/>
    <s v="C1"/>
    <s v="S1"/>
    <s v="P058845C1S1"/>
    <x v="0"/>
    <n v="2001"/>
    <x v="8"/>
    <s v=""/>
    <n v="130"/>
    <n v="397"/>
    <s v="USD"/>
    <n v="397"/>
    <n v="3.0538461538461537"/>
    <s v=""/>
    <s v=""/>
    <x v="0"/>
    <s v=""/>
    <s v=""/>
    <m/>
  </r>
  <r>
    <s v="China"/>
    <x v="4"/>
    <s v="P058845"/>
    <s v="C1"/>
    <s v="S1"/>
    <s v="P058845C1S1"/>
    <x v="1"/>
    <n v="2007"/>
    <x v="8"/>
    <n v="25"/>
    <n v="128"/>
    <n v="271"/>
    <s v="USD"/>
    <n v="271"/>
    <n v="2.1171875"/>
    <s v=""/>
    <s v=""/>
    <x v="0"/>
    <s v=""/>
    <s v=""/>
    <m/>
  </r>
  <r>
    <s v="China"/>
    <x v="4"/>
    <s v="P058845"/>
    <s v="C1"/>
    <s v=""/>
    <s v="P058845C1S1"/>
    <x v="2"/>
    <s v="2003 / 2008"/>
    <x v="8"/>
    <s v=""/>
    <n v="0.98461538461538467"/>
    <n v="0.68261964735516378"/>
    <m/>
    <n v="0.68261964735516378"/>
    <n v="0.69328557934508817"/>
    <s v=""/>
    <s v=""/>
    <x v="0"/>
    <s v=""/>
    <s v=""/>
    <s v=""/>
  </r>
  <r>
    <s v="China"/>
    <x v="4"/>
    <s v="P058845"/>
    <s v="C2"/>
    <s v=""/>
    <s v="P058845C2"/>
    <x v="0"/>
    <n v="2001"/>
    <x v="1"/>
    <s v=""/>
    <n v="180"/>
    <n v="33.85"/>
    <s v="USD"/>
    <n v="33.85"/>
    <n v="0.18805555555555556"/>
    <s v=""/>
    <s v=""/>
    <x v="0"/>
    <s v=""/>
    <s v=""/>
    <m/>
  </r>
  <r>
    <s v="China"/>
    <x v="4"/>
    <s v="P058845"/>
    <s v="C2"/>
    <s v=""/>
    <s v="P058845C2"/>
    <x v="1"/>
    <n v="2007"/>
    <x v="1"/>
    <n v="15"/>
    <n v="182"/>
    <n v="26.8"/>
    <s v="USD"/>
    <n v="26.8"/>
    <n v="0.14725274725274726"/>
    <s v=""/>
    <s v=""/>
    <x v="0"/>
    <s v=""/>
    <s v=""/>
    <m/>
  </r>
  <r>
    <s v="China"/>
    <x v="4"/>
    <s v="P058845"/>
    <s v="C1"/>
    <s v=""/>
    <s v="P058845C2"/>
    <x v="2"/>
    <s v="2003 / 2008"/>
    <x v="1"/>
    <s v=""/>
    <n v="1.0111111111111111"/>
    <n v="0.7917282127031019"/>
    <m/>
    <n v="0.7917282127031019"/>
    <n v="0.7830279026733975"/>
    <s v=""/>
    <s v=""/>
    <x v="0"/>
    <s v=""/>
    <s v=""/>
    <s v=""/>
  </r>
  <r>
    <s v="China"/>
    <x v="4"/>
    <s v="P070519"/>
    <s v="C1"/>
    <s v="S1"/>
    <s v="P070519C1S1"/>
    <x v="0"/>
    <n v="2005"/>
    <x v="15"/>
    <s v=""/>
    <n v="11.6"/>
    <n v="158.57"/>
    <s v="USD"/>
    <n v="158.57"/>
    <n v="13.669827586206896"/>
    <s v=""/>
    <s v=""/>
    <x v="0"/>
    <s v="x"/>
    <s v="x"/>
    <m/>
  </r>
  <r>
    <s v="China"/>
    <x v="4"/>
    <s v="P070519"/>
    <s v="C1"/>
    <s v="S1"/>
    <s v="P070519C1S1"/>
    <x v="1"/>
    <n v="2013"/>
    <x v="15"/>
    <n v="39"/>
    <n v="11.6"/>
    <n v="326.25"/>
    <s v="USD"/>
    <n v="326.25"/>
    <n v="28.125"/>
    <s v=""/>
    <s v=""/>
    <x v="0"/>
    <s v="x"/>
    <s v="x"/>
    <m/>
  </r>
  <r>
    <s v="China"/>
    <x v="4"/>
    <s v="P070519"/>
    <s v="C1"/>
    <s v=""/>
    <s v="P070519C1S1"/>
    <x v="2"/>
    <s v="2003 / 2008"/>
    <x v="15"/>
    <s v=""/>
    <n v="1"/>
    <n v="2.057450968026739"/>
    <m/>
    <n v="2.057450968026739"/>
    <n v="2.057450968026739"/>
    <s v=""/>
    <s v=""/>
    <x v="0"/>
    <s v="x"/>
    <s v="x"/>
    <s v="Macroeconomic conditions ; Quality of estimates; "/>
  </r>
  <r>
    <s v="China"/>
    <x v="4"/>
    <s v="P070519"/>
    <s v="C1"/>
    <s v="S2"/>
    <s v="P070519C1S2"/>
    <x v="0"/>
    <n v="2005"/>
    <x v="8"/>
    <s v=""/>
    <n v="4.0999999999999996"/>
    <n v="31.13"/>
    <s v="USD"/>
    <n v="31.13"/>
    <n v="7.5926829268292684"/>
    <s v=""/>
    <s v=""/>
    <x v="0"/>
    <s v=""/>
    <s v=""/>
    <m/>
  </r>
  <r>
    <s v="China"/>
    <x v="4"/>
    <s v="P070519"/>
    <s v="C1"/>
    <s v="S2"/>
    <s v="P070519C1S2"/>
    <x v="1"/>
    <n v="2013"/>
    <x v="8"/>
    <s v=""/>
    <n v="4.0999999999999996"/>
    <n v="32.68"/>
    <s v="USD"/>
    <n v="32.68"/>
    <n v="7.970731707317074"/>
    <s v=""/>
    <s v=""/>
    <x v="0"/>
    <s v=""/>
    <s v=""/>
    <m/>
  </r>
  <r>
    <s v="China"/>
    <x v="4"/>
    <s v="P070519"/>
    <s v="C1"/>
    <s v=""/>
    <s v="P070519C1S2"/>
    <x v="2"/>
    <s v="2003 / 2008"/>
    <x v="8"/>
    <s v=""/>
    <n v="1"/>
    <n v="1.0497911982010921"/>
    <m/>
    <n v="1.0497911982010921"/>
    <n v="1.0497911982010923"/>
    <s v=""/>
    <s v=""/>
    <x v="0"/>
    <s v=""/>
    <s v=""/>
    <s v=""/>
  </r>
  <r>
    <s v="China"/>
    <x v="4"/>
    <s v="P076714"/>
    <s v="C1"/>
    <s v=""/>
    <s v="P076714C1"/>
    <x v="0"/>
    <n v="2003"/>
    <x v="8"/>
    <n v="42"/>
    <n v="116.15"/>
    <n v="4109"/>
    <s v="RMB"/>
    <n v="497.4576271186441"/>
    <n v="4.2828896006770902"/>
    <s v=""/>
    <s v=""/>
    <x v="0"/>
    <s v=""/>
    <s v=""/>
    <m/>
  </r>
  <r>
    <s v="China"/>
    <x v="4"/>
    <s v="P076714"/>
    <s v="C1"/>
    <s v=""/>
    <s v="P076714C1"/>
    <x v="1"/>
    <n v="2009"/>
    <x v="8"/>
    <n v="39"/>
    <n v="116.12"/>
    <n v="3485"/>
    <s v="RMB"/>
    <n v="510.24890190336748"/>
    <n v="4.3941517559711283"/>
    <s v=""/>
    <s v=""/>
    <x v="0"/>
    <s v=""/>
    <s v=""/>
    <m/>
  </r>
  <r>
    <s v="China"/>
    <x v="4"/>
    <s v="P076714"/>
    <s v="C1"/>
    <s v=""/>
    <s v="P076714C1"/>
    <x v="2"/>
    <s v="2003 / 2008"/>
    <x v="8"/>
    <n v="0.9285714285714286"/>
    <n v="0.99974171330176498"/>
    <n v="0.84813823314675107"/>
    <m/>
    <n v="1.0257132951379448"/>
    <n v="1.0259782916833646"/>
    <s v=""/>
    <s v=""/>
    <x v="0"/>
    <s v=""/>
    <s v=""/>
    <s v=""/>
  </r>
  <r>
    <s v="China"/>
    <x v="4"/>
    <s v="P076714"/>
    <s v="C1"/>
    <s v="S1"/>
    <s v="P076714C1S1"/>
    <x v="0"/>
    <n v="2003"/>
    <x v="8"/>
    <s v=""/>
    <n v="57.02"/>
    <n v="1426"/>
    <s v="RMB"/>
    <n v="172.63922518159808"/>
    <n v="3.0276959870501239"/>
    <s v=""/>
    <s v=""/>
    <x v="0"/>
    <s v=""/>
    <s v=""/>
    <m/>
  </r>
  <r>
    <s v="China"/>
    <x v="4"/>
    <s v="P076714"/>
    <s v="C1"/>
    <s v="S1"/>
    <s v="P076714C1S1"/>
    <x v="1"/>
    <n v="2009"/>
    <x v="8"/>
    <s v=""/>
    <n v="65.09"/>
    <n v="1618"/>
    <s v="RMB"/>
    <n v="236.89604685212299"/>
    <n v="3.6395152381644333"/>
    <s v=""/>
    <s v=""/>
    <x v="0"/>
    <s v=""/>
    <s v=""/>
    <m/>
  </r>
  <r>
    <s v="China"/>
    <x v="4"/>
    <s v="P076714"/>
    <s v="C1"/>
    <s v=""/>
    <s v="P076714C1S1"/>
    <x v="2"/>
    <s v="2003 / 2008"/>
    <x v="8"/>
    <s v=""/>
    <n v="1.1415292879691337"/>
    <n v="1.1346423562412342"/>
    <m/>
    <n v="1.3722029081336156"/>
    <n v="1.2020742022089224"/>
    <s v=""/>
    <s v=""/>
    <x v="0"/>
    <s v=""/>
    <s v=""/>
    <s v=""/>
  </r>
  <r>
    <s v="China"/>
    <x v="4"/>
    <s v="P076714"/>
    <s v="C1"/>
    <s v="S2"/>
    <s v="P076714C1S2"/>
    <x v="0"/>
    <n v="2003"/>
    <x v="8"/>
    <s v=""/>
    <n v="48.95"/>
    <n v="1371"/>
    <s v="RMB"/>
    <n v="165.98062953995156"/>
    <n v="3.3908198067405833"/>
    <s v=""/>
    <s v=""/>
    <x v="0"/>
    <s v="x"/>
    <s v="x"/>
    <m/>
  </r>
  <r>
    <s v="China"/>
    <x v="4"/>
    <s v="P076714"/>
    <s v="C1"/>
    <s v="S2"/>
    <s v="P076714C1S2"/>
    <x v="1"/>
    <n v="2009"/>
    <x v="8"/>
    <s v=""/>
    <n v="41.3"/>
    <n v="1479"/>
    <s v="RMB"/>
    <n v="216.54465592972181"/>
    <n v="5.2432120079835798"/>
    <s v=""/>
    <s v=""/>
    <x v="0"/>
    <s v="x"/>
    <s v="x"/>
    <m/>
  </r>
  <r>
    <s v="China"/>
    <x v="4"/>
    <s v="P076714"/>
    <s v="C1"/>
    <s v=""/>
    <s v="P076714C1S2"/>
    <x v="2"/>
    <s v="2003 / 2008"/>
    <x v="8"/>
    <s v=""/>
    <n v="0.84371807967313572"/>
    <n v="1.0787746170678336"/>
    <m/>
    <n v="1.3046381166881855"/>
    <n v="1.5462962666316391"/>
    <s v=""/>
    <s v=""/>
    <x v="0"/>
    <s v="x"/>
    <s v="x"/>
    <s v="Macroeconomic conditions ; Competition; "/>
  </r>
  <r>
    <s v="China"/>
    <x v="4"/>
    <s v="P076714"/>
    <s v="C1"/>
    <s v="S3"/>
    <s v="P076714C1S3"/>
    <x v="0"/>
    <n v="2003"/>
    <x v="8"/>
    <s v=""/>
    <n v="10.18"/>
    <n v="1313"/>
    <s v="RMB"/>
    <n v="158.95883777239709"/>
    <n v="15.614817069980068"/>
    <s v=""/>
    <s v=""/>
    <x v="1"/>
    <s v=""/>
    <s v="x"/>
    <m/>
  </r>
  <r>
    <s v="China"/>
    <x v="4"/>
    <s v="P076714"/>
    <s v="C1"/>
    <s v="S3"/>
    <s v="P076714C1S3"/>
    <x v="1"/>
    <n v="2009"/>
    <x v="8"/>
    <s v=""/>
    <n v="9.73"/>
    <n v="387"/>
    <s v="RMB"/>
    <n v="56.661786237188871"/>
    <n v="5.8234107129690509"/>
    <s v=""/>
    <s v=""/>
    <x v="1"/>
    <s v=""/>
    <s v="x"/>
    <m/>
  </r>
  <r>
    <s v="China"/>
    <x v="4"/>
    <s v="P076714"/>
    <s v="C1"/>
    <s v=""/>
    <s v="P076714C1S3"/>
    <x v="2"/>
    <s v="2003 / 2008"/>
    <x v="8"/>
    <s v=""/>
    <n v="0.95579567779960717"/>
    <n v="0.29474485910129472"/>
    <m/>
    <n v="0.35645571539922322"/>
    <n v="0.37294133430257881"/>
    <s v=""/>
    <s v=""/>
    <x v="1"/>
    <s v=""/>
    <s v="x"/>
    <s v="Quality of estimates; ; "/>
  </r>
  <r>
    <s v="China"/>
    <x v="4"/>
    <s v="P076714"/>
    <s v="C2"/>
    <s v=""/>
    <s v="P076714C2"/>
    <x v="0"/>
    <n v="2003"/>
    <x v="1"/>
    <s v=""/>
    <n v="243"/>
    <n v="500"/>
    <s v="RMB"/>
    <n v="60.53268765133172"/>
    <n v="0.24910571049930749"/>
    <s v=""/>
    <s v=""/>
    <x v="0"/>
    <s v=""/>
    <s v=""/>
    <m/>
  </r>
  <r>
    <s v="China"/>
    <x v="4"/>
    <s v="P076714"/>
    <s v="C2"/>
    <s v=""/>
    <s v="P076714C2"/>
    <x v="1"/>
    <n v="2009"/>
    <x v="1"/>
    <n v="28"/>
    <n v="233.5"/>
    <n v="360.5"/>
    <s v="RMB"/>
    <n v="52.781844802342604"/>
    <n v="0.22604644454964712"/>
    <s v=""/>
    <s v=""/>
    <x v="0"/>
    <s v=""/>
    <s v=""/>
    <m/>
  </r>
  <r>
    <s v="China"/>
    <x v="4"/>
    <s v="P076714"/>
    <s v="C1"/>
    <s v=""/>
    <s v="P076714C2"/>
    <x v="2"/>
    <s v="2003 / 2008"/>
    <x v="1"/>
    <s v=""/>
    <n v="0.96090534979423869"/>
    <n v="0.72099999999999997"/>
    <m/>
    <n v="0.87195607613469983"/>
    <n v="0.90743180514232136"/>
    <s v=""/>
    <s v=""/>
    <x v="0"/>
    <s v=""/>
    <s v=""/>
    <s v=""/>
  </r>
  <r>
    <s v="China"/>
    <x v="4"/>
    <s v="P076714"/>
    <s v="C2"/>
    <s v="S1"/>
    <s v="P076714C2S1"/>
    <x v="0"/>
    <n v="2003"/>
    <x v="1"/>
    <s v=""/>
    <n v="74"/>
    <n v="148"/>
    <s v="RMB"/>
    <n v="17.917675544794189"/>
    <n v="0.24213075060532688"/>
    <s v=""/>
    <s v=""/>
    <x v="0"/>
    <s v=""/>
    <s v=""/>
    <m/>
  </r>
  <r>
    <s v="China"/>
    <x v="4"/>
    <s v="P076714"/>
    <s v="C2"/>
    <s v="S1"/>
    <s v="P076714C2S1"/>
    <x v="1"/>
    <n v="2009"/>
    <x v="1"/>
    <n v="28"/>
    <n v="74.099999999999994"/>
    <n v="98.3"/>
    <s v="RMB"/>
    <n v="14.39238653001464"/>
    <n v="0.19422923792192498"/>
    <s v=""/>
    <s v=""/>
    <x v="0"/>
    <s v=""/>
    <s v=""/>
    <m/>
  </r>
  <r>
    <s v="China"/>
    <x v="4"/>
    <s v="P076714"/>
    <s v="C1"/>
    <s v=""/>
    <s v="P076714C2S1"/>
    <x v="2"/>
    <s v="2003 / 2008"/>
    <x v="1"/>
    <s v=""/>
    <n v="1.0013513513513512"/>
    <n v="0.66418918918918912"/>
    <m/>
    <n v="0.80325076174270893"/>
    <n v="0.80216675261755022"/>
    <s v=""/>
    <s v=""/>
    <x v="0"/>
    <s v=""/>
    <s v=""/>
    <s v=""/>
  </r>
  <r>
    <s v="China"/>
    <x v="4"/>
    <s v="P076714"/>
    <s v="C2"/>
    <s v="S2"/>
    <s v="P076714C2S2"/>
    <x v="0"/>
    <n v="2003"/>
    <x v="1"/>
    <s v=""/>
    <n v="35"/>
    <n v="70"/>
    <s v="RMB"/>
    <n v="8.4745762711864412"/>
    <n v="0.24213075060532688"/>
    <s v=""/>
    <s v=""/>
    <x v="0"/>
    <s v=""/>
    <s v=""/>
    <m/>
  </r>
  <r>
    <s v="China"/>
    <x v="4"/>
    <s v="P076714"/>
    <s v="C2"/>
    <s v="S2"/>
    <s v="P076714C2S2"/>
    <x v="1"/>
    <n v="2009"/>
    <x v="1"/>
    <n v="11"/>
    <n v="39"/>
    <n v="66.400000000000006"/>
    <s v="RMB"/>
    <n v="9.721815519765741"/>
    <n v="0.24927732101963437"/>
    <s v=""/>
    <s v=""/>
    <x v="0"/>
    <s v=""/>
    <s v=""/>
    <m/>
  </r>
  <r>
    <s v="China"/>
    <x v="4"/>
    <s v="P076714"/>
    <s v="C1"/>
    <s v=""/>
    <s v="P076714C2S2"/>
    <x v="2"/>
    <s v="2003 / 2008"/>
    <x v="1"/>
    <s v=""/>
    <n v="1.1142857142857143"/>
    <n v="0.94857142857142862"/>
    <m/>
    <n v="1.1471742313323574"/>
    <n v="1.02951533581109"/>
    <s v=""/>
    <s v=""/>
    <x v="0"/>
    <s v=""/>
    <s v=""/>
    <s v=""/>
  </r>
  <r>
    <s v="China"/>
    <x v="4"/>
    <s v="P076714"/>
    <s v="C2"/>
    <s v="S3"/>
    <s v="P076714C2S3"/>
    <x v="0"/>
    <n v="2003"/>
    <x v="1"/>
    <s v=""/>
    <n v="44"/>
    <n v="88"/>
    <s v="RMB"/>
    <n v="10.653753026634384"/>
    <n v="0.24213075060532691"/>
    <s v=""/>
    <s v=""/>
    <x v="0"/>
    <s v=""/>
    <s v=""/>
    <m/>
  </r>
  <r>
    <s v="China"/>
    <x v="4"/>
    <s v="P076714"/>
    <s v="C2"/>
    <s v="S3"/>
    <s v="P076714C2S3"/>
    <x v="1"/>
    <n v="2009"/>
    <x v="1"/>
    <n v="13"/>
    <n v="36.4"/>
    <n v="74.400000000000006"/>
    <s v="RMB"/>
    <n v="10.893118594436311"/>
    <n v="0.29926149984715139"/>
    <s v=""/>
    <s v=""/>
    <x v="0"/>
    <s v=""/>
    <s v=""/>
    <m/>
  </r>
  <r>
    <s v="China"/>
    <x v="4"/>
    <s v="P076714"/>
    <s v="C1"/>
    <s v=""/>
    <s v="P076714C2S3"/>
    <x v="2"/>
    <s v="2003 / 2008"/>
    <x v="1"/>
    <s v=""/>
    <n v="0.82727272727272727"/>
    <n v="0.84545454545454557"/>
    <m/>
    <n v="1.0224677226141354"/>
    <n v="1.2359499943687351"/>
    <s v=""/>
    <s v=""/>
    <x v="0"/>
    <s v=""/>
    <s v=""/>
    <s v=""/>
  </r>
  <r>
    <s v="China"/>
    <x v="4"/>
    <s v="P076714"/>
    <s v="C2"/>
    <s v="S4"/>
    <s v="P076714C2S4"/>
    <x v="0"/>
    <n v="2003"/>
    <x v="1"/>
    <s v=""/>
    <n v="38"/>
    <n v="90"/>
    <s v="RMB"/>
    <n v="10.89588377723971"/>
    <n v="0.28673378361157131"/>
    <s v=""/>
    <s v=""/>
    <x v="0"/>
    <s v=""/>
    <s v=""/>
    <m/>
  </r>
  <r>
    <s v="China"/>
    <x v="4"/>
    <s v="P076714"/>
    <s v="C2"/>
    <s v="S4"/>
    <s v="P076714C2S4"/>
    <x v="1"/>
    <n v="2009"/>
    <x v="1"/>
    <n v="11"/>
    <n v="32.700000000000003"/>
    <n v="65.400000000000006"/>
    <s v="RMB"/>
    <n v="9.5754026354319191"/>
    <n v="0.29282576866764276"/>
    <s v=""/>
    <s v=""/>
    <x v="0"/>
    <s v=""/>
    <s v=""/>
    <m/>
  </r>
  <r>
    <s v="China"/>
    <x v="4"/>
    <s v="P076714"/>
    <s v="C1"/>
    <s v=""/>
    <s v="P076714C2S4"/>
    <x v="2"/>
    <s v="2003 / 2008"/>
    <x v="1"/>
    <s v=""/>
    <n v="0.86052631578947381"/>
    <n v="0.72666666666666668"/>
    <m/>
    <n v="0.8788091752074183"/>
    <n v="1.0212461363266634"/>
    <s v=""/>
    <s v=""/>
    <x v="0"/>
    <s v=""/>
    <s v=""/>
    <s v=""/>
  </r>
  <r>
    <s v="China"/>
    <x v="4"/>
    <s v="P076714"/>
    <s v="C2"/>
    <s v="S5"/>
    <s v="P076714C2S5"/>
    <x v="0"/>
    <n v="2003"/>
    <x v="1"/>
    <s v=""/>
    <n v="52"/>
    <n v="104"/>
    <s v="RMB"/>
    <n v="12.590799031476998"/>
    <n v="0.24213075060532688"/>
    <s v=""/>
    <s v=""/>
    <x v="0"/>
    <s v=""/>
    <s v=""/>
    <m/>
  </r>
  <r>
    <s v="China"/>
    <x v="4"/>
    <s v="P076714"/>
    <s v="C2"/>
    <s v="S5"/>
    <s v="P076714C2S5"/>
    <x v="1"/>
    <n v="2009"/>
    <x v="1"/>
    <n v="25"/>
    <n v="51.3"/>
    <n v="56"/>
    <s v="RMB"/>
    <n v="8.1991215226939964"/>
    <n v="0.1598269302669395"/>
    <s v=""/>
    <s v=""/>
    <x v="0"/>
    <s v=""/>
    <s v=""/>
    <m/>
  </r>
  <r>
    <s v="China"/>
    <x v="4"/>
    <s v="P076714"/>
    <s v="C1"/>
    <s v=""/>
    <s v="P076714C2S5"/>
    <x v="2"/>
    <s v="2003 / 2008"/>
    <x v="1"/>
    <s v=""/>
    <n v="0.98653846153846148"/>
    <n v="0.53846153846153844"/>
    <m/>
    <n v="0.65119945939858093"/>
    <n v="0.66008522200246011"/>
    <s v=""/>
    <s v=""/>
    <x v="0"/>
    <s v=""/>
    <s v=""/>
    <s v=""/>
  </r>
  <r>
    <s v="China"/>
    <x v="4"/>
    <s v="P081749"/>
    <s v="C1"/>
    <s v=""/>
    <s v="P081749C1"/>
    <x v="0"/>
    <n v="2004"/>
    <x v="8"/>
    <n v="36"/>
    <n v="105.1"/>
    <n v="357.69"/>
    <s v="USD"/>
    <n v="357.69"/>
    <n v="3.4033301617507137"/>
    <s v=""/>
    <s v=""/>
    <x v="0"/>
    <s v="x"/>
    <s v="x"/>
    <m/>
  </r>
  <r>
    <s v="China"/>
    <x v="4"/>
    <s v="P081749"/>
    <s v="C1"/>
    <s v=""/>
    <s v="P081749C1"/>
    <x v="1"/>
    <n v="2010"/>
    <x v="8"/>
    <n v="36"/>
    <n v="106.4"/>
    <n v="600.14790000000005"/>
    <s v="USD"/>
    <n v="600.14790000000005"/>
    <n v="5.6404877819548878"/>
    <s v=""/>
    <s v=""/>
    <x v="0"/>
    <s v="x"/>
    <s v="x"/>
    <m/>
  </r>
  <r>
    <s v="China"/>
    <x v="4"/>
    <s v="P081749"/>
    <s v="C1"/>
    <s v=""/>
    <s v="P081749C1"/>
    <x v="2"/>
    <s v="2003 / 2008"/>
    <x v="8"/>
    <n v="1"/>
    <n v="1.0123691722169363"/>
    <n v="1.6778436635075067"/>
    <m/>
    <n v="1.6778436635075067"/>
    <n v="1.6573436939345765"/>
    <s v=""/>
    <s v=""/>
    <x v="0"/>
    <s v="x"/>
    <s v="x"/>
    <s v="Weather shocks; Quality of estimates; "/>
  </r>
  <r>
    <s v="China"/>
    <x v="4"/>
    <s v="P081749"/>
    <s v="C2"/>
    <s v="S1"/>
    <s v="P081749C2S1"/>
    <x v="0"/>
    <n v="2004"/>
    <x v="1"/>
    <n v="36"/>
    <n v="85.8"/>
    <n v="177.4"/>
    <s v="RMB"/>
    <n v="21.425120772946862"/>
    <n v="0.24971003231872801"/>
    <s v=""/>
    <s v=""/>
    <x v="0"/>
    <s v=""/>
    <s v=""/>
    <m/>
  </r>
  <r>
    <s v="China"/>
    <x v="4"/>
    <s v="P081749"/>
    <s v="C2"/>
    <s v="S1"/>
    <s v="P081749C2S1"/>
    <x v="1"/>
    <n v="2010"/>
    <x v="1"/>
    <n v="36"/>
    <n v="85.18"/>
    <n v="150"/>
    <s v="RMB"/>
    <n v="21.961932650073205"/>
    <n v="0.25782968596000472"/>
    <s v=""/>
    <s v=""/>
    <x v="0"/>
    <s v=""/>
    <s v=""/>
    <m/>
  </r>
  <r>
    <s v="China"/>
    <x v="4"/>
    <s v="P081749"/>
    <s v="C1"/>
    <s v=""/>
    <s v="P081749C2S1"/>
    <x v="2"/>
    <s v="2003 / 2008"/>
    <x v="1"/>
    <n v="1"/>
    <n v="0.99277389277389294"/>
    <n v="0.84554678692220964"/>
    <m/>
    <n v="1.0250552555952994"/>
    <n v="1.0325163293035533"/>
    <s v=""/>
    <s v=""/>
    <x v="0"/>
    <s v=""/>
    <s v=""/>
    <s v=""/>
  </r>
  <r>
    <s v="China"/>
    <x v="4"/>
    <s v="P091020"/>
    <s v="C1"/>
    <s v=""/>
    <s v="P091020C1"/>
    <x v="0"/>
    <n v="2006"/>
    <x v="8"/>
    <s v=""/>
    <n v="195"/>
    <n v="733.86"/>
    <s v="USD"/>
    <n v="733.86"/>
    <n v="3.7633846153846156"/>
    <s v=""/>
    <s v=""/>
    <x v="0"/>
    <s v="x"/>
    <s v="x"/>
    <m/>
  </r>
  <r>
    <s v="China"/>
    <x v="4"/>
    <s v="P091020"/>
    <s v="C1"/>
    <s v=""/>
    <s v="P091020C1"/>
    <x v="1"/>
    <n v="2015"/>
    <x v="8"/>
    <s v=""/>
    <n v="195"/>
    <n v="1164.6500000000001"/>
    <s v="USD"/>
    <n v="1164.6500000000001"/>
    <n v="5.9725641025641032"/>
    <s v=""/>
    <s v=""/>
    <x v="0"/>
    <s v="x"/>
    <s v="x"/>
    <m/>
  </r>
  <r>
    <s v="China"/>
    <x v="4"/>
    <s v="P091020"/>
    <s v="C1"/>
    <s v=""/>
    <s v="P091020C1"/>
    <x v="2"/>
    <s v="2003 / 2008"/>
    <x v="8"/>
    <s v=""/>
    <n v="1"/>
    <n v="1.5870193224865778"/>
    <m/>
    <n v="1.5870193224865778"/>
    <n v="1.5870193224865778"/>
    <s v=""/>
    <s v=""/>
    <x v="0"/>
    <s v="x"/>
    <s v="x"/>
    <s v="Weather shocks; Political events; Capacity"/>
  </r>
  <r>
    <s v="China"/>
    <x v="4"/>
    <s v="P091020"/>
    <s v="C2"/>
    <s v=""/>
    <s v="P091020C2"/>
    <x v="0"/>
    <n v="2006"/>
    <x v="0"/>
    <s v=""/>
    <n v="4222.63"/>
    <n v="3297.43"/>
    <s v="RMB"/>
    <n v="409.61863354037263"/>
    <n v="9.7005570826800502E-2"/>
    <s v=""/>
    <s v="x"/>
    <x v="0"/>
    <s v=""/>
    <s v="x"/>
    <m/>
  </r>
  <r>
    <s v="China"/>
    <x v="4"/>
    <s v="P091020"/>
    <s v="C2"/>
    <s v=""/>
    <s v="P091020C2"/>
    <x v="1"/>
    <n v="2015"/>
    <x v="0"/>
    <s v=""/>
    <n v="10289.94"/>
    <n v="8888.36"/>
    <s v="RMB"/>
    <n v="1454.7234042553191"/>
    <n v="0.14137336119115554"/>
    <s v=""/>
    <s v="x"/>
    <x v="0"/>
    <s v=""/>
    <s v="x"/>
    <m/>
  </r>
  <r>
    <s v="China"/>
    <x v="4"/>
    <s v="P091020"/>
    <s v="C1"/>
    <s v=""/>
    <s v="P091020C2"/>
    <x v="2"/>
    <s v="2003 / 2008"/>
    <x v="0"/>
    <s v=""/>
    <n v="2.4368557036728293"/>
    <n v="2.6955416794291316"/>
    <m/>
    <n v="3.5514092503117034"/>
    <n v="1.4573736331449656"/>
    <s v=""/>
    <s v="x"/>
    <x v="0"/>
    <s v=""/>
    <s v="x"/>
    <s v="Capacity; ; "/>
  </r>
  <r>
    <s v="China"/>
    <x v="4"/>
    <s v="P091020"/>
    <s v="C2"/>
    <s v="S1"/>
    <s v="P091020C2S1"/>
    <x v="0"/>
    <n v="2006"/>
    <x v="0"/>
    <s v=""/>
    <n v="489.44"/>
    <n v="307.18"/>
    <s v="RMB"/>
    <n v="38.15900621118012"/>
    <n v="7.7964625308883873E-2"/>
    <s v=""/>
    <s v="x"/>
    <x v="0"/>
    <s v="x"/>
    <s v="x"/>
    <m/>
  </r>
  <r>
    <s v="China"/>
    <x v="4"/>
    <s v="P091020"/>
    <s v="C2"/>
    <s v="S1"/>
    <s v="P091020C2S1"/>
    <x v="1"/>
    <n v="2015"/>
    <x v="0"/>
    <s v=""/>
    <n v="1757.41"/>
    <n v="1622.89"/>
    <s v="RMB"/>
    <n v="265.61211129296237"/>
    <n v="0.15113838620069442"/>
    <s v=""/>
    <s v="x"/>
    <x v="0"/>
    <s v="x"/>
    <s v="x"/>
    <m/>
  </r>
  <r>
    <s v="China"/>
    <x v="4"/>
    <s v="P091020"/>
    <s v="C1"/>
    <s v=""/>
    <s v="P091020C2S1"/>
    <x v="2"/>
    <s v="2003 / 2008"/>
    <x v="0"/>
    <s v=""/>
    <n v="3.5906546256946719"/>
    <n v="5.2831890097011529"/>
    <m/>
    <n v="6.9606663712101939"/>
    <n v="1.938550792771816"/>
    <s v=""/>
    <s v="x"/>
    <x v="0"/>
    <s v="x"/>
    <s v="x"/>
    <s v="Change of project scope; ; "/>
  </r>
  <r>
    <s v="China"/>
    <x v="4"/>
    <s v="P091020"/>
    <s v="C2"/>
    <s v="S2"/>
    <s v="P091020C2S2"/>
    <x v="0"/>
    <n v="2006"/>
    <x v="0"/>
    <s v=""/>
    <n v="566.95000000000005"/>
    <n v="656.21"/>
    <s v="RMB"/>
    <n v="81.516770186335407"/>
    <n v="0.14378123324161812"/>
    <s v=""/>
    <s v="x"/>
    <x v="0"/>
    <s v=""/>
    <s v="x"/>
    <m/>
  </r>
  <r>
    <s v="China"/>
    <x v="4"/>
    <s v="P091020"/>
    <s v="C2"/>
    <s v="S2"/>
    <s v="P091020C2S2"/>
    <x v="1"/>
    <n v="2015"/>
    <x v="0"/>
    <s v=""/>
    <n v="1246.53"/>
    <n v="1328.55"/>
    <s v="RMB"/>
    <n v="217.43862520458262"/>
    <n v="0.17443513209034892"/>
    <s v=""/>
    <s v="x"/>
    <x v="0"/>
    <s v=""/>
    <s v="x"/>
    <m/>
  </r>
  <r>
    <s v="China"/>
    <x v="4"/>
    <s v="P091020"/>
    <s v="C1"/>
    <s v=""/>
    <s v="P091020C2S2"/>
    <x v="2"/>
    <s v="2003 / 2008"/>
    <x v="0"/>
    <s v=""/>
    <n v="2.1986594937825203"/>
    <n v="2.0245805458618427"/>
    <m/>
    <n v="2.6674097208163392"/>
    <n v="1.2131981911520973"/>
    <s v=""/>
    <s v="x"/>
    <x v="0"/>
    <s v=""/>
    <s v="x"/>
    <s v="Capacity; ; "/>
  </r>
  <r>
    <s v="China"/>
    <x v="4"/>
    <s v="P091020"/>
    <s v="C2"/>
    <s v="S3"/>
    <s v="P091020C2S3"/>
    <x v="0"/>
    <n v="2006"/>
    <x v="0"/>
    <s v=""/>
    <n v="1421.22"/>
    <n v="1046.25"/>
    <s v="RMB"/>
    <n v="129.96894409937886"/>
    <n v="9.1448856686071722E-2"/>
    <s v=""/>
    <s v="x"/>
    <x v="0"/>
    <s v=""/>
    <s v="x"/>
    <m/>
  </r>
  <r>
    <s v="China"/>
    <x v="4"/>
    <s v="P091020"/>
    <s v="C2"/>
    <s v="S3"/>
    <s v="P091020C2S3"/>
    <x v="1"/>
    <n v="2015"/>
    <x v="0"/>
    <s v=""/>
    <n v="2387.44"/>
    <n v="1872.56"/>
    <s v="RMB"/>
    <n v="306.47463175122749"/>
    <n v="0.12836956394767093"/>
    <s v=""/>
    <s v="x"/>
    <x v="0"/>
    <s v=""/>
    <s v="x"/>
    <m/>
  </r>
  <r>
    <s v="China"/>
    <x v="4"/>
    <s v="P091020"/>
    <s v="C1"/>
    <s v=""/>
    <s v="P091020C2S3"/>
    <x v="2"/>
    <s v="2003 / 2008"/>
    <x v="0"/>
    <s v=""/>
    <n v="1.6798525210734438"/>
    <n v="1.7897825567502987"/>
    <m/>
    <n v="2.3580604880261715"/>
    <n v="1.4037306599506398"/>
    <s v=""/>
    <s v="x"/>
    <x v="0"/>
    <s v=""/>
    <s v="x"/>
    <s v="Capacity; ; "/>
  </r>
  <r>
    <s v="China"/>
    <x v="4"/>
    <s v="P091020"/>
    <s v="C2"/>
    <s v="S4"/>
    <s v="P091020C2S4"/>
    <x v="0"/>
    <n v="2006"/>
    <x v="0"/>
    <s v=""/>
    <n v="574.08000000000004"/>
    <n v="441.63"/>
    <s v="RMB"/>
    <n v="54.860869565217385"/>
    <n v="9.5563108913770525E-2"/>
    <s v=""/>
    <s v="x"/>
    <x v="0"/>
    <s v=""/>
    <s v="x"/>
    <m/>
  </r>
  <r>
    <s v="China"/>
    <x v="4"/>
    <s v="P091020"/>
    <s v="C2"/>
    <s v="S4"/>
    <s v="P091020C2S4"/>
    <x v="1"/>
    <n v="2015"/>
    <x v="0"/>
    <s v=""/>
    <n v="1623.34"/>
    <n v="1349.35"/>
    <s v="RMB"/>
    <n v="220.84288052373157"/>
    <n v="0.13604228351653477"/>
    <s v=""/>
    <s v="x"/>
    <x v="0"/>
    <s v=""/>
    <s v="x"/>
    <m/>
  </r>
  <r>
    <s v="China"/>
    <x v="4"/>
    <s v="P091020"/>
    <s v="C1"/>
    <s v=""/>
    <s v="P091020C2S4"/>
    <x v="2"/>
    <s v="2003 / 2008"/>
    <x v="0"/>
    <s v=""/>
    <n v="2.8277243589743586"/>
    <n v="3.0553857301360865"/>
    <m/>
    <n v="4.0255082041891157"/>
    <n v="1.4235857860096393"/>
    <s v=""/>
    <s v="x"/>
    <x v="0"/>
    <s v=""/>
    <s v="x"/>
    <s v="Capacity; ; "/>
  </r>
  <r>
    <s v="China"/>
    <x v="4"/>
    <s v="P091020"/>
    <s v="C2"/>
    <s v="S5"/>
    <s v="P091020C2S5"/>
    <x v="0"/>
    <n v="2006"/>
    <x v="0"/>
    <s v=""/>
    <n v="671.13"/>
    <n v="458.18"/>
    <s v="RMB"/>
    <n v="56.916770186335398"/>
    <n v="8.480736993776973E-2"/>
    <s v=""/>
    <s v="x"/>
    <x v="0"/>
    <s v=""/>
    <s v="x"/>
    <m/>
  </r>
  <r>
    <s v="China"/>
    <x v="4"/>
    <s v="P091020"/>
    <s v="C2"/>
    <s v="S5"/>
    <s v="P091020C2S5"/>
    <x v="1"/>
    <n v="2015"/>
    <x v="0"/>
    <s v=""/>
    <n v="1458.57"/>
    <n v="1086.8599999999999"/>
    <s v="RMB"/>
    <n v="177.88216039279865"/>
    <n v="0.12195654674976084"/>
    <s v=""/>
    <s v="x"/>
    <x v="0"/>
    <s v=""/>
    <s v="x"/>
    <m/>
  </r>
  <r>
    <s v="China"/>
    <x v="4"/>
    <s v="P091020"/>
    <s v="C1"/>
    <s v=""/>
    <s v="P091020C2S5"/>
    <x v="2"/>
    <s v="2003 / 2008"/>
    <x v="0"/>
    <s v=""/>
    <n v="2.1733047248670152"/>
    <n v="2.3721244925575098"/>
    <m/>
    <n v="3.1253031366756061"/>
    <n v="1.4380418451751371"/>
    <s v=""/>
    <s v="x"/>
    <x v="0"/>
    <s v=""/>
    <s v="x"/>
    <s v="Capacity; ; "/>
  </r>
  <r>
    <s v="China"/>
    <x v="4"/>
    <s v="P091020"/>
    <s v="C2"/>
    <s v="S6"/>
    <s v="P091020C2S6"/>
    <x v="0"/>
    <n v="2006"/>
    <x v="0"/>
    <s v=""/>
    <n v="265.63"/>
    <n v="191.21"/>
    <s v="RMB"/>
    <n v="23.7527950310559"/>
    <n v="8.9420603964371126E-2"/>
    <s v=""/>
    <s v="x"/>
    <x v="0"/>
    <s v="x"/>
    <s v="x"/>
    <m/>
  </r>
  <r>
    <s v="China"/>
    <x v="4"/>
    <s v="P091020"/>
    <s v="C2"/>
    <s v="S6"/>
    <s v="P091020C2S6"/>
    <x v="1"/>
    <n v="2015"/>
    <x v="0"/>
    <s v=""/>
    <n v="1293.6199999999999"/>
    <n v="1125.8"/>
    <s v="RMB"/>
    <n v="184.25531914893617"/>
    <n v="0.14243388255355993"/>
    <s v=""/>
    <s v="x"/>
    <x v="0"/>
    <s v="x"/>
    <s v="x"/>
    <m/>
  </r>
  <r>
    <s v="China"/>
    <x v="4"/>
    <s v="P091020"/>
    <s v="C1"/>
    <s v=""/>
    <s v="P091020C2S6"/>
    <x v="2"/>
    <s v="2003 / 2008"/>
    <x v="0"/>
    <s v=""/>
    <n v="4.8700071528065347"/>
    <n v="5.8877673761832536"/>
    <m/>
    <n v="7.7572057902250728"/>
    <n v="1.5928530589025265"/>
    <s v=""/>
    <s v="x"/>
    <x v="0"/>
    <s v="x"/>
    <s v="x"/>
    <s v="Change of project scope; ; "/>
  </r>
  <r>
    <s v="China"/>
    <x v="4"/>
    <s v="P091020"/>
    <s v="C2"/>
    <s v="S7"/>
    <s v="P091020C2S7"/>
    <x v="0"/>
    <n v="2006"/>
    <x v="0"/>
    <s v=""/>
    <n v="234.18"/>
    <n v="196.76"/>
    <s v="RMB"/>
    <n v="24.442236024844718"/>
    <n v="0.10437371263491638"/>
    <s v=""/>
    <s v=""/>
    <x v="0"/>
    <s v=""/>
    <s v=""/>
    <m/>
  </r>
  <r>
    <s v="China"/>
    <x v="4"/>
    <s v="P091020"/>
    <s v="C2"/>
    <s v="S7"/>
    <s v="P091020C2S7"/>
    <x v="1"/>
    <n v="2015"/>
    <x v="0"/>
    <s v=""/>
    <n v="319.14999999999998"/>
    <n v="271.62"/>
    <s v="RMB"/>
    <n v="44.454991816693941"/>
    <n v="0.13929184338616307"/>
    <s v=""/>
    <s v=""/>
    <x v="0"/>
    <s v=""/>
    <s v=""/>
    <m/>
  </r>
  <r>
    <s v="China"/>
    <x v="4"/>
    <s v="P091020"/>
    <s v="C1"/>
    <s v=""/>
    <s v="P091020C2S7"/>
    <x v="2"/>
    <s v="2003 / 2008"/>
    <x v="0"/>
    <s v=""/>
    <n v="1.3628405500042702"/>
    <n v="1.3804635088432609"/>
    <m/>
    <n v="1.8187776180340836"/>
    <n v="1.3345490916221894"/>
    <s v=""/>
    <s v=""/>
    <x v="0"/>
    <s v=""/>
    <s v=""/>
    <s v=""/>
  </r>
  <r>
    <s v="China"/>
    <x v="4"/>
    <s v="P099112"/>
    <s v="C1"/>
    <s v=""/>
    <s v="P099112C1"/>
    <x v="0"/>
    <n v="2008"/>
    <x v="0"/>
    <n v="36"/>
    <n v="885.6"/>
    <n v="162.83699999999999"/>
    <s v="USD"/>
    <n v="162.83699999999999"/>
    <n v="0.18387195121951219"/>
    <s v=""/>
    <s v=""/>
    <x v="0"/>
    <s v=""/>
    <s v=""/>
    <m/>
  </r>
  <r>
    <s v="China"/>
    <x v="4"/>
    <s v="P099112"/>
    <s v="C1"/>
    <s v=""/>
    <s v="P099112C1"/>
    <x v="1"/>
    <n v="2012"/>
    <x v="0"/>
    <n v="33"/>
    <n v="840.84500000000003"/>
    <n v="191.21899999999999"/>
    <s v="USD"/>
    <n v="191.21899999999999"/>
    <n v="0.22741290011833332"/>
    <s v=""/>
    <s v=""/>
    <x v="0"/>
    <s v=""/>
    <s v=""/>
    <m/>
  </r>
  <r>
    <s v="China"/>
    <x v="4"/>
    <s v="P099112"/>
    <s v="C1"/>
    <s v=""/>
    <s v="P099112C1"/>
    <x v="2"/>
    <s v="2003 / 2008"/>
    <x v="0"/>
    <n v="0.91666666666666663"/>
    <n v="0.94946364046973808"/>
    <n v="1.174296996382886"/>
    <m/>
    <n v="1.174296996382886"/>
    <n v="1.2368003853227214"/>
    <s v=""/>
    <s v=""/>
    <x v="0"/>
    <s v=""/>
    <s v=""/>
    <s v=""/>
  </r>
  <r>
    <s v="China"/>
    <x v="4"/>
    <s v="P099112"/>
    <s v="C2"/>
    <s v=""/>
    <s v="P099112C2"/>
    <x v="0"/>
    <n v="2008"/>
    <x v="1"/>
    <s v=""/>
    <n v="320"/>
    <n v="166.31299999999999"/>
    <s v="USD"/>
    <n v="166.31299999999999"/>
    <n v="0.51972812499999999"/>
    <s v=""/>
    <s v=""/>
    <x v="0"/>
    <s v=""/>
    <s v=""/>
    <m/>
  </r>
  <r>
    <s v="China"/>
    <x v="4"/>
    <s v="P099112"/>
    <s v="C2"/>
    <s v=""/>
    <s v="P099112C2"/>
    <x v="1"/>
    <n v="2012"/>
    <x v="1"/>
    <n v="34"/>
    <n v="320.60000000000002"/>
    <n v="214.77099999999999"/>
    <s v="USD"/>
    <n v="214.77099999999999"/>
    <n v="0.66990330630068617"/>
    <s v=""/>
    <s v=""/>
    <x v="0"/>
    <s v=""/>
    <s v=""/>
    <m/>
  </r>
  <r>
    <s v="China"/>
    <x v="4"/>
    <s v="P099112"/>
    <s v="C1"/>
    <s v=""/>
    <s v="P099112C2"/>
    <x v="2"/>
    <s v="2003 / 2008"/>
    <x v="1"/>
    <s v=""/>
    <n v="1.0018750000000001"/>
    <n v="1.291366279244557"/>
    <m/>
    <n v="1.291366279244557"/>
    <n v="1.2889494989340555"/>
    <s v=""/>
    <s v=""/>
    <x v="0"/>
    <s v=""/>
    <s v=""/>
    <s v=""/>
  </r>
  <r>
    <s v="China"/>
    <x v="4"/>
    <s v="P099992"/>
    <s v="C1"/>
    <s v=""/>
    <s v="P099992C1"/>
    <x v="0"/>
    <n v="2006"/>
    <x v="11"/>
    <s v=""/>
    <n v="179"/>
    <n v="330.93"/>
    <s v="USD"/>
    <n v="330.93"/>
    <n v="1.8487709497206704"/>
    <s v=""/>
    <s v=""/>
    <x v="0"/>
    <s v=""/>
    <s v=""/>
    <m/>
  </r>
  <r>
    <s v="China"/>
    <x v="4"/>
    <s v="P099992"/>
    <s v="C1"/>
    <s v=""/>
    <s v="P099992C1"/>
    <x v="1"/>
    <n v="2014"/>
    <x v="11"/>
    <s v=""/>
    <n v="107"/>
    <n v="161.66"/>
    <s v="USD"/>
    <n v="161.66"/>
    <n v="1.510841121495327"/>
    <s v=""/>
    <s v=""/>
    <x v="0"/>
    <s v=""/>
    <s v=""/>
    <m/>
  </r>
  <r>
    <s v="China"/>
    <x v="4"/>
    <s v="P099992"/>
    <s v="C1"/>
    <s v=""/>
    <s v="P099992C1"/>
    <x v="2"/>
    <s v="2003 / 2008"/>
    <x v="11"/>
    <s v=""/>
    <n v="0.5977653631284916"/>
    <n v="0.488502100142024"/>
    <m/>
    <n v="0.488502100142024"/>
    <n v="0.81721379369553548"/>
    <s v=""/>
    <s v=""/>
    <x v="0"/>
    <s v=""/>
    <s v=""/>
    <s v=""/>
  </r>
  <r>
    <s v="China"/>
    <x v="4"/>
    <s v="P058844"/>
    <s v="C1"/>
    <s v=""/>
    <s v="P058844C1"/>
    <x v="0"/>
    <n v="2000"/>
    <x v="8"/>
    <n v="25"/>
    <n v="95"/>
    <n v="294.8"/>
    <s v="USD"/>
    <n v="294.8"/>
    <n v="3.1031578947368423"/>
    <s v=""/>
    <s v=""/>
    <x v="0"/>
    <s v=""/>
    <s v=""/>
    <m/>
  </r>
  <r>
    <s v="China"/>
    <x v="4"/>
    <s v="P058844"/>
    <s v="C1"/>
    <s v=""/>
    <s v="P058844C1"/>
    <x v="1"/>
    <n v="2007"/>
    <x v="8"/>
    <n v="37"/>
    <n v="95"/>
    <n v="267.5"/>
    <s v="USD"/>
    <n v="267.5"/>
    <n v="2.8157894736842106"/>
    <s v=""/>
    <s v=""/>
    <x v="0"/>
    <s v=""/>
    <s v=""/>
    <m/>
  </r>
  <r>
    <s v="China"/>
    <x v="4"/>
    <s v="P058844"/>
    <s v="C1"/>
    <s v=""/>
    <s v="P058844C1"/>
    <x v="2"/>
    <s v="2003 / 2008"/>
    <x v="8"/>
    <n v="1.48"/>
    <n v="1"/>
    <n v="0.90739484396200809"/>
    <m/>
    <n v="0.90739484396200809"/>
    <n v="0.90739484396200809"/>
    <s v=""/>
    <s v=""/>
    <x v="0"/>
    <s v=""/>
    <s v=""/>
    <s v=""/>
  </r>
  <r>
    <s v="China"/>
    <x v="4"/>
    <s v="P058844"/>
    <s v="C2"/>
    <s v=""/>
    <s v="P058844C2"/>
    <x v="0"/>
    <n v="2000"/>
    <x v="1"/>
    <s v=""/>
    <n v="400"/>
    <n v="43.9"/>
    <s v="USD"/>
    <n v="43.9"/>
    <n v="0.10975"/>
    <s v=""/>
    <s v=""/>
    <x v="0"/>
    <s v=""/>
    <s v=""/>
    <m/>
  </r>
  <r>
    <s v="China"/>
    <x v="4"/>
    <s v="P058844"/>
    <s v="C2"/>
    <s v=""/>
    <s v="P058844C2"/>
    <x v="1"/>
    <n v="2007"/>
    <x v="1"/>
    <s v=""/>
    <n v="373"/>
    <n v="38.9"/>
    <s v="USD"/>
    <n v="38.9"/>
    <n v="0.10428954423592493"/>
    <s v=""/>
    <s v=""/>
    <x v="0"/>
    <s v=""/>
    <s v=""/>
    <m/>
  </r>
  <r>
    <s v="China"/>
    <x v="4"/>
    <s v="P058844"/>
    <s v="C1"/>
    <s v=""/>
    <s v="P058844C2"/>
    <x v="2"/>
    <s v="2003 / 2008"/>
    <x v="1"/>
    <s v=""/>
    <n v="0.9325"/>
    <n v="0.88610478359908884"/>
    <m/>
    <n v="0.88610478359908884"/>
    <n v="0.95024641672824539"/>
    <s v=""/>
    <s v=""/>
    <x v="0"/>
    <s v=""/>
    <s v=""/>
    <s v=""/>
  </r>
  <r>
    <s v="China"/>
    <x v="4"/>
    <s v="P058847"/>
    <s v="C1"/>
    <s v=""/>
    <s v="P058847C1"/>
    <x v="0"/>
    <n v="2002"/>
    <x v="11"/>
    <s v=""/>
    <n v="302.60000000000002"/>
    <n v="211.39"/>
    <s v="USD"/>
    <n v="211.39"/>
    <n v="0.69857898215465952"/>
    <s v=""/>
    <s v=""/>
    <x v="0"/>
    <s v=""/>
    <s v=""/>
    <m/>
  </r>
  <r>
    <s v="China"/>
    <x v="4"/>
    <s v="P058847"/>
    <s v="C1"/>
    <s v=""/>
    <s v="P058847C1"/>
    <x v="1"/>
    <n v="2010"/>
    <x v="11"/>
    <s v=""/>
    <n v="302.60000000000002"/>
    <n v="278.52"/>
    <s v="USD"/>
    <n v="278.52"/>
    <n v="0.92042300066093841"/>
    <s v=""/>
    <s v=""/>
    <x v="0"/>
    <s v=""/>
    <s v=""/>
    <m/>
  </r>
  <r>
    <s v="China"/>
    <x v="4"/>
    <s v="P058847"/>
    <s v="C1"/>
    <s v=""/>
    <s v="P058847C1"/>
    <x v="2"/>
    <s v="2003 / 2008"/>
    <x v="11"/>
    <s v=""/>
    <n v="1"/>
    <n v="1.3175646908557643"/>
    <m/>
    <n v="1.3175646908557643"/>
    <n v="1.3175646908557643"/>
    <s v=""/>
    <s v=""/>
    <x v="0"/>
    <s v=""/>
    <s v=""/>
    <s v=""/>
  </r>
  <r>
    <s v="China"/>
    <x v="4"/>
    <s v="P058847"/>
    <s v="C2"/>
    <s v=""/>
    <s v="P058847C2"/>
    <x v="0"/>
    <n v="2002"/>
    <x v="1"/>
    <s v=""/>
    <n v="600"/>
    <n v="41.8"/>
    <s v="USD"/>
    <n v="41.8"/>
    <n v="6.9666666666666668E-2"/>
    <s v=""/>
    <s v=""/>
    <x v="0"/>
    <s v=""/>
    <s v=""/>
    <m/>
  </r>
  <r>
    <s v="China"/>
    <x v="4"/>
    <s v="P058847"/>
    <s v="C2"/>
    <s v=""/>
    <s v="P058847C2"/>
    <x v="1"/>
    <n v="2010"/>
    <x v="1"/>
    <s v=""/>
    <n v="620"/>
    <n v="51.84"/>
    <s v="USD"/>
    <n v="51.84"/>
    <n v="8.3612903225806459E-2"/>
    <s v=""/>
    <s v=""/>
    <x v="0"/>
    <s v=""/>
    <s v=""/>
    <m/>
  </r>
  <r>
    <s v="China"/>
    <x v="4"/>
    <s v="P058847"/>
    <s v="C1"/>
    <s v=""/>
    <s v="P058847C2"/>
    <x v="2"/>
    <s v="2003 / 2008"/>
    <x v="1"/>
    <s v=""/>
    <n v="1.0333333333333334"/>
    <n v="1.2401913875598087"/>
    <m/>
    <n v="1.2401913875598087"/>
    <n v="1.2001852137675568"/>
    <s v=""/>
    <s v=""/>
    <x v="0"/>
    <s v=""/>
    <s v=""/>
    <s v=""/>
  </r>
  <r>
    <s v="China"/>
    <x v="4"/>
    <s v="P068752"/>
    <s v="C1"/>
    <s v=""/>
    <s v="P068752C1"/>
    <x v="0"/>
    <n v="2005"/>
    <x v="11"/>
    <n v="36"/>
    <n v="177"/>
    <n v="172.69"/>
    <s v="USD"/>
    <n v="172.69"/>
    <n v="0.97564971751412433"/>
    <s v=""/>
    <s v=""/>
    <x v="0"/>
    <s v=""/>
    <s v=""/>
    <m/>
  </r>
  <r>
    <s v="China"/>
    <x v="4"/>
    <s v="P068752"/>
    <s v="C1"/>
    <s v=""/>
    <s v="P068752C1"/>
    <x v="1"/>
    <n v="2011"/>
    <x v="11"/>
    <n v="30"/>
    <n v="178.73"/>
    <n v="214.53"/>
    <s v="USD"/>
    <n v="214.53"/>
    <n v="1.2003021317070441"/>
    <s v=""/>
    <s v=""/>
    <x v="0"/>
    <s v=""/>
    <s v=""/>
    <m/>
  </r>
  <r>
    <s v="China"/>
    <x v="4"/>
    <s v="P068752"/>
    <s v="C1"/>
    <s v=""/>
    <s v="P068752C1"/>
    <x v="2"/>
    <s v="2003 / 2008"/>
    <x v="11"/>
    <n v="0.83333333333333337"/>
    <n v="1.0097740112994349"/>
    <n v="1.2422838612542706"/>
    <m/>
    <n v="1.2422838612542706"/>
    <n v="1.2302592930230285"/>
    <s v=""/>
    <s v=""/>
    <x v="0"/>
    <s v=""/>
    <s v=""/>
    <s v=""/>
  </r>
  <r>
    <s v="China"/>
    <x v="4"/>
    <s v="P068752"/>
    <s v="C2"/>
    <s v=""/>
    <s v="P068752C2"/>
    <x v="0"/>
    <n v="2005"/>
    <x v="1"/>
    <s v=""/>
    <n v="431"/>
    <n v="51.3"/>
    <s v="USD"/>
    <n v="51.3"/>
    <n v="0.11902552204176334"/>
    <s v=""/>
    <s v="x"/>
    <x v="0"/>
    <s v=""/>
    <s v="x"/>
    <m/>
  </r>
  <r>
    <s v="China"/>
    <x v="4"/>
    <s v="P068752"/>
    <s v="C2"/>
    <s v=""/>
    <s v="P068752C2"/>
    <x v="1"/>
    <n v="2011"/>
    <x v="1"/>
    <s v=""/>
    <n v="690"/>
    <n v="117.02"/>
    <s v="USD"/>
    <n v="117.02"/>
    <n v="0.16959420289855071"/>
    <s v=""/>
    <s v="x"/>
    <x v="0"/>
    <s v=""/>
    <s v="x"/>
    <m/>
  </r>
  <r>
    <s v="China"/>
    <x v="4"/>
    <s v="P068752"/>
    <s v="C1"/>
    <s v=""/>
    <s v="P068752C2"/>
    <x v="2"/>
    <s v="2003 / 2008"/>
    <x v="1"/>
    <s v=""/>
    <n v="1.6009280742459397"/>
    <n v="2.2810916179337233"/>
    <m/>
    <n v="2.2810916179337233"/>
    <n v="1.4248557787383109"/>
    <s v=""/>
    <s v="x"/>
    <x v="0"/>
    <s v=""/>
    <s v="x"/>
    <s v="Change of project scope; ; "/>
  </r>
  <r>
    <s v="China"/>
    <x v="4"/>
    <s v="P068752"/>
    <s v="C2"/>
    <s v="S1"/>
    <s v="P068752C2S1"/>
    <x v="0"/>
    <n v="2005"/>
    <x v="1"/>
    <n v="24"/>
    <n v="70.5"/>
    <n v="109.54"/>
    <s v="CNY"/>
    <n v="13.229468599033819"/>
    <n v="0.18765203686572793"/>
    <s v=""/>
    <s v=""/>
    <x v="0"/>
    <s v=""/>
    <s v=""/>
    <m/>
  </r>
  <r>
    <s v="China"/>
    <x v="4"/>
    <s v="P068752"/>
    <s v="C2"/>
    <s v="S1"/>
    <s v="P068752C2S1"/>
    <x v="1"/>
    <n v="2011"/>
    <x v="1"/>
    <n v="24"/>
    <n v="74.2"/>
    <n v="132.9"/>
    <s v="CNY"/>
    <n v="18.331034482758621"/>
    <n v="0.24704898224742075"/>
    <s v=""/>
    <s v=""/>
    <x v="0"/>
    <s v=""/>
    <s v=""/>
    <m/>
  </r>
  <r>
    <s v="China"/>
    <x v="4"/>
    <s v="P068752"/>
    <s v="C1"/>
    <s v=""/>
    <s v="P068752C2S1"/>
    <x v="2"/>
    <s v="2003 / 2008"/>
    <x v="1"/>
    <n v="1"/>
    <n v="1.0524822695035461"/>
    <n v="1.2132554318057331"/>
    <m/>
    <n v="1.3856213759105473"/>
    <n v="1.3165270485403446"/>
    <s v=""/>
    <s v=""/>
    <x v="0"/>
    <s v=""/>
    <s v=""/>
    <s v=""/>
  </r>
  <r>
    <s v="China"/>
    <x v="4"/>
    <s v="P068752"/>
    <s v="C2"/>
    <s v="S2"/>
    <s v="P068752C2S2"/>
    <x v="0"/>
    <n v="2005"/>
    <x v="1"/>
    <n v="18"/>
    <n v="138"/>
    <n v="134.94999999999999"/>
    <s v="CNY"/>
    <n v="16.29830917874396"/>
    <n v="0.11810368970104319"/>
    <s v=""/>
    <s v=""/>
    <x v="0"/>
    <s v=""/>
    <s v=""/>
    <m/>
  </r>
  <r>
    <s v="China"/>
    <x v="4"/>
    <s v="P068752"/>
    <s v="C2"/>
    <s v="S2"/>
    <s v="P068752C2S2"/>
    <x v="1"/>
    <n v="2011"/>
    <x v="1"/>
    <n v="18"/>
    <n v="135.9"/>
    <n v="128.19999999999999"/>
    <s v="CNY"/>
    <n v="17.682758620689654"/>
    <n v="0.13011595747380172"/>
    <s v=""/>
    <s v=""/>
    <x v="0"/>
    <s v=""/>
    <s v=""/>
    <m/>
  </r>
  <r>
    <s v="China"/>
    <x v="4"/>
    <s v="P068752"/>
    <s v="C1"/>
    <s v=""/>
    <s v="P068752C2S2"/>
    <x v="2"/>
    <s v="2003 / 2008"/>
    <x v="1"/>
    <n v="1"/>
    <n v="0.98478260869565226"/>
    <n v="0.94998147462022975"/>
    <m/>
    <n v="1.0849443599800692"/>
    <n v="1.1017095046155228"/>
    <s v=""/>
    <s v=""/>
    <x v="0"/>
    <s v=""/>
    <s v=""/>
    <s v=""/>
  </r>
  <r>
    <s v="China"/>
    <x v="4"/>
    <s v="P068752"/>
    <s v="C2"/>
    <s v="S3"/>
    <s v="P068752C2S3"/>
    <x v="0"/>
    <n v="2005"/>
    <x v="1"/>
    <n v="18"/>
    <n v="103"/>
    <n v="88.43"/>
    <s v="CNY"/>
    <n v="10.679951690821257"/>
    <n v="0.10368885136719667"/>
    <s v=""/>
    <s v=""/>
    <x v="0"/>
    <s v="x"/>
    <s v="x"/>
    <m/>
  </r>
  <r>
    <s v="China"/>
    <x v="4"/>
    <s v="P068752"/>
    <s v="C2"/>
    <s v="S3"/>
    <s v="P068752C2S3"/>
    <x v="1"/>
    <n v="2011"/>
    <x v="1"/>
    <n v="30"/>
    <n v="118"/>
    <n v="230.4"/>
    <s v="CNY"/>
    <n v="31.779310344827586"/>
    <n v="0.26931618936294566"/>
    <s v=""/>
    <s v=""/>
    <x v="0"/>
    <s v="x"/>
    <s v="x"/>
    <m/>
  </r>
  <r>
    <s v="China"/>
    <x v="4"/>
    <s v="P068752"/>
    <s v="C1"/>
    <s v=""/>
    <s v="P068752C2S3"/>
    <x v="2"/>
    <s v="2003 / 2008"/>
    <x v="1"/>
    <n v="1.6666666666666667"/>
    <n v="1.145631067961165"/>
    <n v="2.605450638923442"/>
    <m/>
    <n v="2.9756043159015308"/>
    <n v="2.597349529981845"/>
    <s v=""/>
    <s v=""/>
    <x v="0"/>
    <s v="x"/>
    <s v="x"/>
    <s v="Weather shocks ; Quality of estimates; "/>
  </r>
  <r>
    <s v="China"/>
    <x v="4"/>
    <s v="P068752"/>
    <s v="C2"/>
    <s v="S4"/>
    <s v="P068752C2S4"/>
    <x v="0"/>
    <n v="2005"/>
    <x v="1"/>
    <n v="18"/>
    <n v="82.5"/>
    <n v="44.01"/>
    <s v="CNY"/>
    <n v="5.3152173913043477"/>
    <n v="6.4426877470355734E-2"/>
    <s v=""/>
    <s v=""/>
    <x v="0"/>
    <s v="x"/>
    <s v="x"/>
    <m/>
  </r>
  <r>
    <s v="China"/>
    <x v="4"/>
    <s v="P068752"/>
    <s v="C2"/>
    <s v="S4"/>
    <s v="P068752C2S4"/>
    <x v="1"/>
    <n v="2011"/>
    <x v="1"/>
    <n v="18"/>
    <n v="81.7"/>
    <n v="69.8"/>
    <s v="CNY"/>
    <n v="9.6275862068965505"/>
    <n v="0.11784071244671421"/>
    <s v=""/>
    <s v=""/>
    <x v="0"/>
    <s v="x"/>
    <s v="x"/>
    <m/>
  </r>
  <r>
    <s v="China"/>
    <x v="4"/>
    <s v="P068752"/>
    <s v="C1"/>
    <s v=""/>
    <s v="P068752C2S4"/>
    <x v="2"/>
    <s v="2003 / 2008"/>
    <x v="1"/>
    <n v="1"/>
    <n v="0.99030303030303035"/>
    <n v="1.5860031810952055"/>
    <m/>
    <n v="1.8113250123404554"/>
    <n v="1.8290613649704719"/>
    <s v=""/>
    <s v=""/>
    <x v="0"/>
    <s v="x"/>
    <s v="x"/>
    <s v="Weather shocks ; Quality of estimates; "/>
  </r>
  <r>
    <s v="China"/>
    <x v="4"/>
    <s v="P068752"/>
    <s v="C2"/>
    <s v="S5"/>
    <s v="P068752C2S5"/>
    <x v="0"/>
    <n v="2005"/>
    <x v="1"/>
    <n v="12"/>
    <n v="19.3"/>
    <n v="16.43"/>
    <s v="CNY"/>
    <n v="1.9842995169082127"/>
    <n v="0.10281344647192811"/>
    <s v=""/>
    <s v=""/>
    <x v="0"/>
    <s v=""/>
    <s v=""/>
    <m/>
  </r>
  <r>
    <s v="China"/>
    <x v="4"/>
    <s v="P068752"/>
    <s v="C2"/>
    <s v="S5"/>
    <s v="P068752C2S5"/>
    <x v="1"/>
    <n v="2011"/>
    <x v="1"/>
    <n v="12"/>
    <n v="21.5"/>
    <n v="16.899999999999999"/>
    <s v="CNY"/>
    <n v="2.3310344827586205"/>
    <n v="0.10842020850040095"/>
    <s v=""/>
    <s v=""/>
    <x v="0"/>
    <s v=""/>
    <s v=""/>
    <m/>
  </r>
  <r>
    <s v="China"/>
    <x v="4"/>
    <s v="P068752"/>
    <s v="C1"/>
    <s v=""/>
    <s v="P068752C2S5"/>
    <x v="2"/>
    <s v="2003 / 2008"/>
    <x v="1"/>
    <n v="1"/>
    <n v="1.1139896373056994"/>
    <n v="1.0286062081558125"/>
    <m/>
    <n v="1.1747392280731208"/>
    <n v="1.0545333535726156"/>
    <s v=""/>
    <s v=""/>
    <x v="0"/>
    <s v=""/>
    <s v=""/>
    <s v=""/>
  </r>
  <r>
    <s v="China"/>
    <x v="4"/>
    <s v="P069852"/>
    <s v="C2"/>
    <s v=""/>
    <s v="P069852C2"/>
    <x v="0"/>
    <n v="2004"/>
    <x v="2"/>
    <s v=""/>
    <n v="74.330000000000013"/>
    <n v="36.200000000000003"/>
    <s v="USD"/>
    <n v="36.200000000000003"/>
    <n v="0.48701735503834248"/>
    <s v=""/>
    <s v=""/>
    <x v="0"/>
    <s v=""/>
    <s v=""/>
    <m/>
  </r>
  <r>
    <s v="China"/>
    <x v="4"/>
    <s v="P069852"/>
    <s v="C2"/>
    <s v=""/>
    <s v="P069852C2"/>
    <x v="1"/>
    <n v="2010"/>
    <x v="2"/>
    <s v=""/>
    <n v="70.830000000000013"/>
    <n v="51.71"/>
    <s v="USD"/>
    <n v="51.71"/>
    <n v="0.73005788507694469"/>
    <s v=""/>
    <s v=""/>
    <x v="0"/>
    <s v=""/>
    <s v=""/>
    <m/>
  </r>
  <r>
    <s v="China"/>
    <x v="4"/>
    <s v="P069852"/>
    <s v="C1"/>
    <s v=""/>
    <s v="P069852C2"/>
    <x v="2"/>
    <s v="2003 / 2008"/>
    <x v="2"/>
    <s v=""/>
    <n v="0.95291268666756357"/>
    <n v="1.4284530386740331"/>
    <m/>
    <n v="1.4284530386740331"/>
    <n v="1.4990387457947321"/>
    <s v=""/>
    <s v=""/>
    <x v="0"/>
    <s v=""/>
    <s v=""/>
    <s v=""/>
  </r>
  <r>
    <s v="China"/>
    <x v="4"/>
    <s v="P070441"/>
    <s v="C1"/>
    <s v=""/>
    <s v="P070441C1"/>
    <x v="0"/>
    <n v="2002"/>
    <x v="8"/>
    <n v="66"/>
    <n v="243.5"/>
    <n v="505.6"/>
    <s v="USD"/>
    <n v="505.6"/>
    <n v="2.0763860369609857"/>
    <s v=""/>
    <s v=""/>
    <x v="0"/>
    <s v="x"/>
    <s v="x"/>
    <m/>
  </r>
  <r>
    <s v="China"/>
    <x v="4"/>
    <s v="P070441"/>
    <s v="C1"/>
    <s v=""/>
    <s v="P070441C1"/>
    <x v="1"/>
    <n v="2008"/>
    <x v="8"/>
    <n v="66"/>
    <n v="243.5"/>
    <n v="802.61"/>
    <s v="USD"/>
    <n v="802.61"/>
    <n v="3.2961396303901438"/>
    <s v=""/>
    <s v=""/>
    <x v="0"/>
    <s v="x"/>
    <s v="x"/>
    <m/>
  </r>
  <r>
    <s v="China"/>
    <x v="4"/>
    <s v="P070441"/>
    <s v="C1"/>
    <s v=""/>
    <s v="P070441C1"/>
    <x v="2"/>
    <s v="2003 / 2008"/>
    <x v="8"/>
    <n v="1"/>
    <n v="1"/>
    <n v="1.5874406645569621"/>
    <m/>
    <n v="1.5874406645569621"/>
    <n v="1.5874406645569621"/>
    <s v=""/>
    <s v=""/>
    <x v="0"/>
    <s v="x"/>
    <s v="x"/>
    <s v="Quality of estimates; Macroeconomic conditions; Capacity of contractor"/>
  </r>
  <r>
    <s v="China"/>
    <x v="4"/>
    <s v="P070441"/>
    <s v="C2"/>
    <s v=""/>
    <s v="P070441C2"/>
    <x v="0"/>
    <n v="2002"/>
    <x v="1"/>
    <s v=""/>
    <n v="259"/>
    <n v="66.2"/>
    <s v="USD"/>
    <n v="66.2"/>
    <n v="0.25559845559845562"/>
    <s v=""/>
    <s v=""/>
    <x v="0"/>
    <s v=""/>
    <s v=""/>
    <m/>
  </r>
  <r>
    <s v="China"/>
    <x v="4"/>
    <s v="P070441"/>
    <s v="C2"/>
    <s v=""/>
    <s v="P070441C2"/>
    <x v="1"/>
    <n v="2008"/>
    <x v="1"/>
    <s v=""/>
    <n v="259"/>
    <n v="42"/>
    <s v="USD"/>
    <n v="42"/>
    <n v="0.16216216216216217"/>
    <s v=""/>
    <s v=""/>
    <x v="0"/>
    <s v=""/>
    <s v=""/>
    <m/>
  </r>
  <r>
    <s v="China"/>
    <x v="4"/>
    <s v="P070441"/>
    <s v="C1"/>
    <s v=""/>
    <s v="P070441C2"/>
    <x v="2"/>
    <s v="2003 / 2008"/>
    <x v="1"/>
    <s v=""/>
    <n v="1"/>
    <n v="0.63444108761329299"/>
    <m/>
    <n v="0.63444108761329299"/>
    <n v="0.63444108761329299"/>
    <s v=""/>
    <s v=""/>
    <x v="0"/>
    <s v=""/>
    <s v=""/>
    <s v=""/>
  </r>
  <r>
    <s v="China"/>
    <x v="4"/>
    <s v="P070459"/>
    <s v="C1"/>
    <s v=""/>
    <s v="P070459C1"/>
    <x v="0"/>
    <n v="2002"/>
    <x v="8"/>
    <s v=""/>
    <n v="90"/>
    <n v="185.79"/>
    <s v="USD"/>
    <n v="185.79"/>
    <n v="2.0643333333333334"/>
    <s v=""/>
    <s v=""/>
    <x v="0"/>
    <s v=""/>
    <s v=""/>
    <m/>
  </r>
  <r>
    <s v="China"/>
    <x v="4"/>
    <s v="P070459"/>
    <s v="C1"/>
    <s v=""/>
    <s v="P070459C1"/>
    <x v="1"/>
    <n v="2008"/>
    <x v="8"/>
    <s v=""/>
    <n v="90"/>
    <n v="169.05"/>
    <s v="USD"/>
    <n v="169.05"/>
    <n v="1.8783333333333334"/>
    <s v=""/>
    <s v=""/>
    <x v="0"/>
    <s v=""/>
    <s v=""/>
    <m/>
  </r>
  <r>
    <s v="China"/>
    <x v="4"/>
    <s v="P070459"/>
    <s v="C1"/>
    <s v=""/>
    <s v="P070459C1"/>
    <x v="2"/>
    <s v="2003 / 2008"/>
    <x v="8"/>
    <s v=""/>
    <n v="1"/>
    <n v="0.90989827224285491"/>
    <m/>
    <n v="0.90989827224285491"/>
    <n v="0.90989827224285491"/>
    <s v=""/>
    <s v=""/>
    <x v="0"/>
    <s v=""/>
    <s v=""/>
    <s v=""/>
  </r>
  <r>
    <s v="China"/>
    <x v="4"/>
    <s v="P070459"/>
    <s v="C2"/>
    <s v=""/>
    <s v="P070459C2"/>
    <x v="0"/>
    <n v="2002"/>
    <x v="1"/>
    <s v=""/>
    <n v="343"/>
    <n v="61.1"/>
    <s v="USD"/>
    <n v="61.1"/>
    <n v="0.17813411078717201"/>
    <s v=""/>
    <s v="x"/>
    <x v="0"/>
    <s v=""/>
    <s v="x"/>
    <m/>
  </r>
  <r>
    <s v="China"/>
    <x v="4"/>
    <s v="P070459"/>
    <s v="C2"/>
    <s v=""/>
    <s v="P070459C2"/>
    <x v="1"/>
    <n v="2008"/>
    <x v="1"/>
    <s v=""/>
    <n v="664"/>
    <n v="81.650000000000006"/>
    <s v="USD"/>
    <n v="81.650000000000006"/>
    <n v="0.12296686746987953"/>
    <s v=""/>
    <s v="x"/>
    <x v="0"/>
    <s v=""/>
    <s v="x"/>
    <m/>
  </r>
  <r>
    <s v="China"/>
    <x v="4"/>
    <s v="P070459"/>
    <s v="C1"/>
    <s v=""/>
    <s v="P070459C2"/>
    <x v="2"/>
    <s v="2003 / 2008"/>
    <x v="1"/>
    <s v=""/>
    <n v="1.935860058309038"/>
    <n v="1.3363338788870704"/>
    <m/>
    <n v="1.3363338788870704"/>
    <n v="0.69030500069015843"/>
    <s v=""/>
    <s v="x"/>
    <x v="0"/>
    <s v=""/>
    <s v="x"/>
    <s v="Change of project scope; ; "/>
  </r>
  <r>
    <s v="China"/>
    <x v="4"/>
    <s v="P070459"/>
    <s v="C2"/>
    <s v="S1"/>
    <s v="P070459C2S1"/>
    <x v="0"/>
    <n v="2002"/>
    <x v="1"/>
    <s v=""/>
    <n v="70"/>
    <n v="80"/>
    <s v="CNY"/>
    <n v="9.6385542168674689"/>
    <n v="0.13769363166953527"/>
    <s v=""/>
    <s v=""/>
    <x v="0"/>
    <s v=""/>
    <s v=""/>
    <m/>
  </r>
  <r>
    <s v="China"/>
    <x v="4"/>
    <s v="P070459"/>
    <s v="C2"/>
    <s v="S1"/>
    <s v="P070459C2S1"/>
    <x v="1"/>
    <n v="2008"/>
    <x v="1"/>
    <s v=""/>
    <n v="70"/>
    <n v="76.400000000000006"/>
    <s v="CNY"/>
    <n v="9.2270531400966203"/>
    <n v="0.13181504485852313"/>
    <s v=""/>
    <s v=""/>
    <x v="0"/>
    <s v=""/>
    <s v=""/>
    <m/>
  </r>
  <r>
    <s v="China"/>
    <x v="4"/>
    <s v="P070459"/>
    <s v="C1"/>
    <s v=""/>
    <s v="P070459C2S1"/>
    <x v="2"/>
    <s v="2003 / 2008"/>
    <x v="1"/>
    <s v=""/>
    <n v="1"/>
    <n v="0.95500000000000007"/>
    <m/>
    <n v="0.9573067632850244"/>
    <n v="0.9573067632850244"/>
    <s v=""/>
    <s v=""/>
    <x v="0"/>
    <s v=""/>
    <s v=""/>
    <s v=""/>
  </r>
  <r>
    <s v="China"/>
    <x v="4"/>
    <s v="P070459"/>
    <s v="C2"/>
    <s v="S2"/>
    <s v="P070459C2S2"/>
    <x v="0"/>
    <n v="2002"/>
    <x v="1"/>
    <s v=""/>
    <n v="54"/>
    <n v="55"/>
    <s v="CNY"/>
    <n v="6.6265060240963853"/>
    <n v="0.12271307452030343"/>
    <s v=""/>
    <s v=""/>
    <x v="0"/>
    <s v=""/>
    <s v=""/>
    <m/>
  </r>
  <r>
    <s v="China"/>
    <x v="4"/>
    <s v="P070459"/>
    <s v="C2"/>
    <s v="S2"/>
    <s v="P070459C2S2"/>
    <x v="1"/>
    <n v="2008"/>
    <x v="1"/>
    <s v=""/>
    <n v="54"/>
    <n v="43.8"/>
    <s v="CNY"/>
    <n v="5.2898550724637685"/>
    <n v="9.7960279119699414E-2"/>
    <s v=""/>
    <s v=""/>
    <x v="0"/>
    <s v=""/>
    <s v=""/>
    <m/>
  </r>
  <r>
    <s v="China"/>
    <x v="4"/>
    <s v="P070459"/>
    <s v="C1"/>
    <s v=""/>
    <s v="P070459C2S2"/>
    <x v="2"/>
    <s v="2003 / 2008"/>
    <x v="1"/>
    <s v=""/>
    <n v="1"/>
    <n v="0.79636363636363627"/>
    <m/>
    <n v="0.79828722002635055"/>
    <n v="0.79828722002635055"/>
    <s v=""/>
    <s v=""/>
    <x v="0"/>
    <s v=""/>
    <s v=""/>
    <s v=""/>
  </r>
  <r>
    <s v="China"/>
    <x v="4"/>
    <s v="P070459"/>
    <s v="C2"/>
    <s v="S3"/>
    <s v="P070459C2S3"/>
    <x v="0"/>
    <n v="2002"/>
    <x v="1"/>
    <s v=""/>
    <n v="86"/>
    <n v="100"/>
    <s v="CNY"/>
    <n v="12.048192771084336"/>
    <n v="0.14009526478005041"/>
    <s v=""/>
    <s v=""/>
    <x v="0"/>
    <s v=""/>
    <s v=""/>
    <m/>
  </r>
  <r>
    <s v="China"/>
    <x v="4"/>
    <s v="P070459"/>
    <s v="C2"/>
    <s v="S3"/>
    <s v="P070459C2S3"/>
    <x v="1"/>
    <n v="2008"/>
    <x v="1"/>
    <s v=""/>
    <n v="86"/>
    <n v="51.199999999999996"/>
    <s v="CNY"/>
    <n v="6.1835748792270531"/>
    <n v="7.1902033479384342E-2"/>
    <s v=""/>
    <s v=""/>
    <x v="0"/>
    <s v=""/>
    <s v=""/>
    <m/>
  </r>
  <r>
    <s v="China"/>
    <x v="4"/>
    <s v="P070459"/>
    <s v="C1"/>
    <s v=""/>
    <s v="P070459C2S3"/>
    <x v="2"/>
    <s v="2003 / 2008"/>
    <x v="1"/>
    <s v=""/>
    <n v="1"/>
    <n v="0.51200000000000001"/>
    <m/>
    <n v="0.51323671497584544"/>
    <n v="0.51323671497584555"/>
    <s v=""/>
    <s v=""/>
    <x v="0"/>
    <s v=""/>
    <s v=""/>
    <s v=""/>
  </r>
  <r>
    <s v="China"/>
    <x v="4"/>
    <s v="P070459"/>
    <s v="C2"/>
    <s v="S4"/>
    <s v="P070459C2S4"/>
    <x v="0"/>
    <n v="2002"/>
    <x v="1"/>
    <s v=""/>
    <n v="48"/>
    <n v="70"/>
    <s v="CNY"/>
    <n v="8.4337349397590362"/>
    <n v="0.17570281124497991"/>
    <s v=""/>
    <s v=""/>
    <x v="0"/>
    <s v=""/>
    <s v=""/>
    <m/>
  </r>
  <r>
    <s v="China"/>
    <x v="4"/>
    <s v="P070459"/>
    <s v="C2"/>
    <s v="S4"/>
    <s v="P070459C2S4"/>
    <x v="1"/>
    <n v="2008"/>
    <x v="1"/>
    <s v=""/>
    <n v="48"/>
    <n v="68.800000000000011"/>
    <s v="CNY"/>
    <n v="8.309178743961354"/>
    <n v="0.17310789049919487"/>
    <s v=""/>
    <s v=""/>
    <x v="0"/>
    <s v=""/>
    <s v=""/>
    <m/>
  </r>
  <r>
    <s v="China"/>
    <x v="4"/>
    <s v="P070459"/>
    <s v="C1"/>
    <s v=""/>
    <s v="P070459C2S4"/>
    <x v="2"/>
    <s v="2003 / 2008"/>
    <x v="1"/>
    <s v=""/>
    <n v="1"/>
    <n v="0.98285714285714298"/>
    <m/>
    <n v="0.98523119392684622"/>
    <n v="0.98523119392684622"/>
    <s v=""/>
    <s v=""/>
    <x v="0"/>
    <s v=""/>
    <s v=""/>
    <s v=""/>
  </r>
  <r>
    <s v="China"/>
    <x v="4"/>
    <s v="P075613"/>
    <s v="C1"/>
    <s v=""/>
    <s v="P075613C1"/>
    <x v="0"/>
    <n v="2007"/>
    <x v="8"/>
    <s v=""/>
    <n v="87"/>
    <n v="561.24"/>
    <s v="USD"/>
    <n v="561.24"/>
    <n v="6.4510344827586206"/>
    <s v=""/>
    <s v=""/>
    <x v="0"/>
    <s v="x"/>
    <s v="x"/>
    <m/>
  </r>
  <r>
    <s v="China"/>
    <x v="4"/>
    <s v="P075613"/>
    <s v="C1"/>
    <s v=""/>
    <s v="P075613C1"/>
    <x v="1"/>
    <n v="2013"/>
    <x v="8"/>
    <s v=""/>
    <n v="87"/>
    <n v="1096.6600000000001"/>
    <s v="USD"/>
    <n v="1096.6600000000001"/>
    <n v="12.60528735632184"/>
    <s v=""/>
    <s v=""/>
    <x v="0"/>
    <s v="x"/>
    <s v="x"/>
    <m/>
  </r>
  <r>
    <s v="China"/>
    <x v="4"/>
    <s v="P075613"/>
    <s v="C1"/>
    <s v=""/>
    <s v="P075613C1"/>
    <x v="2"/>
    <s v="2003 / 2008"/>
    <x v="8"/>
    <s v=""/>
    <n v="1"/>
    <n v="1.9539947259639372"/>
    <m/>
    <n v="1.9539947259639372"/>
    <n v="1.9539947259639372"/>
    <s v=""/>
    <s v=""/>
    <x v="0"/>
    <s v="x"/>
    <s v="x"/>
    <s v="Macroeconomic conditions; ; "/>
  </r>
  <r>
    <s v="China"/>
    <x v="4"/>
    <s v="P075613"/>
    <s v="C2"/>
    <s v=""/>
    <s v="P075613C2"/>
    <x v="0"/>
    <n v="2007"/>
    <x v="1"/>
    <s v=""/>
    <n v="1480"/>
    <n v="47.22"/>
    <s v="USD"/>
    <n v="47.22"/>
    <n v="3.1905405405405401E-2"/>
    <s v=""/>
    <s v=""/>
    <x v="0"/>
    <s v="x"/>
    <s v="x"/>
    <m/>
  </r>
  <r>
    <s v="China"/>
    <x v="4"/>
    <s v="P075613"/>
    <s v="C2"/>
    <s v=""/>
    <s v="P075613C2"/>
    <x v="1"/>
    <n v="2013"/>
    <x v="1"/>
    <s v=""/>
    <n v="1480"/>
    <n v="77.59"/>
    <s v="USD"/>
    <n v="77.59"/>
    <n v="5.242567567567568E-2"/>
    <s v=""/>
    <s v=""/>
    <x v="0"/>
    <s v="x"/>
    <s v="x"/>
    <m/>
  </r>
  <r>
    <s v="China"/>
    <x v="4"/>
    <s v="P075613"/>
    <s v="C1"/>
    <s v=""/>
    <s v="P075613C2"/>
    <x v="2"/>
    <s v="2003 / 2008"/>
    <x v="1"/>
    <s v=""/>
    <n v="1"/>
    <n v="1.6431596781024991"/>
    <m/>
    <n v="1.6431596781024991"/>
    <n v="1.6431596781024993"/>
    <s v=""/>
    <s v=""/>
    <x v="0"/>
    <s v="x"/>
    <s v="x"/>
    <s v="Macroeconomic conditions; ; "/>
  </r>
  <r>
    <s v="China"/>
    <x v="4"/>
    <s v="P093906"/>
    <s v="C1"/>
    <s v=""/>
    <s v="P093906C1"/>
    <x v="0"/>
    <n v="2006"/>
    <x v="8"/>
    <s v=""/>
    <n v="117.1"/>
    <n v="627"/>
    <s v="USD"/>
    <n v="627"/>
    <n v="5.3543979504696839"/>
    <s v=""/>
    <s v=""/>
    <x v="0"/>
    <s v=""/>
    <s v=""/>
    <m/>
  </r>
  <r>
    <s v="China"/>
    <x v="4"/>
    <s v="P093906"/>
    <s v="C1"/>
    <s v=""/>
    <s v="P093906C1"/>
    <x v="1"/>
    <n v="2011"/>
    <x v="8"/>
    <s v=""/>
    <n v="117.1"/>
    <n v="715.06"/>
    <s v="USD"/>
    <n v="715.06"/>
    <n v="6.1064047822374041"/>
    <s v=""/>
    <s v=""/>
    <x v="0"/>
    <s v=""/>
    <s v=""/>
    <m/>
  </r>
  <r>
    <s v="China"/>
    <x v="4"/>
    <s v="P093906"/>
    <s v="C1"/>
    <s v=""/>
    <s v="P093906C1"/>
    <x v="2"/>
    <s v="2003 / 2008"/>
    <x v="8"/>
    <s v=""/>
    <n v="1"/>
    <n v="1.1404465709728866"/>
    <m/>
    <n v="1.1404465709728866"/>
    <n v="1.1404465709728868"/>
    <s v=""/>
    <s v=""/>
    <x v="0"/>
    <s v=""/>
    <s v=""/>
    <s v=""/>
  </r>
  <r>
    <s v="China"/>
    <x v="4"/>
    <s v="P093906"/>
    <s v="C2"/>
    <s v=""/>
    <s v="P093906C2"/>
    <x v="0"/>
    <n v="2006"/>
    <x v="1"/>
    <s v=""/>
    <n v="83.3"/>
    <n v="74"/>
    <s v="USD"/>
    <n v="74"/>
    <n v="0.88835534213685474"/>
    <s v="x"/>
    <s v=""/>
    <x v="1"/>
    <s v=""/>
    <s v="x"/>
    <m/>
  </r>
  <r>
    <s v="China"/>
    <x v="4"/>
    <s v="P093906"/>
    <s v="C2"/>
    <s v=""/>
    <s v="P093906C2"/>
    <x v="1"/>
    <n v="2011"/>
    <x v="1"/>
    <s v=""/>
    <n v="39"/>
    <n v="16.7"/>
    <s v="USD"/>
    <n v="16.7"/>
    <n v="0.42820512820512818"/>
    <s v="x"/>
    <s v=""/>
    <x v="1"/>
    <s v=""/>
    <s v="x"/>
    <m/>
  </r>
  <r>
    <s v="China"/>
    <x v="4"/>
    <s v="P093906"/>
    <s v="C1"/>
    <s v=""/>
    <s v="P093906C2"/>
    <x v="2"/>
    <s v="2003 / 2008"/>
    <x v="1"/>
    <s v=""/>
    <n v="0.46818727490996398"/>
    <n v="0.22567567567567567"/>
    <m/>
    <n v="0.22567567567567567"/>
    <n v="0.48202009702009702"/>
    <s v="x"/>
    <s v=""/>
    <x v="1"/>
    <s v=""/>
    <s v="x"/>
    <s v="Change of project scope; Political events; Procurement system"/>
  </r>
  <r>
    <s v="China"/>
    <x v="4"/>
    <s v="P101258"/>
    <s v="C1"/>
    <s v=""/>
    <s v="P101258C1"/>
    <x v="0"/>
    <n v="2009"/>
    <x v="8"/>
    <n v="40"/>
    <n v="173.6"/>
    <n v="1687.8300000000002"/>
    <s v="USD"/>
    <n v="1687.8300000000002"/>
    <n v="9.7225230414746555"/>
    <s v=""/>
    <s v=""/>
    <x v="0"/>
    <s v=""/>
    <s v=""/>
    <m/>
  </r>
  <r>
    <s v="China"/>
    <x v="4"/>
    <s v="P101258"/>
    <s v="C1"/>
    <s v=""/>
    <s v="P101258C1"/>
    <x v="1"/>
    <n v="2016"/>
    <x v="8"/>
    <s v=""/>
    <n v="173.6"/>
    <n v="2000.66"/>
    <s v="USD"/>
    <n v="2000.66"/>
    <n v="11.524539170506912"/>
    <s v=""/>
    <s v=""/>
    <x v="0"/>
    <s v=""/>
    <s v=""/>
    <m/>
  </r>
  <r>
    <s v="China"/>
    <x v="4"/>
    <s v="P101258"/>
    <s v="C1"/>
    <s v=""/>
    <s v="P101258C1"/>
    <x v="2"/>
    <s v="2003 / 2008"/>
    <x v="8"/>
    <s v=""/>
    <n v="1"/>
    <n v="1.1853444955949355"/>
    <m/>
    <n v="1.1853444955949355"/>
    <n v="1.1853444955949353"/>
    <s v=""/>
    <s v=""/>
    <x v="0"/>
    <s v=""/>
    <s v=""/>
    <s v=""/>
  </r>
  <r>
    <s v="China"/>
    <x v="4"/>
    <s v="Project number: 42017-013"/>
    <s v="C1"/>
    <s v="S1"/>
    <s v="Project number: 42017-013C1S1"/>
    <x v="0"/>
    <n v="2010"/>
    <x v="8"/>
    <s v=""/>
    <n v="206.26"/>
    <n v="468.87"/>
    <s v="CNY"/>
    <n v="69.257016248153619"/>
    <n v="0.3357753139152217"/>
    <s v=""/>
    <s v=""/>
    <x v="0"/>
    <m/>
    <m/>
    <m/>
  </r>
  <r>
    <s v="China"/>
    <x v="4"/>
    <s v="Project number: 42017-013"/>
    <s v="C1"/>
    <s v="S1"/>
    <s v="Project number: 42017-013C1S1"/>
    <x v="1"/>
    <n v="2016"/>
    <x v="8"/>
    <s v=""/>
    <n v="206.26"/>
    <n v="571.26"/>
    <s v="CNY"/>
    <n v="86.033132530120483"/>
    <n v="0.41711011601920145"/>
    <s v=""/>
    <s v=""/>
    <x v="0"/>
    <m/>
    <m/>
    <m/>
  </r>
  <r>
    <s v="China"/>
    <x v="4"/>
    <s v="Project number: 42017-013"/>
    <s v="C1"/>
    <s v=""/>
    <s v="Project number: 42017-013C1S1"/>
    <x v="2"/>
    <s v="2003 / 2008"/>
    <x v="8"/>
    <s v=""/>
    <n v="1"/>
    <n v="1.2183760957194958"/>
    <m/>
    <n v="1.2422298445814739"/>
    <n v="1.2422298445814739"/>
    <s v=""/>
    <s v=""/>
    <x v="0"/>
    <m/>
    <m/>
    <s v=""/>
  </r>
  <r>
    <s v="China"/>
    <x v="4"/>
    <s v="Project number: 42017-013"/>
    <s v="C1"/>
    <s v="S2"/>
    <s v="Project number: 42017-013C1S2"/>
    <x v="0"/>
    <n v="2010"/>
    <x v="1"/>
    <s v=""/>
    <n v="127.92"/>
    <n v="41.15"/>
    <s v="CNY"/>
    <n v="6.0782865583456429"/>
    <n v="4.7516311431720158E-2"/>
    <s v=""/>
    <s v=""/>
    <x v="0"/>
    <m/>
    <m/>
    <m/>
  </r>
  <r>
    <s v="China"/>
    <x v="4"/>
    <s v="Project number: 42017-013"/>
    <s v="C1"/>
    <s v="S2"/>
    <s v="Project number: 42017-013C1S2"/>
    <x v="1"/>
    <n v="2016"/>
    <x v="1"/>
    <s v=""/>
    <n v="127.92"/>
    <n v="47.25"/>
    <s v="CNY"/>
    <n v="7.1159638554216871"/>
    <n v="5.5628235267524133E-2"/>
    <s v=""/>
    <s v=""/>
    <x v="0"/>
    <m/>
    <m/>
    <m/>
  </r>
  <r>
    <s v="China"/>
    <x v="4"/>
    <s v="Project number: 42017-013"/>
    <s v="C1"/>
    <s v=""/>
    <s v="Project number: 42017-013C1S2"/>
    <x v="2"/>
    <s v="2003 / 2008"/>
    <x v="1"/>
    <s v=""/>
    <n v="1"/>
    <n v="1.1482381530984205"/>
    <m/>
    <n v="1.1707187193488413"/>
    <n v="1.1707187193488413"/>
    <s v=""/>
    <s v=""/>
    <x v="0"/>
    <m/>
    <m/>
    <s v=""/>
  </r>
  <r>
    <s v="China"/>
    <x v="4"/>
    <s v="Project number: 42017-013"/>
    <s v="C1"/>
    <s v="S3"/>
    <s v="Project number: 42017-013C1S3"/>
    <x v="0"/>
    <n v="2010"/>
    <x v="7"/>
    <s v=""/>
    <n v="12.88"/>
    <n v="78.91"/>
    <s v="CNY"/>
    <n v="11.655834564254063"/>
    <n v="0.90495609970916635"/>
    <s v=""/>
    <s v=""/>
    <x v="0"/>
    <m/>
    <m/>
    <m/>
  </r>
  <r>
    <s v="China"/>
    <x v="4"/>
    <s v="Project number: 42017-013"/>
    <s v="C1"/>
    <s v="S3"/>
    <s v="Project number: 42017-013C1S3"/>
    <x v="1"/>
    <n v="2016"/>
    <x v="7"/>
    <s v=""/>
    <n v="12.88"/>
    <n v="99.11"/>
    <s v="CNY"/>
    <n v="14.926204819277109"/>
    <n v="1.1588668337948065"/>
    <s v=""/>
    <s v=""/>
    <x v="0"/>
    <m/>
    <m/>
    <m/>
  </r>
  <r>
    <s v="China"/>
    <x v="4"/>
    <s v="Project number: 42017-013"/>
    <s v="C1"/>
    <s v=""/>
    <s v="Project number: 42017-013C1S3"/>
    <x v="2"/>
    <s v="2003 / 2008"/>
    <x v="7"/>
    <s v=""/>
    <n v="1"/>
    <n v="1.2559878342415411"/>
    <m/>
    <n v="1.280577957502294"/>
    <n v="1.280577957502294"/>
    <s v=""/>
    <s v=""/>
    <x v="0"/>
    <m/>
    <m/>
    <s v=""/>
  </r>
  <r>
    <s v="Congo, Dem. Rep."/>
    <x v="2"/>
    <s v="P057296"/>
    <s v="C1"/>
    <s v=""/>
    <s v="P057296C1"/>
    <x v="0"/>
    <n v="2007"/>
    <x v="0"/>
    <n v="21"/>
    <n v="1256"/>
    <n v="144"/>
    <s v="USD"/>
    <n v="144"/>
    <n v="0.11464968152866242"/>
    <s v=""/>
    <s v=""/>
    <x v="0"/>
    <s v="x"/>
    <s v="x"/>
    <m/>
  </r>
  <r>
    <s v="Congo, Dem. Rep."/>
    <x v="2"/>
    <s v="P057296"/>
    <s v="C1"/>
    <s v=""/>
    <s v="P057296C1"/>
    <x v="1"/>
    <n v="2010"/>
    <x v="0"/>
    <n v="72"/>
    <n v="1047"/>
    <n v="207"/>
    <s v="USD"/>
    <n v="207"/>
    <n v="0.19770773638968481"/>
    <s v=""/>
    <s v=""/>
    <x v="0"/>
    <s v="x"/>
    <s v="x"/>
    <m/>
  </r>
  <r>
    <s v="Congo, Dem. Rep."/>
    <x v="2"/>
    <s v="P057296"/>
    <s v="C1"/>
    <s v=""/>
    <s v="P057296C1"/>
    <x v="2"/>
    <s v="2003 / 2008"/>
    <x v="0"/>
    <n v="3.4285714285714284"/>
    <n v="0.83359872611464969"/>
    <n v="1.4375"/>
    <m/>
    <n v="1.4375"/>
    <n v="1.7244508118433619"/>
    <s v=""/>
    <s v=""/>
    <x v="0"/>
    <s v="x"/>
    <s v="x"/>
    <s v="Political events ; Quality of estimates ; Capacity of counterpart"/>
  </r>
  <r>
    <s v="Croatia"/>
    <x v="1"/>
    <s v="P043195"/>
    <s v="C3"/>
    <s v=""/>
    <s v="P043195C3"/>
    <x v="0"/>
    <n v="2003"/>
    <x v="8"/>
    <n v="30"/>
    <n v="6.5"/>
    <n v="87.8"/>
    <s v="USD"/>
    <n v="87.8"/>
    <n v="13.507692307692308"/>
    <s v=""/>
    <s v=""/>
    <x v="0"/>
    <s v=""/>
    <s v=""/>
    <m/>
  </r>
  <r>
    <s v="Croatia"/>
    <x v="1"/>
    <s v="P043195"/>
    <s v="C3"/>
    <s v=""/>
    <s v="P043195C3"/>
    <x v="1"/>
    <n v="2013"/>
    <x v="8"/>
    <n v="39"/>
    <n v="6.36"/>
    <n v="117.4"/>
    <s v="USD"/>
    <n v="117.4"/>
    <n v="18.459119496855347"/>
    <s v=""/>
    <s v=""/>
    <x v="0"/>
    <s v=""/>
    <s v=""/>
    <m/>
  </r>
  <r>
    <s v="Croatia"/>
    <x v="1"/>
    <s v="P043195"/>
    <s v="C1"/>
    <s v=""/>
    <s v="P043195C3"/>
    <x v="2"/>
    <s v="2003 / 2008"/>
    <x v="8"/>
    <n v="1.3"/>
    <n v="0.97846153846153849"/>
    <n v="1.3371298405466971"/>
    <m/>
    <n v="1.3371298405466971"/>
    <n v="1.3665635162820018"/>
    <s v=""/>
    <s v=""/>
    <x v="0"/>
    <s v=""/>
    <s v=""/>
    <s v=""/>
  </r>
  <r>
    <s v="Djibouti"/>
    <x v="5"/>
    <s v="P069930"/>
    <s v="C1"/>
    <s v=""/>
    <s v="P069930C1"/>
    <x v="0"/>
    <n v="2000"/>
    <x v="2"/>
    <n v="12"/>
    <n v="102"/>
    <n v="12"/>
    <s v="USD"/>
    <n v="12"/>
    <n v="0.11764705882352941"/>
    <s v=""/>
    <s v=""/>
    <x v="0"/>
    <s v=""/>
    <s v=""/>
    <m/>
  </r>
  <r>
    <s v="Djibouti"/>
    <x v="5"/>
    <s v="P069930"/>
    <s v="C1"/>
    <s v=""/>
    <s v="P069930C1"/>
    <x v="1"/>
    <n v="2006"/>
    <x v="2"/>
    <n v="18"/>
    <n v="98"/>
    <n v="13.7"/>
    <s v="USD"/>
    <n v="13.7"/>
    <n v="0.13979591836734692"/>
    <s v=""/>
    <s v=""/>
    <x v="0"/>
    <s v=""/>
    <s v=""/>
    <m/>
  </r>
  <r>
    <s v="Djibouti"/>
    <x v="5"/>
    <s v="P069930"/>
    <s v="C1"/>
    <s v=""/>
    <s v="P069930C1"/>
    <x v="2"/>
    <s v="2003 / 2008"/>
    <x v="2"/>
    <n v="1.5"/>
    <n v="0.96078431372549022"/>
    <n v="1.1416666666666666"/>
    <m/>
    <n v="1.1416666666666666"/>
    <n v="1.1882653061224488"/>
    <s v=""/>
    <s v=""/>
    <x v="0"/>
    <s v=""/>
    <s v=""/>
    <s v=""/>
  </r>
  <r>
    <s v="Djibouti"/>
    <x v="5"/>
    <s v="P069930"/>
    <s v="C2"/>
    <s v=""/>
    <s v="P069930C2"/>
    <x v="0"/>
    <n v="2000"/>
    <x v="5"/>
    <n v="12"/>
    <n v="86"/>
    <n v="2"/>
    <s v="USD"/>
    <n v="2"/>
    <n v="2.3255813953488372E-2"/>
    <s v=""/>
    <s v=""/>
    <x v="0"/>
    <s v=""/>
    <s v=""/>
    <m/>
  </r>
  <r>
    <s v="Djibouti"/>
    <x v="5"/>
    <s v="P069930"/>
    <s v="C2"/>
    <s v=""/>
    <s v="P069930C2"/>
    <x v="1"/>
    <n v="2006"/>
    <x v="5"/>
    <n v="12"/>
    <n v="88"/>
    <n v="2.95"/>
    <s v="USD"/>
    <n v="2.95"/>
    <n v="3.3522727272727273E-2"/>
    <s v=""/>
    <s v=""/>
    <x v="0"/>
    <s v=""/>
    <s v=""/>
    <m/>
  </r>
  <r>
    <s v="Djibouti"/>
    <x v="5"/>
    <s v="P069930"/>
    <s v="C1"/>
    <s v=""/>
    <s v="P069930C2"/>
    <x v="2"/>
    <s v="2003 / 2008"/>
    <x v="5"/>
    <n v="1"/>
    <n v="1.0232558139534884"/>
    <n v="1.4750000000000001"/>
    <m/>
    <n v="1.4750000000000001"/>
    <n v="1.4414772727272729"/>
    <s v=""/>
    <s v=""/>
    <x v="0"/>
    <s v=""/>
    <s v=""/>
    <s v=""/>
  </r>
  <r>
    <s v="Estonia"/>
    <x v="1"/>
    <s v="P035775"/>
    <s v="C1"/>
    <s v=""/>
    <s v="P035775C1"/>
    <x v="0"/>
    <n v="2000"/>
    <x v="2"/>
    <s v=""/>
    <n v="176"/>
    <n v="43.3"/>
    <s v="USD"/>
    <n v="43.3"/>
    <n v="0.24602272727272725"/>
    <s v=""/>
    <s v=""/>
    <x v="0"/>
    <s v=""/>
    <s v=""/>
    <m/>
  </r>
  <r>
    <s v="Estonia"/>
    <x v="1"/>
    <s v="P035775"/>
    <s v="C1"/>
    <s v=""/>
    <s v="P035775C1"/>
    <x v="1"/>
    <n v="2005"/>
    <x v="2"/>
    <s v=""/>
    <n v="240"/>
    <n v="49.29"/>
    <s v="USD"/>
    <n v="49.29"/>
    <n v="0.205375"/>
    <s v=""/>
    <s v=""/>
    <x v="0"/>
    <s v=""/>
    <s v=""/>
    <m/>
  </r>
  <r>
    <s v="Estonia"/>
    <x v="1"/>
    <s v="P035775"/>
    <s v="C1"/>
    <s v=""/>
    <s v="P035775C1"/>
    <x v="2"/>
    <s v="2003 / 2008"/>
    <x v="2"/>
    <s v=""/>
    <n v="1.3636363636363635"/>
    <n v="1.1383371824480371"/>
    <m/>
    <n v="1.1383371824480371"/>
    <n v="0.83478060046189384"/>
    <s v=""/>
    <s v=""/>
    <x v="0"/>
    <s v=""/>
    <s v=""/>
    <s v=""/>
  </r>
  <r>
    <s v="Ethiopia"/>
    <x v="2"/>
    <s v="P044613"/>
    <s v="C1"/>
    <s v="S1"/>
    <s v="P044613C1S1"/>
    <x v="0"/>
    <n v="2003"/>
    <x v="1"/>
    <n v="36"/>
    <n v="127"/>
    <n v="35.020000000000003"/>
    <s v="USD"/>
    <n v="35.020000000000003"/>
    <n v="0.27574803149606303"/>
    <s v=""/>
    <s v=""/>
    <x v="0"/>
    <s v=""/>
    <s v=""/>
    <m/>
  </r>
  <r>
    <s v="Ethiopia"/>
    <x v="2"/>
    <s v="P044613"/>
    <s v="C1"/>
    <s v="S1"/>
    <s v="P044613C1S1"/>
    <x v="1"/>
    <n v="2010"/>
    <x v="1"/>
    <n v="51"/>
    <n v="127"/>
    <n v="49.72"/>
    <s v="USD"/>
    <n v="49.72"/>
    <n v="0.39149606299212597"/>
    <s v=""/>
    <s v=""/>
    <x v="0"/>
    <s v=""/>
    <s v=""/>
    <m/>
  </r>
  <r>
    <s v="Ethiopia"/>
    <x v="2"/>
    <s v="P044613"/>
    <s v="C1"/>
    <s v=""/>
    <s v="P044613C1S1"/>
    <x v="2"/>
    <s v="2003 / 2008"/>
    <x v="1"/>
    <n v="1.4166666666666667"/>
    <n v="1"/>
    <n v="1.4197601370645343"/>
    <m/>
    <n v="1.4197601370645343"/>
    <n v="1.4197601370645343"/>
    <s v=""/>
    <s v=""/>
    <x v="0"/>
    <s v=""/>
    <s v=""/>
    <s v=""/>
  </r>
  <r>
    <s v="Ethiopia"/>
    <x v="2"/>
    <s v="P044613"/>
    <s v="C1"/>
    <s v="S2"/>
    <s v="P044613C1S2"/>
    <x v="0"/>
    <n v="2003"/>
    <x v="5"/>
    <n v="36"/>
    <n v="79"/>
    <n v="19.350000000000001"/>
    <s v="USD"/>
    <n v="19.350000000000001"/>
    <n v="0.24493670886075952"/>
    <s v=""/>
    <s v=""/>
    <x v="0"/>
    <s v="x"/>
    <s v="x"/>
    <m/>
  </r>
  <r>
    <s v="Ethiopia"/>
    <x v="2"/>
    <s v="P044613"/>
    <s v="C1"/>
    <s v="S2"/>
    <s v="P044613C1S2"/>
    <x v="1"/>
    <n v="2010"/>
    <x v="5"/>
    <n v="41"/>
    <n v="79"/>
    <n v="29.13"/>
    <s v="USD"/>
    <n v="29.13"/>
    <n v="0.36873417721518986"/>
    <s v=""/>
    <s v=""/>
    <x v="0"/>
    <s v="x"/>
    <s v="x"/>
    <m/>
  </r>
  <r>
    <s v="Ethiopia"/>
    <x v="2"/>
    <s v="P044613"/>
    <s v="C1"/>
    <s v=""/>
    <s v="P044613C1S2"/>
    <x v="2"/>
    <s v="2003 / 2008"/>
    <x v="5"/>
    <n v="1.1388888888888888"/>
    <n v="1"/>
    <n v="1.505426356589147"/>
    <m/>
    <n v="1.505426356589147"/>
    <n v="1.505426356589147"/>
    <s v=""/>
    <s v=""/>
    <x v="0"/>
    <s v="x"/>
    <s v="x"/>
    <s v="Macroeconomic conditions ; ; "/>
  </r>
  <r>
    <s v="Ethiopia"/>
    <x v="2"/>
    <s v="P044613"/>
    <s v="C1"/>
    <s v="S3"/>
    <s v="P044613C1S3"/>
    <x v="0"/>
    <n v="2003"/>
    <x v="1"/>
    <n v="36"/>
    <n v="98.9"/>
    <n v="24.11"/>
    <s v="USD"/>
    <n v="24.11"/>
    <n v="0.24378159757330636"/>
    <s v=""/>
    <s v=""/>
    <x v="0"/>
    <s v=""/>
    <s v=""/>
    <m/>
  </r>
  <r>
    <s v="Ethiopia"/>
    <x v="2"/>
    <s v="P044613"/>
    <s v="C1"/>
    <s v="S3"/>
    <s v="P044613C1S3"/>
    <x v="1"/>
    <n v="2010"/>
    <x v="1"/>
    <n v="42"/>
    <n v="98.9"/>
    <n v="33.33"/>
    <s v="USD"/>
    <n v="33.33"/>
    <n v="0.33700707785642059"/>
    <s v=""/>
    <s v=""/>
    <x v="0"/>
    <s v=""/>
    <s v=""/>
    <m/>
  </r>
  <r>
    <s v="Ethiopia"/>
    <x v="2"/>
    <s v="P044613"/>
    <s v="C1"/>
    <s v=""/>
    <s v="P044613C1S3"/>
    <x v="2"/>
    <s v="2003 / 2008"/>
    <x v="1"/>
    <n v="1.1666666666666667"/>
    <n v="1"/>
    <n v="1.3824139361260888"/>
    <m/>
    <n v="1.3824139361260888"/>
    <n v="1.3824139361260885"/>
    <s v=""/>
    <s v=""/>
    <x v="0"/>
    <s v=""/>
    <s v=""/>
    <s v=""/>
  </r>
  <r>
    <s v="Ethiopia"/>
    <x v="2"/>
    <s v="P044613"/>
    <s v="C1"/>
    <s v="S4"/>
    <s v="P044613C1S4"/>
    <x v="0"/>
    <n v="2003"/>
    <x v="1"/>
    <n v="36"/>
    <n v="108"/>
    <n v="24.74"/>
    <s v="USD"/>
    <n v="24.74"/>
    <n v="0.22907407407407407"/>
    <s v=""/>
    <s v=""/>
    <x v="0"/>
    <s v="x"/>
    <s v="x"/>
    <m/>
  </r>
  <r>
    <s v="Ethiopia"/>
    <x v="2"/>
    <s v="P044613"/>
    <s v="C1"/>
    <s v="S4"/>
    <s v="P044613C1S4"/>
    <x v="1"/>
    <n v="2010"/>
    <x v="1"/>
    <n v="56"/>
    <n v="108"/>
    <n v="43.75"/>
    <s v="USD"/>
    <n v="43.75"/>
    <n v="0.40509259259259262"/>
    <s v=""/>
    <s v=""/>
    <x v="0"/>
    <s v="x"/>
    <s v="x"/>
    <m/>
  </r>
  <r>
    <s v="Ethiopia"/>
    <x v="2"/>
    <s v="P044613"/>
    <s v="C1"/>
    <s v=""/>
    <s v="P044613C1S4"/>
    <x v="2"/>
    <s v="2003 / 2008"/>
    <x v="1"/>
    <n v="1.5555555555555556"/>
    <n v="1"/>
    <n v="1.7683912691996768"/>
    <m/>
    <n v="1.7683912691996768"/>
    <n v="1.7683912691996768"/>
    <s v=""/>
    <s v=""/>
    <x v="0"/>
    <s v="x"/>
    <s v="x"/>
    <s v="Macroeconomic conditions ; ; "/>
  </r>
  <r>
    <s v="Ethiopia"/>
    <x v="2"/>
    <s v="P044613"/>
    <s v="C2"/>
    <s v=""/>
    <s v="P044613C2"/>
    <x v="0"/>
    <n v="2003"/>
    <x v="13"/>
    <n v="36"/>
    <n v="119.4"/>
    <n v="28.66"/>
    <s v="USD"/>
    <n v="28.66"/>
    <n v="0.24003350083752092"/>
    <s v=""/>
    <s v=""/>
    <x v="0"/>
    <s v=""/>
    <s v=""/>
    <m/>
  </r>
  <r>
    <s v="Ethiopia"/>
    <x v="2"/>
    <s v="P044613"/>
    <s v="C2"/>
    <s v=""/>
    <s v="P044613C2"/>
    <x v="1"/>
    <n v="2010"/>
    <x v="13"/>
    <n v="42"/>
    <n v="99"/>
    <n v="19.43"/>
    <s v="USD"/>
    <n v="19.43"/>
    <n v="0.19626262626262625"/>
    <s v=""/>
    <s v=""/>
    <x v="0"/>
    <s v=""/>
    <s v=""/>
    <m/>
  </r>
  <r>
    <s v="Ethiopia"/>
    <x v="2"/>
    <s v="P044613"/>
    <s v="C1"/>
    <s v=""/>
    <s v="P044613C2"/>
    <x v="2"/>
    <s v="2003 / 2008"/>
    <x v="13"/>
    <n v="1.1666666666666667"/>
    <n v="0.82914572864321601"/>
    <n v="0.67794836008374038"/>
    <m/>
    <n v="0.67794836008374038"/>
    <n v="0.81764681004038997"/>
    <s v=""/>
    <s v=""/>
    <x v="0"/>
    <s v=""/>
    <s v=""/>
    <s v=""/>
  </r>
  <r>
    <s v="Ethiopia"/>
    <x v="2"/>
    <s v="P082998"/>
    <s v="C1"/>
    <s v="S1"/>
    <s v="P082998C1S1"/>
    <x v="0"/>
    <n v="2004"/>
    <x v="1"/>
    <n v="49"/>
    <n v="316"/>
    <n v="62.04"/>
    <s v="USD"/>
    <n v="62.04"/>
    <n v="0.19632911392405064"/>
    <s v=""/>
    <s v=""/>
    <x v="0"/>
    <s v="x"/>
    <s v="x"/>
    <m/>
  </r>
  <r>
    <s v="Ethiopia"/>
    <x v="2"/>
    <s v="P082998"/>
    <s v="C1"/>
    <s v="S1"/>
    <s v="P082998C1S1"/>
    <x v="1"/>
    <n v="2012"/>
    <x v="1"/>
    <s v=""/>
    <n v="246"/>
    <n v="196.53"/>
    <s v="USD"/>
    <n v="196.53"/>
    <n v="0.79890243902439029"/>
    <s v=""/>
    <s v=""/>
    <x v="0"/>
    <s v="x"/>
    <s v="x"/>
    <m/>
  </r>
  <r>
    <s v="Ethiopia"/>
    <x v="2"/>
    <s v="P082998"/>
    <s v="C1"/>
    <s v=""/>
    <s v="P082998C1S1"/>
    <x v="2"/>
    <s v="2003 / 2008"/>
    <x v="1"/>
    <s v=""/>
    <n v="0.77848101265822789"/>
    <n v="3.1677949709864603"/>
    <m/>
    <n v="3.1677949709864603"/>
    <n v="4.0692000440313878"/>
    <s v=""/>
    <s v=""/>
    <x v="0"/>
    <s v="x"/>
    <s v="x"/>
    <s v="Quality of estimates; Change of project scope; "/>
  </r>
  <r>
    <s v="Ethiopia"/>
    <x v="2"/>
    <s v="P082998"/>
    <s v="C1"/>
    <s v="S2"/>
    <s v="P082998C1S2"/>
    <x v="0"/>
    <n v="2004"/>
    <x v="1"/>
    <n v="48"/>
    <n v="86"/>
    <n v="20"/>
    <s v="USD"/>
    <n v="20"/>
    <n v="0.23255813953488372"/>
    <s v=""/>
    <s v=""/>
    <x v="0"/>
    <s v="x"/>
    <s v="x"/>
    <m/>
  </r>
  <r>
    <s v="Ethiopia"/>
    <x v="2"/>
    <s v="P082998"/>
    <s v="C1"/>
    <s v="S2"/>
    <s v="P082998C1S2"/>
    <x v="1"/>
    <n v="2012"/>
    <x v="1"/>
    <s v=""/>
    <n v="86"/>
    <n v="48.69"/>
    <s v="USD"/>
    <n v="48.69"/>
    <n v="0.56616279069767439"/>
    <s v=""/>
    <s v=""/>
    <x v="0"/>
    <s v="x"/>
    <s v="x"/>
    <m/>
  </r>
  <r>
    <s v="Ethiopia"/>
    <x v="2"/>
    <s v="P082998"/>
    <s v="C1"/>
    <s v=""/>
    <s v="P082998C1S2"/>
    <x v="2"/>
    <s v="2003 / 2008"/>
    <x v="1"/>
    <s v=""/>
    <n v="1"/>
    <n v="2.4344999999999999"/>
    <m/>
    <n v="2.4344999999999999"/>
    <n v="2.4344999999999999"/>
    <s v=""/>
    <s v=""/>
    <x v="0"/>
    <s v="x"/>
    <s v="x"/>
    <s v="Quality of estimates; Change of project scope; "/>
  </r>
  <r>
    <s v="Ethiopia"/>
    <x v="2"/>
    <s v="P082998"/>
    <s v="C1"/>
    <s v="S3"/>
    <s v="P082998C1S3"/>
    <x v="0"/>
    <n v="2004"/>
    <x v="1"/>
    <n v="48"/>
    <n v="108"/>
    <n v="25.02"/>
    <s v="USD"/>
    <n v="25.02"/>
    <n v="0.23166666666666666"/>
    <s v=""/>
    <s v=""/>
    <x v="0"/>
    <s v="x"/>
    <s v="x"/>
    <m/>
  </r>
  <r>
    <s v="Ethiopia"/>
    <x v="2"/>
    <s v="P082998"/>
    <s v="C1"/>
    <s v="S3"/>
    <s v="P082998C1S3"/>
    <x v="1"/>
    <n v="2012"/>
    <x v="1"/>
    <s v=""/>
    <n v="108"/>
    <n v="79.180000000000007"/>
    <s v="USD"/>
    <n v="79.180000000000007"/>
    <n v="0.73314814814814822"/>
    <s v=""/>
    <s v=""/>
    <x v="0"/>
    <s v="x"/>
    <s v="x"/>
    <m/>
  </r>
  <r>
    <s v="Ethiopia"/>
    <x v="2"/>
    <s v="P082998"/>
    <s v="C1"/>
    <s v=""/>
    <s v="P082998C1S3"/>
    <x v="2"/>
    <s v="2003 / 2008"/>
    <x v="1"/>
    <s v=""/>
    <n v="1"/>
    <n v="3.1646682653876903"/>
    <m/>
    <n v="3.1646682653876903"/>
    <n v="3.1646682653876903"/>
    <s v=""/>
    <s v=""/>
    <x v="0"/>
    <s v="x"/>
    <s v="x"/>
    <s v="Quality of estimates; Change of project scope; "/>
  </r>
  <r>
    <s v="Ethiopia"/>
    <x v="2"/>
    <s v="P082998"/>
    <s v="C1"/>
    <s v="S4"/>
    <s v="P082998C1S4"/>
    <x v="0"/>
    <n v="2004"/>
    <x v="1"/>
    <n v="32"/>
    <n v="83"/>
    <n v="25.46"/>
    <s v="USD"/>
    <n v="25.46"/>
    <n v="0.30674698795180722"/>
    <s v=""/>
    <s v=""/>
    <x v="0"/>
    <s v="x"/>
    <s v="x"/>
    <m/>
  </r>
  <r>
    <s v="Ethiopia"/>
    <x v="2"/>
    <s v="P082998"/>
    <s v="C1"/>
    <s v="S4"/>
    <s v="P082998C1S4"/>
    <x v="1"/>
    <n v="2007"/>
    <x v="1"/>
    <n v="56"/>
    <n v="83"/>
    <n v="108.85"/>
    <s v="USD"/>
    <n v="108.85"/>
    <n v="1.3114457831325301"/>
    <s v=""/>
    <s v=""/>
    <x v="0"/>
    <s v="x"/>
    <s v="x"/>
    <m/>
  </r>
  <r>
    <s v="Ethiopia"/>
    <x v="2"/>
    <s v="P082998"/>
    <s v="C1"/>
    <s v=""/>
    <s v="P082998C1S4"/>
    <x v="2"/>
    <s v="2003 / 2008"/>
    <x v="1"/>
    <n v="1.75"/>
    <n v="1"/>
    <n v="4.2753338570306356"/>
    <m/>
    <n v="4.2753338570306356"/>
    <n v="4.2753338570306365"/>
    <s v=""/>
    <s v=""/>
    <x v="0"/>
    <s v="x"/>
    <s v="x"/>
    <s v="Quality of estimates; Change of project scope; "/>
  </r>
  <r>
    <s v="Ethiopia"/>
    <x v="2"/>
    <s v="P082998"/>
    <s v="C2"/>
    <s v="S1"/>
    <s v="P082998C2S1"/>
    <x v="0"/>
    <n v="2004"/>
    <x v="7"/>
    <n v="47"/>
    <n v="119"/>
    <n v="29.16"/>
    <s v="USD"/>
    <n v="29.16"/>
    <n v="0.24504201680672269"/>
    <s v=""/>
    <s v=""/>
    <x v="0"/>
    <s v="x"/>
    <s v="x"/>
    <m/>
  </r>
  <r>
    <s v="Ethiopia"/>
    <x v="2"/>
    <s v="P082998"/>
    <s v="C2"/>
    <s v="S1"/>
    <s v="P082998C2S1"/>
    <x v="1"/>
    <n v="2012"/>
    <x v="7"/>
    <s v=""/>
    <n v="119"/>
    <n v="77.48"/>
    <s v="USD"/>
    <n v="77.48"/>
    <n v="0.65109243697478991"/>
    <s v=""/>
    <s v=""/>
    <x v="0"/>
    <s v="x"/>
    <s v="x"/>
    <m/>
  </r>
  <r>
    <s v="Ethiopia"/>
    <x v="2"/>
    <s v="P082998"/>
    <s v="C1"/>
    <s v=""/>
    <s v="P082998C2S1"/>
    <x v="2"/>
    <s v="2003 / 2008"/>
    <x v="7"/>
    <s v=""/>
    <n v="1"/>
    <n v="2.6570644718792868"/>
    <m/>
    <n v="2.6570644718792868"/>
    <n v="2.6570644718792868"/>
    <s v=""/>
    <s v=""/>
    <x v="0"/>
    <s v="x"/>
    <s v="x"/>
    <s v="Quality of estimates; Change of project scope; "/>
  </r>
  <r>
    <s v="Ethiopia"/>
    <x v="2"/>
    <s v="P082998"/>
    <s v="C2"/>
    <s v="S2"/>
    <s v="P082998C2S2"/>
    <x v="0"/>
    <n v="2004"/>
    <x v="7"/>
    <n v="52"/>
    <n v="137"/>
    <n v="17.87"/>
    <s v="USD"/>
    <n v="17.87"/>
    <n v="0.13043795620437956"/>
    <s v=""/>
    <s v=""/>
    <x v="0"/>
    <s v="x"/>
    <s v="x"/>
    <m/>
  </r>
  <r>
    <s v="Ethiopia"/>
    <x v="2"/>
    <s v="P082998"/>
    <s v="C2"/>
    <s v="S2"/>
    <s v="P082998C2S2"/>
    <x v="1"/>
    <n v="2012"/>
    <x v="7"/>
    <s v=""/>
    <n v="137"/>
    <n v="70.599999999999994"/>
    <s v="USD"/>
    <n v="70.599999999999994"/>
    <n v="0.51532846715328462"/>
    <s v=""/>
    <s v=""/>
    <x v="0"/>
    <s v="x"/>
    <s v="x"/>
    <m/>
  </r>
  <r>
    <s v="Ethiopia"/>
    <x v="2"/>
    <s v="P082998"/>
    <s v="C1"/>
    <s v=""/>
    <s v="P082998C2S2"/>
    <x v="2"/>
    <s v="2003 / 2008"/>
    <x v="7"/>
    <s v=""/>
    <n v="1"/>
    <n v="3.950755456071628"/>
    <m/>
    <n v="3.950755456071628"/>
    <n v="3.950755456071628"/>
    <s v=""/>
    <s v=""/>
    <x v="0"/>
    <s v="x"/>
    <s v="x"/>
    <s v="Quality of estimates; Change of project scope; "/>
  </r>
  <r>
    <s v="Ethiopia"/>
    <x v="2"/>
    <s v="P091077"/>
    <s v="C1"/>
    <s v=""/>
    <s v="P091077C1"/>
    <x v="0"/>
    <n v="2007"/>
    <x v="1"/>
    <s v=""/>
    <n v="509"/>
    <n v="268.45999999999998"/>
    <s v="USD"/>
    <n v="268.45999999999998"/>
    <n v="0.527426326129666"/>
    <s v=""/>
    <s v=""/>
    <x v="0"/>
    <s v="x"/>
    <s v="x"/>
    <m/>
  </r>
  <r>
    <s v="Ethiopia"/>
    <x v="2"/>
    <s v="P091077"/>
    <s v="C1"/>
    <s v=""/>
    <s v="P091077C1"/>
    <x v="1"/>
    <n v="2015"/>
    <x v="1"/>
    <s v=""/>
    <n v="499.63"/>
    <n v="402.34"/>
    <s v="USD"/>
    <n v="402.34"/>
    <n v="0.80527590416908512"/>
    <s v=""/>
    <s v=""/>
    <x v="0"/>
    <s v="x"/>
    <s v="x"/>
    <m/>
  </r>
  <r>
    <s v="Ethiopia"/>
    <x v="2"/>
    <s v="P091077"/>
    <s v="C1"/>
    <s v=""/>
    <s v="P091077C1"/>
    <x v="2"/>
    <s v="2003 / 2008"/>
    <x v="1"/>
    <s v=""/>
    <n v="0.98159135559921418"/>
    <n v="1.4986962676003874"/>
    <m/>
    <n v="1.4986962676003874"/>
    <n v="1.5268026343666257"/>
    <s v=""/>
    <s v=""/>
    <x v="0"/>
    <s v="x"/>
    <s v="x"/>
    <s v="Capacity of contractor; Procurement system; Competition"/>
  </r>
  <r>
    <s v="Ethiopia"/>
    <x v="2"/>
    <s v="P091077"/>
    <s v="C1"/>
    <s v="S1"/>
    <s v="P091077C1S1"/>
    <x v="0"/>
    <n v="2007"/>
    <x v="1"/>
    <n v="36.5"/>
    <n v="99"/>
    <n v="51.75"/>
    <s v="USD"/>
    <n v="51.75"/>
    <n v="0.52272727272727271"/>
    <s v=""/>
    <s v=""/>
    <x v="0"/>
    <s v="x"/>
    <s v="x"/>
    <m/>
  </r>
  <r>
    <s v="Ethiopia"/>
    <x v="2"/>
    <s v="P091077"/>
    <s v="C1"/>
    <s v="S1"/>
    <s v="P091077C1S1"/>
    <x v="1"/>
    <n v="2015"/>
    <x v="1"/>
    <n v="62.93333333333333"/>
    <n v="99"/>
    <n v="83.58"/>
    <s v="USD"/>
    <n v="83.58"/>
    <n v="0.84424242424242424"/>
    <s v=""/>
    <s v=""/>
    <x v="0"/>
    <s v="x"/>
    <s v="x"/>
    <m/>
  </r>
  <r>
    <s v="Ethiopia"/>
    <x v="2"/>
    <s v="P091077"/>
    <s v="C1"/>
    <s v=""/>
    <s v="P091077C1S1"/>
    <x v="2"/>
    <s v="2003 / 2008"/>
    <x v="1"/>
    <n v="1.7242009132420091"/>
    <n v="1"/>
    <n v="1.615072463768116"/>
    <m/>
    <n v="1.615072463768116"/>
    <n v="1.615072463768116"/>
    <s v=""/>
    <s v=""/>
    <x v="0"/>
    <s v="x"/>
    <s v="x"/>
    <s v="Capacity of contractor; Procurement system; Competition"/>
  </r>
  <r>
    <s v="Ethiopia"/>
    <x v="2"/>
    <s v="P091077"/>
    <s v="C1"/>
    <s v="S2"/>
    <s v="P091077C1S2"/>
    <x v="0"/>
    <n v="2007"/>
    <x v="2"/>
    <n v="30.433333333333334"/>
    <n v="66"/>
    <n v="37.630000000000003"/>
    <s v="USD"/>
    <n v="37.630000000000003"/>
    <n v="0.57015151515151519"/>
    <s v=""/>
    <s v=""/>
    <x v="0"/>
    <s v=""/>
    <s v=""/>
    <m/>
  </r>
  <r>
    <s v="Ethiopia"/>
    <x v="2"/>
    <s v="P091077"/>
    <s v="C1"/>
    <s v="S2"/>
    <s v="P091077C1S2"/>
    <x v="1"/>
    <n v="2015"/>
    <x v="2"/>
    <n v="61.866666666666667"/>
    <n v="66"/>
    <n v="55.81"/>
    <s v="USD"/>
    <n v="55.81"/>
    <n v="0.84560606060606069"/>
    <s v=""/>
    <s v=""/>
    <x v="0"/>
    <s v=""/>
    <s v=""/>
    <m/>
  </r>
  <r>
    <s v="Ethiopia"/>
    <x v="2"/>
    <s v="P091077"/>
    <s v="C1"/>
    <s v=""/>
    <s v="P091077C1S2"/>
    <x v="2"/>
    <s v="2003 / 2008"/>
    <x v="2"/>
    <n v="2.0328587075575029"/>
    <n v="1"/>
    <n v="1.4831251660908848"/>
    <m/>
    <n v="1.4831251660908848"/>
    <n v="1.4831251660908851"/>
    <s v=""/>
    <s v=""/>
    <x v="0"/>
    <s v=""/>
    <s v=""/>
    <s v=""/>
  </r>
  <r>
    <s v="Ethiopia"/>
    <x v="2"/>
    <s v="P091077"/>
    <s v="C1"/>
    <s v="S3"/>
    <s v="P091077C1S3"/>
    <x v="0"/>
    <n v="2007"/>
    <x v="2"/>
    <n v="30.5"/>
    <n v="65"/>
    <n v="39.4"/>
    <s v="USD"/>
    <n v="39.4"/>
    <n v="0.60615384615384615"/>
    <s v=""/>
    <s v=""/>
    <x v="0"/>
    <s v=""/>
    <s v=""/>
    <m/>
  </r>
  <r>
    <s v="Ethiopia"/>
    <x v="2"/>
    <s v="P091077"/>
    <s v="C1"/>
    <s v="S3"/>
    <s v="P091077C1S3"/>
    <x v="1"/>
    <n v="2015"/>
    <x v="2"/>
    <n v="36.133333333333333"/>
    <n v="65"/>
    <n v="48.6"/>
    <s v="USD"/>
    <n v="48.6"/>
    <n v="0.74769230769230777"/>
    <s v=""/>
    <s v=""/>
    <x v="0"/>
    <s v=""/>
    <s v=""/>
    <m/>
  </r>
  <r>
    <s v="Ethiopia"/>
    <x v="2"/>
    <s v="P091077"/>
    <s v="C1"/>
    <s v=""/>
    <s v="P091077C1S3"/>
    <x v="2"/>
    <s v="2003 / 2008"/>
    <x v="2"/>
    <n v="1.1846994535519126"/>
    <n v="1"/>
    <n v="1.233502538071066"/>
    <m/>
    <n v="1.233502538071066"/>
    <n v="1.233502538071066"/>
    <s v=""/>
    <s v=""/>
    <x v="0"/>
    <s v=""/>
    <s v=""/>
    <s v=""/>
  </r>
  <r>
    <s v="Ethiopia"/>
    <x v="2"/>
    <s v="P091077"/>
    <s v="C1"/>
    <s v="S4"/>
    <s v="P091077C1S4"/>
    <x v="0"/>
    <n v="2007"/>
    <x v="1"/>
    <n v="36.5"/>
    <n v="94.1"/>
    <n v="47.86"/>
    <s v="USD"/>
    <n v="47.86"/>
    <n v="0.5086078639744952"/>
    <s v=""/>
    <s v=""/>
    <x v="0"/>
    <s v="x"/>
    <s v="x"/>
    <m/>
  </r>
  <r>
    <s v="Ethiopia"/>
    <x v="2"/>
    <s v="P091077"/>
    <s v="C1"/>
    <s v="S4"/>
    <s v="P091077C1S4"/>
    <x v="1"/>
    <n v="2015"/>
    <x v="1"/>
    <n v="33.633333333333333"/>
    <n v="94.1"/>
    <n v="80.599999999999994"/>
    <s v="USD"/>
    <n v="80.599999999999994"/>
    <n v="0.8565356004250797"/>
    <s v=""/>
    <s v=""/>
    <x v="0"/>
    <s v="x"/>
    <s v="x"/>
    <m/>
  </r>
  <r>
    <s v="Ethiopia"/>
    <x v="2"/>
    <s v="P091077"/>
    <s v="C1"/>
    <s v=""/>
    <s v="P091077C1S4"/>
    <x v="2"/>
    <s v="2003 / 2008"/>
    <x v="1"/>
    <n v="0.9214611872146119"/>
    <n v="1"/>
    <n v="1.6840785624738821"/>
    <m/>
    <n v="1.6840785624738821"/>
    <n v="1.6840785624738823"/>
    <s v=""/>
    <s v=""/>
    <x v="0"/>
    <s v="x"/>
    <s v="x"/>
    <s v="Capacity of contractor; Procurement system; Competition"/>
  </r>
  <r>
    <s v="Ethiopia"/>
    <x v="2"/>
    <s v="P091077"/>
    <s v="C1"/>
    <s v="S5"/>
    <s v="P091077C1S5"/>
    <x v="0"/>
    <n v="2007"/>
    <x v="1"/>
    <n v="36.5"/>
    <n v="109"/>
    <n v="58.54"/>
    <s v="USD"/>
    <n v="58.54"/>
    <n v="0.53706422018348621"/>
    <s v=""/>
    <s v=""/>
    <x v="0"/>
    <s v="x"/>
    <s v="x"/>
    <m/>
  </r>
  <r>
    <s v="Ethiopia"/>
    <x v="2"/>
    <s v="P091077"/>
    <s v="C1"/>
    <s v="S5"/>
    <s v="P091077C1S5"/>
    <x v="1"/>
    <n v="2015"/>
    <x v="1"/>
    <n v="56.666666666666664"/>
    <n v="109"/>
    <n v="88.85"/>
    <s v="USD"/>
    <n v="88.85"/>
    <n v="0.815137614678899"/>
    <s v=""/>
    <s v=""/>
    <x v="0"/>
    <s v="x"/>
    <s v="x"/>
    <m/>
  </r>
  <r>
    <s v="Ethiopia"/>
    <x v="2"/>
    <s v="P091077"/>
    <s v="C1"/>
    <s v="S5"/>
    <s v="P091077C1S5"/>
    <x v="2"/>
    <s v="2007 / 2015"/>
    <x v="1"/>
    <n v="1.5525114155251141"/>
    <n v="1"/>
    <m/>
    <m/>
    <n v="1.5177656303382301"/>
    <n v="1.5177656303382303"/>
    <s v=""/>
    <s v=""/>
    <x v="0"/>
    <s v="x"/>
    <s v="x"/>
    <s v="Capacity of contractor; Procurement system; Competition"/>
  </r>
  <r>
    <s v="Ethiopia"/>
    <x v="2"/>
    <s v="P091077"/>
    <s v="C1"/>
    <s v="S6"/>
    <s v="P091077C1S6"/>
    <x v="0"/>
    <n v="2007"/>
    <x v="1"/>
    <n v="30.333333333333332"/>
    <n v="65.260000000000005"/>
    <n v="33.380000000000003"/>
    <s v="USD"/>
    <n v="33.380000000000003"/>
    <n v="0.5114924915721728"/>
    <s v=""/>
    <s v=""/>
    <x v="0"/>
    <s v=""/>
    <s v=""/>
    <m/>
  </r>
  <r>
    <s v="Ethiopia"/>
    <x v="2"/>
    <s v="P091077"/>
    <s v="C1"/>
    <s v="S6"/>
    <s v="P091077C1S6"/>
    <x v="1"/>
    <n v="2015"/>
    <x v="1"/>
    <n v="50.666666666666664"/>
    <n v="65.260000000000005"/>
    <n v="33.06"/>
    <s v="USD"/>
    <n v="33.06"/>
    <n v="0.5065890285013791"/>
    <s v=""/>
    <s v=""/>
    <x v="0"/>
    <s v=""/>
    <s v=""/>
    <m/>
  </r>
  <r>
    <s v="Ethiopia"/>
    <x v="2"/>
    <s v="P091077"/>
    <s v="C1"/>
    <s v=""/>
    <s v="P091077C1S6"/>
    <x v="2"/>
    <s v="2003 / 2008"/>
    <x v="1"/>
    <n v="1.6703296703296704"/>
    <n v="1"/>
    <n v="0.99041342121030551"/>
    <m/>
    <n v="0.99041342121030551"/>
    <n v="0.99041342121030562"/>
    <s v=""/>
    <s v=""/>
    <x v="0"/>
    <s v=""/>
    <s v=""/>
    <s v=""/>
  </r>
  <r>
    <s v="Georgia"/>
    <x v="1"/>
    <s v="P040556"/>
    <s v="C1"/>
    <s v=""/>
    <s v="P040556C1"/>
    <x v="0"/>
    <n v="2000"/>
    <x v="0"/>
    <s v=""/>
    <n v="162"/>
    <n v="28.16"/>
    <s v="USD"/>
    <n v="28.16"/>
    <n v="0.17382716049382715"/>
    <s v=""/>
    <s v=""/>
    <x v="0"/>
    <s v=""/>
    <s v=""/>
    <m/>
  </r>
  <r>
    <s v="Georgia"/>
    <x v="1"/>
    <s v="P040556"/>
    <s v="C1"/>
    <s v=""/>
    <s v="P040556C1"/>
    <x v="1"/>
    <n v="2006"/>
    <x v="0"/>
    <s v=""/>
    <n v="167"/>
    <n v="28.48"/>
    <s v="USD"/>
    <n v="28.48"/>
    <n v="0.17053892215568864"/>
    <s v=""/>
    <s v=""/>
    <x v="0"/>
    <s v=""/>
    <s v=""/>
    <m/>
  </r>
  <r>
    <s v="Georgia"/>
    <x v="1"/>
    <s v="P040556"/>
    <s v="C1"/>
    <s v=""/>
    <s v="P040556C1"/>
    <x v="2"/>
    <s v="2003 / 2008"/>
    <x v="0"/>
    <s v=""/>
    <n v="1.0308641975308641"/>
    <n v="1.0113636363636365"/>
    <m/>
    <n v="1.0113636363636365"/>
    <n v="0.98108328796951561"/>
    <s v=""/>
    <s v=""/>
    <x v="0"/>
    <s v=""/>
    <s v=""/>
    <s v=""/>
  </r>
  <r>
    <s v="Georgia"/>
    <x v="1"/>
    <s v="P083110"/>
    <s v="C1"/>
    <s v=""/>
    <s v="P083110C1"/>
    <x v="0"/>
    <n v="2006"/>
    <x v="11"/>
    <s v=""/>
    <n v="12.2"/>
    <n v="25.397058823529409"/>
    <s v="USD"/>
    <n v="25.397058823529409"/>
    <n v="2.0817261330761814"/>
    <s v=""/>
    <s v=""/>
    <x v="0"/>
    <s v=""/>
    <s v=""/>
    <m/>
  </r>
  <r>
    <s v="Georgia"/>
    <x v="1"/>
    <s v="P083110"/>
    <s v="C1"/>
    <s v=""/>
    <s v="P083110C1"/>
    <x v="1"/>
    <n v="2013"/>
    <x v="11"/>
    <s v=""/>
    <n v="13"/>
    <n v="29.15"/>
    <s v="USD"/>
    <n v="29.15"/>
    <n v="2.2423076923076923"/>
    <s v=""/>
    <s v=""/>
    <x v="0"/>
    <s v=""/>
    <s v=""/>
    <m/>
  </r>
  <r>
    <s v="Georgia"/>
    <x v="1"/>
    <s v="P083110"/>
    <s v="C1"/>
    <s v=""/>
    <s v="P083110C1"/>
    <x v="2"/>
    <s v="2003 / 2008"/>
    <x v="11"/>
    <s v=""/>
    <n v="1.0655737704918034"/>
    <n v="1.1477707006369426"/>
    <m/>
    <n v="1.1477707006369426"/>
    <n v="1.0771386575208231"/>
    <s v=""/>
    <s v=""/>
    <x v="0"/>
    <s v=""/>
    <s v=""/>
    <s v=""/>
  </r>
  <r>
    <s v="Georgia"/>
    <x v="1"/>
    <s v="P086277"/>
    <s v="C1"/>
    <s v=""/>
    <s v="P086277C1"/>
    <x v="0"/>
    <n v="2004"/>
    <x v="0"/>
    <n v="64"/>
    <n v="500"/>
    <n v="20.54"/>
    <s v="USD"/>
    <n v="20.54"/>
    <n v="4.1079999999999998E-2"/>
    <s v=""/>
    <s v="x"/>
    <x v="0"/>
    <s v="x"/>
    <s v="x"/>
    <m/>
  </r>
  <r>
    <s v="Georgia"/>
    <x v="1"/>
    <s v="P086277"/>
    <s v="C1"/>
    <s v=""/>
    <s v="P086277C1"/>
    <x v="1"/>
    <n v="2013"/>
    <x v="0"/>
    <n v="82"/>
    <n v="842"/>
    <n v="129.94"/>
    <s v="USD"/>
    <n v="129.94"/>
    <n v="0.15432304038004752"/>
    <s v=""/>
    <s v="x"/>
    <x v="0"/>
    <s v="x"/>
    <s v="x"/>
    <m/>
  </r>
  <r>
    <s v="Georgia"/>
    <x v="1"/>
    <s v="P086277"/>
    <s v="C1"/>
    <s v=""/>
    <s v="P086277C1"/>
    <x v="2"/>
    <s v="2003 / 2008"/>
    <x v="0"/>
    <n v="1.28125"/>
    <n v="1.6839999999999999"/>
    <n v="6.3261927945472252"/>
    <m/>
    <n v="6.3261927945472252"/>
    <n v="3.7566465525814881"/>
    <s v=""/>
    <s v="x"/>
    <x v="0"/>
    <s v="x"/>
    <s v="x"/>
    <s v="Change of project scope; Change of project scope; "/>
  </r>
  <r>
    <s v="Georgia"/>
    <x v="1"/>
    <s v="P094044"/>
    <s v="C1"/>
    <s v="S1"/>
    <s v="P094044C1S1"/>
    <x v="0"/>
    <n v="2007"/>
    <x v="9"/>
    <n v="20"/>
    <n v="24"/>
    <n v="41.95"/>
    <s v="USD"/>
    <n v="41.95"/>
    <n v="1.7479166666666668"/>
    <s v=""/>
    <s v=""/>
    <x v="0"/>
    <s v="x"/>
    <s v="x"/>
    <m/>
  </r>
  <r>
    <s v="Georgia"/>
    <x v="1"/>
    <s v="P094044"/>
    <s v="C1"/>
    <s v="S1"/>
    <s v="P094044C1S1"/>
    <x v="1"/>
    <n v="2012"/>
    <x v="9"/>
    <n v="28"/>
    <n v="24"/>
    <n v="69.2"/>
    <s v="USD"/>
    <n v="69.2"/>
    <n v="2.8833333333333333"/>
    <s v=""/>
    <s v=""/>
    <x v="0"/>
    <s v="x"/>
    <s v="x"/>
    <m/>
  </r>
  <r>
    <s v="Georgia"/>
    <x v="1"/>
    <s v="P094044"/>
    <s v="C1"/>
    <s v=""/>
    <s v="P094044C1S1"/>
    <x v="2"/>
    <s v="2003 / 2008"/>
    <x v="9"/>
    <n v="1.4"/>
    <n v="1"/>
    <n v="1.6495828367103695"/>
    <m/>
    <n v="1.6495828367103695"/>
    <n v="1.6495828367103693"/>
    <s v=""/>
    <s v=""/>
    <x v="0"/>
    <s v="x"/>
    <s v="x"/>
    <s v="Political events; Quality of estimates; Weather shocks"/>
  </r>
  <r>
    <s v="Guinea"/>
    <x v="2"/>
    <s v="P065127"/>
    <s v="C1"/>
    <s v=""/>
    <s v="P065127C1"/>
    <x v="0"/>
    <n v="2004"/>
    <x v="1"/>
    <s v=""/>
    <n v="1270"/>
    <n v="23.9"/>
    <s v="USD"/>
    <n v="23.9"/>
    <n v="1.8818897637795276E-2"/>
    <s v=""/>
    <s v=""/>
    <x v="0"/>
    <s v=""/>
    <s v=""/>
    <m/>
  </r>
  <r>
    <s v="Guinea"/>
    <x v="2"/>
    <s v="P065127"/>
    <s v="C1"/>
    <s v=""/>
    <s v="P065127C1"/>
    <x v="1"/>
    <n v="2013"/>
    <x v="1"/>
    <s v=""/>
    <n v="800"/>
    <n v="19"/>
    <s v="USD"/>
    <n v="19"/>
    <n v="2.375E-2"/>
    <s v=""/>
    <s v=""/>
    <x v="0"/>
    <s v=""/>
    <s v=""/>
    <m/>
  </r>
  <r>
    <s v="Guinea"/>
    <x v="2"/>
    <s v="P065127"/>
    <s v="C1"/>
    <s v=""/>
    <s v="P065127C1"/>
    <x v="2"/>
    <s v="2003 / 2008"/>
    <x v="1"/>
    <s v=""/>
    <n v="0.62992125984251968"/>
    <n v="0.79497907949790803"/>
    <m/>
    <n v="0.79497907949790803"/>
    <n v="1.262029288702929"/>
    <s v=""/>
    <s v=""/>
    <x v="0"/>
    <s v=""/>
    <s v=""/>
    <s v=""/>
  </r>
  <r>
    <s v="Guinea"/>
    <x v="2"/>
    <s v="AfDB P-GN-AB0-005_x000a_"/>
    <s v="C1"/>
    <s v=""/>
    <s v="AfDB P-GN-AB0-005_x000a_C1"/>
    <x v="0"/>
    <n v="2012"/>
    <x v="5"/>
    <s v=""/>
    <n v="1080"/>
    <n v="8.3000000000000007"/>
    <s v="UA"/>
    <n v="5.3896103896103895"/>
    <n v="4.9903799903799903E-3"/>
    <s v="x"/>
    <s v="x"/>
    <x v="1"/>
    <m/>
    <m/>
    <m/>
  </r>
  <r>
    <s v="Guinea"/>
    <x v="2"/>
    <s v="AfDB P-GN-AB0-005_x000a_"/>
    <s v="C1"/>
    <s v=""/>
    <s v="AfDB P-GN-AB0-005_x000a_C1"/>
    <x v="1"/>
    <n v="2011"/>
    <x v="5"/>
    <s v=""/>
    <n v="278"/>
    <n v="3.3260000000000001"/>
    <s v="UA"/>
    <n v="2.1184713375796176"/>
    <n v="7.6204004948907111E-3"/>
    <s v="x"/>
    <s v="x"/>
    <x v="1"/>
    <s v="Procurement system"/>
    <s v="Procurement procedures were inadequatelyapplied resulting in poor selection of most service providers, which affected the performance (P.9)"/>
    <m/>
  </r>
  <r>
    <s v="Guinea"/>
    <x v="2"/>
    <s v="AfDB P-GN-AB0-005_x000a_"/>
    <s v="C1"/>
    <s v=""/>
    <s v="AfDB P-GN-AB0-005_x000a_C1"/>
    <x v="2"/>
    <s v="2003 / 2008"/>
    <x v="5"/>
    <s v=""/>
    <n v="0.25740740740740742"/>
    <n v="0.40072289156626506"/>
    <m/>
    <n v="0.39306576624971218"/>
    <n v="1.5270180847111121"/>
    <s v="x"/>
    <s v="x"/>
    <x v="1"/>
    <s v="Capacity of contractors"/>
    <s v="only 15% of works was completed three years after the beginning of the project (annex p. 1/4)"/>
    <s v="; Procurement system; Capacity of contractors"/>
  </r>
  <r>
    <s v="Haiti"/>
    <x v="3"/>
    <s v="P095523"/>
    <s v="C1"/>
    <s v="S1"/>
    <s v="P095523C1S1"/>
    <x v="0"/>
    <n v="2006"/>
    <x v="1"/>
    <s v=""/>
    <n v="38.799999999999997"/>
    <n v="6.8"/>
    <s v="USD"/>
    <n v="6.8"/>
    <n v="0.1752577319587629"/>
    <s v="x"/>
    <s v=""/>
    <x v="0"/>
    <s v="x"/>
    <s v="x"/>
    <m/>
  </r>
  <r>
    <s v="Haiti"/>
    <x v="3"/>
    <s v="P095523"/>
    <s v="C1"/>
    <s v="S1"/>
    <s v="P095523C1S1"/>
    <x v="1"/>
    <n v="2014"/>
    <x v="1"/>
    <s v=""/>
    <n v="8"/>
    <n v="8.08"/>
    <s v="USD"/>
    <n v="8.08"/>
    <n v="1.01"/>
    <s v="x"/>
    <s v=""/>
    <x v="0"/>
    <s v="x"/>
    <s v="x"/>
    <m/>
  </r>
  <r>
    <s v="Haiti"/>
    <x v="3"/>
    <s v="P095523"/>
    <s v="C1"/>
    <s v=""/>
    <s v="P095523C1S1"/>
    <x v="2"/>
    <s v="2003 / 2008"/>
    <x v="1"/>
    <s v=""/>
    <n v="0.2061855670103093"/>
    <n v="1.1882352941176471"/>
    <m/>
    <n v="1.1882352941176471"/>
    <n v="5.762941176470588"/>
    <s v="x"/>
    <s v=""/>
    <x v="0"/>
    <s v="x"/>
    <s v="x"/>
    <s v="Capacity of Counterpart; Weather shocks; "/>
  </r>
  <r>
    <s v="Haiti"/>
    <x v="3"/>
    <s v="P095523"/>
    <s v="C1"/>
    <s v="S2"/>
    <s v="P095523C1S2"/>
    <x v="0"/>
    <n v="2006"/>
    <x v="1"/>
    <s v=""/>
    <n v="63"/>
    <n v="2.4"/>
    <s v="USD"/>
    <n v="2.4"/>
    <n v="3.8095238095238092E-2"/>
    <s v=""/>
    <s v=""/>
    <x v="0"/>
    <s v="x"/>
    <s v="x"/>
    <m/>
  </r>
  <r>
    <s v="Haiti"/>
    <x v="3"/>
    <s v="P095523"/>
    <s v="C1"/>
    <s v="S2"/>
    <s v="P095523C1S2"/>
    <x v="1"/>
    <n v="2014"/>
    <x v="1"/>
    <s v=""/>
    <n v="40"/>
    <n v="8.17"/>
    <s v="USD"/>
    <n v="8.17"/>
    <n v="0.20424999999999999"/>
    <s v=""/>
    <s v=""/>
    <x v="0"/>
    <s v="x"/>
    <s v="x"/>
    <m/>
  </r>
  <r>
    <s v="Haiti"/>
    <x v="3"/>
    <s v="P095523"/>
    <s v="C1"/>
    <s v=""/>
    <s v="P095523C1S2"/>
    <x v="2"/>
    <s v="2003 / 2008"/>
    <x v="1"/>
    <s v=""/>
    <n v="0.63492063492063489"/>
    <n v="3.4041666666666668"/>
    <m/>
    <n v="3.4041666666666668"/>
    <n v="5.3615624999999998"/>
    <s v=""/>
    <s v=""/>
    <x v="0"/>
    <s v="x"/>
    <s v="x"/>
    <s v="Capacity of Counterpart; Weather shocks; "/>
  </r>
  <r>
    <s v="Honduras"/>
    <x v="3"/>
    <s v="P057538"/>
    <s v="C1"/>
    <s v="S1"/>
    <s v="P057538C1S1"/>
    <x v="0"/>
    <n v="2000"/>
    <x v="0"/>
    <s v=""/>
    <n v="84"/>
    <n v="19.2"/>
    <s v="USD"/>
    <n v="19.2"/>
    <n v="0.22857142857142856"/>
    <s v=""/>
    <s v=""/>
    <x v="0"/>
    <s v="x"/>
    <s v="x"/>
    <m/>
  </r>
  <r>
    <s v="Honduras"/>
    <x v="3"/>
    <s v="P057538"/>
    <s v="C1"/>
    <s v="S1"/>
    <s v="P057538C1S1"/>
    <x v="1"/>
    <n v="2007"/>
    <x v="0"/>
    <n v="35"/>
    <n v="50"/>
    <n v="20.399999999999999"/>
    <s v="USD"/>
    <n v="20.399999999999999"/>
    <n v="0.40799999999999997"/>
    <s v=""/>
    <s v=""/>
    <x v="0"/>
    <s v="x"/>
    <s v="x"/>
    <m/>
  </r>
  <r>
    <s v="Honduras"/>
    <x v="3"/>
    <s v="P057538"/>
    <s v="C1"/>
    <s v=""/>
    <s v="P057538C1S1"/>
    <x v="2"/>
    <s v="2003 / 2008"/>
    <x v="0"/>
    <s v=""/>
    <n v="0.59523809523809523"/>
    <n v="1.0625"/>
    <m/>
    <n v="1.0625"/>
    <n v="1.7849999999999999"/>
    <s v=""/>
    <s v=""/>
    <x v="0"/>
    <s v="x"/>
    <s v="x"/>
    <s v="Macroeconomic conditions; Quality of estimates; "/>
  </r>
  <r>
    <s v="Honduras"/>
    <x v="3"/>
    <s v="P057538"/>
    <s v="C1"/>
    <s v="S2"/>
    <s v="P057538C1S2"/>
    <x v="0"/>
    <n v="2000"/>
    <x v="0"/>
    <s v=""/>
    <n v="40.200000000000003"/>
    <n v="6.3"/>
    <s v="USD"/>
    <n v="6.3"/>
    <n v="0.15671641791044774"/>
    <s v=""/>
    <s v=""/>
    <x v="0"/>
    <s v="x"/>
    <s v="x"/>
    <m/>
  </r>
  <r>
    <s v="Honduras"/>
    <x v="3"/>
    <s v="P057538"/>
    <s v="C1"/>
    <s v="S2"/>
    <s v="P057538C1S2"/>
    <x v="1"/>
    <n v="2007"/>
    <x v="0"/>
    <s v=""/>
    <n v="40.200000000000003"/>
    <n v="10.1"/>
    <s v="USD"/>
    <n v="10.1"/>
    <n v="0.25124378109452733"/>
    <s v=""/>
    <s v=""/>
    <x v="0"/>
    <s v="x"/>
    <s v="x"/>
    <m/>
  </r>
  <r>
    <s v="Honduras"/>
    <x v="3"/>
    <s v="P057538"/>
    <s v="C1"/>
    <s v=""/>
    <s v="P057538C1S2"/>
    <x v="2"/>
    <s v="2003 / 2008"/>
    <x v="0"/>
    <s v=""/>
    <n v="1"/>
    <n v="1.6031746031746033"/>
    <m/>
    <n v="1.6031746031746033"/>
    <n v="1.6031746031746033"/>
    <s v=""/>
    <s v=""/>
    <x v="0"/>
    <s v="x"/>
    <s v="x"/>
    <s v="Macroeconomic conditions; Quality of estimates; "/>
  </r>
  <r>
    <s v="Honduras"/>
    <x v="3"/>
    <s v="P057538"/>
    <s v="C1"/>
    <s v="S3"/>
    <s v="P057538C1S3"/>
    <x v="0"/>
    <n v="2000"/>
    <x v="1"/>
    <s v=""/>
    <n v="46.5"/>
    <n v="18"/>
    <s v="USD"/>
    <n v="18"/>
    <n v="0.38709677419354838"/>
    <s v=""/>
    <s v=""/>
    <x v="0"/>
    <s v=""/>
    <s v=""/>
    <m/>
  </r>
  <r>
    <s v="Honduras"/>
    <x v="3"/>
    <s v="P057538"/>
    <s v="C1"/>
    <s v="S3"/>
    <s v="P057538C1S3"/>
    <x v="1"/>
    <n v="2007"/>
    <x v="1"/>
    <n v="37"/>
    <n v="46.6"/>
    <n v="18.5"/>
    <s v="USD"/>
    <n v="18.5"/>
    <n v="0.39699570815450641"/>
    <s v=""/>
    <s v=""/>
    <x v="0"/>
    <s v=""/>
    <s v=""/>
    <m/>
  </r>
  <r>
    <s v="Honduras"/>
    <x v="3"/>
    <s v="P057538"/>
    <s v="C1"/>
    <s v=""/>
    <s v="P057538C1S3"/>
    <x v="2"/>
    <s v="2003 / 2008"/>
    <x v="1"/>
    <s v=""/>
    <n v="1.0021505376344086"/>
    <n v="1.0277777777777777"/>
    <m/>
    <n v="1.0277777777777777"/>
    <n v="1.0255722460658083"/>
    <s v=""/>
    <s v=""/>
    <x v="0"/>
    <s v=""/>
    <s v=""/>
    <s v=""/>
  </r>
  <r>
    <s v="Honduras"/>
    <x v="3"/>
    <s v="P057538"/>
    <s v="C1"/>
    <s v="S4"/>
    <s v="P057538C1S4"/>
    <x v="0"/>
    <n v="2000"/>
    <x v="1"/>
    <s v=""/>
    <n v="47"/>
    <n v="13.5"/>
    <s v="USD"/>
    <n v="13.5"/>
    <n v="0.28723404255319152"/>
    <s v=""/>
    <s v=""/>
    <x v="0"/>
    <s v=""/>
    <s v=""/>
    <m/>
  </r>
  <r>
    <s v="Honduras"/>
    <x v="3"/>
    <s v="P057538"/>
    <s v="C1"/>
    <s v="S4"/>
    <s v="P057538C1S4"/>
    <x v="1"/>
    <n v="2007"/>
    <x v="1"/>
    <n v="26"/>
    <n v="47"/>
    <n v="14.5"/>
    <s v="USD"/>
    <n v="14.5"/>
    <n v="0.30851063829787234"/>
    <s v=""/>
    <s v=""/>
    <x v="0"/>
    <s v=""/>
    <s v=""/>
    <m/>
  </r>
  <r>
    <s v="Honduras"/>
    <x v="3"/>
    <s v="P057538"/>
    <s v="C1"/>
    <s v=""/>
    <s v="P057538C1S4"/>
    <x v="2"/>
    <s v="2003 / 2008"/>
    <x v="1"/>
    <s v=""/>
    <n v="1"/>
    <n v="1.0740740740740742"/>
    <m/>
    <n v="1.0740740740740742"/>
    <n v="1.074074074074074"/>
    <s v=""/>
    <s v=""/>
    <x v="0"/>
    <s v=""/>
    <s v=""/>
    <s v=""/>
  </r>
  <r>
    <s v="Honduras"/>
    <x v="3"/>
    <s v="P057538"/>
    <s v="C2"/>
    <s v=""/>
    <s v="P057538C2"/>
    <x v="0"/>
    <n v="2000"/>
    <x v="2"/>
    <s v=""/>
    <n v="100"/>
    <n v="8.5"/>
    <s v="USD"/>
    <n v="8.5"/>
    <n v="8.5000000000000006E-2"/>
    <s v=""/>
    <s v=""/>
    <x v="0"/>
    <s v=""/>
    <s v=""/>
    <m/>
  </r>
  <r>
    <s v="Honduras"/>
    <x v="3"/>
    <s v="P057538"/>
    <s v="C2"/>
    <s v=""/>
    <s v="P057538C2"/>
    <x v="1"/>
    <n v="2007"/>
    <x v="2"/>
    <s v=""/>
    <n v="102"/>
    <n v="4.9000000000000004"/>
    <s v="USD"/>
    <n v="4.9000000000000004"/>
    <n v="4.8039215686274513E-2"/>
    <s v=""/>
    <s v=""/>
    <x v="0"/>
    <s v=""/>
    <s v=""/>
    <m/>
  </r>
  <r>
    <s v="Honduras"/>
    <x v="3"/>
    <s v="P057538"/>
    <s v="C1"/>
    <s v=""/>
    <s v="P057538C2"/>
    <x v="2"/>
    <s v="2003 / 2008"/>
    <x v="2"/>
    <s v=""/>
    <n v="1.02"/>
    <n v="0.57647058823529418"/>
    <m/>
    <n v="0.57647058823529418"/>
    <n v="0.56516724336793545"/>
    <s v=""/>
    <s v=""/>
    <x v="0"/>
    <s v=""/>
    <s v=""/>
    <s v=""/>
  </r>
  <r>
    <s v="Honduras"/>
    <x v="3"/>
    <s v="P057538"/>
    <s v="C3"/>
    <s v=""/>
    <s v="P057538C3"/>
    <x v="0"/>
    <n v="2000"/>
    <x v="4"/>
    <s v=""/>
    <n v="900"/>
    <n v="4"/>
    <s v="USD"/>
    <n v="4"/>
    <n v="4.4444444444444444E-3"/>
    <s v=""/>
    <s v="x"/>
    <x v="0"/>
    <s v=""/>
    <s v="x"/>
    <m/>
  </r>
  <r>
    <s v="Honduras"/>
    <x v="3"/>
    <s v="P057538"/>
    <s v="C3"/>
    <s v=""/>
    <s v="P057538C3"/>
    <x v="1"/>
    <n v="2007"/>
    <x v="4"/>
    <s v=""/>
    <n v="1670"/>
    <n v="7.8"/>
    <s v="USD"/>
    <n v="7.8"/>
    <n v="4.6706586826347303E-3"/>
    <s v=""/>
    <s v="x"/>
    <x v="0"/>
    <s v=""/>
    <s v="x"/>
    <m/>
  </r>
  <r>
    <s v="Honduras"/>
    <x v="3"/>
    <s v="P057538"/>
    <s v="C1"/>
    <s v=""/>
    <s v="P057538C3"/>
    <x v="2"/>
    <s v="2003 / 2008"/>
    <x v="4"/>
    <s v=""/>
    <n v="1.8555555555555556"/>
    <n v="1.95"/>
    <m/>
    <n v="1.95"/>
    <n v="1.0508982035928143"/>
    <s v=""/>
    <s v="x"/>
    <x v="0"/>
    <s v=""/>
    <s v="x"/>
    <s v="Change of project scope; ; "/>
  </r>
  <r>
    <s v="Honduras"/>
    <x v="3"/>
    <s v="P109058"/>
    <s v="C1"/>
    <s v="S1"/>
    <s v="P109058C1S1"/>
    <x v="0"/>
    <n v="2008"/>
    <x v="1"/>
    <s v=""/>
    <n v="46.4"/>
    <n v="16.87"/>
    <s v="USD"/>
    <n v="16.87"/>
    <n v="0.36357758620689656"/>
    <s v=""/>
    <s v=""/>
    <x v="0"/>
    <s v=""/>
    <s v=""/>
    <m/>
  </r>
  <r>
    <s v="Honduras"/>
    <x v="3"/>
    <s v="P109058"/>
    <s v="C1"/>
    <s v="S1"/>
    <s v="P109058C1S1"/>
    <x v="1"/>
    <n v="2015"/>
    <x v="1"/>
    <n v="16"/>
    <n v="46.4"/>
    <n v="18.3"/>
    <s v="USD"/>
    <n v="18.3"/>
    <n v="0.39439655172413796"/>
    <s v=""/>
    <s v=""/>
    <x v="0"/>
    <s v=""/>
    <s v=""/>
    <m/>
  </r>
  <r>
    <s v="Honduras"/>
    <x v="3"/>
    <s v="P109058"/>
    <s v="C1"/>
    <s v=""/>
    <s v="P109058C1S1"/>
    <x v="2"/>
    <s v="2003 / 2008"/>
    <x v="1"/>
    <s v=""/>
    <n v="1"/>
    <n v="1.0847658565500888"/>
    <m/>
    <n v="1.0847658565500888"/>
    <n v="1.0847658565500891"/>
    <s v=""/>
    <s v=""/>
    <x v="0"/>
    <s v=""/>
    <s v=""/>
    <s v=""/>
  </r>
  <r>
    <s v="Honduras"/>
    <x v="3"/>
    <s v="P109058"/>
    <s v="C1"/>
    <s v="S2"/>
    <s v="P109058C1S2"/>
    <x v="0"/>
    <n v="2008"/>
    <x v="1"/>
    <s v=""/>
    <n v="30.5"/>
    <n v="17.07"/>
    <s v="USD"/>
    <n v="17.07"/>
    <n v="0.559672131147541"/>
    <s v=""/>
    <s v=""/>
    <x v="0"/>
    <s v=""/>
    <s v=""/>
    <m/>
  </r>
  <r>
    <s v="Honduras"/>
    <x v="3"/>
    <s v="P109058"/>
    <s v="C1"/>
    <s v="S2"/>
    <s v="P109058C1S2"/>
    <x v="1"/>
    <n v="2015"/>
    <x v="1"/>
    <n v="24"/>
    <n v="30.5"/>
    <n v="22.1"/>
    <s v="USD"/>
    <n v="22.1"/>
    <n v="0.72459016393442632"/>
    <s v=""/>
    <s v=""/>
    <x v="0"/>
    <s v=""/>
    <s v=""/>
    <m/>
  </r>
  <r>
    <s v="Honduras"/>
    <x v="3"/>
    <s v="P109058"/>
    <s v="C1"/>
    <s v=""/>
    <s v="P109058C1S2"/>
    <x v="2"/>
    <s v="2003 / 2008"/>
    <x v="1"/>
    <s v=""/>
    <n v="1"/>
    <n v="1.2946690099589924"/>
    <m/>
    <n v="1.2946690099589924"/>
    <n v="1.2946690099589926"/>
    <s v=""/>
    <s v=""/>
    <x v="0"/>
    <s v=""/>
    <s v=""/>
    <s v=""/>
  </r>
  <r>
    <s v="Honduras"/>
    <x v="3"/>
    <s v="P109058"/>
    <s v="C1"/>
    <s v="S3"/>
    <s v="P109058C1S3"/>
    <x v="0"/>
    <n v="2008"/>
    <x v="1"/>
    <s v=""/>
    <n v="60.5"/>
    <n v="17.73"/>
    <s v="USD"/>
    <n v="17.73"/>
    <n v="0.29305785123966943"/>
    <s v="x"/>
    <s v=""/>
    <x v="0"/>
    <s v="x"/>
    <s v="x"/>
    <m/>
  </r>
  <r>
    <s v="Honduras"/>
    <x v="3"/>
    <s v="P109058"/>
    <s v="C1"/>
    <s v="S3"/>
    <s v="P109058C1S3"/>
    <x v="1"/>
    <n v="2015"/>
    <x v="1"/>
    <n v="43"/>
    <n v="22"/>
    <n v="20.260000000000002"/>
    <s v="USD"/>
    <n v="20.260000000000002"/>
    <n v="0.92090909090909101"/>
    <s v="x"/>
    <s v=""/>
    <x v="0"/>
    <s v="x"/>
    <s v="x"/>
    <m/>
  </r>
  <r>
    <s v="Honduras"/>
    <x v="3"/>
    <s v="P109058"/>
    <s v="C1"/>
    <s v=""/>
    <s v="P109058C1S3"/>
    <x v="2"/>
    <s v="2003 / 2008"/>
    <x v="1"/>
    <s v=""/>
    <n v="0.36363636363636365"/>
    <n v="1.1426959954878737"/>
    <m/>
    <n v="1.1426959954878737"/>
    <n v="3.1424139875916528"/>
    <s v="x"/>
    <s v=""/>
    <x v="0"/>
    <s v="x"/>
    <s v="x"/>
    <s v="Weather shocks; Political events; "/>
  </r>
  <r>
    <s v="India"/>
    <x v="0"/>
    <s v="P067606"/>
    <s v="C1"/>
    <s v=""/>
    <s v="P067606C1"/>
    <x v="0"/>
    <n v="2002"/>
    <x v="1"/>
    <n v="36"/>
    <n v="971"/>
    <n v="286"/>
    <s v="USD"/>
    <n v="286"/>
    <n v="0.29454170957775488"/>
    <s v=""/>
    <s v=""/>
    <x v="0"/>
    <s v=""/>
    <s v=""/>
    <m/>
  </r>
  <r>
    <s v="India"/>
    <x v="0"/>
    <s v="P067606"/>
    <s v="C1"/>
    <s v=""/>
    <s v="P067606C1"/>
    <x v="1"/>
    <n v="2011"/>
    <x v="1"/>
    <n v="45"/>
    <n v="685"/>
    <n v="217"/>
    <s v="USD"/>
    <n v="217"/>
    <n v="0.31678832116788319"/>
    <s v=""/>
    <s v=""/>
    <x v="0"/>
    <s v=""/>
    <s v=""/>
    <m/>
  </r>
  <r>
    <s v="India"/>
    <x v="0"/>
    <s v="P067606"/>
    <s v="C1"/>
    <s v=""/>
    <s v="P067606C1"/>
    <x v="2"/>
    <s v="2003 / 2008"/>
    <x v="1"/>
    <n v="1.25"/>
    <n v="0.70545829042224506"/>
    <n v="0.75874125874125875"/>
    <m/>
    <n v="0.75874125874125875"/>
    <n v="1.075529579909142"/>
    <s v=""/>
    <s v=""/>
    <x v="0"/>
    <s v=""/>
    <s v=""/>
    <s v=""/>
  </r>
  <r>
    <s v="India"/>
    <x v="0"/>
    <s v="P067606"/>
    <s v="C2"/>
    <s v=""/>
    <s v="P067606C2"/>
    <x v="0"/>
    <n v="2002"/>
    <x v="5"/>
    <n v="24"/>
    <n v="2513"/>
    <n v="225.2"/>
    <s v="USD"/>
    <n v="225.2"/>
    <n v="8.9614007162753681E-2"/>
    <s v=""/>
    <s v=""/>
    <x v="0"/>
    <s v="x"/>
    <s v="x"/>
    <m/>
  </r>
  <r>
    <s v="India"/>
    <x v="0"/>
    <s v="P067606"/>
    <s v="C2"/>
    <s v=""/>
    <s v="P067606C2"/>
    <x v="1"/>
    <n v="2011"/>
    <x v="5"/>
    <n v="30"/>
    <n v="1910"/>
    <n v="271"/>
    <s v="USD"/>
    <n v="271"/>
    <n v="0.1418848167539267"/>
    <s v=""/>
    <s v=""/>
    <x v="0"/>
    <s v="x"/>
    <s v="x"/>
    <m/>
  </r>
  <r>
    <s v="India"/>
    <x v="0"/>
    <s v="P067606"/>
    <s v="C1"/>
    <s v=""/>
    <s v="P067606C2"/>
    <x v="2"/>
    <s v="2003 / 2008"/>
    <x v="5"/>
    <n v="1.25"/>
    <n v="0.76004775169120575"/>
    <n v="1.2033747779751334"/>
    <m/>
    <n v="1.2033747779751334"/>
    <n v="1.5832883858908426"/>
    <s v=""/>
    <s v=""/>
    <x v="0"/>
    <s v="x"/>
    <s v="x"/>
    <s v="Capacity of counterpart; Capacity of counterpart ; Macroeconomic conditions"/>
  </r>
  <r>
    <s v="India"/>
    <x v="0"/>
    <s v="P069889"/>
    <s v="C1"/>
    <s v=""/>
    <s v="P069889C1"/>
    <x v="0"/>
    <n v="2007"/>
    <x v="11"/>
    <s v=""/>
    <n v="184"/>
    <n v="36.76"/>
    <s v="USD"/>
    <n v="36.76"/>
    <n v="0.19978260869565218"/>
    <s v=""/>
    <s v=""/>
    <x v="0"/>
    <s v="x"/>
    <s v="x"/>
    <m/>
  </r>
  <r>
    <s v="India"/>
    <x v="0"/>
    <s v="P069889"/>
    <s v="C1"/>
    <s v=""/>
    <s v="P069889C1"/>
    <x v="1"/>
    <n v="2011"/>
    <x v="11"/>
    <s v=""/>
    <n v="174"/>
    <n v="87.6"/>
    <s v="USD"/>
    <n v="87.6"/>
    <n v="0.50344827586206897"/>
    <s v=""/>
    <s v=""/>
    <x v="0"/>
    <s v="x"/>
    <s v="x"/>
    <m/>
  </r>
  <r>
    <s v="India"/>
    <x v="0"/>
    <s v="P069889"/>
    <s v="C1"/>
    <s v=""/>
    <s v="P069889C1"/>
    <x v="2"/>
    <s v="2003 / 2008"/>
    <x v="11"/>
    <s v=""/>
    <n v="0.94565217391304346"/>
    <n v="2.3830250272034821"/>
    <m/>
    <n v="2.3830250272034821"/>
    <n v="2.5199804885370156"/>
    <s v=""/>
    <s v=""/>
    <x v="0"/>
    <s v="x"/>
    <s v="x"/>
    <s v=" Capacity of contractors; Weather shocks ; Macroeconomic conditions "/>
  </r>
  <r>
    <s v="India"/>
    <x v="0"/>
    <s v="P069889"/>
    <s v="C2"/>
    <s v=""/>
    <s v="P069889C2"/>
    <x v="0"/>
    <n v="2007"/>
    <x v="6"/>
    <s v=""/>
    <n v="520"/>
    <n v="17.66"/>
    <s v="USD"/>
    <n v="17.66"/>
    <n v="3.396153846153846E-2"/>
    <s v=""/>
    <s v=""/>
    <x v="0"/>
    <s v=""/>
    <s v=""/>
    <m/>
  </r>
  <r>
    <s v="India"/>
    <x v="0"/>
    <s v="P069889"/>
    <s v="C2"/>
    <s v=""/>
    <s v="P069889C2"/>
    <x v="1"/>
    <n v="2011"/>
    <x v="6"/>
    <s v=""/>
    <n v="300"/>
    <n v="11.4"/>
    <s v="USD"/>
    <n v="11.4"/>
    <n v="3.7999999999999999E-2"/>
    <s v=""/>
    <s v=""/>
    <x v="0"/>
    <s v=""/>
    <s v=""/>
    <m/>
  </r>
  <r>
    <s v="India"/>
    <x v="0"/>
    <s v="P069889"/>
    <s v="C1"/>
    <s v=""/>
    <s v="P069889C2"/>
    <x v="2"/>
    <s v="2003 / 2008"/>
    <x v="6"/>
    <s v=""/>
    <n v="0.57692307692307687"/>
    <n v="0.64552661381653453"/>
    <m/>
    <n v="0.64552661381653453"/>
    <n v="1.1189127972819932"/>
    <s v=""/>
    <s v=""/>
    <x v="0"/>
    <s v=""/>
    <s v=""/>
    <s v=""/>
  </r>
  <r>
    <s v="India"/>
    <x v="0"/>
    <s v="P071244"/>
    <s v="C1"/>
    <s v=""/>
    <s v="P071244C1"/>
    <x v="0"/>
    <n v="2001"/>
    <x v="9"/>
    <s v=""/>
    <n v="420"/>
    <n v="618.08000000000004"/>
    <s v="USD"/>
    <n v="618.08000000000004"/>
    <n v="1.4716190476190478"/>
    <s v=""/>
    <s v=""/>
    <x v="0"/>
    <s v=""/>
    <s v=""/>
    <m/>
  </r>
  <r>
    <s v="India"/>
    <x v="0"/>
    <s v="P071244"/>
    <s v="C1"/>
    <s v=""/>
    <s v="P071244C1"/>
    <x v="1"/>
    <n v="2009"/>
    <x v="9"/>
    <n v="81"/>
    <n v="416.76"/>
    <n v="694.44"/>
    <s v="USD"/>
    <n v="694.44"/>
    <n v="1.6662827526634036"/>
    <s v=""/>
    <s v=""/>
    <x v="0"/>
    <s v=""/>
    <s v=""/>
    <m/>
  </r>
  <r>
    <s v="India"/>
    <x v="0"/>
    <s v="P071244"/>
    <s v="C1"/>
    <s v=""/>
    <s v="P071244C1"/>
    <x v="2"/>
    <s v="2003 / 2008"/>
    <x v="9"/>
    <s v=""/>
    <n v="0.99228571428571422"/>
    <n v="1.1235438778151696"/>
    <m/>
    <n v="1.1235438778151696"/>
    <n v="1.1322785984316421"/>
    <s v=""/>
    <s v=""/>
    <x v="0"/>
    <s v=""/>
    <s v=""/>
    <s v=""/>
  </r>
  <r>
    <s v="India"/>
    <x v="0"/>
    <s v="P073776"/>
    <s v="C1"/>
    <s v=""/>
    <s v="P073776C1"/>
    <x v="0"/>
    <n v="2003"/>
    <x v="8"/>
    <n v="24"/>
    <n v="84.707999999999998"/>
    <n v="240.41"/>
    <s v="USD"/>
    <n v="240.41"/>
    <n v="2.8381026585446474"/>
    <s v=""/>
    <s v=""/>
    <x v="0"/>
    <s v=""/>
    <s v=""/>
    <m/>
  </r>
  <r>
    <s v="India"/>
    <x v="0"/>
    <s v="P073776"/>
    <s v="C1"/>
    <s v=""/>
    <s v="P073776C1"/>
    <x v="1"/>
    <n v="2010"/>
    <x v="8"/>
    <n v="63"/>
    <n v="84.8"/>
    <n v="301.36"/>
    <s v="USD"/>
    <n v="301.36"/>
    <n v="3.5537735849056609"/>
    <s v=""/>
    <s v=""/>
    <x v="0"/>
    <s v=""/>
    <s v=""/>
    <m/>
  </r>
  <r>
    <s v="India"/>
    <x v="0"/>
    <s v="P073776"/>
    <s v="C1"/>
    <s v=""/>
    <s v="P073776C1"/>
    <x v="2"/>
    <s v="2003 / 2008"/>
    <x v="8"/>
    <n v="2.625"/>
    <n v="1.0010860839590121"/>
    <n v="1.2535252277359512"/>
    <m/>
    <n v="1.2535252277359512"/>
    <n v="1.2521652711209548"/>
    <s v=""/>
    <s v=""/>
    <x v="0"/>
    <s v=""/>
    <s v=""/>
    <s v=""/>
  </r>
  <r>
    <s v="India"/>
    <x v="0"/>
    <s v="P077856"/>
    <s v="C1"/>
    <s v=""/>
    <s v="P077856C1"/>
    <x v="0"/>
    <n v="2004"/>
    <x v="9"/>
    <n v="48"/>
    <n v="483"/>
    <n v="802.87"/>
    <s v="USD"/>
    <n v="802.87"/>
    <n v="1.662256728778468"/>
    <s v=""/>
    <s v=""/>
    <x v="0"/>
    <s v=""/>
    <s v=""/>
    <m/>
  </r>
  <r>
    <s v="India"/>
    <x v="0"/>
    <s v="P077856"/>
    <s v="C1"/>
    <s v=""/>
    <s v="P077856C1"/>
    <x v="1"/>
    <n v="2012"/>
    <x v="9"/>
    <n v="84"/>
    <n v="327"/>
    <n v="800.12"/>
    <s v="USD"/>
    <n v="800.12"/>
    <n v="2.4468501529051987"/>
    <s v=""/>
    <s v=""/>
    <x v="0"/>
    <s v=""/>
    <s v=""/>
    <m/>
  </r>
  <r>
    <s v="India"/>
    <x v="0"/>
    <s v="P077856"/>
    <s v="C1"/>
    <s v=""/>
    <s v="P077856C1"/>
    <x v="2"/>
    <s v="2003 / 2008"/>
    <x v="9"/>
    <n v="1.75"/>
    <n v="0.67701863354037262"/>
    <n v="0.99657478794823573"/>
    <m/>
    <n v="0.99657478794823573"/>
    <n v="1.4720049620152837"/>
    <s v=""/>
    <s v=""/>
    <x v="0"/>
    <s v=""/>
    <s v=""/>
    <s v=""/>
  </r>
  <r>
    <s v="India"/>
    <x v="0"/>
    <s v="P009972"/>
    <s v="C1"/>
    <s v="S1"/>
    <s v="P009972C1S1"/>
    <x v="0"/>
    <n v="2000"/>
    <x v="11"/>
    <n v="42"/>
    <n v="62"/>
    <n v="86"/>
    <s v="USD"/>
    <n v="86"/>
    <n v="1.3870967741935485"/>
    <s v=""/>
    <s v=""/>
    <x v="0"/>
    <s v=""/>
    <s v=""/>
    <m/>
  </r>
  <r>
    <s v="India"/>
    <x v="0"/>
    <s v="P009972"/>
    <s v="C1"/>
    <s v="S1"/>
    <s v="P009972C1S1"/>
    <x v="1"/>
    <n v="2008"/>
    <x v="11"/>
    <n v="77"/>
    <n v="62"/>
    <n v="2893"/>
    <s v="INR"/>
    <n v="62.134879725085909"/>
    <n v="1.0021754794368696"/>
    <s v=""/>
    <s v=""/>
    <x v="0"/>
    <s v=""/>
    <s v=""/>
    <m/>
  </r>
  <r>
    <s v="India"/>
    <x v="0"/>
    <s v="P009972"/>
    <s v="C1"/>
    <s v=""/>
    <s v="P009972C1S1"/>
    <x v="2"/>
    <s v="2003 / 2008"/>
    <x v="11"/>
    <n v="1.8333333333333333"/>
    <n v="1"/>
    <n v="33.639534883720927"/>
    <m/>
    <n v="0.7224986014544873"/>
    <n v="0.7224986014544873"/>
    <s v=""/>
    <s v=""/>
    <x v="0"/>
    <s v=""/>
    <s v=""/>
    <s v=""/>
  </r>
  <r>
    <s v="India"/>
    <x v="0"/>
    <s v="P009972"/>
    <s v="C1"/>
    <s v="S2"/>
    <s v="P009972C1S2"/>
    <x v="0"/>
    <n v="2000"/>
    <x v="11"/>
    <n v="40"/>
    <n v="77"/>
    <n v="101.7"/>
    <s v="USD"/>
    <n v="101.7"/>
    <n v="1.3207792207792208"/>
    <s v=""/>
    <s v=""/>
    <x v="0"/>
    <s v=""/>
    <s v=""/>
    <m/>
  </r>
  <r>
    <s v="India"/>
    <x v="0"/>
    <s v="P009972"/>
    <s v="C1"/>
    <s v="S2"/>
    <s v="P009972C1S2"/>
    <x v="1"/>
    <n v="2008"/>
    <x v="11"/>
    <n v="93"/>
    <n v="77"/>
    <n v="2955.3"/>
    <s v="INR"/>
    <n v="63.472938144329895"/>
    <n v="0.82432387200428436"/>
    <s v=""/>
    <s v=""/>
    <x v="0"/>
    <s v=""/>
    <s v=""/>
    <m/>
  </r>
  <r>
    <s v="India"/>
    <x v="0"/>
    <s v="P009972"/>
    <s v="C1"/>
    <s v=""/>
    <s v="P009972C1S2"/>
    <x v="2"/>
    <s v="2003 / 2008"/>
    <x v="11"/>
    <n v="2.3250000000000002"/>
    <n v="1"/>
    <n v="29.058997050147493"/>
    <m/>
    <n v="0.62411935245162131"/>
    <n v="0.62411935245162142"/>
    <s v=""/>
    <s v=""/>
    <x v="0"/>
    <s v=""/>
    <s v=""/>
    <s v=""/>
  </r>
  <r>
    <s v="India"/>
    <x v="0"/>
    <s v="P009972"/>
    <s v="C1"/>
    <s v="S3"/>
    <s v="P009972C1S3"/>
    <x v="0"/>
    <n v="2000"/>
    <x v="11"/>
    <n v="36"/>
    <n v="43"/>
    <n v="50.3"/>
    <s v="USD"/>
    <n v="50.3"/>
    <n v="1.1697674418604651"/>
    <s v=""/>
    <s v=""/>
    <x v="0"/>
    <s v=""/>
    <s v=""/>
    <m/>
  </r>
  <r>
    <s v="India"/>
    <x v="0"/>
    <s v="P009972"/>
    <s v="C1"/>
    <s v="S3"/>
    <s v="P009972C1S3"/>
    <x v="1"/>
    <n v="2008"/>
    <x v="11"/>
    <n v="46"/>
    <n v="43"/>
    <n v="1798.6"/>
    <s v="INR"/>
    <n v="38.62972508591065"/>
    <n v="0.8983656996723407"/>
    <s v=""/>
    <s v=""/>
    <x v="0"/>
    <s v=""/>
    <s v=""/>
    <m/>
  </r>
  <r>
    <s v="India"/>
    <x v="0"/>
    <s v="P009972"/>
    <s v="C1"/>
    <s v=""/>
    <s v="P009972C1S3"/>
    <x v="2"/>
    <s v="2003 / 2008"/>
    <x v="11"/>
    <n v="1.2777777777777777"/>
    <n v="1"/>
    <n v="35.757455268389663"/>
    <m/>
    <n v="0.76798658222486382"/>
    <n v="0.76798658222486382"/>
    <s v=""/>
    <s v=""/>
    <x v="0"/>
    <s v=""/>
    <s v=""/>
    <s v=""/>
  </r>
  <r>
    <s v="India"/>
    <x v="0"/>
    <s v="P009972"/>
    <s v="C1"/>
    <s v="S4"/>
    <s v="P009972C1S4"/>
    <x v="0"/>
    <n v="2000"/>
    <x v="11"/>
    <n v="39"/>
    <n v="72"/>
    <n v="77.599999999999994"/>
    <s v="USD"/>
    <n v="77.599999999999994"/>
    <n v="1.0777777777777777"/>
    <s v=""/>
    <s v=""/>
    <x v="0"/>
    <s v=""/>
    <s v=""/>
    <m/>
  </r>
  <r>
    <s v="India"/>
    <x v="0"/>
    <s v="P009972"/>
    <s v="C1"/>
    <s v="S4"/>
    <s v="P009972C1S4"/>
    <x v="1"/>
    <n v="2008"/>
    <x v="11"/>
    <n v="83"/>
    <n v="72"/>
    <n v="2654.8"/>
    <s v="INR"/>
    <n v="57.018900343642613"/>
    <n v="0.79192917143948072"/>
    <s v=""/>
    <s v=""/>
    <x v="0"/>
    <s v=""/>
    <s v=""/>
    <m/>
  </r>
  <r>
    <s v="India"/>
    <x v="0"/>
    <s v="P009972"/>
    <s v="C1"/>
    <s v=""/>
    <s v="P009972C1S4"/>
    <x v="2"/>
    <s v="2003 / 2008"/>
    <x v="11"/>
    <n v="2.1282051282051282"/>
    <n v="1"/>
    <n v="34.211340206185575"/>
    <m/>
    <n v="0.73477964360364201"/>
    <n v="0.7347796436036419"/>
    <s v=""/>
    <s v=""/>
    <x v="0"/>
    <s v=""/>
    <s v=""/>
    <s v=""/>
  </r>
  <r>
    <s v="India"/>
    <x v="0"/>
    <s v="P009972"/>
    <s v="C1"/>
    <s v="S5"/>
    <s v="P009972C1S5"/>
    <x v="0"/>
    <n v="2000"/>
    <x v="11"/>
    <n v="36"/>
    <n v="40"/>
    <n v="68"/>
    <s v="USD"/>
    <n v="68"/>
    <n v="1.7"/>
    <s v=""/>
    <s v=""/>
    <x v="0"/>
    <s v=""/>
    <s v=""/>
    <m/>
  </r>
  <r>
    <s v="India"/>
    <x v="0"/>
    <s v="P009972"/>
    <s v="C1"/>
    <s v="S5"/>
    <s v="P009972C1S5"/>
    <x v="1"/>
    <n v="2008"/>
    <x v="11"/>
    <n v="63"/>
    <n v="45"/>
    <n v="2299.6"/>
    <s v="INR"/>
    <n v="49.390034364261162"/>
    <n v="1.0975563192058035"/>
    <s v=""/>
    <s v=""/>
    <x v="0"/>
    <s v=""/>
    <s v=""/>
    <m/>
  </r>
  <r>
    <s v="India"/>
    <x v="0"/>
    <s v="P009972"/>
    <s v="C1"/>
    <s v=""/>
    <s v="P009972C1S5"/>
    <x v="2"/>
    <s v="2003 / 2008"/>
    <x v="11"/>
    <n v="1.75"/>
    <n v="1.125"/>
    <n v="33.817647058823525"/>
    <m/>
    <n v="0.72632403476854646"/>
    <n v="0.64562136423870797"/>
    <s v=""/>
    <s v=""/>
    <x v="0"/>
    <s v=""/>
    <s v=""/>
    <s v=""/>
  </r>
  <r>
    <s v="India"/>
    <x v="0"/>
    <s v="P009972"/>
    <s v="C1"/>
    <s v="S6"/>
    <s v="P009972C1S6"/>
    <x v="0"/>
    <n v="2000"/>
    <x v="11"/>
    <n v="36"/>
    <n v="45"/>
    <n v="65.400000000000006"/>
    <s v="USD"/>
    <n v="65.400000000000006"/>
    <n v="1.4533333333333334"/>
    <s v=""/>
    <s v=""/>
    <x v="0"/>
    <s v=""/>
    <s v=""/>
    <m/>
  </r>
  <r>
    <s v="India"/>
    <x v="0"/>
    <s v="P009972"/>
    <s v="C1"/>
    <s v="S6"/>
    <s v="P009972C1S6"/>
    <x v="1"/>
    <n v="2008"/>
    <x v="11"/>
    <n v="57"/>
    <n v="40"/>
    <n v="2179.9"/>
    <s v="INR"/>
    <n v="46.819158075601372"/>
    <n v="1.1704789518900343"/>
    <s v=""/>
    <s v=""/>
    <x v="0"/>
    <s v=""/>
    <s v=""/>
    <m/>
  </r>
  <r>
    <s v="India"/>
    <x v="0"/>
    <s v="P009972"/>
    <s v="C1"/>
    <s v=""/>
    <s v="P009972C1S6"/>
    <x v="2"/>
    <s v="2003 / 2008"/>
    <x v="11"/>
    <n v="1.5833333333333333"/>
    <n v="0.88888888888888884"/>
    <n v="33.331804281345562"/>
    <m/>
    <n v="0.71588926721103008"/>
    <n v="0.80537542561240882"/>
    <s v=""/>
    <s v=""/>
    <x v="0"/>
    <s v=""/>
    <s v=""/>
    <s v=""/>
  </r>
  <r>
    <s v="India"/>
    <x v="0"/>
    <s v="P009972"/>
    <s v="C1"/>
    <s v="S7"/>
    <s v="P009972C1S7"/>
    <x v="0"/>
    <n v="2000"/>
    <x v="11"/>
    <n v="42"/>
    <n v="138.80000000000001"/>
    <n v="161.80000000000001"/>
    <s v="USD"/>
    <n v="161.80000000000001"/>
    <n v="1.1657060518731988"/>
    <s v=""/>
    <s v=""/>
    <x v="0"/>
    <s v=""/>
    <s v=""/>
    <m/>
  </r>
  <r>
    <s v="India"/>
    <x v="0"/>
    <s v="P009972"/>
    <s v="C1"/>
    <s v="S7"/>
    <s v="P009972C1S7"/>
    <x v="1"/>
    <n v="2008"/>
    <x v="11"/>
    <n v="84"/>
    <n v="138.80000000000001"/>
    <n v="5845.9"/>
    <s v="INR"/>
    <n v="125.55627147766322"/>
    <n v="0.90458408845578675"/>
    <s v=""/>
    <s v=""/>
    <x v="0"/>
    <s v=""/>
    <s v=""/>
    <m/>
  </r>
  <r>
    <s v="India"/>
    <x v="0"/>
    <s v="P009972"/>
    <s v="C1"/>
    <s v=""/>
    <s v="P009972C1S7"/>
    <x v="2"/>
    <s v="2003 / 2008"/>
    <x v="11"/>
    <n v="2"/>
    <n v="1"/>
    <n v="36.130407911001228"/>
    <m/>
    <n v="0.77599673348370335"/>
    <n v="0.77599673348370335"/>
    <s v=""/>
    <s v=""/>
    <x v="0"/>
    <s v=""/>
    <s v=""/>
    <s v=""/>
  </r>
  <r>
    <s v="India"/>
    <x v="0"/>
    <s v="P050649"/>
    <s v="C1"/>
    <s v=""/>
    <s v="P050649C1"/>
    <x v="0"/>
    <n v="2003"/>
    <x v="11"/>
    <n v="48"/>
    <n v="750"/>
    <n v="320.97000000000003"/>
    <s v="USD"/>
    <n v="320.97000000000003"/>
    <n v="0.42796000000000006"/>
    <s v=""/>
    <s v=""/>
    <x v="0"/>
    <s v=""/>
    <s v=""/>
    <m/>
  </r>
  <r>
    <s v="India"/>
    <x v="0"/>
    <s v="P050649"/>
    <s v="C1"/>
    <s v=""/>
    <s v="P050649C1"/>
    <x v="1"/>
    <n v="2012"/>
    <x v="11"/>
    <s v=""/>
    <n v="724"/>
    <n v="385.83"/>
    <s v="USD"/>
    <n v="385.83"/>
    <n v="0.53291436464088393"/>
    <s v=""/>
    <s v=""/>
    <x v="0"/>
    <s v=""/>
    <s v=""/>
    <m/>
  </r>
  <r>
    <s v="India"/>
    <x v="0"/>
    <s v="P050649"/>
    <s v="C1"/>
    <s v=""/>
    <s v="P050649C1"/>
    <x v="2"/>
    <s v="2003 / 2008"/>
    <x v="11"/>
    <s v=""/>
    <n v="0.96533333333333338"/>
    <n v="1.2020749602766612"/>
    <m/>
    <n v="1.2020749602766612"/>
    <n v="1.2452433980766517"/>
    <s v=""/>
    <s v=""/>
    <x v="0"/>
    <s v=""/>
    <s v=""/>
    <s v=""/>
  </r>
  <r>
    <s v="India"/>
    <x v="0"/>
    <s v="P050649"/>
    <s v="C1"/>
    <s v="S1"/>
    <s v="P050649C1S1"/>
    <x v="0"/>
    <n v="2003"/>
    <x v="11"/>
    <s v=""/>
    <n v="401"/>
    <n v="138.54"/>
    <s v="USD"/>
    <n v="138.54"/>
    <n v="0.3454862842892768"/>
    <s v=""/>
    <s v=""/>
    <x v="0"/>
    <s v=""/>
    <s v=""/>
    <m/>
  </r>
  <r>
    <s v="India"/>
    <x v="0"/>
    <s v="P050649"/>
    <s v="C1"/>
    <s v="S1"/>
    <s v="P050649C1S1"/>
    <x v="1"/>
    <n v="2012"/>
    <x v="11"/>
    <s v=""/>
    <n v="378.6"/>
    <n v="6796"/>
    <s v="INR"/>
    <n v="133.51669941060905"/>
    <n v="0.35265900531064193"/>
    <s v=""/>
    <s v=""/>
    <x v="0"/>
    <s v=""/>
    <s v=""/>
    <m/>
  </r>
  <r>
    <s v="India"/>
    <x v="0"/>
    <s v="P050649"/>
    <s v="C1"/>
    <s v=""/>
    <s v="P050649C1S1"/>
    <x v="2"/>
    <s v="2003 / 2008"/>
    <x v="11"/>
    <s v=""/>
    <n v="0.94413965087281804"/>
    <n v="49.054424714883794"/>
    <m/>
    <n v="0.96374115353406276"/>
    <n v="1.0207612323485449"/>
    <s v=""/>
    <s v=""/>
    <x v="0"/>
    <s v=""/>
    <s v=""/>
    <s v=""/>
  </r>
  <r>
    <s v="India"/>
    <x v="0"/>
    <s v="P050649"/>
    <s v="C1"/>
    <s v="S2"/>
    <s v="P050649C1S2"/>
    <x v="0"/>
    <n v="2003"/>
    <x v="11"/>
    <s v=""/>
    <n v="116"/>
    <n v="42.71"/>
    <s v="USD"/>
    <n v="42.71"/>
    <n v="0.36818965517241381"/>
    <s v=""/>
    <s v=""/>
    <x v="0"/>
    <s v="x"/>
    <s v="x"/>
    <m/>
  </r>
  <r>
    <s v="India"/>
    <x v="0"/>
    <s v="P050649"/>
    <s v="C1"/>
    <s v="S2"/>
    <s v="P050649C1S2"/>
    <x v="1"/>
    <n v="2012"/>
    <x v="11"/>
    <s v=""/>
    <n v="118.6"/>
    <n v="3494.8"/>
    <s v="INR"/>
    <n v="68.660117878192537"/>
    <n v="0.57892173590381568"/>
    <s v=""/>
    <s v=""/>
    <x v="0"/>
    <s v="x"/>
    <s v="x"/>
    <m/>
  </r>
  <r>
    <s v="India"/>
    <x v="0"/>
    <s v="P050649"/>
    <s v="C1"/>
    <s v=""/>
    <s v="P050649C1S2"/>
    <x v="2"/>
    <s v="2003 / 2008"/>
    <x v="11"/>
    <s v=""/>
    <n v="1.0224137931034483"/>
    <n v="81.826270194333887"/>
    <m/>
    <n v="1.6075888053896636"/>
    <n v="1.572346555018558"/>
    <s v=""/>
    <s v=""/>
    <x v="0"/>
    <s v="x"/>
    <s v="x"/>
    <s v="Macroeconomic conditions ; Weather shocks; Quality of estimates"/>
  </r>
  <r>
    <s v="India"/>
    <x v="0"/>
    <s v="P050649"/>
    <s v="C1"/>
    <s v="S3"/>
    <s v="P050649C1S3"/>
    <x v="0"/>
    <n v="2003"/>
    <x v="11"/>
    <s v=""/>
    <n v="100"/>
    <n v="25.83"/>
    <s v="USD"/>
    <n v="25.83"/>
    <n v="0.25829999999999997"/>
    <s v=""/>
    <s v=""/>
    <x v="0"/>
    <s v="x"/>
    <s v="x"/>
    <m/>
  </r>
  <r>
    <s v="India"/>
    <x v="0"/>
    <s v="P050649"/>
    <s v="C1"/>
    <s v="S3"/>
    <s v="P050649C1S3"/>
    <x v="1"/>
    <n v="2012"/>
    <x v="11"/>
    <s v=""/>
    <n v="100"/>
    <n v="2642.2"/>
    <s v="INR"/>
    <n v="51.909626719056973"/>
    <n v="0.51909626719056978"/>
    <s v=""/>
    <s v=""/>
    <x v="0"/>
    <s v="x"/>
    <s v="x"/>
    <m/>
  </r>
  <r>
    <s v="India"/>
    <x v="0"/>
    <s v="P050649"/>
    <s v="C1"/>
    <s v=""/>
    <s v="P050649C1S3"/>
    <x v="2"/>
    <s v="2003 / 2008"/>
    <x v="11"/>
    <s v=""/>
    <n v="1"/>
    <n v="102.29190863337205"/>
    <m/>
    <n v="2.0096642167656591"/>
    <n v="2.0096642167656595"/>
    <s v=""/>
    <s v=""/>
    <x v="0"/>
    <s v="x"/>
    <s v="x"/>
    <s v="Macroeconomic conditions ; Weather shocks; Quality of estimates"/>
  </r>
  <r>
    <s v="India"/>
    <x v="0"/>
    <s v="P050649"/>
    <s v="C1"/>
    <s v="S4"/>
    <s v="P050649C1S4"/>
    <x v="0"/>
    <n v="2003"/>
    <x v="11"/>
    <s v=""/>
    <n v="118"/>
    <n v="23.96"/>
    <s v="USD"/>
    <n v="23.96"/>
    <n v="0.20305084745762714"/>
    <s v=""/>
    <s v=""/>
    <x v="0"/>
    <s v="x"/>
    <s v="x"/>
    <m/>
  </r>
  <r>
    <s v="India"/>
    <x v="0"/>
    <s v="P050649"/>
    <s v="C1"/>
    <s v="S4"/>
    <s v="P050649C1S4"/>
    <x v="1"/>
    <n v="2012"/>
    <x v="11"/>
    <s v=""/>
    <n v="114.6"/>
    <n v="2162.6"/>
    <s v="INR"/>
    <n v="42.487229862475445"/>
    <n v="0.37074371607744716"/>
    <s v=""/>
    <s v=""/>
    <x v="0"/>
    <s v="x"/>
    <s v="x"/>
    <m/>
  </r>
  <r>
    <s v="India"/>
    <x v="0"/>
    <s v="P050649"/>
    <s v="C1"/>
    <s v=""/>
    <s v="P050649C1S4"/>
    <x v="2"/>
    <s v="2003 / 2008"/>
    <x v="11"/>
    <s v=""/>
    <n v="0.971186440677966"/>
    <n v="90.258764607679453"/>
    <m/>
    <n v="1.773256672056571"/>
    <n v="1.8258663813496978"/>
    <s v=""/>
    <s v=""/>
    <x v="0"/>
    <s v="x"/>
    <s v="x"/>
    <s v="Macroeconomic conditions ; Weather shocks; Quality of estimates"/>
  </r>
  <r>
    <s v="India"/>
    <x v="0"/>
    <s v="P050649"/>
    <s v="C2"/>
    <s v=""/>
    <s v="P050649C2"/>
    <x v="0"/>
    <n v="2003"/>
    <x v="2"/>
    <n v="48"/>
    <n v="2000"/>
    <n v="110.72"/>
    <s v="USD"/>
    <n v="110.72"/>
    <n v="5.5359999999999999E-2"/>
    <s v=""/>
    <s v=""/>
    <x v="0"/>
    <s v=""/>
    <s v=""/>
    <m/>
  </r>
  <r>
    <s v="India"/>
    <x v="0"/>
    <s v="P050649"/>
    <s v="C2"/>
    <s v=""/>
    <s v="P050649C2"/>
    <x v="1"/>
    <n v="2012"/>
    <x v="2"/>
    <s v=""/>
    <n v="1330"/>
    <n v="106.18"/>
    <s v="USD"/>
    <n v="106.18"/>
    <n v="7.9834586466165425E-2"/>
    <s v=""/>
    <s v=""/>
    <x v="0"/>
    <s v=""/>
    <s v=""/>
    <m/>
  </r>
  <r>
    <s v="India"/>
    <x v="0"/>
    <s v="P050649"/>
    <s v="C1"/>
    <s v=""/>
    <s v="P050649C2"/>
    <x v="2"/>
    <s v="2003 / 2008"/>
    <x v="2"/>
    <s v=""/>
    <n v="0.66500000000000004"/>
    <n v="0.95899566473988451"/>
    <m/>
    <n v="0.95899566473988451"/>
    <n v="1.4420987439697512"/>
    <s v=""/>
    <s v=""/>
    <x v="0"/>
    <s v=""/>
    <s v=""/>
    <s v=""/>
  </r>
  <r>
    <s v="India"/>
    <x v="0"/>
    <s v="P070421"/>
    <s v="C1"/>
    <s v=""/>
    <s v="P070421C1"/>
    <x v="0"/>
    <n v="2001"/>
    <x v="11"/>
    <s v=""/>
    <n v="1000"/>
    <n v="270.83"/>
    <s v="USD"/>
    <n v="270.83"/>
    <n v="0.27082999999999996"/>
    <s v=""/>
    <s v=""/>
    <x v="0"/>
    <s v="x"/>
    <s v="x"/>
    <m/>
  </r>
  <r>
    <s v="India"/>
    <x v="0"/>
    <s v="P070421"/>
    <s v="C1"/>
    <s v=""/>
    <s v="P070421C1"/>
    <x v="1"/>
    <n v="2008"/>
    <x v="11"/>
    <s v=""/>
    <n v="874"/>
    <n v="356.2"/>
    <s v="USD"/>
    <n v="356.2"/>
    <n v="0.40755148741418762"/>
    <s v=""/>
    <s v=""/>
    <x v="0"/>
    <s v="x"/>
    <s v="x"/>
    <m/>
  </r>
  <r>
    <s v="India"/>
    <x v="0"/>
    <s v="P070421"/>
    <s v="C1"/>
    <s v=""/>
    <s v="P070421C1"/>
    <x v="2"/>
    <s v="2003 / 2008"/>
    <x v="11"/>
    <s v=""/>
    <n v="0.874"/>
    <n v="1.3152161872761512"/>
    <m/>
    <n v="1.3152161872761512"/>
    <n v="1.5048240129017749"/>
    <s v=""/>
    <s v=""/>
    <x v="0"/>
    <s v="x"/>
    <s v="x"/>
    <s v="Macroeconomic conditions; Capacity of contractor; "/>
  </r>
  <r>
    <s v="India"/>
    <x v="0"/>
    <s v="P070421"/>
    <s v="C1"/>
    <s v="S1"/>
    <s v="P070421C1S1"/>
    <x v="0"/>
    <n v="2001"/>
    <x v="11"/>
    <s v=""/>
    <n v="76"/>
    <n v="16.510000000000002"/>
    <s v="USD"/>
    <n v="16.510000000000002"/>
    <n v="0.21723684210526317"/>
    <s v=""/>
    <s v=""/>
    <x v="0"/>
    <s v=""/>
    <s v=""/>
    <m/>
  </r>
  <r>
    <s v="India"/>
    <x v="0"/>
    <s v="P070421"/>
    <s v="C1"/>
    <s v="S1"/>
    <s v="P070421C1S1"/>
    <x v="1"/>
    <n v="2008"/>
    <x v="11"/>
    <s v=""/>
    <n v="76"/>
    <n v="23.5"/>
    <s v="USD"/>
    <n v="23.5"/>
    <n v="0.30921052631578949"/>
    <s v=""/>
    <s v=""/>
    <x v="0"/>
    <s v=""/>
    <s v=""/>
    <m/>
  </r>
  <r>
    <s v="India"/>
    <x v="0"/>
    <s v="P070421"/>
    <s v="C1"/>
    <s v=""/>
    <s v="P070421C1S1"/>
    <x v="2"/>
    <s v="2003 / 2008"/>
    <x v="11"/>
    <s v=""/>
    <n v="1"/>
    <n v="1.4233797698364625"/>
    <m/>
    <n v="1.4233797698364625"/>
    <n v="1.4233797698364627"/>
    <s v=""/>
    <s v=""/>
    <x v="0"/>
    <s v=""/>
    <s v=""/>
    <s v=""/>
  </r>
  <r>
    <s v="India"/>
    <x v="0"/>
    <s v="P070421"/>
    <s v="C1"/>
    <s v="S10"/>
    <s v="P070421C1S10"/>
    <x v="0"/>
    <n v="2001"/>
    <x v="11"/>
    <s v=""/>
    <n v="143.49"/>
    <n v="34.61"/>
    <s v="USD"/>
    <n v="34.61"/>
    <n v="0.24120147745487489"/>
    <s v=""/>
    <s v=""/>
    <x v="0"/>
    <s v="x"/>
    <s v="x"/>
    <m/>
  </r>
  <r>
    <s v="India"/>
    <x v="0"/>
    <s v="P070421"/>
    <s v="C1"/>
    <s v="S10"/>
    <s v="P070421C1S10"/>
    <x v="1"/>
    <n v="2008"/>
    <x v="11"/>
    <s v=""/>
    <n v="143.49"/>
    <n v="68.5"/>
    <s v="USD"/>
    <n v="68.5"/>
    <n v="0.4773851836364903"/>
    <s v=""/>
    <s v=""/>
    <x v="0"/>
    <s v="x"/>
    <s v="x"/>
    <m/>
  </r>
  <r>
    <s v="India"/>
    <x v="0"/>
    <s v="P070421"/>
    <s v="C1"/>
    <s v=""/>
    <s v="P070421C1S10"/>
    <x v="2"/>
    <s v="2003 / 2008"/>
    <x v="11"/>
    <s v=""/>
    <n v="1"/>
    <n v="1.9791967639410575"/>
    <m/>
    <n v="1.9791967639410575"/>
    <n v="1.9791967639410575"/>
    <s v=""/>
    <s v=""/>
    <x v="0"/>
    <s v="x"/>
    <s v="x"/>
    <s v="Macroeconomic conditions; Capacity of contractor; "/>
  </r>
  <r>
    <s v="India"/>
    <x v="0"/>
    <s v="P070421"/>
    <s v="C1"/>
    <s v="S11"/>
    <s v="P070421C1S11"/>
    <x v="0"/>
    <n v="2001"/>
    <x v="7"/>
    <s v=""/>
    <n v="50"/>
    <n v="12.19"/>
    <s v="USD"/>
    <n v="12.19"/>
    <n v="0.24379999999999999"/>
    <s v=""/>
    <s v=""/>
    <x v="1"/>
    <s v=""/>
    <s v="x"/>
    <m/>
  </r>
  <r>
    <s v="India"/>
    <x v="0"/>
    <s v="P070421"/>
    <s v="C1"/>
    <s v="S11"/>
    <s v="P070421C1S11"/>
    <x v="1"/>
    <n v="2008"/>
    <x v="7"/>
    <s v=""/>
    <n v="50"/>
    <n v="2.1"/>
    <s v="USD"/>
    <n v="2.1"/>
    <n v="4.2000000000000003E-2"/>
    <s v=""/>
    <s v=""/>
    <x v="1"/>
    <s v=""/>
    <s v="x"/>
    <m/>
  </r>
  <r>
    <s v="India"/>
    <x v="0"/>
    <s v="P070421"/>
    <s v="C1"/>
    <s v=""/>
    <s v="P070421C1S11"/>
    <x v="2"/>
    <s v="2003 / 2008"/>
    <x v="7"/>
    <s v=""/>
    <n v="1"/>
    <n v="0.17227235438884334"/>
    <m/>
    <n v="0.17227235438884334"/>
    <n v="0.17227235438884334"/>
    <s v=""/>
    <s v=""/>
    <x v="1"/>
    <s v=""/>
    <s v="x"/>
    <s v="Quality of estimates; ; "/>
  </r>
  <r>
    <s v="India"/>
    <x v="0"/>
    <s v="P070421"/>
    <s v="C1"/>
    <s v="S2"/>
    <s v="P070421C1S2"/>
    <x v="0"/>
    <n v="2001"/>
    <x v="11"/>
    <s v=""/>
    <n v="78"/>
    <n v="18.89"/>
    <s v="USD"/>
    <n v="18.89"/>
    <n v="0.24217948717948717"/>
    <s v=""/>
    <s v=""/>
    <x v="0"/>
    <s v=""/>
    <s v=""/>
    <m/>
  </r>
  <r>
    <s v="India"/>
    <x v="0"/>
    <s v="P070421"/>
    <s v="C1"/>
    <s v="S2"/>
    <s v="P070421C1S2"/>
    <x v="1"/>
    <n v="2008"/>
    <x v="11"/>
    <s v=""/>
    <n v="78"/>
    <n v="21.7"/>
    <s v="USD"/>
    <n v="21.7"/>
    <n v="0.27820512820512822"/>
    <s v=""/>
    <s v=""/>
    <x v="0"/>
    <s v=""/>
    <s v=""/>
    <m/>
  </r>
  <r>
    <s v="India"/>
    <x v="0"/>
    <s v="P070421"/>
    <s v="C1"/>
    <s v=""/>
    <s v="P070421C1S2"/>
    <x v="2"/>
    <s v="2003 / 2008"/>
    <x v="11"/>
    <s v=""/>
    <n v="1"/>
    <n v="1.1487559555320275"/>
    <m/>
    <n v="1.1487559555320275"/>
    <n v="1.1487559555320277"/>
    <s v=""/>
    <s v=""/>
    <x v="0"/>
    <s v=""/>
    <s v=""/>
    <s v=""/>
  </r>
  <r>
    <s v="India"/>
    <x v="0"/>
    <s v="P070421"/>
    <s v="C1"/>
    <s v="S3"/>
    <s v="P070421C1S3"/>
    <x v="0"/>
    <n v="2001"/>
    <x v="11"/>
    <s v=""/>
    <n v="189"/>
    <n v="40.01"/>
    <s v="USD"/>
    <n v="40.01"/>
    <n v="0.21169312169312168"/>
    <s v=""/>
    <s v=""/>
    <x v="0"/>
    <s v=""/>
    <s v=""/>
    <m/>
  </r>
  <r>
    <s v="India"/>
    <x v="0"/>
    <s v="P070421"/>
    <s v="C1"/>
    <s v="S3"/>
    <s v="P070421C1S3"/>
    <x v="1"/>
    <n v="2008"/>
    <x v="11"/>
    <s v=""/>
    <n v="189"/>
    <n v="43.6"/>
    <s v="USD"/>
    <n v="43.6"/>
    <n v="0.23068783068783069"/>
    <s v=""/>
    <s v=""/>
    <x v="0"/>
    <s v=""/>
    <s v=""/>
    <m/>
  </r>
  <r>
    <s v="India"/>
    <x v="0"/>
    <s v="P070421"/>
    <s v="C1"/>
    <s v=""/>
    <s v="P070421C1S3"/>
    <x v="2"/>
    <s v="2003 / 2008"/>
    <x v="11"/>
    <s v=""/>
    <n v="1"/>
    <n v="1.089727568107973"/>
    <m/>
    <n v="1.089727568107973"/>
    <n v="1.089727568107973"/>
    <s v=""/>
    <s v=""/>
    <x v="0"/>
    <s v=""/>
    <s v=""/>
    <s v=""/>
  </r>
  <r>
    <s v="India"/>
    <x v="0"/>
    <s v="P070421"/>
    <s v="C1"/>
    <s v="S4"/>
    <s v="P070421C1S4"/>
    <x v="0"/>
    <n v="2001"/>
    <x v="11"/>
    <s v=""/>
    <n v="20"/>
    <n v="4.34"/>
    <s v="USD"/>
    <n v="4.34"/>
    <n v="0.217"/>
    <s v=""/>
    <s v=""/>
    <x v="0"/>
    <s v=""/>
    <s v=""/>
    <m/>
  </r>
  <r>
    <s v="India"/>
    <x v="0"/>
    <s v="P070421"/>
    <s v="C1"/>
    <s v="S4"/>
    <s v="P070421C1S4"/>
    <x v="1"/>
    <n v="2008"/>
    <x v="11"/>
    <s v=""/>
    <n v="20"/>
    <n v="3.5"/>
    <s v="USD"/>
    <n v="3.5"/>
    <n v="0.17499999999999999"/>
    <s v=""/>
    <s v=""/>
    <x v="0"/>
    <s v=""/>
    <s v=""/>
    <m/>
  </r>
  <r>
    <s v="India"/>
    <x v="0"/>
    <s v="P070421"/>
    <s v="C1"/>
    <s v=""/>
    <s v="P070421C1S4"/>
    <x v="2"/>
    <s v="2003 / 2008"/>
    <x v="11"/>
    <s v=""/>
    <n v="1"/>
    <n v="0.80645161290322587"/>
    <m/>
    <n v="0.80645161290322587"/>
    <n v="0.80645161290322576"/>
    <s v=""/>
    <s v=""/>
    <x v="0"/>
    <s v=""/>
    <s v=""/>
    <s v=""/>
  </r>
  <r>
    <s v="India"/>
    <x v="0"/>
    <s v="P070421"/>
    <s v="C1"/>
    <s v="S5"/>
    <s v="P070421C1S5"/>
    <x v="0"/>
    <n v="2001"/>
    <x v="11"/>
    <s v=""/>
    <n v="31"/>
    <n v="7.76"/>
    <s v="USD"/>
    <n v="7.76"/>
    <n v="0.25032258064516127"/>
    <s v=""/>
    <s v=""/>
    <x v="0"/>
    <s v=""/>
    <s v=""/>
    <m/>
  </r>
  <r>
    <s v="India"/>
    <x v="0"/>
    <s v="P070421"/>
    <s v="C1"/>
    <s v="S5"/>
    <s v="P070421C1S5"/>
    <x v="1"/>
    <n v="2008"/>
    <x v="11"/>
    <s v=""/>
    <n v="31"/>
    <n v="9"/>
    <s v="USD"/>
    <n v="9"/>
    <n v="0.29032258064516131"/>
    <s v=""/>
    <s v=""/>
    <x v="0"/>
    <s v=""/>
    <s v=""/>
    <m/>
  </r>
  <r>
    <s v="India"/>
    <x v="0"/>
    <s v="P070421"/>
    <s v="C1"/>
    <s v=""/>
    <s v="P070421C1S5"/>
    <x v="2"/>
    <s v="2003 / 2008"/>
    <x v="11"/>
    <s v=""/>
    <n v="1"/>
    <n v="1.1597938144329898"/>
    <m/>
    <n v="1.1597938144329898"/>
    <n v="1.1597938144329898"/>
    <s v=""/>
    <s v=""/>
    <x v="0"/>
    <s v=""/>
    <s v=""/>
    <s v=""/>
  </r>
  <r>
    <s v="India"/>
    <x v="0"/>
    <s v="P070421"/>
    <s v="C1"/>
    <s v="S6"/>
    <s v="P070421C1S6"/>
    <x v="0"/>
    <n v="2001"/>
    <x v="11"/>
    <s v=""/>
    <n v="94.13"/>
    <n v="22.94"/>
    <s v="USD"/>
    <n v="22.94"/>
    <n v="0.24370551365133328"/>
    <s v=""/>
    <s v=""/>
    <x v="0"/>
    <s v=""/>
    <s v=""/>
    <m/>
  </r>
  <r>
    <s v="India"/>
    <x v="0"/>
    <s v="P070421"/>
    <s v="C1"/>
    <s v="S6"/>
    <s v="P070421C1S6"/>
    <x v="1"/>
    <n v="2008"/>
    <x v="11"/>
    <s v=""/>
    <n v="94.13"/>
    <n v="21.5"/>
    <s v="USD"/>
    <n v="21.5"/>
    <n v="0.22840752151280144"/>
    <s v=""/>
    <s v=""/>
    <x v="0"/>
    <s v=""/>
    <s v=""/>
    <m/>
  </r>
  <r>
    <s v="India"/>
    <x v="0"/>
    <s v="P070421"/>
    <s v="C1"/>
    <s v=""/>
    <s v="P070421C1S6"/>
    <x v="2"/>
    <s v="2003 / 2008"/>
    <x v="11"/>
    <s v=""/>
    <n v="1"/>
    <n v="0.93722755013077585"/>
    <m/>
    <n v="0.93722755013077585"/>
    <n v="0.93722755013077585"/>
    <s v=""/>
    <s v=""/>
    <x v="0"/>
    <s v=""/>
    <s v=""/>
    <s v=""/>
  </r>
  <r>
    <s v="India"/>
    <x v="0"/>
    <s v="P070421"/>
    <s v="C1"/>
    <s v="S7"/>
    <s v="P070421C1S7"/>
    <x v="0"/>
    <n v="2001"/>
    <x v="11"/>
    <s v=""/>
    <n v="103.94"/>
    <n v="25.35"/>
    <s v="USD"/>
    <n v="25.35"/>
    <n v="0.24389070617664038"/>
    <s v=""/>
    <s v=""/>
    <x v="0"/>
    <s v=""/>
    <s v=""/>
    <m/>
  </r>
  <r>
    <s v="India"/>
    <x v="0"/>
    <s v="P070421"/>
    <s v="C1"/>
    <s v="S7"/>
    <s v="P070421C1S7"/>
    <x v="1"/>
    <n v="2008"/>
    <x v="11"/>
    <s v=""/>
    <n v="103.94"/>
    <n v="14.5"/>
    <s v="USD"/>
    <n v="14.5"/>
    <n v="0.13950355974600731"/>
    <s v=""/>
    <s v=""/>
    <x v="0"/>
    <s v=""/>
    <s v=""/>
    <m/>
  </r>
  <r>
    <s v="India"/>
    <x v="0"/>
    <s v="P070421"/>
    <s v="C1"/>
    <s v=""/>
    <s v="P070421C1S7"/>
    <x v="2"/>
    <s v="2003 / 2008"/>
    <x v="11"/>
    <s v=""/>
    <n v="1"/>
    <n v="0.57199211045364884"/>
    <m/>
    <n v="0.57199211045364884"/>
    <n v="0.57199211045364884"/>
    <s v=""/>
    <s v=""/>
    <x v="0"/>
    <s v=""/>
    <s v=""/>
    <s v=""/>
  </r>
  <r>
    <s v="India"/>
    <x v="0"/>
    <s v="P070421"/>
    <s v="C1"/>
    <s v="S8"/>
    <s v="P070421C1S8"/>
    <x v="0"/>
    <n v="2001"/>
    <x v="11"/>
    <s v=""/>
    <n v="170.62"/>
    <n v="45.67"/>
    <s v="USD"/>
    <n v="45.67"/>
    <n v="0.26767084749736259"/>
    <s v=""/>
    <s v=""/>
    <x v="1"/>
    <s v=""/>
    <s v="x"/>
    <m/>
  </r>
  <r>
    <s v="India"/>
    <x v="0"/>
    <s v="P070421"/>
    <s v="C1"/>
    <s v="S8"/>
    <s v="P070421C1S8"/>
    <x v="1"/>
    <n v="2008"/>
    <x v="11"/>
    <s v=""/>
    <n v="170.62"/>
    <n v="17.7"/>
    <s v="USD"/>
    <n v="17.7"/>
    <n v="0.10373930371585979"/>
    <s v=""/>
    <s v=""/>
    <x v="1"/>
    <s v=""/>
    <s v="x"/>
    <m/>
  </r>
  <r>
    <s v="India"/>
    <x v="0"/>
    <s v="P070421"/>
    <s v="C1"/>
    <s v=""/>
    <s v="P070421C1S8"/>
    <x v="2"/>
    <s v="2003 / 2008"/>
    <x v="11"/>
    <s v=""/>
    <n v="1"/>
    <n v="0.38756295160937154"/>
    <m/>
    <n v="0.38756295160937154"/>
    <n v="0.38756295160937149"/>
    <s v=""/>
    <s v=""/>
    <x v="1"/>
    <s v=""/>
    <s v="x"/>
    <s v="Quality of estimates; ; "/>
  </r>
  <r>
    <s v="India"/>
    <x v="0"/>
    <s v="P070421"/>
    <s v="C1"/>
    <s v="S9"/>
    <s v="P070421C1S9"/>
    <x v="0"/>
    <n v="2001"/>
    <x v="11"/>
    <s v=""/>
    <n v="35.200000000000003"/>
    <n v="8.58"/>
    <s v="USD"/>
    <n v="8.58"/>
    <n v="0.24374999999999999"/>
    <s v=""/>
    <s v=""/>
    <x v="0"/>
    <s v="x"/>
    <s v="x"/>
    <m/>
  </r>
  <r>
    <s v="India"/>
    <x v="0"/>
    <s v="P070421"/>
    <s v="C1"/>
    <s v="S9"/>
    <s v="P070421C1S9"/>
    <x v="1"/>
    <n v="2008"/>
    <x v="11"/>
    <s v=""/>
    <n v="35.200000000000003"/>
    <n v="84.8"/>
    <s v="USD"/>
    <n v="84.8"/>
    <n v="2.4090909090909087"/>
    <s v=""/>
    <s v=""/>
    <x v="0"/>
    <s v="x"/>
    <s v="x"/>
    <m/>
  </r>
  <r>
    <s v="India"/>
    <x v="0"/>
    <s v="P070421"/>
    <s v="C1"/>
    <s v=""/>
    <s v="P070421C1S9"/>
    <x v="2"/>
    <s v="2003 / 2008"/>
    <x v="11"/>
    <s v=""/>
    <n v="1"/>
    <n v="9.8834498834498827"/>
    <m/>
    <n v="9.8834498834498827"/>
    <n v="9.8834498834498827"/>
    <s v=""/>
    <s v=""/>
    <x v="0"/>
    <s v="x"/>
    <s v="x"/>
    <s v="Capacity of contractor; Macroeconomic conditions; "/>
  </r>
  <r>
    <s v="India"/>
    <x v="0"/>
    <s v="P070421"/>
    <s v="C2"/>
    <s v=""/>
    <s v="P070421C2"/>
    <x v="0"/>
    <n v="2001"/>
    <x v="5"/>
    <s v=""/>
    <n v="1300"/>
    <n v="91.15"/>
    <s v="USD"/>
    <n v="91.15"/>
    <n v="7.0115384615384621E-2"/>
    <s v=""/>
    <s v=""/>
    <x v="0"/>
    <s v="x"/>
    <s v="x"/>
    <m/>
  </r>
  <r>
    <s v="India"/>
    <x v="0"/>
    <s v="P070421"/>
    <s v="C2"/>
    <s v=""/>
    <s v="P070421C2"/>
    <x v="1"/>
    <n v="2008"/>
    <x v="5"/>
    <s v=""/>
    <n v="1250"/>
    <n v="158.72999999999999"/>
    <s v="USD"/>
    <n v="158.72999999999999"/>
    <n v="0.12698399999999999"/>
    <s v=""/>
    <s v=""/>
    <x v="0"/>
    <s v="x"/>
    <s v="x"/>
    <m/>
  </r>
  <r>
    <s v="India"/>
    <x v="0"/>
    <s v="P070421"/>
    <s v="C1"/>
    <s v=""/>
    <s v="P070421C2"/>
    <x v="2"/>
    <s v="2003 / 2008"/>
    <x v="5"/>
    <s v=""/>
    <n v="0.96153846153846156"/>
    <n v="1.74141524958859"/>
    <m/>
    <n v="1.74141524958859"/>
    <n v="1.8110718595721336"/>
    <s v=""/>
    <s v=""/>
    <x v="0"/>
    <s v="x"/>
    <s v="x"/>
    <s v="Capacity of contractor; Macroeconomic conditions; "/>
  </r>
  <r>
    <s v="India"/>
    <x v="0"/>
    <s v="P072539"/>
    <s v="C1"/>
    <s v=""/>
    <s v="P072539C1"/>
    <x v="0"/>
    <n v="2002"/>
    <x v="11"/>
    <s v=""/>
    <n v="579"/>
    <n v="227.2"/>
    <s v="USD"/>
    <n v="227.2"/>
    <n v="0.3924006908462867"/>
    <s v="x"/>
    <s v=""/>
    <x v="0"/>
    <s v="x"/>
    <s v="x"/>
    <m/>
  </r>
  <r>
    <s v="India"/>
    <x v="0"/>
    <s v="P072539"/>
    <s v="C1"/>
    <s v=""/>
    <s v="P072539C1"/>
    <x v="1"/>
    <n v="2011"/>
    <x v="11"/>
    <s v=""/>
    <n v="254"/>
    <n v="163.41"/>
    <s v="USD"/>
    <n v="163.41"/>
    <n v="0.64334645669291335"/>
    <s v="x"/>
    <s v=""/>
    <x v="0"/>
    <s v="x"/>
    <s v="x"/>
    <m/>
  </r>
  <r>
    <s v="India"/>
    <x v="0"/>
    <s v="P072539"/>
    <s v="C1"/>
    <s v=""/>
    <s v="P072539C1"/>
    <x v="2"/>
    <s v="2003 / 2008"/>
    <x v="11"/>
    <s v=""/>
    <n v="0.43868739205526769"/>
    <n v="0.71923415492957754"/>
    <m/>
    <n v="0.71923415492957754"/>
    <n v="1.6395140775756902"/>
    <s v="x"/>
    <s v=""/>
    <x v="0"/>
    <s v="x"/>
    <s v="x"/>
    <s v="Capacity of counterpart (Procurement system); Change of project scope; Quality of estimates"/>
  </r>
  <r>
    <s v="India"/>
    <x v="0"/>
    <s v="P072539"/>
    <s v="C2"/>
    <s v=""/>
    <s v="P072539C2"/>
    <x v="0"/>
    <n v="2002"/>
    <x v="5"/>
    <s v=""/>
    <n v="1009"/>
    <n v="54.1"/>
    <s v="USD"/>
    <n v="54.1"/>
    <n v="5.3617443012884042E-2"/>
    <s v=""/>
    <s v=""/>
    <x v="0"/>
    <s v="x"/>
    <s v="x"/>
    <m/>
  </r>
  <r>
    <s v="India"/>
    <x v="0"/>
    <s v="P072539"/>
    <s v="C2"/>
    <s v=""/>
    <s v="P072539C2"/>
    <x v="1"/>
    <n v="2011"/>
    <x v="5"/>
    <s v=""/>
    <n v="1156"/>
    <n v="129.44"/>
    <s v="USD"/>
    <n v="129.44"/>
    <n v="0.11197231833910035"/>
    <s v=""/>
    <s v=""/>
    <x v="0"/>
    <s v="x"/>
    <s v="x"/>
    <m/>
  </r>
  <r>
    <s v="India"/>
    <x v="0"/>
    <s v="P072539"/>
    <s v="C1"/>
    <s v=""/>
    <s v="P072539C2"/>
    <x v="2"/>
    <s v="2003 / 2008"/>
    <x v="5"/>
    <s v=""/>
    <n v="1.1456888007928643"/>
    <n v="2.3926062846580405"/>
    <m/>
    <n v="2.3926062846580405"/>
    <n v="2.0883561775259198"/>
    <s v=""/>
    <s v=""/>
    <x v="0"/>
    <s v="x"/>
    <s v="x"/>
    <s v="Capacity of counterpart (Procurement system); Quality of estimates; "/>
  </r>
  <r>
    <s v="India"/>
    <x v="0"/>
    <s v="P077977"/>
    <s v="C1"/>
    <s v="S1"/>
    <s v="P077977C1S1"/>
    <x v="0"/>
    <n v="2004"/>
    <x v="1"/>
    <n v="12"/>
    <n v="672"/>
    <n v="1135.68"/>
    <s v="INR"/>
    <n v="25.237333333333336"/>
    <n v="3.7555555555555557E-2"/>
    <s v=""/>
    <s v=""/>
    <x v="0"/>
    <s v=""/>
    <s v=""/>
    <m/>
  </r>
  <r>
    <s v="India"/>
    <x v="0"/>
    <s v="P077977"/>
    <s v="C1"/>
    <s v="S1"/>
    <s v="P077977C1S1"/>
    <x v="1"/>
    <n v="2012"/>
    <x v="1"/>
    <n v="24"/>
    <n v="984"/>
    <n v="2192.3000000000002"/>
    <s v="INR"/>
    <n v="39.415677813736075"/>
    <n v="4.0056583144040724E-2"/>
    <s v=""/>
    <s v=""/>
    <x v="0"/>
    <s v=""/>
    <s v=""/>
    <m/>
  </r>
  <r>
    <s v="India"/>
    <x v="0"/>
    <s v="P077977"/>
    <s v="C1"/>
    <s v=""/>
    <s v="P077977C1S1"/>
    <x v="2"/>
    <s v="2003 / 2008"/>
    <x v="1"/>
    <n v="2"/>
    <n v="1.4642857142857142"/>
    <n v="1.9303853198083969"/>
    <m/>
    <n v="1.5618004205569556"/>
    <n v="1.0665954091608476"/>
    <s v=""/>
    <s v=""/>
    <x v="0"/>
    <s v=""/>
    <s v=""/>
    <s v="Change of project scope; ; "/>
  </r>
  <r>
    <s v="India"/>
    <x v="0"/>
    <s v="P077977"/>
    <s v="C1"/>
    <s v="S2"/>
    <s v="P077977C1S2"/>
    <x v="0"/>
    <n v="2004"/>
    <x v="1"/>
    <n v="12"/>
    <n v="130"/>
    <n v="291.20000000000005"/>
    <s v="INR"/>
    <n v="6.4711111111111119"/>
    <n v="4.9777777777777782E-2"/>
    <s v=""/>
    <s v=""/>
    <x v="0"/>
    <s v=""/>
    <s v=""/>
    <m/>
  </r>
  <r>
    <s v="India"/>
    <x v="0"/>
    <s v="P077977"/>
    <s v="C1"/>
    <s v="S2"/>
    <s v="P077977C1S2"/>
    <x v="1"/>
    <n v="2012"/>
    <x v="1"/>
    <n v="18"/>
    <n v="126"/>
    <n v="308.5"/>
    <s v="INR"/>
    <n v="5.5465659834591872"/>
    <n v="4.4020364948088787E-2"/>
    <s v=""/>
    <s v=""/>
    <x v="0"/>
    <s v=""/>
    <s v=""/>
    <m/>
  </r>
  <r>
    <s v="India"/>
    <x v="0"/>
    <s v="P077977"/>
    <s v="C1"/>
    <s v=""/>
    <s v="P077977C1S2"/>
    <x v="2"/>
    <s v="2003 / 2008"/>
    <x v="1"/>
    <n v="1.5"/>
    <n v="0.96923076923076923"/>
    <n v="1.0594093406593406"/>
    <m/>
    <n v="0.85712729826807488"/>
    <n v="0.88433768868928364"/>
    <s v=""/>
    <s v=""/>
    <x v="0"/>
    <s v=""/>
    <s v=""/>
    <s v=""/>
  </r>
  <r>
    <s v="India"/>
    <x v="0"/>
    <s v="P077977"/>
    <s v="C1"/>
    <s v="S3"/>
    <s v="P077977C1S3"/>
    <x v="0"/>
    <n v="2004"/>
    <x v="1"/>
    <n v="12"/>
    <n v="2282"/>
    <n v="3605.56"/>
    <s v="INR"/>
    <n v="80.123555555555555"/>
    <n v="3.5111111111111114E-2"/>
    <s v=""/>
    <s v="x"/>
    <x v="0"/>
    <s v=""/>
    <s v="x"/>
    <m/>
  </r>
  <r>
    <s v="India"/>
    <x v="0"/>
    <s v="P077977"/>
    <s v="C1"/>
    <s v="S3"/>
    <s v="P077977C1S3"/>
    <x v="1"/>
    <n v="2012"/>
    <x v="1"/>
    <n v="18"/>
    <n v="6287"/>
    <n v="10619.3"/>
    <s v="INR"/>
    <n v="190.92592592592592"/>
    <n v="3.0368367413062817E-2"/>
    <s v=""/>
    <s v="x"/>
    <x v="0"/>
    <s v=""/>
    <s v="x"/>
    <m/>
  </r>
  <r>
    <s v="India"/>
    <x v="0"/>
    <s v="P077977"/>
    <s v="C1"/>
    <s v=""/>
    <s v="P077977C1S3"/>
    <x v="2"/>
    <s v="2003 / 2008"/>
    <x v="1"/>
    <n v="1.5"/>
    <n v="2.7550394390885189"/>
    <n v="2.9452567700995127"/>
    <m/>
    <n v="2.3828938269413533"/>
    <n v="0.86492185670115607"/>
    <s v=""/>
    <s v="x"/>
    <x v="0"/>
    <s v=""/>
    <s v="x"/>
    <s v="Change of project scope; ; "/>
  </r>
  <r>
    <s v="India"/>
    <x v="0"/>
    <s v="P077977"/>
    <s v="C1"/>
    <s v="S4"/>
    <s v="P077977C1S4"/>
    <x v="0"/>
    <n v="2004"/>
    <x v="1"/>
    <n v="12"/>
    <n v="1466"/>
    <n v="3342.4799999999996"/>
    <s v="INR"/>
    <n v="74.277333333333317"/>
    <n v="5.0666666666666658E-2"/>
    <s v=""/>
    <s v="x"/>
    <x v="0"/>
    <s v=""/>
    <s v="x"/>
    <m/>
  </r>
  <r>
    <s v="India"/>
    <x v="0"/>
    <s v="P077977"/>
    <s v="C1"/>
    <s v="S4"/>
    <s v="P077977C1S4"/>
    <x v="1"/>
    <n v="2012"/>
    <x v="1"/>
    <n v="18"/>
    <n v="2227.9"/>
    <n v="6874.3"/>
    <s v="INR"/>
    <n v="123.59403092412802"/>
    <n v="5.5475573824735405E-2"/>
    <s v=""/>
    <s v="x"/>
    <x v="0"/>
    <s v=""/>
    <s v="x"/>
    <m/>
  </r>
  <r>
    <s v="India"/>
    <x v="0"/>
    <s v="P077977"/>
    <s v="C1"/>
    <s v=""/>
    <s v="P077977C1S4"/>
    <x v="2"/>
    <s v="2003 / 2008"/>
    <x v="1"/>
    <n v="1.5"/>
    <n v="1.5197135061391542"/>
    <n v="2.0566465618343268"/>
    <m/>
    <n v="1.6639535289921741"/>
    <n v="1.0949126412776726"/>
    <s v=""/>
    <s v="x"/>
    <x v="0"/>
    <s v=""/>
    <s v="x"/>
    <s v="Change of project scope; ; "/>
  </r>
  <r>
    <s v="India"/>
    <x v="0"/>
    <s v="P096023"/>
    <s v="C1"/>
    <s v="S1"/>
    <s v="P096023C1S1"/>
    <x v="0"/>
    <n v="2008"/>
    <x v="12"/>
    <s v=""/>
    <n v="68"/>
    <n v="32.200000000000003"/>
    <s v="USD"/>
    <n v="32.200000000000003"/>
    <n v="0.47352941176470592"/>
    <s v=""/>
    <s v=""/>
    <x v="0"/>
    <s v=""/>
    <s v=""/>
    <m/>
  </r>
  <r>
    <s v="India"/>
    <x v="0"/>
    <s v="P096023"/>
    <s v="C1"/>
    <s v="S1"/>
    <s v="P096023C1S1"/>
    <x v="1"/>
    <n v="2017"/>
    <x v="12"/>
    <n v="48"/>
    <n v="68"/>
    <n v="1830"/>
    <s v="INR"/>
    <n v="27.50638809559597"/>
    <n v="0.40450570728817603"/>
    <s v=""/>
    <s v=""/>
    <x v="0"/>
    <s v=""/>
    <s v=""/>
    <m/>
  </r>
  <r>
    <s v="India"/>
    <x v="0"/>
    <s v="P096023"/>
    <s v="C1"/>
    <s v=""/>
    <s v="P096023C1S1"/>
    <x v="2"/>
    <s v="2003 / 2008"/>
    <x v="12"/>
    <s v=""/>
    <n v="1"/>
    <n v="56.83229813664596"/>
    <m/>
    <n v="0.85423565514273192"/>
    <n v="0.85423565514273192"/>
    <s v=""/>
    <s v=""/>
    <x v="0"/>
    <s v=""/>
    <s v=""/>
    <s v=""/>
  </r>
  <r>
    <s v="India"/>
    <x v="0"/>
    <s v="P096023"/>
    <s v="C1"/>
    <s v="S2"/>
    <s v="P096023C1S2"/>
    <x v="0"/>
    <n v="2008"/>
    <x v="12"/>
    <s v=""/>
    <n v="41"/>
    <n v="22"/>
    <s v="USD"/>
    <n v="22"/>
    <n v="0.53658536585365857"/>
    <s v=""/>
    <s v=""/>
    <x v="0"/>
    <s v=""/>
    <s v=""/>
    <m/>
  </r>
  <r>
    <s v="India"/>
    <x v="0"/>
    <s v="P096023"/>
    <s v="C1"/>
    <s v="S2"/>
    <s v="P096023C1S2"/>
    <x v="1"/>
    <n v="2017"/>
    <x v="12"/>
    <n v="36"/>
    <n v="39"/>
    <n v="1529"/>
    <s v="INR"/>
    <n v="22.982113332331277"/>
    <n v="0.58928495723926355"/>
    <s v=""/>
    <s v=""/>
    <x v="0"/>
    <s v=""/>
    <s v=""/>
    <m/>
  </r>
  <r>
    <s v="India"/>
    <x v="0"/>
    <s v="P096023"/>
    <s v="C1"/>
    <s v=""/>
    <s v="P096023C1S2"/>
    <x v="2"/>
    <s v="2003 / 2008"/>
    <x v="12"/>
    <s v=""/>
    <n v="0.95121951219512191"/>
    <n v="69.5"/>
    <m/>
    <n v="1.0446415151059671"/>
    <n v="1.0982128748549911"/>
    <s v=""/>
    <s v=""/>
    <x v="0"/>
    <s v=""/>
    <s v=""/>
    <s v=""/>
  </r>
  <r>
    <s v="Indonesia"/>
    <x v="4"/>
    <s v="P040578"/>
    <s v="C1"/>
    <s v="S1"/>
    <s v="P040578C1S1"/>
    <x v="0"/>
    <n v="2001"/>
    <x v="5"/>
    <s v=""/>
    <n v="1000"/>
    <n v="44.78"/>
    <s v="USD"/>
    <n v="44.78"/>
    <n v="4.478E-2"/>
    <s v=""/>
    <s v=""/>
    <x v="0"/>
    <s v=""/>
    <s v=""/>
    <m/>
  </r>
  <r>
    <s v="Indonesia"/>
    <x v="4"/>
    <s v="P040578"/>
    <s v="C1"/>
    <s v="S1"/>
    <s v="P040578C1S1"/>
    <x v="1"/>
    <n v="2006"/>
    <x v="5"/>
    <s v=""/>
    <n v="1111"/>
    <n v="50.33"/>
    <s v="USD"/>
    <n v="50.33"/>
    <n v="4.5301530153015301E-2"/>
    <s v=""/>
    <s v=""/>
    <x v="0"/>
    <s v=""/>
    <s v=""/>
    <m/>
  </r>
  <r>
    <s v="Indonesia"/>
    <x v="4"/>
    <s v="P040578"/>
    <s v="C1"/>
    <s v=""/>
    <s v="P040578C1S1"/>
    <x v="2"/>
    <s v="2003 / 2008"/>
    <x v="5"/>
    <s v=""/>
    <n v="1.111"/>
    <n v="1.1239392585975883"/>
    <m/>
    <n v="1.1239392585975883"/>
    <n v="1.0116464973875681"/>
    <s v=""/>
    <s v=""/>
    <x v="0"/>
    <s v=""/>
    <s v=""/>
    <s v=""/>
  </r>
  <r>
    <s v="Indonesia"/>
    <x v="4"/>
    <s v="P040578"/>
    <s v="C1"/>
    <s v="S2"/>
    <s v="P040578C1S2"/>
    <x v="0"/>
    <n v="2001"/>
    <x v="2"/>
    <s v=""/>
    <n v="1250"/>
    <n v="104.03"/>
    <s v="USD"/>
    <n v="104.03"/>
    <n v="8.3224000000000006E-2"/>
    <s v=""/>
    <s v=""/>
    <x v="0"/>
    <s v=""/>
    <s v=""/>
    <m/>
  </r>
  <r>
    <s v="Indonesia"/>
    <x v="4"/>
    <s v="P040578"/>
    <s v="C1"/>
    <s v="S2"/>
    <s v="P040578C1S2"/>
    <x v="1"/>
    <n v="2006"/>
    <x v="2"/>
    <s v=""/>
    <n v="1705"/>
    <n v="145.96"/>
    <s v="USD"/>
    <n v="145.96"/>
    <n v="8.5607038123167153E-2"/>
    <s v=""/>
    <s v=""/>
    <x v="0"/>
    <s v=""/>
    <s v=""/>
    <m/>
  </r>
  <r>
    <s v="Indonesia"/>
    <x v="4"/>
    <s v="P040578"/>
    <s v="C1"/>
    <s v=""/>
    <s v="P040578C1S2"/>
    <x v="2"/>
    <s v="2003 / 2008"/>
    <x v="2"/>
    <s v=""/>
    <n v="1.3640000000000001"/>
    <n v="1.4030568105354226"/>
    <m/>
    <n v="1.4030568105354226"/>
    <n v="1.0286340253192245"/>
    <s v=""/>
    <s v=""/>
    <x v="0"/>
    <s v=""/>
    <s v=""/>
    <s v=""/>
  </r>
  <r>
    <s v="Indonesia"/>
    <x v="4"/>
    <s v="P074290"/>
    <s v="C1"/>
    <s v=""/>
    <s v="P074290C1"/>
    <x v="0"/>
    <n v="2004"/>
    <x v="2"/>
    <n v="86"/>
    <n v="3119.2"/>
    <n v="158.75"/>
    <s v="USD"/>
    <n v="158.75"/>
    <n v="5.0894460117978969E-2"/>
    <s v="x"/>
    <s v=""/>
    <x v="0"/>
    <s v="x"/>
    <s v="x"/>
    <m/>
  </r>
  <r>
    <s v="Indonesia"/>
    <x v="4"/>
    <s v="P074290"/>
    <s v="C1"/>
    <s v=""/>
    <s v="P074290C1"/>
    <x v="1"/>
    <n v="2012"/>
    <x v="2"/>
    <n v="86"/>
    <n v="1543"/>
    <n v="184.47"/>
    <s v="USD"/>
    <n v="184.47"/>
    <n v="0.11955281918340895"/>
    <s v="x"/>
    <s v=""/>
    <x v="0"/>
    <s v="x"/>
    <s v="x"/>
    <m/>
  </r>
  <r>
    <s v="Indonesia"/>
    <x v="4"/>
    <s v="P074290"/>
    <s v="C1"/>
    <s v=""/>
    <s v="P074290C1"/>
    <x v="2"/>
    <s v="2003 / 2008"/>
    <x v="2"/>
    <n v="1"/>
    <n v="0.49467812259553734"/>
    <n v="1.1620157480314961"/>
    <m/>
    <n v="1.1620157480314961"/>
    <n v="2.349034038405601"/>
    <s v="x"/>
    <s v=""/>
    <x v="0"/>
    <s v="x"/>
    <s v="x"/>
    <s v="Macroeconomic conditions; Capacity of counterpart; Change of project scope"/>
  </r>
  <r>
    <s v="Indonesia"/>
    <x v="4"/>
    <s v="P074290"/>
    <s v="C1"/>
    <s v="S1"/>
    <s v="P074290C1S1"/>
    <x v="0"/>
    <n v="2004"/>
    <x v="5"/>
    <s v=""/>
    <n v="124.1"/>
    <n v="8.16"/>
    <s v="USD"/>
    <n v="8.16"/>
    <n v="6.5753424657534254E-2"/>
    <s v="x"/>
    <s v=""/>
    <x v="0"/>
    <s v="x"/>
    <s v="x"/>
    <m/>
  </r>
  <r>
    <s v="Indonesia"/>
    <x v="4"/>
    <s v="P074290"/>
    <s v="C1"/>
    <s v="S1"/>
    <s v="P074290C1S1"/>
    <x v="1"/>
    <n v="2012"/>
    <x v="5"/>
    <s v=""/>
    <n v="47.2"/>
    <n v="6.2"/>
    <s v="USD"/>
    <n v="6.2"/>
    <n v="0.13135593220338981"/>
    <s v="x"/>
    <s v=""/>
    <x v="0"/>
    <s v="x"/>
    <s v="x"/>
    <m/>
  </r>
  <r>
    <s v="Indonesia"/>
    <x v="4"/>
    <s v="P074290"/>
    <s v="C1"/>
    <s v=""/>
    <s v="P074290C1S1"/>
    <x v="2"/>
    <s v="2003 / 2008"/>
    <x v="5"/>
    <s v=""/>
    <n v="0.38033843674456086"/>
    <n v="0.75980392156862742"/>
    <m/>
    <n v="0.75980392156862742"/>
    <n v="1.9977048022598864"/>
    <s v="x"/>
    <s v=""/>
    <x v="0"/>
    <s v="x"/>
    <s v="x"/>
    <s v="Capacity of counterpart; Change of project scope; "/>
  </r>
  <r>
    <s v="Indonesia"/>
    <x v="4"/>
    <s v="P074290"/>
    <s v="C1"/>
    <s v="S2"/>
    <s v="P074290C1S2"/>
    <x v="0"/>
    <n v="2004"/>
    <x v="2"/>
    <s v=""/>
    <n v="90.2"/>
    <n v="8.0500000000000007"/>
    <s v="USD"/>
    <n v="8.0500000000000007"/>
    <n v="8.9246119733924614E-2"/>
    <s v=""/>
    <s v="x"/>
    <x v="0"/>
    <s v="x"/>
    <s v="x"/>
    <m/>
  </r>
  <r>
    <s v="Indonesia"/>
    <x v="4"/>
    <s v="P074290"/>
    <s v="C1"/>
    <s v="S2"/>
    <s v="P074290C1S2"/>
    <x v="1"/>
    <n v="2012"/>
    <x v="2"/>
    <s v=""/>
    <n v="392.2"/>
    <n v="68.69"/>
    <s v="USD"/>
    <n v="68.69"/>
    <n v="0.17514023457419683"/>
    <s v=""/>
    <s v="x"/>
    <x v="0"/>
    <s v="x"/>
    <s v="x"/>
    <m/>
  </r>
  <r>
    <s v="Indonesia"/>
    <x v="4"/>
    <s v="P074290"/>
    <s v="C1"/>
    <s v=""/>
    <s v="P074290C1S2"/>
    <x v="2"/>
    <s v="2003 / 2008"/>
    <x v="2"/>
    <s v=""/>
    <n v="4.3481152993348111"/>
    <n v="8.5329192546583847"/>
    <m/>
    <n v="8.5329192546583847"/>
    <n v="1.9624408892661558"/>
    <s v=""/>
    <s v="x"/>
    <x v="0"/>
    <s v="x"/>
    <s v="x"/>
    <s v="Macroeconomic conditions; Change of project scope; Change of project scope"/>
  </r>
  <r>
    <s v="Indonesia"/>
    <x v="4"/>
    <s v="P074290"/>
    <s v="C1"/>
    <s v="S3"/>
    <s v="P074290C1S3"/>
    <x v="0"/>
    <n v="2004"/>
    <x v="5"/>
    <s v=""/>
    <n v="58.4"/>
    <n v="5.37"/>
    <s v="USD"/>
    <n v="5.37"/>
    <n v="9.1952054794520552E-2"/>
    <s v=""/>
    <s v=""/>
    <x v="0"/>
    <s v=""/>
    <s v=""/>
    <m/>
  </r>
  <r>
    <s v="Indonesia"/>
    <x v="4"/>
    <s v="P074290"/>
    <s v="C1"/>
    <s v="S3"/>
    <s v="P074290C1S3"/>
    <x v="1"/>
    <n v="2012"/>
    <x v="5"/>
    <s v=""/>
    <n v="51.8"/>
    <n v="6.74"/>
    <s v="USD"/>
    <n v="6.74"/>
    <n v="0.13011583011583014"/>
    <s v=""/>
    <s v=""/>
    <x v="0"/>
    <s v=""/>
    <s v=""/>
    <m/>
  </r>
  <r>
    <s v="Indonesia"/>
    <x v="4"/>
    <s v="P074290"/>
    <s v="C1"/>
    <s v=""/>
    <s v="P074290C1S3"/>
    <x v="2"/>
    <s v="2003 / 2008"/>
    <x v="5"/>
    <s v=""/>
    <n v="0.88698630136986301"/>
    <n v="1.2551210428305402"/>
    <m/>
    <n v="1.2551210428305402"/>
    <n v="1.4150399401796052"/>
    <s v=""/>
    <s v=""/>
    <x v="0"/>
    <s v=""/>
    <s v=""/>
    <s v=""/>
  </r>
  <r>
    <s v="Indonesia"/>
    <x v="4"/>
    <s v="P074290"/>
    <s v="C1"/>
    <s v="S4"/>
    <s v="P074290C1S4"/>
    <x v="0"/>
    <n v="2004"/>
    <x v="2"/>
    <s v=""/>
    <n v="51"/>
    <n v="7.22"/>
    <s v="USD"/>
    <n v="7.22"/>
    <n v="0.14156862745098039"/>
    <s v="x"/>
    <s v=""/>
    <x v="0"/>
    <s v="x"/>
    <s v="x"/>
    <m/>
  </r>
  <r>
    <s v="Indonesia"/>
    <x v="4"/>
    <s v="P074290"/>
    <s v="C1"/>
    <s v="S4"/>
    <s v="P074290C1S4"/>
    <x v="1"/>
    <n v="2012"/>
    <x v="2"/>
    <s v=""/>
    <n v="19.5"/>
    <n v="6.25"/>
    <s v="USD"/>
    <n v="6.25"/>
    <n v="0.32051282051282054"/>
    <s v="x"/>
    <s v=""/>
    <x v="0"/>
    <s v="x"/>
    <s v="x"/>
    <m/>
  </r>
  <r>
    <s v="Indonesia"/>
    <x v="4"/>
    <s v="P074290"/>
    <s v="C1"/>
    <s v=""/>
    <s v="P074290C1S4"/>
    <x v="2"/>
    <s v="2003 / 2008"/>
    <x v="2"/>
    <s v=""/>
    <n v="0.38235294117647056"/>
    <n v="0.86565096952908593"/>
    <m/>
    <n v="0.86565096952908593"/>
    <n v="2.2640102279991479"/>
    <s v="x"/>
    <s v=""/>
    <x v="0"/>
    <s v="x"/>
    <s v="x"/>
    <s v="Macroeconomic conditions; Capacity of counterpart; Change of project scope"/>
  </r>
  <r>
    <s v="Indonesia"/>
    <x v="4"/>
    <s v="P074290"/>
    <s v="C1"/>
    <s v="S5"/>
    <s v="P074290C1S5"/>
    <x v="0"/>
    <n v="2004"/>
    <x v="5"/>
    <s v=""/>
    <n v="372.9"/>
    <n v="19.309999999999999"/>
    <s v="USD"/>
    <n v="19.309999999999999"/>
    <n v="5.1783319924912842E-2"/>
    <s v="x"/>
    <s v=""/>
    <x v="0"/>
    <s v=""/>
    <s v="x"/>
    <m/>
  </r>
  <r>
    <s v="Indonesia"/>
    <x v="4"/>
    <s v="P074290"/>
    <s v="C1"/>
    <s v="S5"/>
    <s v="P074290C1S5"/>
    <x v="1"/>
    <n v="2012"/>
    <x v="5"/>
    <s v=""/>
    <n v="120.7"/>
    <n v="9.08"/>
    <s v="USD"/>
    <n v="9.08"/>
    <n v="7.522783761391881E-2"/>
    <s v="x"/>
    <s v=""/>
    <x v="0"/>
    <s v=""/>
    <s v="x"/>
    <m/>
  </r>
  <r>
    <s v="Indonesia"/>
    <x v="4"/>
    <s v="P074290"/>
    <s v="C1"/>
    <s v=""/>
    <s v="P074290C1S5"/>
    <x v="2"/>
    <s v="2003 / 2008"/>
    <x v="5"/>
    <s v=""/>
    <n v="0.32367927058192547"/>
    <n v="0.47022268254790267"/>
    <m/>
    <n v="0.47022268254790267"/>
    <n v="1.4527426538700323"/>
    <s v="x"/>
    <s v=""/>
    <x v="0"/>
    <s v=""/>
    <s v="x"/>
    <s v="Macroeconomic conditions; Capacity of counterpart; Change of project scope"/>
  </r>
  <r>
    <s v="Indonesia"/>
    <x v="4"/>
    <s v="P074290"/>
    <s v="C1"/>
    <s v="S6"/>
    <s v="P074290C1S6"/>
    <x v="0"/>
    <n v="2004"/>
    <x v="2"/>
    <s v=""/>
    <n v="438.1"/>
    <n v="41.49"/>
    <s v="USD"/>
    <n v="41.49"/>
    <n v="9.4704405386897964E-2"/>
    <s v="x"/>
    <s v=""/>
    <x v="0"/>
    <s v="x"/>
    <s v="x"/>
    <m/>
  </r>
  <r>
    <s v="Indonesia"/>
    <x v="4"/>
    <s v="P074290"/>
    <s v="C1"/>
    <s v="S6"/>
    <s v="P074290C1S6"/>
    <x v="1"/>
    <n v="2012"/>
    <x v="2"/>
    <s v=""/>
    <n v="179.2"/>
    <n v="31.94"/>
    <s v="USD"/>
    <n v="31.94"/>
    <n v="0.17823660714285716"/>
    <s v="x"/>
    <s v=""/>
    <x v="0"/>
    <s v="x"/>
    <s v="x"/>
    <m/>
  </r>
  <r>
    <s v="Indonesia"/>
    <x v="4"/>
    <s v="P074290"/>
    <s v="C1"/>
    <s v=""/>
    <s v="P074290C1S6"/>
    <x v="2"/>
    <s v="2003 / 2008"/>
    <x v="2"/>
    <s v=""/>
    <n v="0.40903903218443272"/>
    <n v="0.76982405398891296"/>
    <m/>
    <n v="0.76982405398891296"/>
    <n v="1.8820307927039222"/>
    <s v="x"/>
    <s v=""/>
    <x v="0"/>
    <s v="x"/>
    <s v="x"/>
    <s v="Macroeconomic conditions; Capacity of counterpart; Change of project scope"/>
  </r>
  <r>
    <s v="Indonesia"/>
    <x v="4"/>
    <s v="P074290"/>
    <s v="C1"/>
    <s v="S7"/>
    <s v="P074290C1S7"/>
    <x v="0"/>
    <n v="2004"/>
    <x v="5"/>
    <s v=""/>
    <n v="1049.7"/>
    <n v="25.26"/>
    <s v="USD"/>
    <n v="25.26"/>
    <n v="2.4064018290940268E-2"/>
    <s v="x"/>
    <s v=""/>
    <x v="0"/>
    <s v="x"/>
    <s v="x"/>
    <m/>
  </r>
  <r>
    <s v="Indonesia"/>
    <x v="4"/>
    <s v="P074290"/>
    <s v="C1"/>
    <s v="S7"/>
    <s v="P074290C1S7"/>
    <x v="1"/>
    <n v="2012"/>
    <x v="5"/>
    <s v=""/>
    <n v="273.5"/>
    <n v="14.29"/>
    <s v="USD"/>
    <n v="14.29"/>
    <n v="5.2248628884826322E-2"/>
    <s v="x"/>
    <s v=""/>
    <x v="0"/>
    <s v="x"/>
    <s v="x"/>
    <m/>
  </r>
  <r>
    <s v="Indonesia"/>
    <x v="4"/>
    <s v="P074290"/>
    <s v="C1"/>
    <s v=""/>
    <s v="P074290C1S7"/>
    <x v="2"/>
    <s v="2003 / 2008"/>
    <x v="5"/>
    <s v=""/>
    <n v="0.26055063351433744"/>
    <n v="0.56571654790182102"/>
    <m/>
    <n v="0.56571654790182102"/>
    <n v="2.1712345898813221"/>
    <s v="x"/>
    <s v=""/>
    <x v="0"/>
    <s v="x"/>
    <s v="x"/>
    <s v="Macroeconomic conditions; Capacity of counterpart; Change of project scope"/>
  </r>
  <r>
    <s v="Indonesia"/>
    <x v="4"/>
    <s v="P074290"/>
    <s v="C1"/>
    <s v="S8"/>
    <s v="P074290C1S8"/>
    <x v="0"/>
    <n v="2004"/>
    <x v="2"/>
    <s v=""/>
    <n v="934.8"/>
    <n v="43.89"/>
    <s v="USD"/>
    <n v="43.89"/>
    <n v="4.6951219512195122E-2"/>
    <s v="x"/>
    <s v=""/>
    <x v="0"/>
    <s v="x"/>
    <s v="x"/>
    <m/>
  </r>
  <r>
    <s v="Indonesia"/>
    <x v="4"/>
    <s v="P074290"/>
    <s v="C1"/>
    <s v="S8"/>
    <s v="P074290C1S8"/>
    <x v="1"/>
    <n v="2012"/>
    <x v="2"/>
    <s v=""/>
    <n v="458.9"/>
    <n v="41.28"/>
    <s v="USD"/>
    <n v="41.28"/>
    <n v="8.9954238396164746E-2"/>
    <s v="x"/>
    <s v=""/>
    <x v="0"/>
    <s v="x"/>
    <s v="x"/>
    <m/>
  </r>
  <r>
    <s v="Indonesia"/>
    <x v="4"/>
    <s v="P074290"/>
    <s v="C1"/>
    <s v=""/>
    <s v="P074290C1S8"/>
    <x v="2"/>
    <s v="2003 / 2008"/>
    <x v="2"/>
    <s v=""/>
    <n v="0.49090714591356438"/>
    <n v="0.94053315105946689"/>
    <m/>
    <n v="0.94053315105946689"/>
    <n v="1.9159084541520803"/>
    <s v="x"/>
    <s v=""/>
    <x v="0"/>
    <s v="x"/>
    <s v="x"/>
    <s v="Macroeconomic conditions; Capacity of counterpart; Change of project scope"/>
  </r>
  <r>
    <s v="Indonesia"/>
    <x v="4"/>
    <s v="P079906"/>
    <s v="C1"/>
    <s v=""/>
    <s v="P079906C1"/>
    <x v="0"/>
    <n v="2006"/>
    <x v="2"/>
    <s v=""/>
    <n v="401.5"/>
    <n v="262.10000000000002"/>
    <s v="USD"/>
    <n v="262.10000000000002"/>
    <n v="0.65280199252801996"/>
    <s v=""/>
    <s v=""/>
    <x v="0"/>
    <s v=""/>
    <s v=""/>
    <m/>
  </r>
  <r>
    <s v="Indonesia"/>
    <x v="4"/>
    <s v="P079906"/>
    <s v="C1"/>
    <s v=""/>
    <s v="P079906C1"/>
    <x v="1"/>
    <n v="2014"/>
    <x v="2"/>
    <s v=""/>
    <n v="228.41"/>
    <n v="208.8"/>
    <s v="USD"/>
    <n v="208.8"/>
    <n v="0.91414561534083449"/>
    <s v=""/>
    <s v=""/>
    <x v="0"/>
    <s v=""/>
    <s v=""/>
    <m/>
  </r>
  <r>
    <s v="Indonesia"/>
    <x v="4"/>
    <s v="P079906"/>
    <s v="C1"/>
    <s v=""/>
    <s v="P079906C1"/>
    <x v="2"/>
    <s v="2003 / 2008"/>
    <x v="2"/>
    <s v=""/>
    <n v="0.56889165628891658"/>
    <n v="0.79664250286150318"/>
    <m/>
    <n v="0.79664250286150318"/>
    <n v="1.4003413375022702"/>
    <s v=""/>
    <s v=""/>
    <x v="0"/>
    <s v=""/>
    <s v=""/>
    <s v=""/>
  </r>
  <r>
    <s v="Indonesia"/>
    <x v="4"/>
    <s v="P079906"/>
    <s v="C1"/>
    <s v="S1"/>
    <s v="P079906C1S1"/>
    <x v="0"/>
    <n v="2006"/>
    <x v="0"/>
    <s v=""/>
    <n v="141.80000000000001"/>
    <n v="75.099999999999994"/>
    <s v="USD"/>
    <n v="75.099999999999994"/>
    <n v="0.52961918194640334"/>
    <s v=""/>
    <s v=""/>
    <x v="0"/>
    <s v=""/>
    <s v=""/>
    <m/>
  </r>
  <r>
    <s v="Indonesia"/>
    <x v="4"/>
    <s v="P079906"/>
    <s v="C1"/>
    <s v="S1"/>
    <s v="P079906C1S1"/>
    <x v="1"/>
    <n v="2014"/>
    <x v="0"/>
    <s v=""/>
    <n v="106.4"/>
    <n v="63.2"/>
    <s v="USD"/>
    <n v="63.2"/>
    <n v="0.59398496240601506"/>
    <s v=""/>
    <s v=""/>
    <x v="0"/>
    <s v=""/>
    <s v=""/>
    <m/>
  </r>
  <r>
    <s v="Indonesia"/>
    <x v="4"/>
    <s v="P079906"/>
    <s v="C1"/>
    <s v=""/>
    <s v="P079906C1S1"/>
    <x v="2"/>
    <s v="2003 / 2008"/>
    <x v="0"/>
    <s v=""/>
    <n v="0.7503526093088857"/>
    <n v="0.84154460719041291"/>
    <m/>
    <n v="0.84154460719041291"/>
    <n v="1.1215321926654187"/>
    <s v=""/>
    <s v=""/>
    <x v="0"/>
    <s v=""/>
    <s v=""/>
    <s v=""/>
  </r>
  <r>
    <s v="Indonesia"/>
    <x v="4"/>
    <s v="P079906"/>
    <s v="C1"/>
    <s v="S2"/>
    <s v="P079906C1S2"/>
    <x v="0"/>
    <n v="2006"/>
    <x v="9"/>
    <s v=""/>
    <n v="102.5"/>
    <n v="99.7"/>
    <s v="USD"/>
    <n v="99.7"/>
    <n v="0.97268292682926827"/>
    <s v=""/>
    <s v=""/>
    <x v="0"/>
    <s v=""/>
    <s v=""/>
    <m/>
  </r>
  <r>
    <s v="Indonesia"/>
    <x v="4"/>
    <s v="P079906"/>
    <s v="C1"/>
    <s v="S2"/>
    <s v="P079906C1S2"/>
    <x v="1"/>
    <n v="2014"/>
    <x v="9"/>
    <s v=""/>
    <n v="84.8"/>
    <n v="94.7"/>
    <s v="USD"/>
    <n v="94.7"/>
    <n v="1.116745283018868"/>
    <s v=""/>
    <s v=""/>
    <x v="0"/>
    <s v=""/>
    <s v=""/>
    <m/>
  </r>
  <r>
    <s v="Indonesia"/>
    <x v="4"/>
    <s v="P079906"/>
    <s v="C1"/>
    <s v=""/>
    <s v="P079906C1S2"/>
    <x v="2"/>
    <s v="2003 / 2008"/>
    <x v="9"/>
    <s v=""/>
    <n v="0.82731707317073166"/>
    <n v="0.94984954864593785"/>
    <m/>
    <n v="0.94984954864593785"/>
    <n v="1.148108239813781"/>
    <s v=""/>
    <s v=""/>
    <x v="0"/>
    <s v=""/>
    <s v=""/>
    <s v=""/>
  </r>
  <r>
    <s v="Indonesia"/>
    <x v="4"/>
    <s v="P079906"/>
    <s v="C1"/>
    <s v="S3"/>
    <s v="P079906C1S3"/>
    <x v="0"/>
    <n v="2006"/>
    <x v="7"/>
    <s v=""/>
    <n v="46.8"/>
    <n v="52.23"/>
    <s v="USD"/>
    <n v="52.23"/>
    <n v="1.1160256410256411"/>
    <s v=""/>
    <s v=""/>
    <x v="0"/>
    <s v=""/>
    <s v=""/>
    <m/>
  </r>
  <r>
    <s v="Indonesia"/>
    <x v="4"/>
    <s v="P079906"/>
    <s v="C1"/>
    <s v="S3"/>
    <s v="P079906C1S3"/>
    <x v="1"/>
    <n v="2014"/>
    <x v="7"/>
    <s v=""/>
    <n v="37.1"/>
    <n v="42.6"/>
    <s v="USD"/>
    <n v="42.6"/>
    <n v="1.1482479784366577"/>
    <s v=""/>
    <s v=""/>
    <x v="0"/>
    <s v=""/>
    <s v=""/>
    <m/>
  </r>
  <r>
    <s v="Indonesia"/>
    <x v="4"/>
    <s v="P079906"/>
    <s v="C1"/>
    <s v=""/>
    <s v="P079906C1S3"/>
    <x v="2"/>
    <s v="2003 / 2008"/>
    <x v="7"/>
    <s v=""/>
    <n v="0.79273504273504281"/>
    <n v="0.81562320505456642"/>
    <m/>
    <n v="0.81562320505456642"/>
    <n v="1.0288723988289408"/>
    <s v=""/>
    <s v=""/>
    <x v="0"/>
    <s v=""/>
    <s v=""/>
    <s v=""/>
  </r>
  <r>
    <s v="Iraq"/>
    <x v="5"/>
    <s v="P087735"/>
    <s v="C1"/>
    <s v=""/>
    <s v="P087735C1"/>
    <x v="0"/>
    <n v="2014"/>
    <x v="0"/>
    <s v=""/>
    <n v="450"/>
    <n v="81.53"/>
    <s v="USD"/>
    <n v="81.53"/>
    <n v="0.18117777777777777"/>
    <s v="x"/>
    <s v=""/>
    <x v="0"/>
    <s v="x"/>
    <s v="x"/>
    <m/>
  </r>
  <r>
    <s v="Iraq"/>
    <x v="5"/>
    <s v="P087735"/>
    <s v="C1"/>
    <s v=""/>
    <s v="P087735C1"/>
    <x v="1"/>
    <n v="2014"/>
    <x v="0"/>
    <s v=""/>
    <n v="193.5"/>
    <n v="66.290000000000006"/>
    <s v="USD"/>
    <n v="66.290000000000006"/>
    <n v="0.34258397932816542"/>
    <s v="x"/>
    <s v=""/>
    <x v="0"/>
    <s v="x"/>
    <s v="x"/>
    <m/>
  </r>
  <r>
    <s v="Iraq"/>
    <x v="5"/>
    <s v="P087735"/>
    <s v="C1"/>
    <s v=""/>
    <s v="P087735C1"/>
    <x v="2"/>
    <s v="2003 / 2008"/>
    <x v="0"/>
    <s v=""/>
    <n v="0.43"/>
    <n v="0.81307494173923711"/>
    <m/>
    <n v="0.81307494173923711"/>
    <n v="1.8908719575331099"/>
    <s v="x"/>
    <s v=""/>
    <x v="0"/>
    <s v="x"/>
    <s v="x"/>
    <s v="Capacity of Counterpart; Change of project scope; Political events"/>
  </r>
  <r>
    <s v="Iraq"/>
    <x v="5"/>
    <s v="P087735"/>
    <s v="C1"/>
    <s v="S1"/>
    <s v="P087735C1S1"/>
    <x v="0"/>
    <n v="2014"/>
    <x v="0"/>
    <n v="9"/>
    <n v="10"/>
    <n v="2.5"/>
    <s v="USD"/>
    <n v="2.5"/>
    <n v="0.25"/>
    <s v=""/>
    <s v=""/>
    <x v="0"/>
    <s v=""/>
    <s v=""/>
    <m/>
  </r>
  <r>
    <s v="Iraq"/>
    <x v="5"/>
    <s v="P087735"/>
    <s v="C1"/>
    <s v="S1"/>
    <s v="P087735C1S1"/>
    <x v="1"/>
    <n v="2014"/>
    <x v="0"/>
    <n v="12"/>
    <n v="10"/>
    <n v="2.4"/>
    <s v="USD"/>
    <n v="2.4"/>
    <n v="0.24"/>
    <s v=""/>
    <s v=""/>
    <x v="0"/>
    <s v=""/>
    <s v=""/>
    <m/>
  </r>
  <r>
    <s v="Iraq"/>
    <x v="5"/>
    <s v="P087735"/>
    <s v="C1"/>
    <s v=""/>
    <s v="P087735C1S1"/>
    <x v="2"/>
    <s v="2003 / 2008"/>
    <x v="0"/>
    <n v="1.3333333333333333"/>
    <n v="1"/>
    <n v="0.96"/>
    <m/>
    <n v="0.96"/>
    <n v="0.96"/>
    <s v=""/>
    <s v=""/>
    <x v="0"/>
    <s v=""/>
    <s v=""/>
    <s v=""/>
  </r>
  <r>
    <s v="Iraq"/>
    <x v="5"/>
    <s v="P087735"/>
    <s v="C1"/>
    <s v="S10"/>
    <s v="P087735C1S10"/>
    <x v="0"/>
    <n v="2014"/>
    <x v="2"/>
    <s v=""/>
    <n v="41"/>
    <n v="18.399999999999999"/>
    <s v="USD"/>
    <n v="18.399999999999999"/>
    <n v="0.448780487804878"/>
    <s v=""/>
    <s v=""/>
    <x v="0"/>
    <s v=""/>
    <s v=""/>
    <m/>
  </r>
  <r>
    <s v="Iraq"/>
    <x v="5"/>
    <s v="P087735"/>
    <s v="C1"/>
    <s v="S10"/>
    <s v="P087735C1S10"/>
    <x v="1"/>
    <n v="2014"/>
    <x v="2"/>
    <n v="32"/>
    <n v="41"/>
    <n v="18.3"/>
    <s v="USD"/>
    <n v="18.3"/>
    <n v="0.44634146341463415"/>
    <s v=""/>
    <s v=""/>
    <x v="0"/>
    <s v=""/>
    <s v=""/>
    <m/>
  </r>
  <r>
    <s v="Iraq"/>
    <x v="5"/>
    <s v="P087735"/>
    <s v="C1"/>
    <s v=""/>
    <s v="P087735C1S10"/>
    <x v="2"/>
    <s v="2003 / 2008"/>
    <x v="2"/>
    <s v=""/>
    <n v="1"/>
    <n v="0.99456521739130443"/>
    <m/>
    <n v="0.99456521739130443"/>
    <n v="0.99456521739130443"/>
    <s v=""/>
    <s v=""/>
    <x v="0"/>
    <s v=""/>
    <s v=""/>
    <s v=""/>
  </r>
  <r>
    <s v="Iraq"/>
    <x v="5"/>
    <s v="P087735"/>
    <s v="C1"/>
    <s v="S11"/>
    <s v="P087735C1S11"/>
    <x v="0"/>
    <n v="2014"/>
    <x v="0"/>
    <s v=""/>
    <n v="14.1"/>
    <n v="2.2999999999999998"/>
    <s v="USD"/>
    <n v="2.2999999999999998"/>
    <n v="0.16312056737588651"/>
    <s v=""/>
    <s v=""/>
    <x v="0"/>
    <s v=""/>
    <s v=""/>
    <m/>
  </r>
  <r>
    <s v="Iraq"/>
    <x v="5"/>
    <s v="P087735"/>
    <s v="C1"/>
    <s v="S11"/>
    <s v="P087735C1S11"/>
    <x v="1"/>
    <n v="2014"/>
    <x v="0"/>
    <n v="6"/>
    <n v="14.1"/>
    <n v="2"/>
    <s v="USD"/>
    <n v="2"/>
    <n v="0.14184397163120568"/>
    <s v=""/>
    <s v=""/>
    <x v="0"/>
    <s v=""/>
    <s v=""/>
    <m/>
  </r>
  <r>
    <s v="Iraq"/>
    <x v="5"/>
    <s v="P087735"/>
    <s v="C1"/>
    <s v=""/>
    <s v="P087735C1S11"/>
    <x v="2"/>
    <s v="2003 / 2008"/>
    <x v="0"/>
    <s v=""/>
    <n v="1"/>
    <n v="0.86956521739130443"/>
    <m/>
    <n v="0.86956521739130443"/>
    <n v="0.86956521739130443"/>
    <s v=""/>
    <s v=""/>
    <x v="0"/>
    <s v=""/>
    <s v=""/>
    <s v=""/>
  </r>
  <r>
    <s v="Iraq"/>
    <x v="5"/>
    <s v="P087735"/>
    <s v="C1"/>
    <s v="S12"/>
    <s v="P087735C1S12"/>
    <x v="0"/>
    <n v="2014"/>
    <x v="0"/>
    <s v=""/>
    <n v="12.7"/>
    <n v="2"/>
    <s v="USD"/>
    <n v="2"/>
    <n v="0.15748031496062992"/>
    <s v=""/>
    <s v=""/>
    <x v="0"/>
    <s v=""/>
    <s v=""/>
    <m/>
  </r>
  <r>
    <s v="Iraq"/>
    <x v="5"/>
    <s v="P087735"/>
    <s v="C1"/>
    <s v="S12"/>
    <s v="P087735C1S12"/>
    <x v="1"/>
    <n v="2014"/>
    <x v="0"/>
    <n v="21"/>
    <n v="12.7"/>
    <n v="1.9"/>
    <s v="USD"/>
    <n v="1.9"/>
    <n v="0.14960629921259844"/>
    <s v=""/>
    <s v=""/>
    <x v="0"/>
    <s v=""/>
    <s v=""/>
    <m/>
  </r>
  <r>
    <s v="Iraq"/>
    <x v="5"/>
    <s v="P087735"/>
    <s v="C1"/>
    <s v=""/>
    <s v="P087735C1S12"/>
    <x v="2"/>
    <s v="2003 / 2008"/>
    <x v="0"/>
    <s v=""/>
    <n v="1"/>
    <n v="0.95"/>
    <m/>
    <n v="0.95"/>
    <n v="0.95000000000000007"/>
    <s v=""/>
    <s v=""/>
    <x v="0"/>
    <s v=""/>
    <s v=""/>
    <s v=""/>
  </r>
  <r>
    <s v="Iraq"/>
    <x v="5"/>
    <s v="P087735"/>
    <s v="C1"/>
    <s v="S13"/>
    <s v="P087735C1S13"/>
    <x v="0"/>
    <n v="2014"/>
    <x v="0"/>
    <n v="15"/>
    <n v="25"/>
    <n v="5.9"/>
    <s v="USD"/>
    <n v="5.9"/>
    <n v="0.23600000000000002"/>
    <s v=""/>
    <s v=""/>
    <x v="0"/>
    <s v=""/>
    <s v=""/>
    <m/>
  </r>
  <r>
    <s v="Iraq"/>
    <x v="5"/>
    <s v="P087735"/>
    <s v="C1"/>
    <s v="S13"/>
    <s v="P087735C1S13"/>
    <x v="1"/>
    <n v="2014"/>
    <x v="0"/>
    <n v="21"/>
    <n v="25"/>
    <n v="6.7"/>
    <s v="USD"/>
    <n v="6.7"/>
    <n v="0.26800000000000002"/>
    <s v=""/>
    <s v=""/>
    <x v="0"/>
    <s v=""/>
    <s v=""/>
    <m/>
  </r>
  <r>
    <s v="Iraq"/>
    <x v="5"/>
    <s v="P087735"/>
    <s v="C1"/>
    <s v=""/>
    <s v="P087735C1S13"/>
    <x v="2"/>
    <s v="2003 / 2008"/>
    <x v="0"/>
    <n v="1.4"/>
    <n v="1"/>
    <n v="1.1355932203389829"/>
    <m/>
    <n v="1.1355932203389829"/>
    <n v="1.1355932203389831"/>
    <s v=""/>
    <s v=""/>
    <x v="0"/>
    <s v=""/>
    <s v=""/>
    <s v=""/>
  </r>
  <r>
    <s v="Iraq"/>
    <x v="5"/>
    <s v="P087735"/>
    <s v="C1"/>
    <s v="S2"/>
    <s v="P087735C1S2"/>
    <x v="0"/>
    <n v="2014"/>
    <x v="0"/>
    <n v="12"/>
    <n v="11"/>
    <n v="2.1"/>
    <s v="USD"/>
    <n v="2.1"/>
    <n v="0.19090909090909092"/>
    <s v=""/>
    <s v=""/>
    <x v="0"/>
    <s v=""/>
    <s v=""/>
    <m/>
  </r>
  <r>
    <s v="Iraq"/>
    <x v="5"/>
    <s v="P087735"/>
    <s v="C1"/>
    <s v="S2"/>
    <s v="P087735C1S2"/>
    <x v="1"/>
    <n v="2014"/>
    <x v="0"/>
    <n v="13"/>
    <n v="11"/>
    <n v="2.1"/>
    <s v="USD"/>
    <n v="2.1"/>
    <n v="0.19090909090909092"/>
    <s v=""/>
    <s v=""/>
    <x v="0"/>
    <s v=""/>
    <s v=""/>
    <m/>
  </r>
  <r>
    <s v="Iraq"/>
    <x v="5"/>
    <s v="P087735"/>
    <s v="C1"/>
    <s v=""/>
    <s v="P087735C1S2"/>
    <x v="2"/>
    <s v="2003 / 2008"/>
    <x v="0"/>
    <n v="1.0833333333333333"/>
    <n v="1"/>
    <n v="1"/>
    <m/>
    <n v="1"/>
    <n v="1"/>
    <s v=""/>
    <s v=""/>
    <x v="0"/>
    <s v=""/>
    <s v=""/>
    <s v=""/>
  </r>
  <r>
    <s v="Iraq"/>
    <x v="5"/>
    <s v="P087735"/>
    <s v="C1"/>
    <s v="S3"/>
    <s v="P087735C1S3"/>
    <x v="0"/>
    <n v="2014"/>
    <x v="0"/>
    <n v="13"/>
    <n v="19"/>
    <n v="3.1"/>
    <s v="USD"/>
    <n v="3.1"/>
    <n v="0.16315789473684211"/>
    <s v=""/>
    <s v=""/>
    <x v="0"/>
    <s v=""/>
    <s v=""/>
    <m/>
  </r>
  <r>
    <s v="Iraq"/>
    <x v="5"/>
    <s v="P087735"/>
    <s v="C1"/>
    <s v="S3"/>
    <s v="P087735C1S3"/>
    <x v="1"/>
    <n v="2014"/>
    <x v="0"/>
    <n v="17"/>
    <n v="19"/>
    <n v="3.3"/>
    <s v="USD"/>
    <n v="3.3"/>
    <n v="0.17368421052631577"/>
    <s v=""/>
    <s v=""/>
    <x v="0"/>
    <s v=""/>
    <s v=""/>
    <m/>
  </r>
  <r>
    <s v="Iraq"/>
    <x v="5"/>
    <s v="P087735"/>
    <s v="C1"/>
    <s v=""/>
    <s v="P087735C1S3"/>
    <x v="2"/>
    <s v="2003 / 2008"/>
    <x v="0"/>
    <n v="1.3076923076923077"/>
    <n v="1"/>
    <n v="1.064516129032258"/>
    <m/>
    <n v="1.064516129032258"/>
    <n v="1.064516129032258"/>
    <s v=""/>
    <s v=""/>
    <x v="0"/>
    <s v=""/>
    <s v=""/>
    <s v=""/>
  </r>
  <r>
    <s v="Iraq"/>
    <x v="5"/>
    <s v="P087735"/>
    <s v="C1"/>
    <s v="S4"/>
    <s v="P087735C1S4"/>
    <x v="0"/>
    <n v="2014"/>
    <x v="0"/>
    <n v="6"/>
    <n v="10"/>
    <n v="1.3"/>
    <s v="USD"/>
    <n v="1.3"/>
    <n v="0.13"/>
    <s v=""/>
    <s v=""/>
    <x v="0"/>
    <s v=""/>
    <s v=""/>
    <m/>
  </r>
  <r>
    <s v="Iraq"/>
    <x v="5"/>
    <s v="P087735"/>
    <s v="C1"/>
    <s v="S4"/>
    <s v="P087735C1S4"/>
    <x v="1"/>
    <n v="2014"/>
    <x v="0"/>
    <n v="6"/>
    <n v="10"/>
    <n v="1.2"/>
    <s v="USD"/>
    <n v="1.2"/>
    <n v="0.12"/>
    <s v=""/>
    <s v=""/>
    <x v="0"/>
    <s v=""/>
    <s v=""/>
    <m/>
  </r>
  <r>
    <s v="Iraq"/>
    <x v="5"/>
    <s v="P087735"/>
    <s v="C1"/>
    <s v=""/>
    <s v="P087735C1S4"/>
    <x v="2"/>
    <s v="2003 / 2008"/>
    <x v="0"/>
    <n v="1"/>
    <n v="1"/>
    <n v="0.92307692307692302"/>
    <m/>
    <n v="0.92307692307692302"/>
    <n v="0.92307692307692302"/>
    <s v=""/>
    <s v=""/>
    <x v="0"/>
    <s v=""/>
    <s v=""/>
    <s v=""/>
  </r>
  <r>
    <s v="Iraq"/>
    <x v="5"/>
    <s v="P087735"/>
    <s v="C1"/>
    <s v="S5"/>
    <s v="P087735C1S5"/>
    <x v="0"/>
    <n v="2014"/>
    <x v="0"/>
    <n v="12"/>
    <n v="10"/>
    <n v="2.1"/>
    <s v="USD"/>
    <n v="2.1"/>
    <n v="0.21000000000000002"/>
    <s v=""/>
    <s v=""/>
    <x v="0"/>
    <s v=""/>
    <s v=""/>
    <m/>
  </r>
  <r>
    <s v="Iraq"/>
    <x v="5"/>
    <s v="P087735"/>
    <s v="C1"/>
    <s v="S5"/>
    <s v="P087735C1S5"/>
    <x v="1"/>
    <n v="2014"/>
    <x v="0"/>
    <n v="12"/>
    <n v="10"/>
    <n v="2.1"/>
    <s v="USD"/>
    <n v="2.1"/>
    <n v="0.21000000000000002"/>
    <s v=""/>
    <s v=""/>
    <x v="0"/>
    <s v=""/>
    <s v=""/>
    <m/>
  </r>
  <r>
    <s v="Iraq"/>
    <x v="5"/>
    <s v="P087735"/>
    <s v="C1"/>
    <s v=""/>
    <s v="P087735C1S5"/>
    <x v="2"/>
    <s v="2003 / 2008"/>
    <x v="0"/>
    <n v="1"/>
    <n v="1"/>
    <n v="1"/>
    <m/>
    <n v="1"/>
    <n v="1"/>
    <s v=""/>
    <s v=""/>
    <x v="0"/>
    <s v=""/>
    <s v=""/>
    <s v=""/>
  </r>
  <r>
    <s v="Iraq"/>
    <x v="5"/>
    <s v="P087735"/>
    <s v="C1"/>
    <s v="S6"/>
    <s v="P087735C1S6"/>
    <x v="0"/>
    <n v="2014"/>
    <x v="0"/>
    <s v=""/>
    <n v="15.5"/>
    <n v="2.8"/>
    <s v="USD"/>
    <n v="2.8"/>
    <n v="0.18064516129032257"/>
    <s v=""/>
    <s v=""/>
    <x v="0"/>
    <s v=""/>
    <s v=""/>
    <m/>
  </r>
  <r>
    <s v="Iraq"/>
    <x v="5"/>
    <s v="P087735"/>
    <s v="C1"/>
    <s v="S6"/>
    <s v="P087735C1S6"/>
    <x v="1"/>
    <n v="2014"/>
    <x v="0"/>
    <n v="11"/>
    <n v="15.5"/>
    <n v="2.5"/>
    <s v="USD"/>
    <n v="2.5"/>
    <n v="0.16129032258064516"/>
    <s v=""/>
    <s v=""/>
    <x v="0"/>
    <s v=""/>
    <s v=""/>
    <m/>
  </r>
  <r>
    <s v="Iraq"/>
    <x v="5"/>
    <s v="P087735"/>
    <s v="C1"/>
    <s v=""/>
    <s v="P087735C1S6"/>
    <x v="2"/>
    <s v="2003 / 2008"/>
    <x v="0"/>
    <s v=""/>
    <n v="1"/>
    <n v="0.8928571428571429"/>
    <m/>
    <n v="0.8928571428571429"/>
    <n v="0.8928571428571429"/>
    <s v=""/>
    <s v=""/>
    <x v="0"/>
    <s v=""/>
    <s v=""/>
    <s v=""/>
  </r>
  <r>
    <s v="Iraq"/>
    <x v="5"/>
    <s v="P087735"/>
    <s v="C1"/>
    <s v="S7"/>
    <s v="P087735C1S7"/>
    <x v="0"/>
    <n v="2014"/>
    <x v="0"/>
    <n v="10"/>
    <n v="21.2"/>
    <n v="3.5"/>
    <s v="USD"/>
    <n v="3.5"/>
    <n v="0.16509433962264153"/>
    <s v=""/>
    <s v=""/>
    <x v="0"/>
    <s v=""/>
    <s v=""/>
    <m/>
  </r>
  <r>
    <s v="Iraq"/>
    <x v="5"/>
    <s v="P087735"/>
    <s v="C1"/>
    <s v="S7"/>
    <s v="P087735C1S7"/>
    <x v="1"/>
    <n v="2014"/>
    <x v="0"/>
    <n v="9"/>
    <n v="21.2"/>
    <n v="3.4"/>
    <s v="USD"/>
    <n v="3.4"/>
    <n v="0.16037735849056603"/>
    <s v=""/>
    <s v=""/>
    <x v="0"/>
    <s v=""/>
    <s v=""/>
    <m/>
  </r>
  <r>
    <s v="Iraq"/>
    <x v="5"/>
    <s v="P087735"/>
    <s v="C1"/>
    <s v=""/>
    <s v="P087735C1S7"/>
    <x v="2"/>
    <s v="2003 / 2008"/>
    <x v="0"/>
    <n v="0.9"/>
    <n v="1"/>
    <n v="0.97142857142857142"/>
    <m/>
    <n v="0.97142857142857142"/>
    <n v="0.97142857142857131"/>
    <s v=""/>
    <s v=""/>
    <x v="0"/>
    <s v=""/>
    <s v=""/>
    <s v=""/>
  </r>
  <r>
    <s v="Iraq"/>
    <x v="5"/>
    <s v="P087735"/>
    <s v="C1"/>
    <s v="S8"/>
    <s v="P087735C1S8"/>
    <x v="0"/>
    <n v="2014"/>
    <x v="0"/>
    <s v=""/>
    <n v="20"/>
    <n v="4.2"/>
    <s v="USD"/>
    <n v="4.2"/>
    <n v="0.21000000000000002"/>
    <s v=""/>
    <s v=""/>
    <x v="0"/>
    <s v=""/>
    <s v=""/>
    <m/>
  </r>
  <r>
    <s v="Iraq"/>
    <x v="5"/>
    <s v="P087735"/>
    <s v="C1"/>
    <s v="S8"/>
    <s v="P087735C1S8"/>
    <x v="1"/>
    <n v="2014"/>
    <x v="0"/>
    <n v="33"/>
    <n v="20"/>
    <n v="4.8"/>
    <s v="USD"/>
    <n v="4.8"/>
    <n v="0.24"/>
    <s v=""/>
    <s v=""/>
    <x v="0"/>
    <s v=""/>
    <s v=""/>
    <m/>
  </r>
  <r>
    <s v="Iraq"/>
    <x v="5"/>
    <s v="P087735"/>
    <s v="C1"/>
    <s v=""/>
    <s v="P087735C1S8"/>
    <x v="2"/>
    <s v="2003 / 2008"/>
    <x v="0"/>
    <s v=""/>
    <n v="1"/>
    <n v="1.1428571428571428"/>
    <m/>
    <n v="1.1428571428571428"/>
    <n v="1.1428571428571428"/>
    <s v=""/>
    <s v=""/>
    <x v="0"/>
    <s v=""/>
    <s v=""/>
    <s v=""/>
  </r>
  <r>
    <s v="Iraq"/>
    <x v="5"/>
    <s v="P087735"/>
    <s v="C1"/>
    <s v="S9"/>
    <s v="P087735C1S9"/>
    <x v="0"/>
    <n v="2014"/>
    <x v="2"/>
    <s v=""/>
    <n v="41"/>
    <n v="18.399999999999999"/>
    <s v="USD"/>
    <n v="18.399999999999999"/>
    <n v="0.448780487804878"/>
    <s v=""/>
    <s v=""/>
    <x v="0"/>
    <s v=""/>
    <s v=""/>
    <m/>
  </r>
  <r>
    <s v="Iraq"/>
    <x v="5"/>
    <s v="P087735"/>
    <s v="C1"/>
    <s v="S9"/>
    <s v="P087735C1S9"/>
    <x v="1"/>
    <n v="2014"/>
    <x v="2"/>
    <n v="32"/>
    <n v="41"/>
    <n v="18.3"/>
    <s v="USD"/>
    <n v="18.3"/>
    <n v="0.44634146341463415"/>
    <s v=""/>
    <s v=""/>
    <x v="0"/>
    <s v=""/>
    <s v=""/>
    <m/>
  </r>
  <r>
    <s v="Iraq"/>
    <x v="5"/>
    <s v="P087735"/>
    <s v="C1"/>
    <s v=""/>
    <s v="P087735C1S9"/>
    <x v="2"/>
    <s v="2003 / 2008"/>
    <x v="2"/>
    <s v=""/>
    <n v="1"/>
    <n v="0.99456521739130443"/>
    <m/>
    <n v="0.99456521739130443"/>
    <n v="0.99456521739130443"/>
    <s v=""/>
    <s v=""/>
    <x v="0"/>
    <s v=""/>
    <s v=""/>
    <s v=""/>
  </r>
  <r>
    <s v="Iraq"/>
    <x v="5"/>
    <s v="P087735"/>
    <s v="C2"/>
    <s v=""/>
    <s v="P087735C2"/>
    <x v="0"/>
    <n v="2014"/>
    <x v="9"/>
    <s v=""/>
    <n v="113.5"/>
    <n v="40.79"/>
    <s v="USD"/>
    <n v="40.79"/>
    <n v="0.35938325991189429"/>
    <s v=""/>
    <s v=""/>
    <x v="0"/>
    <s v=""/>
    <s v=""/>
    <m/>
  </r>
  <r>
    <s v="Iraq"/>
    <x v="5"/>
    <s v="P087735"/>
    <s v="C2"/>
    <s v=""/>
    <s v="P087735C2"/>
    <x v="1"/>
    <n v="2014"/>
    <x v="9"/>
    <s v=""/>
    <n v="120.1"/>
    <n v="47.87"/>
    <s v="USD"/>
    <n v="47.87"/>
    <n v="0.39858451290591174"/>
    <s v=""/>
    <s v=""/>
    <x v="0"/>
    <s v=""/>
    <s v=""/>
    <m/>
  </r>
  <r>
    <s v="Iraq"/>
    <x v="5"/>
    <s v="P087735"/>
    <s v="C1"/>
    <s v=""/>
    <s v="P087735C2"/>
    <x v="2"/>
    <s v="2003 / 2008"/>
    <x v="9"/>
    <s v=""/>
    <n v="1.0581497797356827"/>
    <n v="1.173571953910272"/>
    <m/>
    <n v="1.173571953910272"/>
    <n v="1.1090792403731546"/>
    <s v=""/>
    <s v=""/>
    <x v="0"/>
    <s v=""/>
    <s v=""/>
    <s v=""/>
  </r>
  <r>
    <s v="Iraq"/>
    <x v="5"/>
    <s v="P087735"/>
    <s v="C2"/>
    <s v="S1"/>
    <s v="P087735C2S1"/>
    <x v="0"/>
    <n v="2014"/>
    <x v="9"/>
    <s v=""/>
    <n v="38.5"/>
    <n v="34.9"/>
    <s v="USD"/>
    <n v="34.9"/>
    <n v="0.90649350649350646"/>
    <s v=""/>
    <s v=""/>
    <x v="0"/>
    <s v=""/>
    <s v=""/>
    <m/>
  </r>
  <r>
    <s v="Iraq"/>
    <x v="5"/>
    <s v="P087735"/>
    <s v="C2"/>
    <s v="S1"/>
    <s v="P087735C2S1"/>
    <x v="1"/>
    <n v="2014"/>
    <x v="9"/>
    <n v="26"/>
    <n v="38.5"/>
    <n v="40.700000000000003"/>
    <s v="USD"/>
    <n v="40.700000000000003"/>
    <n v="1.0571428571428572"/>
    <s v=""/>
    <s v=""/>
    <x v="0"/>
    <s v=""/>
    <s v=""/>
    <m/>
  </r>
  <r>
    <s v="Iraq"/>
    <x v="5"/>
    <s v="P087735"/>
    <s v="C1"/>
    <s v=""/>
    <s v="P087735C2S1"/>
    <x v="2"/>
    <s v="2003 / 2008"/>
    <x v="9"/>
    <s v=""/>
    <n v="1"/>
    <n v="1.1661891117478511"/>
    <m/>
    <n v="1.1661891117478511"/>
    <n v="1.1661891117478511"/>
    <s v=""/>
    <s v=""/>
    <x v="0"/>
    <s v=""/>
    <s v=""/>
    <s v=""/>
  </r>
  <r>
    <s v="Iraq"/>
    <x v="5"/>
    <s v="P087735"/>
    <s v="C2"/>
    <s v="S2"/>
    <s v="P087735C2S2"/>
    <x v="0"/>
    <n v="2014"/>
    <x v="2"/>
    <s v=""/>
    <n v="17.100000000000001"/>
    <n v="2"/>
    <s v="USD"/>
    <n v="2"/>
    <n v="0.11695906432748537"/>
    <s v=""/>
    <s v=""/>
    <x v="0"/>
    <s v=""/>
    <s v=""/>
    <m/>
  </r>
  <r>
    <s v="Iraq"/>
    <x v="5"/>
    <s v="P087735"/>
    <s v="C2"/>
    <s v="S2"/>
    <s v="P087735C2S2"/>
    <x v="1"/>
    <n v="2014"/>
    <x v="2"/>
    <n v="12"/>
    <n v="17.100000000000001"/>
    <n v="2"/>
    <s v="USD"/>
    <n v="2"/>
    <n v="0.11695906432748537"/>
    <s v=""/>
    <s v=""/>
    <x v="0"/>
    <s v=""/>
    <s v=""/>
    <m/>
  </r>
  <r>
    <s v="Iraq"/>
    <x v="5"/>
    <s v="P087735"/>
    <s v="C1"/>
    <s v=""/>
    <s v="P087735C2S2"/>
    <x v="2"/>
    <s v="2003 / 2008"/>
    <x v="2"/>
    <s v=""/>
    <n v="1"/>
    <n v="1"/>
    <m/>
    <n v="1"/>
    <n v="1"/>
    <s v=""/>
    <s v=""/>
    <x v="0"/>
    <s v=""/>
    <s v=""/>
    <s v=""/>
  </r>
  <r>
    <s v="Iraq"/>
    <x v="5"/>
    <s v="P087735"/>
    <s v="C2"/>
    <s v="S3"/>
    <s v="P087735C2S3"/>
    <x v="0"/>
    <n v="2014"/>
    <x v="6"/>
    <s v=""/>
    <n v="27.1"/>
    <n v="1.8"/>
    <s v="USD"/>
    <n v="1.8"/>
    <n v="6.6420664206642069E-2"/>
    <s v=""/>
    <s v=""/>
    <x v="0"/>
    <s v=""/>
    <s v=""/>
    <m/>
  </r>
  <r>
    <s v="Iraq"/>
    <x v="5"/>
    <s v="P087735"/>
    <s v="C2"/>
    <s v="S3"/>
    <s v="P087735C2S3"/>
    <x v="1"/>
    <n v="2014"/>
    <x v="6"/>
    <n v="12"/>
    <n v="27.1"/>
    <n v="1.8"/>
    <s v="USD"/>
    <n v="1.8"/>
    <n v="6.6420664206642069E-2"/>
    <s v=""/>
    <s v=""/>
    <x v="0"/>
    <s v=""/>
    <s v=""/>
    <m/>
  </r>
  <r>
    <s v="Iraq"/>
    <x v="5"/>
    <s v="P087735"/>
    <s v="C1"/>
    <s v=""/>
    <s v="P087735C2S3"/>
    <x v="2"/>
    <s v="2003 / 2008"/>
    <x v="6"/>
    <s v=""/>
    <n v="1"/>
    <n v="1"/>
    <m/>
    <n v="1"/>
    <n v="1"/>
    <s v=""/>
    <s v=""/>
    <x v="0"/>
    <s v=""/>
    <s v=""/>
    <s v=""/>
  </r>
  <r>
    <s v="Iraq"/>
    <x v="5"/>
    <s v="P087735"/>
    <s v="C2"/>
    <s v="S4"/>
    <s v="P087735C2S4"/>
    <x v="0"/>
    <n v="2014"/>
    <x v="6"/>
    <s v=""/>
    <n v="19.399999999999999"/>
    <n v="2.2999999999999998"/>
    <s v="USD"/>
    <n v="2.2999999999999998"/>
    <n v="0.11855670103092783"/>
    <s v=""/>
    <s v=""/>
    <x v="0"/>
    <s v=""/>
    <s v=""/>
    <m/>
  </r>
  <r>
    <s v="Iraq"/>
    <x v="5"/>
    <s v="P087735"/>
    <s v="C2"/>
    <s v="S4"/>
    <s v="P087735C2S4"/>
    <x v="1"/>
    <n v="2014"/>
    <x v="6"/>
    <n v="12"/>
    <n v="19.399999999999999"/>
    <n v="2.2000000000000002"/>
    <s v="USD"/>
    <n v="2.2000000000000002"/>
    <n v="0.11340206185567012"/>
    <s v=""/>
    <s v=""/>
    <x v="0"/>
    <s v=""/>
    <s v=""/>
    <m/>
  </r>
  <r>
    <s v="Iraq"/>
    <x v="5"/>
    <s v="P087735"/>
    <s v="C1"/>
    <s v=""/>
    <s v="P087735C2S4"/>
    <x v="2"/>
    <s v="2003 / 2008"/>
    <x v="6"/>
    <s v=""/>
    <n v="1"/>
    <n v="0.95652173913043492"/>
    <m/>
    <n v="0.95652173913043492"/>
    <n v="0.95652173913043492"/>
    <s v=""/>
    <s v=""/>
    <x v="0"/>
    <s v=""/>
    <s v=""/>
    <s v=""/>
  </r>
  <r>
    <s v="Jordan"/>
    <x v="5"/>
    <s v="P081505"/>
    <s v="C1"/>
    <s v="S1"/>
    <s v="P081505C1S1"/>
    <x v="0"/>
    <n v="2004"/>
    <x v="8"/>
    <n v="46"/>
    <n v="18.5"/>
    <n v="43.6"/>
    <s v="USD"/>
    <n v="43.6"/>
    <n v="2.3567567567567567"/>
    <s v=""/>
    <s v=""/>
    <x v="0"/>
    <s v="x"/>
    <s v="x"/>
    <m/>
  </r>
  <r>
    <s v="Jordan"/>
    <x v="5"/>
    <s v="P081505"/>
    <s v="C1"/>
    <s v="S1"/>
    <s v="P081505C1S1"/>
    <x v="1"/>
    <n v="2013"/>
    <x v="8"/>
    <s v=""/>
    <n v="18.5"/>
    <n v="116.1"/>
    <s v="USD"/>
    <n v="116.1"/>
    <n v="6.2756756756756751"/>
    <s v=""/>
    <s v=""/>
    <x v="0"/>
    <s v="x"/>
    <s v="x"/>
    <m/>
  </r>
  <r>
    <s v="Jordan"/>
    <x v="5"/>
    <s v="P081505"/>
    <s v="C1"/>
    <s v=""/>
    <s v="P081505C1S1"/>
    <x v="2"/>
    <s v="2003 / 2008"/>
    <x v="8"/>
    <s v=""/>
    <n v="1"/>
    <n v="2.6628440366972477"/>
    <m/>
    <n v="2.6628440366972477"/>
    <n v="2.6628440366972477"/>
    <s v=""/>
    <s v=""/>
    <x v="0"/>
    <s v="x"/>
    <s v="x"/>
    <s v="Political events; Competition; Quality of estimates"/>
  </r>
  <r>
    <s v="Jordan"/>
    <x v="5"/>
    <s v="P081505"/>
    <s v="C1"/>
    <s v="S2"/>
    <s v="P081505C1S2"/>
    <x v="0"/>
    <n v="2004"/>
    <x v="8"/>
    <n v="39"/>
    <n v="14.5"/>
    <n v="34.159999999999997"/>
    <s v="USD"/>
    <n v="34.159999999999997"/>
    <n v="2.355862068965517"/>
    <s v=""/>
    <s v=""/>
    <x v="0"/>
    <s v="x"/>
    <s v="x"/>
    <m/>
  </r>
  <r>
    <s v="Jordan"/>
    <x v="5"/>
    <s v="P081505"/>
    <s v="C1"/>
    <s v="S2"/>
    <s v="P081505C1S2"/>
    <x v="1"/>
    <n v="2013"/>
    <x v="8"/>
    <s v=""/>
    <n v="14.5"/>
    <n v="77"/>
    <s v="USD"/>
    <n v="77"/>
    <n v="5.3103448275862073"/>
    <s v=""/>
    <s v=""/>
    <x v="0"/>
    <s v="x"/>
    <s v="x"/>
    <m/>
  </r>
  <r>
    <s v="Jordan"/>
    <x v="5"/>
    <s v="P081505"/>
    <s v="C1"/>
    <s v=""/>
    <s v="P081505C1S2"/>
    <x v="2"/>
    <s v="2003 / 2008"/>
    <x v="8"/>
    <s v=""/>
    <n v="1"/>
    <n v="2.2540983606557381"/>
    <m/>
    <n v="2.2540983606557381"/>
    <n v="2.2540983606557381"/>
    <s v=""/>
    <s v=""/>
    <x v="0"/>
    <s v="x"/>
    <s v="x"/>
    <s v="Political events; Quality of estimates; "/>
  </r>
  <r>
    <s v="Jordan"/>
    <x v="5"/>
    <s v="P081505"/>
    <s v="C1"/>
    <s v="S3"/>
    <s v="P081505C1S3"/>
    <x v="0"/>
    <n v="2004"/>
    <x v="8"/>
    <n v="38"/>
    <n v="7"/>
    <n v="29.16"/>
    <s v="USD"/>
    <n v="29.16"/>
    <n v="4.1657142857142855"/>
    <s v=""/>
    <s v=""/>
    <x v="0"/>
    <s v="x"/>
    <s v="x"/>
    <m/>
  </r>
  <r>
    <s v="Jordan"/>
    <x v="5"/>
    <s v="P081505"/>
    <s v="C1"/>
    <s v="S3"/>
    <s v="P081505C1S3"/>
    <x v="1"/>
    <n v="2013"/>
    <x v="8"/>
    <s v=""/>
    <n v="7"/>
    <n v="86.8"/>
    <s v="USD"/>
    <n v="86.8"/>
    <n v="12.4"/>
    <s v=""/>
    <s v=""/>
    <x v="0"/>
    <s v="x"/>
    <s v="x"/>
    <m/>
  </r>
  <r>
    <s v="Jordan"/>
    <x v="5"/>
    <s v="P081505"/>
    <s v="C1"/>
    <s v=""/>
    <s v="P081505C1S3"/>
    <x v="2"/>
    <s v="2003 / 2008"/>
    <x v="8"/>
    <s v=""/>
    <n v="1"/>
    <n v="2.9766803840877913"/>
    <m/>
    <n v="2.9766803840877913"/>
    <n v="2.9766803840877918"/>
    <s v=""/>
    <s v=""/>
    <x v="0"/>
    <s v="x"/>
    <s v="x"/>
    <s v="Political events; Quality of estimates; "/>
  </r>
  <r>
    <s v="Kazakhstan"/>
    <x v="1"/>
    <s v="Project numbers 29568 &amp; 32463 "/>
    <s v="C1"/>
    <s v=""/>
    <s v="Project numbers 29568 &amp; 32463 C1"/>
    <x v="0"/>
    <n v="2000"/>
    <x v="6"/>
    <s v=""/>
    <n v="245"/>
    <n v="73.62"/>
    <s v="KAZ"/>
    <n v="0.51797650038696974"/>
    <n v="2.1141897974978358E-3"/>
    <s v="x"/>
    <s v=""/>
    <x v="1"/>
    <m/>
    <m/>
    <m/>
  </r>
  <r>
    <s v="Kazakhstan"/>
    <x v="1"/>
    <s v="Project numbers 29568 &amp; 32463 "/>
    <s v="C1"/>
    <s v=""/>
    <s v="Project numbers 29568 &amp; 32463 C1"/>
    <x v="1"/>
    <n v="2007"/>
    <x v="6"/>
    <s v=""/>
    <n v="221"/>
    <n v="111.5"/>
    <s v="KAZ"/>
    <n v="0.90983272133822934"/>
    <n v="4.1168901418019424E-3"/>
    <s v="x"/>
    <s v=""/>
    <x v="1"/>
    <m/>
    <m/>
    <m/>
  </r>
  <r>
    <s v="Kazakhstan"/>
    <x v="1"/>
    <s v="Project numbers 29568 &amp; 32463 "/>
    <s v="C1"/>
    <s v=""/>
    <s v="Project numbers 29568 &amp; 32463 C1"/>
    <x v="2"/>
    <s v="2003 / 2008"/>
    <x v="6"/>
    <s v=""/>
    <n v="0.90204081632653066"/>
    <n v="1.5145340939961967"/>
    <m/>
    <n v="1.7565135110540957"/>
    <n v="1.947266109539608"/>
    <s v="x"/>
    <s v=""/>
    <x v="1"/>
    <s v="macroeconomic conditions"/>
    <s v="A contributing factor to cost overruns was the higher than expected price escalation for major construction inputs over a longer implementation period. Particularly, the cost of bitumen increased by 50% per annum during the period 2003–2007, and the rate of price escalation was high for steel, cement, and labor. The price escalation of 2.4% per annum estimated at appraisal was, therefore, far exceeded. (PCR p.5) - The length of the rehabilitated road was reduced due to the increased works on the main road sections as a result of very poor condition of the pavement and major bridges (PCR p. 2)"/>
    <s v="; ; macroeconomic conditions"/>
  </r>
  <r>
    <s v="Kazakhstan"/>
    <x v="1"/>
    <s v="Project Number: 43439-023 "/>
    <s v="C1"/>
    <s v=""/>
    <s v="Project Number: 43439-023 C1"/>
    <x v="0"/>
    <n v="2010"/>
    <x v="5"/>
    <s v=""/>
    <n v="200.5"/>
    <n v="271.39999999999998"/>
    <s v="USD"/>
    <n v="271.39999999999998"/>
    <n v="1.3536159600997506"/>
    <s v=""/>
    <s v=""/>
    <x v="0"/>
    <m/>
    <m/>
    <m/>
  </r>
  <r>
    <s v="Kazakhstan"/>
    <x v="1"/>
    <s v="Project Number: 43439-023 "/>
    <s v="C1"/>
    <s v=""/>
    <s v="Project Number: 43439-023 C1"/>
    <x v="1"/>
    <n v="2016"/>
    <x v="5"/>
    <s v=""/>
    <n v="200.5"/>
    <n v="163.51"/>
    <s v="USD"/>
    <n v="163.51"/>
    <n v="0.81551122194513714"/>
    <s v=""/>
    <s v=""/>
    <x v="0"/>
    <m/>
    <m/>
    <m/>
  </r>
  <r>
    <s v="Kazakhstan"/>
    <x v="1"/>
    <s v="Project Number: 43439-023 "/>
    <s v="C1"/>
    <s v=""/>
    <s v="Project Number: 43439-023 C1"/>
    <x v="2"/>
    <s v="2003 / 2008"/>
    <x v="5"/>
    <s v=""/>
    <n v="1"/>
    <n v="0.60246868091378036"/>
    <m/>
    <n v="0.60246868091378036"/>
    <n v="0.60246868091378036"/>
    <s v=""/>
    <s v=""/>
    <x v="0"/>
    <m/>
    <m/>
    <m/>
  </r>
  <r>
    <s v="Kenya"/>
    <x v="2"/>
    <s v="P082615"/>
    <s v="C1"/>
    <s v="S1"/>
    <s v="P082615C1S1"/>
    <x v="0"/>
    <n v="2004"/>
    <x v="11"/>
    <n v="28"/>
    <n v="35"/>
    <n v="14.69"/>
    <s v="USD"/>
    <n v="14.69"/>
    <n v="0.41971428571428571"/>
    <s v=""/>
    <s v=""/>
    <x v="0"/>
    <s v="x"/>
    <s v="x"/>
    <m/>
  </r>
  <r>
    <s v="Kenya"/>
    <x v="2"/>
    <s v="P082615"/>
    <s v="C1"/>
    <s v="S1"/>
    <s v="P082615C1S1"/>
    <x v="1"/>
    <n v="2016"/>
    <x v="11"/>
    <s v=""/>
    <n v="35"/>
    <n v="48.63"/>
    <s v="USD"/>
    <n v="48.63"/>
    <n v="1.3894285714285715"/>
    <s v=""/>
    <s v=""/>
    <x v="0"/>
    <s v="x"/>
    <s v="x"/>
    <m/>
  </r>
  <r>
    <s v="Kenya"/>
    <x v="2"/>
    <s v="P082615"/>
    <s v="C1"/>
    <s v=""/>
    <s v="P082615C1S1"/>
    <x v="2"/>
    <s v="2003 / 2008"/>
    <x v="11"/>
    <s v=""/>
    <n v="1"/>
    <n v="3.3104152484683462"/>
    <m/>
    <n v="3.3104152484683462"/>
    <n v="3.3104152484683458"/>
    <s v=""/>
    <s v=""/>
    <x v="0"/>
    <s v="x"/>
    <s v="x"/>
    <s v="Political events; Macroeconomic conditions; Weather shocks"/>
  </r>
  <r>
    <s v="Kenya"/>
    <x v="2"/>
    <s v="P082615"/>
    <s v="C1"/>
    <s v="S2"/>
    <s v="P082615C1S2"/>
    <x v="0"/>
    <n v="2004"/>
    <x v="2"/>
    <n v="39"/>
    <n v="55"/>
    <n v="27.91"/>
    <s v="USD"/>
    <n v="27.91"/>
    <n v="0.50745454545454549"/>
    <s v=""/>
    <s v=""/>
    <x v="0"/>
    <s v="x"/>
    <s v="x"/>
    <m/>
  </r>
  <r>
    <s v="Kenya"/>
    <x v="2"/>
    <s v="P082615"/>
    <s v="C1"/>
    <s v="S2"/>
    <s v="P082615C1S2"/>
    <x v="1"/>
    <n v="2016"/>
    <x v="2"/>
    <s v=""/>
    <n v="33"/>
    <n v="65.23"/>
    <s v="USD"/>
    <n v="65.23"/>
    <n v="1.9766666666666668"/>
    <s v=""/>
    <s v=""/>
    <x v="0"/>
    <s v="x"/>
    <s v="x"/>
    <m/>
  </r>
  <r>
    <s v="Kenya"/>
    <x v="2"/>
    <s v="P082615"/>
    <s v="C1"/>
    <s v=""/>
    <s v="P082615C1S2"/>
    <x v="2"/>
    <s v="2003 / 2008"/>
    <x v="2"/>
    <s v=""/>
    <n v="0.6"/>
    <n v="2.3371551415263347"/>
    <m/>
    <n v="2.3371551415263347"/>
    <n v="3.8952585692105579"/>
    <s v=""/>
    <s v=""/>
    <x v="0"/>
    <s v="x"/>
    <s v="x"/>
    <s v="Political events; Macroeconomic conditions; Weather shocks"/>
  </r>
  <r>
    <s v="Kenya"/>
    <x v="2"/>
    <s v="P082615"/>
    <s v="C1"/>
    <s v="S3"/>
    <s v="P082615C1S3"/>
    <x v="0"/>
    <n v="2004"/>
    <x v="9"/>
    <n v="37"/>
    <n v="33"/>
    <n v="38.42"/>
    <s v="USD"/>
    <n v="38.42"/>
    <n v="1.1642424242424243"/>
    <s v=""/>
    <s v=""/>
    <x v="0"/>
    <s v="x"/>
    <s v="x"/>
    <m/>
  </r>
  <r>
    <s v="Kenya"/>
    <x v="2"/>
    <s v="P082615"/>
    <s v="C1"/>
    <s v="S3"/>
    <s v="P082615C1S3"/>
    <x v="1"/>
    <n v="2016"/>
    <x v="9"/>
    <s v=""/>
    <n v="33"/>
    <n v="115.39"/>
    <s v="USD"/>
    <n v="115.39"/>
    <n v="3.4966666666666666"/>
    <s v=""/>
    <s v=""/>
    <x v="0"/>
    <s v="x"/>
    <s v="x"/>
    <m/>
  </r>
  <r>
    <s v="Kenya"/>
    <x v="2"/>
    <s v="P082615"/>
    <s v="C1"/>
    <s v=""/>
    <s v="P082615C1S3"/>
    <x v="2"/>
    <s v="2003 / 2008"/>
    <x v="9"/>
    <s v=""/>
    <n v="1"/>
    <n v="3.0033836543466945"/>
    <m/>
    <n v="3.0033836543466945"/>
    <n v="3.0033836543466941"/>
    <s v=""/>
    <s v=""/>
    <x v="0"/>
    <s v="x"/>
    <s v="x"/>
    <s v="Political events; Macroeconomic conditions; Weather shocks"/>
  </r>
  <r>
    <s v="Kenya"/>
    <x v="2"/>
    <s v="P082615"/>
    <s v="C1"/>
    <s v="S4"/>
    <s v="P082615C1S4"/>
    <x v="0"/>
    <n v="2004"/>
    <x v="2"/>
    <n v="38"/>
    <n v="97"/>
    <n v="40.68"/>
    <s v="USD"/>
    <n v="40.68"/>
    <n v="0.41938144329896909"/>
    <s v=""/>
    <s v=""/>
    <x v="0"/>
    <s v="x"/>
    <s v="x"/>
    <m/>
  </r>
  <r>
    <s v="Kenya"/>
    <x v="2"/>
    <s v="P082615"/>
    <s v="C1"/>
    <s v="S4"/>
    <s v="P082615C1S4"/>
    <x v="1"/>
    <n v="2016"/>
    <x v="2"/>
    <s v=""/>
    <n v="100"/>
    <n v="138.04"/>
    <s v="USD"/>
    <n v="138.04"/>
    <n v="1.3803999999999998"/>
    <s v=""/>
    <s v=""/>
    <x v="0"/>
    <s v="x"/>
    <s v="x"/>
    <m/>
  </r>
  <r>
    <s v="Kenya"/>
    <x v="2"/>
    <s v="P082615"/>
    <s v="C1"/>
    <s v=""/>
    <s v="P082615C1S4"/>
    <x v="2"/>
    <s v="2003 / 2008"/>
    <x v="2"/>
    <s v=""/>
    <n v="1.0309278350515463"/>
    <n v="3.3933136676499505"/>
    <m/>
    <n v="3.3933136676499505"/>
    <n v="3.2915142576204519"/>
    <s v=""/>
    <s v=""/>
    <x v="0"/>
    <s v="x"/>
    <s v="x"/>
    <s v="Political events; Macroeconomic conditions; Weather shocks"/>
  </r>
  <r>
    <s v="Kenya"/>
    <x v="2"/>
    <s v="P082615"/>
    <s v="C1"/>
    <s v="S5"/>
    <s v="P082615C1S5"/>
    <x v="0"/>
    <n v="2004"/>
    <x v="2"/>
    <n v="37"/>
    <n v="145"/>
    <n v="46.33"/>
    <s v="USD"/>
    <n v="46.33"/>
    <n v="0.31951724137931031"/>
    <s v=""/>
    <s v=""/>
    <x v="0"/>
    <s v="x"/>
    <s v="x"/>
    <m/>
  </r>
  <r>
    <s v="Kenya"/>
    <x v="2"/>
    <s v="P082615"/>
    <s v="C1"/>
    <s v="S5"/>
    <s v="P082615C1S5"/>
    <x v="1"/>
    <n v="2016"/>
    <x v="2"/>
    <s v=""/>
    <n v="133"/>
    <n v="171.68"/>
    <s v="USD"/>
    <n v="171.68"/>
    <n v="1.2908270676691729"/>
    <s v=""/>
    <s v=""/>
    <x v="0"/>
    <s v="x"/>
    <s v="x"/>
    <m/>
  </r>
  <r>
    <s v="Kenya"/>
    <x v="2"/>
    <s v="P082615"/>
    <s v="C1"/>
    <s v=""/>
    <s v="P082615C1S5"/>
    <x v="2"/>
    <s v="2003 / 2008"/>
    <x v="2"/>
    <s v=""/>
    <n v="0.91724137931034477"/>
    <n v="3.7055903302395858"/>
    <m/>
    <n v="3.7055903302395858"/>
    <n v="4.0399293074040594"/>
    <s v=""/>
    <s v=""/>
    <x v="0"/>
    <s v="x"/>
    <s v="x"/>
    <s v="Political events; Macroeconomic conditions; Weather shocks"/>
  </r>
  <r>
    <s v="Kenya"/>
    <x v="2"/>
    <s v="AfDB project P-KE-DB0-019"/>
    <s v="C1"/>
    <s v=""/>
    <s v="AfDB project P-KE-DB0-019C1"/>
    <x v="0"/>
    <n v="2010"/>
    <x v="2"/>
    <n v="24"/>
    <n v="73"/>
    <n v="3831.87961"/>
    <s v="KES"/>
    <n v="48.36216740499539"/>
    <n v="0.66249544390404647"/>
    <s v=""/>
    <s v=""/>
    <x v="0"/>
    <m/>
    <m/>
    <m/>
  </r>
  <r>
    <s v="Kenya"/>
    <x v="2"/>
    <s v="AfDB project P-KE-DB0-019"/>
    <s v="C1"/>
    <s v=""/>
    <s v="AfDB project P-KE-DB0-019C1"/>
    <x v="1"/>
    <n v="2017"/>
    <x v="2"/>
    <n v="34"/>
    <n v="73"/>
    <n v="5001.2773913999999"/>
    <s v="KES"/>
    <n v="48.382290716842405"/>
    <n v="0.66277110571016995"/>
    <s v=""/>
    <s v=""/>
    <x v="0"/>
    <m/>
    <m/>
    <m/>
  </r>
  <r>
    <s v="Kenya"/>
    <x v="2"/>
    <s v="AfDB project P-KE-DB0-019"/>
    <s v="C1"/>
    <s v=""/>
    <s v="AfDB project P-KE-DB0-019C1"/>
    <x v="2"/>
    <s v="2003 / 2008"/>
    <x v="2"/>
    <n v="1.4166666666666667"/>
    <n v="1"/>
    <n v="1.3051760233667675"/>
    <m/>
    <n v="1.0004160961538076"/>
    <n v="1.0004160961538076"/>
    <s v=""/>
    <s v=""/>
    <x v="0"/>
    <m/>
    <m/>
    <s v=""/>
  </r>
  <r>
    <s v="Kyrgyz Republic"/>
    <x v="1"/>
    <s v="P107608"/>
    <s v="C1"/>
    <s v="S1"/>
    <s v="P107608C1S1"/>
    <x v="0"/>
    <n v="2009"/>
    <x v="1"/>
    <n v="24"/>
    <n v="30"/>
    <n v="25.79"/>
    <s v="USD"/>
    <n v="25.79"/>
    <n v="0.85966666666666669"/>
    <s v=""/>
    <s v=""/>
    <x v="0"/>
    <s v=""/>
    <s v=""/>
    <m/>
  </r>
  <r>
    <s v="Kyrgyz Republic"/>
    <x v="1"/>
    <s v="P107608"/>
    <s v="C1"/>
    <s v="S1"/>
    <s v="P107608C1S1"/>
    <x v="1"/>
    <n v="2015"/>
    <x v="1"/>
    <n v="26"/>
    <n v="32"/>
    <n v="24.1"/>
    <s v="USD"/>
    <n v="24.1"/>
    <n v="0.75312500000000004"/>
    <s v=""/>
    <s v=""/>
    <x v="0"/>
    <s v=""/>
    <s v=""/>
    <m/>
  </r>
  <r>
    <s v="Kyrgyz Republic"/>
    <x v="1"/>
    <s v="P107608"/>
    <s v="C1"/>
    <s v=""/>
    <s v="P107608C1S1"/>
    <x v="2"/>
    <s v="2003 / 2008"/>
    <x v="1"/>
    <n v="1.0833333333333333"/>
    <n v="1.0666666666666667"/>
    <n v="0.93447072508724316"/>
    <m/>
    <n v="0.93447072508724316"/>
    <n v="0.87606630476929048"/>
    <s v=""/>
    <s v=""/>
    <x v="0"/>
    <s v=""/>
    <s v=""/>
    <s v=""/>
  </r>
  <r>
    <s v="Kyrgyz Republic"/>
    <x v="1"/>
    <s v="P107608"/>
    <s v="C1"/>
    <s v="S2"/>
    <s v="P107608C1S2"/>
    <x v="0"/>
    <n v="2015"/>
    <x v="1"/>
    <s v=""/>
    <n v="18"/>
    <n v="13.2"/>
    <s v="USD"/>
    <n v="13.2"/>
    <n v="0.73333333333333328"/>
    <s v=""/>
    <s v=""/>
    <x v="0"/>
    <s v=""/>
    <s v=""/>
    <m/>
  </r>
  <r>
    <s v="Kyrgyz Republic"/>
    <x v="1"/>
    <s v="P107608"/>
    <s v="C1"/>
    <s v="S2"/>
    <s v="P107608C1S2"/>
    <x v="1"/>
    <n v="2011"/>
    <x v="1"/>
    <s v=""/>
    <n v="18.100000000000001"/>
    <n v="14.5"/>
    <s v="USD"/>
    <n v="14.5"/>
    <n v="0.80110497237569056"/>
    <s v=""/>
    <s v=""/>
    <x v="0"/>
    <s v=""/>
    <s v=""/>
    <m/>
  </r>
  <r>
    <s v="Kyrgyz Republic"/>
    <x v="1"/>
    <s v="P107608"/>
    <s v="C1"/>
    <s v=""/>
    <s v="P107608C1S2"/>
    <x v="2"/>
    <s v="2003 / 2008"/>
    <x v="1"/>
    <s v=""/>
    <n v="1.0055555555555555"/>
    <n v="1.0984848484848486"/>
    <m/>
    <n v="1.0984848484848486"/>
    <n v="1.0924158714213963"/>
    <s v=""/>
    <s v=""/>
    <x v="0"/>
    <s v=""/>
    <s v=""/>
    <s v=""/>
  </r>
  <r>
    <s v="Kyrgyz Republic"/>
    <x v="1"/>
    <s v="P050719"/>
    <s v="C1"/>
    <s v=""/>
    <s v="P050719C1"/>
    <x v="0"/>
    <n v="2000"/>
    <x v="0"/>
    <s v=""/>
    <n v="98"/>
    <n v="21.75"/>
    <s v="USD"/>
    <n v="21.75"/>
    <n v="0.22193877551020408"/>
    <s v=""/>
    <s v=""/>
    <x v="0"/>
    <s v=""/>
    <s v=""/>
    <m/>
  </r>
  <r>
    <s v="Kyrgyz Republic"/>
    <x v="1"/>
    <s v="P050719"/>
    <s v="C1"/>
    <s v=""/>
    <s v="P050719C1"/>
    <x v="1"/>
    <n v="2006"/>
    <x v="0"/>
    <s v=""/>
    <n v="105"/>
    <n v="20.64"/>
    <s v="USD"/>
    <n v="20.64"/>
    <n v="0.19657142857142856"/>
    <s v=""/>
    <s v=""/>
    <x v="0"/>
    <s v=""/>
    <s v=""/>
    <m/>
  </r>
  <r>
    <s v="Kyrgyz Republic"/>
    <x v="1"/>
    <s v="P050719"/>
    <s v="C1"/>
    <s v=""/>
    <s v="P050719C1"/>
    <x v="2"/>
    <s v="2003 / 2008"/>
    <x v="0"/>
    <s v=""/>
    <n v="1.0714285714285714"/>
    <n v="0.94896551724137934"/>
    <m/>
    <n v="0.94896551724137934"/>
    <n v="0.88570114942528733"/>
    <s v=""/>
    <s v=""/>
    <x v="0"/>
    <s v=""/>
    <s v=""/>
    <s v=""/>
  </r>
  <r>
    <s v="Kyrgyz Republic"/>
    <x v="1"/>
    <s v="P050719"/>
    <s v="C1"/>
    <s v="S1"/>
    <s v="P050719C1S1"/>
    <x v="0"/>
    <n v="2000"/>
    <x v="0"/>
    <n v="28"/>
    <n v="72"/>
    <n v="16.5"/>
    <s v="USD"/>
    <n v="16.5"/>
    <n v="0.22916666666666666"/>
    <s v=""/>
    <s v=""/>
    <x v="0"/>
    <s v=""/>
    <s v=""/>
    <m/>
  </r>
  <r>
    <s v="Kyrgyz Republic"/>
    <x v="1"/>
    <s v="P050719"/>
    <s v="C1"/>
    <s v="S1"/>
    <s v="P050719C1S1"/>
    <x v="1"/>
    <n v="2006"/>
    <x v="0"/>
    <s v=""/>
    <n v="80"/>
    <n v="15.3"/>
    <s v="USD"/>
    <n v="15.3"/>
    <n v="0.19125"/>
    <s v=""/>
    <s v=""/>
    <x v="0"/>
    <s v=""/>
    <s v=""/>
    <m/>
  </r>
  <r>
    <s v="Kyrgyz Republic"/>
    <x v="1"/>
    <s v="P050719"/>
    <s v="C1"/>
    <s v=""/>
    <s v="P050719C1S1"/>
    <x v="2"/>
    <s v="2003 / 2008"/>
    <x v="0"/>
    <s v=""/>
    <n v="1.1111111111111112"/>
    <n v="0.92727272727272736"/>
    <m/>
    <n v="0.92727272727272736"/>
    <n v="0.83454545454545459"/>
    <s v=""/>
    <s v=""/>
    <x v="0"/>
    <s v=""/>
    <s v=""/>
    <s v=""/>
  </r>
  <r>
    <s v="Kyrgyz Republic"/>
    <x v="1"/>
    <s v="P050719"/>
    <s v="C1"/>
    <s v="S2"/>
    <s v="P050719C1S2"/>
    <x v="0"/>
    <n v="2000"/>
    <x v="0"/>
    <n v="16"/>
    <n v="14"/>
    <n v="3.4"/>
    <s v="USD"/>
    <n v="3.4"/>
    <n v="0.24285714285714285"/>
    <s v=""/>
    <s v=""/>
    <x v="0"/>
    <s v=""/>
    <s v=""/>
    <m/>
  </r>
  <r>
    <s v="Kyrgyz Republic"/>
    <x v="1"/>
    <s v="P050719"/>
    <s v="C1"/>
    <s v="S2"/>
    <s v="P050719C1S2"/>
    <x v="1"/>
    <n v="2006"/>
    <x v="0"/>
    <s v=""/>
    <n v="14"/>
    <n v="3.45"/>
    <s v="USD"/>
    <n v="3.45"/>
    <n v="0.24642857142857144"/>
    <s v=""/>
    <s v=""/>
    <x v="0"/>
    <s v=""/>
    <s v=""/>
    <m/>
  </r>
  <r>
    <s v="Kyrgyz Republic"/>
    <x v="1"/>
    <s v="P050719"/>
    <s v="C1"/>
    <s v=""/>
    <s v="P050719C1S2"/>
    <x v="2"/>
    <s v="2003 / 2008"/>
    <x v="0"/>
    <s v=""/>
    <n v="1"/>
    <n v="1.0147058823529413"/>
    <m/>
    <n v="1.0147058823529413"/>
    <n v="1.0147058823529413"/>
    <s v=""/>
    <s v=""/>
    <x v="0"/>
    <s v=""/>
    <s v=""/>
    <s v=""/>
  </r>
  <r>
    <s v="Kyrgyz Republic"/>
    <x v="1"/>
    <s v="P050719"/>
    <s v="C1"/>
    <s v="S3"/>
    <s v="P050719C1S3"/>
    <x v="0"/>
    <n v="2000"/>
    <x v="0"/>
    <n v="16"/>
    <n v="12"/>
    <n v="1.9"/>
    <s v="USD"/>
    <n v="1.9"/>
    <n v="0.15833333333333333"/>
    <s v=""/>
    <s v=""/>
    <x v="0"/>
    <s v=""/>
    <s v=""/>
    <m/>
  </r>
  <r>
    <s v="Kyrgyz Republic"/>
    <x v="1"/>
    <s v="P050719"/>
    <s v="C1"/>
    <s v="S3"/>
    <s v="P050719C1S3"/>
    <x v="1"/>
    <n v="2006"/>
    <x v="0"/>
    <s v=""/>
    <n v="11"/>
    <n v="1.89"/>
    <s v="USD"/>
    <n v="1.89"/>
    <n v="0.17181818181818181"/>
    <s v=""/>
    <s v=""/>
    <x v="0"/>
    <s v=""/>
    <s v=""/>
    <m/>
  </r>
  <r>
    <s v="Kyrgyz Republic"/>
    <x v="1"/>
    <s v="P050719"/>
    <s v="C1"/>
    <s v=""/>
    <s v="P050719C1S3"/>
    <x v="2"/>
    <s v="2003 / 2008"/>
    <x v="0"/>
    <s v=""/>
    <n v="0.91666666666666663"/>
    <n v="0.99473684210526314"/>
    <m/>
    <n v="0.99473684210526314"/>
    <n v="1.0851674641148326"/>
    <s v=""/>
    <s v=""/>
    <x v="0"/>
    <s v=""/>
    <s v=""/>
    <s v=""/>
  </r>
  <r>
    <s v="Lao PDR"/>
    <x v="4"/>
    <s v="P064821"/>
    <s v="C1"/>
    <s v="S1"/>
    <s v="P064821C1S1"/>
    <x v="0"/>
    <n v="2001"/>
    <x v="3"/>
    <s v=""/>
    <n v="1400"/>
    <n v="29.31"/>
    <s v="USD"/>
    <n v="29.31"/>
    <n v="2.0935714285714283E-2"/>
    <s v=""/>
    <s v="x"/>
    <x v="0"/>
    <s v=""/>
    <s v="x"/>
    <m/>
  </r>
  <r>
    <s v="Lao PDR"/>
    <x v="4"/>
    <s v="P064821"/>
    <s v="C1"/>
    <s v="S1"/>
    <s v="P064821C1S1"/>
    <x v="1"/>
    <n v="2005"/>
    <x v="3"/>
    <s v=""/>
    <n v="2762"/>
    <n v="32.08"/>
    <s v="USD"/>
    <n v="32.08"/>
    <n v="1.1614771904417089E-2"/>
    <s v=""/>
    <s v="x"/>
    <x v="0"/>
    <s v=""/>
    <s v="x"/>
    <m/>
  </r>
  <r>
    <s v="Lao PDR"/>
    <x v="4"/>
    <s v="P064821"/>
    <s v="C1"/>
    <s v=""/>
    <s v="P064821C1S1"/>
    <x v="2"/>
    <s v="2003 / 2008"/>
    <x v="3"/>
    <s v=""/>
    <n v="1.9728571428571429"/>
    <n v="1.0945069941999317"/>
    <m/>
    <n v="1.0945069941999317"/>
    <n v="0.55478269076028408"/>
    <s v=""/>
    <s v="x"/>
    <x v="0"/>
    <s v=""/>
    <s v="x"/>
    <s v="Change of project scope; ; "/>
  </r>
  <r>
    <s v="Lao PDR"/>
    <x v="4"/>
    <s v="P064821"/>
    <s v="C1"/>
    <s v="S10"/>
    <s v="P064821C1S10"/>
    <x v="0"/>
    <n v="2001"/>
    <x v="3"/>
    <s v=""/>
    <n v="20"/>
    <n v="0.39"/>
    <s v="USD"/>
    <n v="0.39"/>
    <n v="1.95E-2"/>
    <s v=""/>
    <s v=""/>
    <x v="0"/>
    <s v=""/>
    <s v=""/>
    <m/>
  </r>
  <r>
    <s v="Lao PDR"/>
    <x v="4"/>
    <s v="P064821"/>
    <s v="C1"/>
    <s v="S10"/>
    <s v="P064821C1S10"/>
    <x v="1"/>
    <n v="2005"/>
    <x v="3"/>
    <s v=""/>
    <n v="20"/>
    <n v="0.32"/>
    <s v="USD"/>
    <n v="0.32"/>
    <n v="1.6E-2"/>
    <s v=""/>
    <s v=""/>
    <x v="0"/>
    <s v=""/>
    <s v=""/>
    <m/>
  </r>
  <r>
    <s v="Lao PDR"/>
    <x v="4"/>
    <s v="P064821"/>
    <s v="C1"/>
    <s v=""/>
    <s v="P064821C1S10"/>
    <x v="2"/>
    <s v="2003 / 2008"/>
    <x v="3"/>
    <s v=""/>
    <n v="1"/>
    <n v="0.82051282051282048"/>
    <m/>
    <n v="0.82051282051282048"/>
    <n v="0.82051282051282048"/>
    <s v=""/>
    <s v=""/>
    <x v="0"/>
    <s v=""/>
    <s v=""/>
    <s v=""/>
  </r>
  <r>
    <s v="Lao PDR"/>
    <x v="4"/>
    <s v="P064821"/>
    <s v="C1"/>
    <s v="S11"/>
    <s v="P064821C1S11"/>
    <x v="0"/>
    <n v="2001"/>
    <x v="14"/>
    <s v=""/>
    <n v="50"/>
    <n v="0.55000000000000004"/>
    <s v="USD"/>
    <n v="0.55000000000000004"/>
    <n v="1.1000000000000001E-2"/>
    <s v=""/>
    <s v=""/>
    <x v="0"/>
    <s v=""/>
    <s v=""/>
    <m/>
  </r>
  <r>
    <s v="Lao PDR"/>
    <x v="4"/>
    <s v="P064821"/>
    <s v="C1"/>
    <s v="S11"/>
    <s v="P064821C1S11"/>
    <x v="1"/>
    <n v="2005"/>
    <x v="14"/>
    <s v=""/>
    <n v="50"/>
    <n v="0.46"/>
    <s v="USD"/>
    <n v="0.46"/>
    <n v="9.1999999999999998E-3"/>
    <s v=""/>
    <s v=""/>
    <x v="0"/>
    <s v=""/>
    <s v=""/>
    <m/>
  </r>
  <r>
    <s v="Lao PDR"/>
    <x v="4"/>
    <s v="P064821"/>
    <s v="C1"/>
    <s v=""/>
    <s v="P064821C1S11"/>
    <x v="2"/>
    <s v="2003 / 2008"/>
    <x v="14"/>
    <s v=""/>
    <n v="1"/>
    <n v="0.83636363636363631"/>
    <m/>
    <n v="0.83636363636363631"/>
    <n v="0.83636363636363631"/>
    <s v=""/>
    <s v=""/>
    <x v="0"/>
    <s v=""/>
    <s v=""/>
    <s v=""/>
  </r>
  <r>
    <s v="Lao PDR"/>
    <x v="4"/>
    <s v="P064821"/>
    <s v="C1"/>
    <s v="S2"/>
    <s v="P064821C1S2"/>
    <x v="0"/>
    <n v="2001"/>
    <x v="4"/>
    <s v=""/>
    <n v="15250"/>
    <n v="13.41"/>
    <s v="USD"/>
    <n v="13.41"/>
    <n v="8.7934426229508192E-4"/>
    <s v=""/>
    <s v="x"/>
    <x v="1"/>
    <s v=""/>
    <s v="x"/>
    <m/>
  </r>
  <r>
    <s v="Lao PDR"/>
    <x v="4"/>
    <s v="P064821"/>
    <s v="C1"/>
    <s v="S2"/>
    <s v="P064821C1S2"/>
    <x v="1"/>
    <n v="2005"/>
    <x v="4"/>
    <s v=""/>
    <n v="25028"/>
    <n v="5.72"/>
    <s v="USD"/>
    <n v="5.72"/>
    <n v="2.2854403068563208E-4"/>
    <s v=""/>
    <s v="x"/>
    <x v="1"/>
    <s v=""/>
    <s v="x"/>
    <m/>
  </r>
  <r>
    <s v="Lao PDR"/>
    <x v="4"/>
    <s v="P064821"/>
    <s v="C1"/>
    <s v=""/>
    <s v="P064821C1S2"/>
    <x v="2"/>
    <s v="2003 / 2008"/>
    <x v="4"/>
    <s v=""/>
    <n v="1.6411803278688524"/>
    <n v="0.42654735272184935"/>
    <m/>
    <n v="0.42654735272184935"/>
    <n v="0.25990279403101335"/>
    <s v=""/>
    <s v="x"/>
    <x v="1"/>
    <s v=""/>
    <s v="x"/>
    <s v="Capacity of counterpart (Procurement system); Quality of estimates; Change of project scope"/>
  </r>
  <r>
    <s v="Lao PDR"/>
    <x v="4"/>
    <s v="P064821"/>
    <s v="C1"/>
    <s v="S3"/>
    <s v="P064821C1S3"/>
    <x v="0"/>
    <n v="2001"/>
    <x v="14"/>
    <s v=""/>
    <n v="45"/>
    <n v="0.41"/>
    <s v="USD"/>
    <n v="0.41"/>
    <n v="9.1111111111111098E-3"/>
    <s v=""/>
    <s v=""/>
    <x v="0"/>
    <s v=""/>
    <s v=""/>
    <m/>
  </r>
  <r>
    <s v="Lao PDR"/>
    <x v="4"/>
    <s v="P064821"/>
    <s v="C1"/>
    <s v="S3"/>
    <s v="P064821C1S3"/>
    <x v="1"/>
    <n v="2005"/>
    <x v="14"/>
    <s v=""/>
    <n v="45"/>
    <n v="0.34"/>
    <s v="USD"/>
    <n v="0.34"/>
    <n v="7.5555555555555558E-3"/>
    <s v=""/>
    <s v=""/>
    <x v="0"/>
    <s v=""/>
    <s v=""/>
    <m/>
  </r>
  <r>
    <s v="Lao PDR"/>
    <x v="4"/>
    <s v="P064821"/>
    <s v="C1"/>
    <s v=""/>
    <s v="P064821C1S3"/>
    <x v="2"/>
    <s v="2003 / 2008"/>
    <x v="14"/>
    <s v=""/>
    <n v="1"/>
    <n v="0.8292682926829269"/>
    <m/>
    <n v="0.8292682926829269"/>
    <n v="0.82926829268292701"/>
    <s v=""/>
    <s v=""/>
    <x v="0"/>
    <s v=""/>
    <s v=""/>
    <s v=""/>
  </r>
  <r>
    <s v="Lao PDR"/>
    <x v="4"/>
    <s v="P064821"/>
    <s v="C1"/>
    <s v="S4"/>
    <s v="P064821C1S4"/>
    <x v="0"/>
    <n v="2001"/>
    <x v="3"/>
    <s v=""/>
    <n v="30"/>
    <n v="0.7"/>
    <s v="USD"/>
    <n v="0.7"/>
    <n v="2.3333333333333331E-2"/>
    <s v=""/>
    <s v=""/>
    <x v="0"/>
    <s v=""/>
    <s v=""/>
    <m/>
  </r>
  <r>
    <s v="Lao PDR"/>
    <x v="4"/>
    <s v="P064821"/>
    <s v="C1"/>
    <s v="S4"/>
    <s v="P064821C1S4"/>
    <x v="1"/>
    <n v="2005"/>
    <x v="3"/>
    <s v=""/>
    <n v="30"/>
    <n v="0.65"/>
    <s v="USD"/>
    <n v="0.65"/>
    <n v="2.1666666666666667E-2"/>
    <s v=""/>
    <s v=""/>
    <x v="0"/>
    <s v=""/>
    <s v=""/>
    <m/>
  </r>
  <r>
    <s v="Lao PDR"/>
    <x v="4"/>
    <s v="P064821"/>
    <s v="C1"/>
    <s v=""/>
    <s v="P064821C1S4"/>
    <x v="2"/>
    <s v="2003 / 2008"/>
    <x v="3"/>
    <s v=""/>
    <n v="1"/>
    <n v="0.92857142857142871"/>
    <m/>
    <n v="0.92857142857142871"/>
    <n v="0.92857142857142871"/>
    <s v=""/>
    <s v=""/>
    <x v="0"/>
    <s v=""/>
    <s v=""/>
    <s v=""/>
  </r>
  <r>
    <s v="Lao PDR"/>
    <x v="4"/>
    <s v="P064821"/>
    <s v="C1"/>
    <s v="S5"/>
    <s v="P064821C1S5"/>
    <x v="0"/>
    <n v="2001"/>
    <x v="3"/>
    <s v=""/>
    <n v="50"/>
    <n v="0.86"/>
    <s v="USD"/>
    <n v="0.86"/>
    <n v="1.72E-2"/>
    <s v=""/>
    <s v=""/>
    <x v="0"/>
    <s v=""/>
    <s v=""/>
    <m/>
  </r>
  <r>
    <s v="Lao PDR"/>
    <x v="4"/>
    <s v="P064821"/>
    <s v="C1"/>
    <s v="S5"/>
    <s v="P064821C1S5"/>
    <x v="1"/>
    <n v="2005"/>
    <x v="3"/>
    <s v=""/>
    <n v="50"/>
    <n v="0.71"/>
    <s v="USD"/>
    <n v="0.71"/>
    <n v="1.4199999999999999E-2"/>
    <s v=""/>
    <s v=""/>
    <x v="0"/>
    <s v=""/>
    <s v=""/>
    <m/>
  </r>
  <r>
    <s v="Lao PDR"/>
    <x v="4"/>
    <s v="P064821"/>
    <s v="C1"/>
    <s v=""/>
    <s v="P064821C1S5"/>
    <x v="2"/>
    <s v="2003 / 2008"/>
    <x v="3"/>
    <s v=""/>
    <n v="1"/>
    <n v="0.82558139534883723"/>
    <m/>
    <n v="0.82558139534883723"/>
    <n v="0.82558139534883712"/>
    <s v=""/>
    <s v=""/>
    <x v="0"/>
    <s v=""/>
    <s v=""/>
    <s v=""/>
  </r>
  <r>
    <s v="Lao PDR"/>
    <x v="4"/>
    <s v="P064821"/>
    <s v="C1"/>
    <s v="S6"/>
    <s v="P064821C1S6"/>
    <x v="0"/>
    <n v="2001"/>
    <x v="3"/>
    <s v=""/>
    <n v="50"/>
    <n v="0.98"/>
    <s v="USD"/>
    <n v="0.98"/>
    <n v="1.9599999999999999E-2"/>
    <s v=""/>
    <s v=""/>
    <x v="0"/>
    <s v=""/>
    <s v=""/>
    <m/>
  </r>
  <r>
    <s v="Lao PDR"/>
    <x v="4"/>
    <s v="P064821"/>
    <s v="C1"/>
    <s v="S6"/>
    <s v="P064821C1S6"/>
    <x v="1"/>
    <n v="2005"/>
    <x v="3"/>
    <s v=""/>
    <n v="50"/>
    <n v="0.81"/>
    <s v="USD"/>
    <n v="0.81"/>
    <n v="1.6200000000000003E-2"/>
    <s v=""/>
    <s v=""/>
    <x v="0"/>
    <s v=""/>
    <s v=""/>
    <m/>
  </r>
  <r>
    <s v="Lao PDR"/>
    <x v="4"/>
    <s v="P064821"/>
    <s v="C1"/>
    <s v=""/>
    <s v="P064821C1S6"/>
    <x v="2"/>
    <s v="2003 / 2008"/>
    <x v="3"/>
    <s v=""/>
    <n v="1"/>
    <n v="0.82653061224489799"/>
    <m/>
    <n v="0.82653061224489799"/>
    <n v="0.8265306122448981"/>
    <s v=""/>
    <s v=""/>
    <x v="0"/>
    <s v=""/>
    <s v=""/>
    <s v=""/>
  </r>
  <r>
    <s v="Lao PDR"/>
    <x v="4"/>
    <s v="P064821"/>
    <s v="C1"/>
    <s v="S7"/>
    <s v="P064821C1S7"/>
    <x v="0"/>
    <n v="2001"/>
    <x v="14"/>
    <s v=""/>
    <n v="40"/>
    <n v="0.44"/>
    <s v="USD"/>
    <n v="0.44"/>
    <n v="1.0999999999999999E-2"/>
    <s v=""/>
    <s v=""/>
    <x v="0"/>
    <s v=""/>
    <s v=""/>
    <m/>
  </r>
  <r>
    <s v="Lao PDR"/>
    <x v="4"/>
    <s v="P064821"/>
    <s v="C1"/>
    <s v="S7"/>
    <s v="P064821C1S7"/>
    <x v="1"/>
    <n v="2005"/>
    <x v="14"/>
    <s v=""/>
    <n v="40"/>
    <n v="0.37"/>
    <s v="USD"/>
    <n v="0.37"/>
    <n v="9.2499999999999995E-3"/>
    <s v=""/>
    <s v=""/>
    <x v="0"/>
    <s v=""/>
    <s v=""/>
    <m/>
  </r>
  <r>
    <s v="Lao PDR"/>
    <x v="4"/>
    <s v="P064821"/>
    <s v="C1"/>
    <s v=""/>
    <s v="P064821C1S7"/>
    <x v="2"/>
    <s v="2003 / 2008"/>
    <x v="14"/>
    <s v=""/>
    <n v="1"/>
    <n v="0.84090909090909094"/>
    <m/>
    <n v="0.84090909090909094"/>
    <n v="0.84090909090909094"/>
    <s v=""/>
    <s v=""/>
    <x v="0"/>
    <s v=""/>
    <s v=""/>
    <s v=""/>
  </r>
  <r>
    <s v="Lao PDR"/>
    <x v="4"/>
    <s v="P064821"/>
    <s v="C1"/>
    <s v="S8"/>
    <s v="P064821C1S8"/>
    <x v="0"/>
    <n v="2001"/>
    <x v="3"/>
    <s v=""/>
    <n v="15"/>
    <n v="0.28999999999999998"/>
    <s v="USD"/>
    <n v="0.28999999999999998"/>
    <n v="1.9333333333333331E-2"/>
    <s v=""/>
    <s v=""/>
    <x v="0"/>
    <s v=""/>
    <s v=""/>
    <m/>
  </r>
  <r>
    <s v="Lao PDR"/>
    <x v="4"/>
    <s v="P064821"/>
    <s v="C1"/>
    <s v="S8"/>
    <s v="P064821C1S8"/>
    <x v="1"/>
    <n v="2005"/>
    <x v="3"/>
    <s v=""/>
    <n v="15"/>
    <n v="0.24"/>
    <s v="USD"/>
    <n v="0.24"/>
    <n v="1.6E-2"/>
    <s v=""/>
    <s v=""/>
    <x v="0"/>
    <s v=""/>
    <s v=""/>
    <m/>
  </r>
  <r>
    <s v="Lao PDR"/>
    <x v="4"/>
    <s v="P064821"/>
    <s v="C1"/>
    <s v=""/>
    <s v="P064821C1S8"/>
    <x v="2"/>
    <s v="2003 / 2008"/>
    <x v="3"/>
    <s v=""/>
    <n v="1"/>
    <n v="0.82758620689655171"/>
    <m/>
    <n v="0.82758620689655171"/>
    <n v="0.82758620689655182"/>
    <s v=""/>
    <s v=""/>
    <x v="0"/>
    <s v=""/>
    <s v=""/>
    <s v=""/>
  </r>
  <r>
    <s v="Lao PDR"/>
    <x v="4"/>
    <s v="P064821"/>
    <s v="C1"/>
    <s v="S9"/>
    <s v="P064821C1S9"/>
    <x v="0"/>
    <n v="2001"/>
    <x v="3"/>
    <s v=""/>
    <n v="20"/>
    <n v="0.39"/>
    <s v="USD"/>
    <n v="0.39"/>
    <n v="1.95E-2"/>
    <s v=""/>
    <s v=""/>
    <x v="0"/>
    <s v=""/>
    <s v=""/>
    <m/>
  </r>
  <r>
    <s v="Lao PDR"/>
    <x v="4"/>
    <s v="P064821"/>
    <s v="C1"/>
    <s v="S9"/>
    <s v="P064821C1S9"/>
    <x v="1"/>
    <n v="2005"/>
    <x v="3"/>
    <s v=""/>
    <n v="20"/>
    <n v="0.31"/>
    <s v="USD"/>
    <n v="0.31"/>
    <n v="1.55E-2"/>
    <s v=""/>
    <s v=""/>
    <x v="0"/>
    <s v=""/>
    <s v=""/>
    <m/>
  </r>
  <r>
    <s v="Lao PDR"/>
    <x v="4"/>
    <s v="P064821"/>
    <s v="C1"/>
    <s v=""/>
    <s v="P064821C1S9"/>
    <x v="2"/>
    <s v="2003 / 2008"/>
    <x v="3"/>
    <s v=""/>
    <n v="1"/>
    <n v="0.79487179487179482"/>
    <m/>
    <n v="0.79487179487179482"/>
    <n v="0.79487179487179482"/>
    <s v=""/>
    <s v=""/>
    <x v="0"/>
    <s v=""/>
    <s v=""/>
    <s v=""/>
  </r>
  <r>
    <s v="Lao PDR"/>
    <x v="4"/>
    <s v="P083543"/>
    <s v="C1"/>
    <s v=""/>
    <s v="P083543C1"/>
    <x v="0"/>
    <n v="2004"/>
    <x v="4"/>
    <n v="57"/>
    <n v="22765"/>
    <n v="56.3"/>
    <s v="USD"/>
    <n v="56.3"/>
    <n v="2.4730946628596529E-3"/>
    <s v=""/>
    <s v=""/>
    <x v="0"/>
    <s v="x"/>
    <s v="x"/>
    <m/>
  </r>
  <r>
    <s v="Lao PDR"/>
    <x v="4"/>
    <s v="P083543"/>
    <s v="C1"/>
    <s v=""/>
    <s v="P083543C1"/>
    <x v="1"/>
    <n v="2012"/>
    <x v="4"/>
    <n v="72"/>
    <n v="15560"/>
    <n v="102.8"/>
    <s v="USD"/>
    <n v="102.8"/>
    <n v="6.6066838046272489E-3"/>
    <s v=""/>
    <s v=""/>
    <x v="0"/>
    <s v="x"/>
    <s v="x"/>
    <m/>
  </r>
  <r>
    <s v="Lao PDR"/>
    <x v="4"/>
    <s v="P083543"/>
    <s v="C1"/>
    <s v=""/>
    <s v="P083543C1"/>
    <x v="2"/>
    <s v="2003 / 2008"/>
    <x v="4"/>
    <n v="1.263157894736842"/>
    <n v="0.68350538106742809"/>
    <n v="1.8259325044404975"/>
    <m/>
    <n v="1.8259325044404975"/>
    <n v="2.6714237444465243"/>
    <s v=""/>
    <s v=""/>
    <x v="0"/>
    <s v="x"/>
    <s v="x"/>
    <s v="Weather shocks; Political events; "/>
  </r>
  <r>
    <s v="Lao PDR"/>
    <x v="4"/>
    <s v="P083543"/>
    <s v="C1"/>
    <s v="S1"/>
    <s v="P083543C1S1"/>
    <x v="0"/>
    <n v="2004"/>
    <x v="6"/>
    <n v="12"/>
    <n v="12"/>
    <n v="0.12"/>
    <s v="USD"/>
    <n v="0.12"/>
    <n v="0.01"/>
    <s v=""/>
    <s v=""/>
    <x v="0"/>
    <s v=""/>
    <s v=""/>
    <m/>
  </r>
  <r>
    <s v="Lao PDR"/>
    <x v="4"/>
    <s v="P083543"/>
    <s v="C1"/>
    <s v="S1"/>
    <s v="P083543C1S1"/>
    <x v="1"/>
    <n v="2011"/>
    <x v="6"/>
    <n v="12"/>
    <n v="12"/>
    <n v="0.12091300000000001"/>
    <s v="USD"/>
    <n v="0.12091300000000001"/>
    <n v="1.0076083333333334E-2"/>
    <s v=""/>
    <s v=""/>
    <x v="0"/>
    <s v=""/>
    <s v=""/>
    <m/>
  </r>
  <r>
    <s v="Lao PDR"/>
    <x v="4"/>
    <s v="P083543"/>
    <s v="C1"/>
    <s v=""/>
    <s v="P083543C1S1"/>
    <x v="2"/>
    <s v="2003 / 2008"/>
    <x v="6"/>
    <n v="1"/>
    <n v="1"/>
    <n v="1.0076083333333334"/>
    <m/>
    <n v="1.0076083333333334"/>
    <n v="1.0076083333333334"/>
    <s v=""/>
    <s v=""/>
    <x v="0"/>
    <s v=""/>
    <s v=""/>
    <s v=""/>
  </r>
  <r>
    <s v="Lao PDR"/>
    <x v="4"/>
    <s v="P083543"/>
    <s v="C1"/>
    <s v="S10"/>
    <s v="P083543C1S10"/>
    <x v="0"/>
    <n v="2004"/>
    <x v="5"/>
    <n v="12"/>
    <n v="7"/>
    <n v="0.14599999999999999"/>
    <s v="USD"/>
    <n v="0.14599999999999999"/>
    <n v="2.0857142857142855E-2"/>
    <s v=""/>
    <s v=""/>
    <x v="0"/>
    <s v=""/>
    <s v=""/>
    <m/>
  </r>
  <r>
    <s v="Lao PDR"/>
    <x v="4"/>
    <s v="P083543"/>
    <s v="C1"/>
    <s v="S10"/>
    <s v="P083543C1S10"/>
    <x v="1"/>
    <n v="2011"/>
    <x v="5"/>
    <n v="12"/>
    <n v="7"/>
    <n v="0.16997999999999999"/>
    <s v="USD"/>
    <n v="0.16997999999999999"/>
    <n v="2.4282857142857141E-2"/>
    <s v=""/>
    <s v=""/>
    <x v="0"/>
    <s v=""/>
    <s v=""/>
    <m/>
  </r>
  <r>
    <s v="Lao PDR"/>
    <x v="4"/>
    <s v="P083543"/>
    <s v="C1"/>
    <s v=""/>
    <s v="P083543C1S10"/>
    <x v="2"/>
    <s v="2003 / 2008"/>
    <x v="5"/>
    <n v="1"/>
    <n v="1"/>
    <n v="1.1642465753424658"/>
    <m/>
    <n v="1.1642465753424658"/>
    <n v="1.1642465753424658"/>
    <s v=""/>
    <s v=""/>
    <x v="0"/>
    <s v=""/>
    <s v=""/>
    <s v=""/>
  </r>
  <r>
    <s v="Lao PDR"/>
    <x v="4"/>
    <s v="P083543"/>
    <s v="C1"/>
    <s v="S11"/>
    <s v="P083543C1S11"/>
    <x v="0"/>
    <n v="2004"/>
    <x v="6"/>
    <n v="12"/>
    <n v="24"/>
    <n v="0.27"/>
    <s v="USD"/>
    <n v="0.27"/>
    <n v="1.1250000000000001E-2"/>
    <s v=""/>
    <s v=""/>
    <x v="0"/>
    <s v=""/>
    <s v=""/>
    <m/>
  </r>
  <r>
    <s v="Lao PDR"/>
    <x v="4"/>
    <s v="P083543"/>
    <s v="C1"/>
    <s v="S11"/>
    <s v="P083543C1S11"/>
    <x v="1"/>
    <n v="2011"/>
    <x v="6"/>
    <n v="12"/>
    <n v="24"/>
    <n v="0.222495"/>
    <s v="USD"/>
    <n v="0.222495"/>
    <n v="9.2706249999999994E-3"/>
    <s v=""/>
    <s v=""/>
    <x v="0"/>
    <s v=""/>
    <s v=""/>
    <m/>
  </r>
  <r>
    <s v="Lao PDR"/>
    <x v="4"/>
    <s v="P083543"/>
    <s v="C1"/>
    <s v=""/>
    <s v="P083543C1S11"/>
    <x v="2"/>
    <s v="2003 / 2008"/>
    <x v="6"/>
    <n v="1"/>
    <n v="1"/>
    <n v="0.82405555555555554"/>
    <m/>
    <n v="0.82405555555555554"/>
    <n v="0.82405555555555543"/>
    <s v=""/>
    <s v=""/>
    <x v="0"/>
    <s v=""/>
    <s v=""/>
    <s v=""/>
  </r>
  <r>
    <s v="Lao PDR"/>
    <x v="4"/>
    <s v="P083543"/>
    <s v="C1"/>
    <s v="S12"/>
    <s v="P083543C1S12"/>
    <x v="0"/>
    <n v="2004"/>
    <x v="6"/>
    <n v="12"/>
    <n v="24"/>
    <n v="0.2"/>
    <s v="USD"/>
    <n v="0.2"/>
    <n v="8.3333333333333332E-3"/>
    <s v=""/>
    <s v=""/>
    <x v="0"/>
    <s v=""/>
    <s v=""/>
    <m/>
  </r>
  <r>
    <s v="Lao PDR"/>
    <x v="4"/>
    <s v="P083543"/>
    <s v="C1"/>
    <s v="S12"/>
    <s v="P083543C1S12"/>
    <x v="1"/>
    <n v="2011"/>
    <x v="6"/>
    <n v="12"/>
    <n v="24"/>
    <n v="0.137936"/>
    <s v="USD"/>
    <n v="0.137936"/>
    <n v="5.7473333333333335E-3"/>
    <s v=""/>
    <s v=""/>
    <x v="0"/>
    <s v=""/>
    <s v=""/>
    <m/>
  </r>
  <r>
    <s v="Lao PDR"/>
    <x v="4"/>
    <s v="P083543"/>
    <s v="C1"/>
    <s v=""/>
    <s v="P083543C1S12"/>
    <x v="2"/>
    <s v="2003 / 2008"/>
    <x v="6"/>
    <n v="1"/>
    <n v="1"/>
    <n v="0.68967999999999996"/>
    <m/>
    <n v="0.68967999999999996"/>
    <n v="0.68968000000000007"/>
    <s v=""/>
    <s v=""/>
    <x v="0"/>
    <s v=""/>
    <s v=""/>
    <s v=""/>
  </r>
  <r>
    <s v="Lao PDR"/>
    <x v="4"/>
    <s v="P083543"/>
    <s v="C1"/>
    <s v="S13"/>
    <s v="P083543C1S13"/>
    <x v="0"/>
    <n v="2004"/>
    <x v="5"/>
    <n v="12"/>
    <n v="20"/>
    <n v="0.4"/>
    <s v="USD"/>
    <n v="0.4"/>
    <n v="0.02"/>
    <s v=""/>
    <s v=""/>
    <x v="0"/>
    <s v=""/>
    <s v=""/>
    <m/>
  </r>
  <r>
    <s v="Lao PDR"/>
    <x v="4"/>
    <s v="P083543"/>
    <s v="C1"/>
    <s v="S13"/>
    <s v="P083543C1S13"/>
    <x v="1"/>
    <n v="2011"/>
    <x v="5"/>
    <n v="12"/>
    <n v="20"/>
    <n v="0.30755399999999999"/>
    <s v="USD"/>
    <n v="0.30755399999999999"/>
    <n v="1.5377699999999999E-2"/>
    <s v=""/>
    <s v=""/>
    <x v="0"/>
    <s v=""/>
    <s v=""/>
    <m/>
  </r>
  <r>
    <s v="Lao PDR"/>
    <x v="4"/>
    <s v="P083543"/>
    <s v="C1"/>
    <s v=""/>
    <s v="P083543C1S13"/>
    <x v="2"/>
    <s v="2003 / 2008"/>
    <x v="5"/>
    <n v="1"/>
    <n v="1"/>
    <n v="0.76888499999999993"/>
    <m/>
    <n v="0.76888499999999993"/>
    <n v="0.76888499999999993"/>
    <s v=""/>
    <s v=""/>
    <x v="0"/>
    <s v=""/>
    <s v=""/>
    <s v=""/>
  </r>
  <r>
    <s v="Lao PDR"/>
    <x v="4"/>
    <s v="P083543"/>
    <s v="C1"/>
    <s v="S14"/>
    <s v="P083543C1S14"/>
    <x v="0"/>
    <n v="2004"/>
    <x v="14"/>
    <n v="12"/>
    <n v="24"/>
    <n v="0.17"/>
    <s v="USD"/>
    <n v="0.17"/>
    <n v="7.0833333333333338E-3"/>
    <s v=""/>
    <s v=""/>
    <x v="0"/>
    <s v=""/>
    <s v=""/>
    <m/>
  </r>
  <r>
    <s v="Lao PDR"/>
    <x v="4"/>
    <s v="P083543"/>
    <s v="C1"/>
    <s v="S14"/>
    <s v="P083543C1S14"/>
    <x v="1"/>
    <n v="2011"/>
    <x v="14"/>
    <n v="12"/>
    <n v="24"/>
    <n v="0.123885"/>
    <s v="USD"/>
    <n v="0.123885"/>
    <n v="5.1618749999999998E-3"/>
    <s v=""/>
    <s v=""/>
    <x v="0"/>
    <s v=""/>
    <s v=""/>
    <m/>
  </r>
  <r>
    <s v="Lao PDR"/>
    <x v="4"/>
    <s v="P083543"/>
    <s v="C1"/>
    <s v=""/>
    <s v="P083543C1S14"/>
    <x v="2"/>
    <s v="2003 / 2008"/>
    <x v="14"/>
    <n v="1"/>
    <n v="1"/>
    <n v="0.72873529411764693"/>
    <m/>
    <n v="0.72873529411764693"/>
    <n v="0.72873529411764693"/>
    <s v=""/>
    <s v=""/>
    <x v="0"/>
    <s v=""/>
    <s v=""/>
    <s v=""/>
  </r>
  <r>
    <s v="Lao PDR"/>
    <x v="4"/>
    <s v="P083543"/>
    <s v="C1"/>
    <s v="S15"/>
    <s v="P083543C1S15"/>
    <x v="0"/>
    <n v="2004"/>
    <x v="14"/>
    <n v="12"/>
    <n v="19"/>
    <n v="0.12"/>
    <s v="USD"/>
    <n v="0.12"/>
    <n v="6.3157894736842104E-3"/>
    <s v=""/>
    <s v=""/>
    <x v="0"/>
    <s v=""/>
    <s v=""/>
    <m/>
  </r>
  <r>
    <s v="Lao PDR"/>
    <x v="4"/>
    <s v="P083543"/>
    <s v="C1"/>
    <s v="S15"/>
    <s v="P083543C1S15"/>
    <x v="1"/>
    <n v="2011"/>
    <x v="14"/>
    <n v="12"/>
    <n v="19"/>
    <n v="0.13713700000000001"/>
    <s v="USD"/>
    <n v="0.13713700000000001"/>
    <n v="7.2177368421052638E-3"/>
    <s v=""/>
    <s v=""/>
    <x v="0"/>
    <s v=""/>
    <s v=""/>
    <m/>
  </r>
  <r>
    <s v="Lao PDR"/>
    <x v="4"/>
    <s v="P083543"/>
    <s v="C1"/>
    <s v=""/>
    <s v="P083543C1S15"/>
    <x v="2"/>
    <s v="2003 / 2008"/>
    <x v="14"/>
    <n v="1"/>
    <n v="1"/>
    <n v="1.1428083333333334"/>
    <m/>
    <n v="1.1428083333333334"/>
    <n v="1.1428083333333334"/>
    <s v=""/>
    <s v=""/>
    <x v="0"/>
    <s v=""/>
    <s v=""/>
    <s v=""/>
  </r>
  <r>
    <s v="Lao PDR"/>
    <x v="4"/>
    <s v="P083543"/>
    <s v="C1"/>
    <s v="S16"/>
    <s v="P083543C1S16"/>
    <x v="0"/>
    <n v="2004"/>
    <x v="14"/>
    <n v="12"/>
    <n v="57"/>
    <n v="0.35"/>
    <s v="USD"/>
    <n v="0.35"/>
    <n v="6.1403508771929825E-3"/>
    <s v=""/>
    <s v=""/>
    <x v="0"/>
    <s v=""/>
    <s v=""/>
    <m/>
  </r>
  <r>
    <s v="Lao PDR"/>
    <x v="4"/>
    <s v="P083543"/>
    <s v="C1"/>
    <s v="S16"/>
    <s v="P083543C1S16"/>
    <x v="1"/>
    <n v="2011"/>
    <x v="14"/>
    <n v="12"/>
    <n v="57"/>
    <n v="0.356541"/>
    <s v="USD"/>
    <n v="0.356541"/>
    <n v="6.2551052631578943E-3"/>
    <s v=""/>
    <s v=""/>
    <x v="0"/>
    <s v=""/>
    <s v=""/>
    <m/>
  </r>
  <r>
    <s v="Lao PDR"/>
    <x v="4"/>
    <s v="P083543"/>
    <s v="C1"/>
    <s v=""/>
    <s v="P083543C1S16"/>
    <x v="2"/>
    <s v="2003 / 2008"/>
    <x v="14"/>
    <n v="1"/>
    <n v="1"/>
    <n v="1.0186885714285714"/>
    <m/>
    <n v="1.0186885714285714"/>
    <n v="1.0186885714285714"/>
    <s v=""/>
    <s v=""/>
    <x v="0"/>
    <s v=""/>
    <s v=""/>
    <s v=""/>
  </r>
  <r>
    <s v="Lao PDR"/>
    <x v="4"/>
    <s v="P083543"/>
    <s v="C1"/>
    <s v="S17"/>
    <s v="P083543C1S17"/>
    <x v="0"/>
    <n v="2004"/>
    <x v="5"/>
    <n v="12"/>
    <n v="12"/>
    <n v="0.24"/>
    <s v="USD"/>
    <n v="0.24"/>
    <n v="0.02"/>
    <s v=""/>
    <s v=""/>
    <x v="0"/>
    <s v=""/>
    <s v=""/>
    <m/>
  </r>
  <r>
    <s v="Lao PDR"/>
    <x v="4"/>
    <s v="P083543"/>
    <s v="C1"/>
    <s v="S17"/>
    <s v="P083543C1S17"/>
    <x v="1"/>
    <n v="2011"/>
    <x v="5"/>
    <n v="12"/>
    <n v="12"/>
    <n v="0.200069"/>
    <s v="USD"/>
    <n v="0.200069"/>
    <n v="1.6672416666666665E-2"/>
    <s v=""/>
    <s v=""/>
    <x v="0"/>
    <s v=""/>
    <s v=""/>
    <m/>
  </r>
  <r>
    <s v="Lao PDR"/>
    <x v="4"/>
    <s v="P083543"/>
    <s v="C1"/>
    <s v=""/>
    <s v="P083543C1S17"/>
    <x v="2"/>
    <s v="2003 / 2008"/>
    <x v="5"/>
    <n v="1"/>
    <n v="1"/>
    <n v="0.83362083333333337"/>
    <m/>
    <n v="0.83362083333333337"/>
    <n v="0.83362083333333326"/>
    <s v=""/>
    <s v=""/>
    <x v="0"/>
    <s v=""/>
    <s v=""/>
    <s v=""/>
  </r>
  <r>
    <s v="Lao PDR"/>
    <x v="4"/>
    <s v="P083543"/>
    <s v="C1"/>
    <s v="S18"/>
    <s v="P083543C1S18"/>
    <x v="0"/>
    <n v="2004"/>
    <x v="6"/>
    <n v="12"/>
    <n v="14"/>
    <n v="0.15"/>
    <s v="USD"/>
    <n v="0.15"/>
    <n v="1.0714285714285714E-2"/>
    <s v=""/>
    <s v=""/>
    <x v="0"/>
    <s v=""/>
    <s v=""/>
    <m/>
  </r>
  <r>
    <s v="Lao PDR"/>
    <x v="4"/>
    <s v="P083543"/>
    <s v="C1"/>
    <s v="S18"/>
    <s v="P083543C1S18"/>
    <x v="1"/>
    <n v="2011"/>
    <x v="6"/>
    <n v="12"/>
    <n v="14"/>
    <n v="0.13291700000000001"/>
    <s v="USD"/>
    <n v="0.13291700000000001"/>
    <n v="9.4940714285714298E-3"/>
    <s v=""/>
    <s v=""/>
    <x v="0"/>
    <s v=""/>
    <s v=""/>
    <m/>
  </r>
  <r>
    <s v="Lao PDR"/>
    <x v="4"/>
    <s v="P083543"/>
    <s v="C1"/>
    <s v=""/>
    <s v="P083543C1S18"/>
    <x v="2"/>
    <s v="2003 / 2008"/>
    <x v="6"/>
    <n v="1"/>
    <n v="1"/>
    <n v="0.88611333333333342"/>
    <m/>
    <n v="0.88611333333333342"/>
    <n v="0.88611333333333342"/>
    <s v=""/>
    <s v=""/>
    <x v="0"/>
    <s v=""/>
    <s v=""/>
    <s v=""/>
  </r>
  <r>
    <s v="Lao PDR"/>
    <x v="4"/>
    <s v="P083543"/>
    <s v="C1"/>
    <s v="S19"/>
    <s v="P083543C1S19"/>
    <x v="0"/>
    <n v="2004"/>
    <x v="14"/>
    <n v="12"/>
    <n v="32"/>
    <n v="0.25"/>
    <s v="USD"/>
    <n v="0.25"/>
    <n v="7.8125E-3"/>
    <s v=""/>
    <s v=""/>
    <x v="0"/>
    <s v="x"/>
    <s v="x"/>
    <m/>
  </r>
  <r>
    <s v="Lao PDR"/>
    <x v="4"/>
    <s v="P083543"/>
    <s v="C1"/>
    <s v="S19"/>
    <s v="P083543C1S19"/>
    <x v="1"/>
    <n v="2011"/>
    <x v="14"/>
    <n v="12"/>
    <n v="32"/>
    <n v="0.39507799999999998"/>
    <s v="USD"/>
    <n v="0.39507799999999998"/>
    <n v="1.23461875E-2"/>
    <s v=""/>
    <s v=""/>
    <x v="0"/>
    <s v="x"/>
    <s v="x"/>
    <m/>
  </r>
  <r>
    <s v="Lao PDR"/>
    <x v="4"/>
    <s v="P083543"/>
    <s v="C1"/>
    <s v=""/>
    <s v="P083543C1S19"/>
    <x v="2"/>
    <s v="2003 / 2008"/>
    <x v="14"/>
    <n v="1"/>
    <n v="1"/>
    <n v="1.5803119999999999"/>
    <m/>
    <n v="1.5803119999999999"/>
    <n v="1.5803119999999999"/>
    <s v=""/>
    <s v=""/>
    <x v="0"/>
    <s v="x"/>
    <s v="x"/>
    <s v="Weather shocks; Political events; "/>
  </r>
  <r>
    <s v="Lao PDR"/>
    <x v="4"/>
    <s v="P083543"/>
    <s v="C1"/>
    <s v="S2"/>
    <s v="P083543C1S2"/>
    <x v="0"/>
    <n v="2004"/>
    <x v="5"/>
    <n v="12"/>
    <n v="16"/>
    <n v="0.34"/>
    <s v="USD"/>
    <n v="0.34"/>
    <n v="2.1250000000000002E-2"/>
    <s v=""/>
    <s v=""/>
    <x v="0"/>
    <s v=""/>
    <s v=""/>
    <m/>
  </r>
  <r>
    <s v="Lao PDR"/>
    <x v="4"/>
    <s v="P083543"/>
    <s v="C1"/>
    <s v="S2"/>
    <s v="P083543C1S2"/>
    <x v="1"/>
    <n v="2011"/>
    <x v="5"/>
    <n v="12"/>
    <n v="16"/>
    <n v="0.37198300000000001"/>
    <s v="USD"/>
    <n v="0.37198300000000001"/>
    <n v="2.3248937500000001E-2"/>
    <s v=""/>
    <s v=""/>
    <x v="0"/>
    <s v=""/>
    <s v=""/>
    <m/>
  </r>
  <r>
    <s v="Lao PDR"/>
    <x v="4"/>
    <s v="P083543"/>
    <s v="C1"/>
    <s v=""/>
    <s v="P083543C1S2"/>
    <x v="2"/>
    <s v="2003 / 2008"/>
    <x v="5"/>
    <n v="1"/>
    <n v="1"/>
    <n v="1.0940676470588235"/>
    <m/>
    <n v="1.0940676470588235"/>
    <n v="1.0940676470588235"/>
    <s v=""/>
    <s v=""/>
    <x v="0"/>
    <s v=""/>
    <s v=""/>
    <s v=""/>
  </r>
  <r>
    <s v="Lao PDR"/>
    <x v="4"/>
    <s v="P083543"/>
    <s v="C1"/>
    <s v="S20"/>
    <s v="P083543C1S20"/>
    <x v="0"/>
    <n v="2004"/>
    <x v="6"/>
    <n v="12"/>
    <n v="31"/>
    <n v="0.27"/>
    <s v="USD"/>
    <n v="0.27"/>
    <n v="8.7096774193548398E-3"/>
    <s v=""/>
    <s v=""/>
    <x v="0"/>
    <s v=""/>
    <s v=""/>
    <m/>
  </r>
  <r>
    <s v="Lao PDR"/>
    <x v="4"/>
    <s v="P083543"/>
    <s v="C1"/>
    <s v="S20"/>
    <s v="P083543C1S20"/>
    <x v="1"/>
    <n v="2011"/>
    <x v="6"/>
    <n v="12"/>
    <n v="31"/>
    <n v="0.16953099999999999"/>
    <s v="USD"/>
    <n v="0.16953099999999999"/>
    <n v="5.468741935483871E-3"/>
    <s v=""/>
    <s v=""/>
    <x v="0"/>
    <s v=""/>
    <s v=""/>
    <m/>
  </r>
  <r>
    <s v="Lao PDR"/>
    <x v="4"/>
    <s v="P083543"/>
    <s v="C1"/>
    <s v=""/>
    <s v="P083543C1S20"/>
    <x v="2"/>
    <s v="2003 / 2008"/>
    <x v="6"/>
    <n v="1"/>
    <n v="1"/>
    <n v="0.62789259259259256"/>
    <m/>
    <n v="0.62789259259259256"/>
    <n v="0.62789259259259256"/>
    <s v=""/>
    <s v=""/>
    <x v="0"/>
    <s v=""/>
    <s v=""/>
    <s v=""/>
  </r>
  <r>
    <s v="Lao PDR"/>
    <x v="4"/>
    <s v="P083543"/>
    <s v="C1"/>
    <s v="S21"/>
    <s v="P083543C1S21"/>
    <x v="0"/>
    <n v="2004"/>
    <x v="14"/>
    <n v="12"/>
    <n v="53"/>
    <n v="0.22"/>
    <s v="USD"/>
    <n v="0.22"/>
    <n v="4.1509433962264152E-3"/>
    <s v=""/>
    <s v=""/>
    <x v="0"/>
    <s v=""/>
    <s v=""/>
    <m/>
  </r>
  <r>
    <s v="Lao PDR"/>
    <x v="4"/>
    <s v="P083543"/>
    <s v="C1"/>
    <s v="S21"/>
    <s v="P083543C1S21"/>
    <x v="1"/>
    <n v="2011"/>
    <x v="14"/>
    <n v="12"/>
    <n v="53"/>
    <n v="0.12998699999999999"/>
    <s v="USD"/>
    <n v="0.12998699999999999"/>
    <n v="2.4525849056603773E-3"/>
    <s v=""/>
    <s v=""/>
    <x v="0"/>
    <s v=""/>
    <s v=""/>
    <m/>
  </r>
  <r>
    <s v="Lao PDR"/>
    <x v="4"/>
    <s v="P083543"/>
    <s v="C1"/>
    <s v=""/>
    <s v="P083543C1S21"/>
    <x v="2"/>
    <s v="2003 / 2008"/>
    <x v="14"/>
    <n v="1"/>
    <n v="1"/>
    <n v="0.59084999999999999"/>
    <m/>
    <n v="0.59084999999999999"/>
    <n v="0.59084999999999999"/>
    <s v=""/>
    <s v=""/>
    <x v="0"/>
    <s v=""/>
    <s v=""/>
    <s v=""/>
  </r>
  <r>
    <s v="Lao PDR"/>
    <x v="4"/>
    <s v="P083543"/>
    <s v="C1"/>
    <s v="S22"/>
    <s v="P083543C1S22"/>
    <x v="0"/>
    <n v="2004"/>
    <x v="5"/>
    <n v="12"/>
    <n v="8"/>
    <n v="0.16500000000000001"/>
    <s v="USD"/>
    <n v="0.16500000000000001"/>
    <n v="2.0625000000000001E-2"/>
    <s v=""/>
    <s v=""/>
    <x v="0"/>
    <s v=""/>
    <s v=""/>
    <m/>
  </r>
  <r>
    <s v="Lao PDR"/>
    <x v="4"/>
    <s v="P083543"/>
    <s v="C1"/>
    <s v="S22"/>
    <s v="P083543C1S22"/>
    <x v="1"/>
    <n v="2011"/>
    <x v="5"/>
    <n v="12"/>
    <n v="8"/>
    <n v="0.12582199999999999"/>
    <s v="USD"/>
    <n v="0.12582199999999999"/>
    <n v="1.5727749999999999E-2"/>
    <s v=""/>
    <s v=""/>
    <x v="0"/>
    <s v=""/>
    <s v=""/>
    <m/>
  </r>
  <r>
    <s v="Lao PDR"/>
    <x v="4"/>
    <s v="P083543"/>
    <s v="C1"/>
    <s v=""/>
    <s v="P083543C1S22"/>
    <x v="2"/>
    <s v="2003 / 2008"/>
    <x v="5"/>
    <n v="1"/>
    <n v="1"/>
    <n v="0.76255757575757566"/>
    <m/>
    <n v="0.76255757575757566"/>
    <n v="0.76255757575757566"/>
    <s v=""/>
    <s v=""/>
    <x v="0"/>
    <s v=""/>
    <s v=""/>
    <s v=""/>
  </r>
  <r>
    <s v="Lao PDR"/>
    <x v="4"/>
    <s v="P083543"/>
    <s v="C1"/>
    <s v="S23"/>
    <s v="P083543C1S23"/>
    <x v="0"/>
    <n v="2004"/>
    <x v="6"/>
    <n v="12"/>
    <n v="20"/>
    <n v="0.2"/>
    <s v="USD"/>
    <n v="0.2"/>
    <n v="0.01"/>
    <s v=""/>
    <s v=""/>
    <x v="0"/>
    <s v=""/>
    <s v=""/>
    <m/>
  </r>
  <r>
    <s v="Lao PDR"/>
    <x v="4"/>
    <s v="P083543"/>
    <s v="C1"/>
    <s v="S23"/>
    <s v="P083543C1S23"/>
    <x v="1"/>
    <n v="2011"/>
    <x v="6"/>
    <n v="12"/>
    <n v="20"/>
    <n v="0.164436"/>
    <s v="USD"/>
    <n v="0.164436"/>
    <n v="8.2217999999999996E-3"/>
    <s v=""/>
    <s v=""/>
    <x v="0"/>
    <s v=""/>
    <s v=""/>
    <m/>
  </r>
  <r>
    <s v="Lao PDR"/>
    <x v="4"/>
    <s v="P083543"/>
    <s v="C1"/>
    <s v=""/>
    <s v="P083543C1S23"/>
    <x v="2"/>
    <s v="2003 / 2008"/>
    <x v="6"/>
    <n v="1"/>
    <n v="1"/>
    <n v="0.82217999999999991"/>
    <m/>
    <n v="0.82217999999999991"/>
    <n v="0.82217999999999991"/>
    <s v=""/>
    <s v=""/>
    <x v="0"/>
    <s v=""/>
    <s v=""/>
    <s v=""/>
  </r>
  <r>
    <s v="Lao PDR"/>
    <x v="4"/>
    <s v="P083543"/>
    <s v="C1"/>
    <s v="S24"/>
    <s v="P083543C1S24"/>
    <x v="0"/>
    <n v="2004"/>
    <x v="14"/>
    <n v="12"/>
    <n v="26"/>
    <n v="0.2"/>
    <s v="USD"/>
    <n v="0.2"/>
    <n v="7.6923076923076927E-3"/>
    <s v=""/>
    <s v=""/>
    <x v="0"/>
    <s v=""/>
    <s v=""/>
    <m/>
  </r>
  <r>
    <s v="Lao PDR"/>
    <x v="4"/>
    <s v="P083543"/>
    <s v="C1"/>
    <s v="S24"/>
    <s v="P083543C1S24"/>
    <x v="1"/>
    <n v="2011"/>
    <x v="14"/>
    <n v="12"/>
    <n v="26"/>
    <n v="0.163276"/>
    <s v="USD"/>
    <n v="0.163276"/>
    <n v="6.2798461538461541E-3"/>
    <s v=""/>
    <s v=""/>
    <x v="0"/>
    <s v=""/>
    <s v=""/>
    <m/>
  </r>
  <r>
    <s v="Lao PDR"/>
    <x v="4"/>
    <s v="P083543"/>
    <s v="C1"/>
    <s v=""/>
    <s v="P083543C1S24"/>
    <x v="2"/>
    <s v="2003 / 2008"/>
    <x v="14"/>
    <n v="1"/>
    <n v="1"/>
    <n v="0.81637999999999999"/>
    <m/>
    <n v="0.81637999999999999"/>
    <n v="0.81637999999999999"/>
    <s v=""/>
    <s v=""/>
    <x v="0"/>
    <s v=""/>
    <s v=""/>
    <s v=""/>
  </r>
  <r>
    <s v="Lao PDR"/>
    <x v="4"/>
    <s v="P083543"/>
    <s v="C1"/>
    <s v="S25"/>
    <s v="P083543C1S25"/>
    <x v="0"/>
    <n v="2004"/>
    <x v="14"/>
    <n v="12"/>
    <n v="30"/>
    <n v="0.2"/>
    <s v="USD"/>
    <n v="0.2"/>
    <n v="6.6666666666666671E-3"/>
    <s v=""/>
    <s v=""/>
    <x v="0"/>
    <s v=""/>
    <s v=""/>
    <m/>
  </r>
  <r>
    <s v="Lao PDR"/>
    <x v="4"/>
    <s v="P083543"/>
    <s v="C1"/>
    <s v="S25"/>
    <s v="P083543C1S25"/>
    <x v="1"/>
    <n v="2011"/>
    <x v="14"/>
    <n v="12"/>
    <n v="30"/>
    <n v="0.107241"/>
    <s v="USD"/>
    <n v="0.107241"/>
    <n v="3.5747000000000001E-3"/>
    <s v=""/>
    <s v=""/>
    <x v="0"/>
    <s v=""/>
    <s v=""/>
    <m/>
  </r>
  <r>
    <s v="Lao PDR"/>
    <x v="4"/>
    <s v="P083543"/>
    <s v="C1"/>
    <s v=""/>
    <s v="P083543C1S25"/>
    <x v="2"/>
    <s v="2003 / 2008"/>
    <x v="14"/>
    <n v="1"/>
    <n v="1"/>
    <n v="0.53620499999999993"/>
    <m/>
    <n v="0.53620499999999993"/>
    <n v="0.53620499999999993"/>
    <s v=""/>
    <s v=""/>
    <x v="0"/>
    <s v=""/>
    <s v=""/>
    <s v=""/>
  </r>
  <r>
    <s v="Lao PDR"/>
    <x v="4"/>
    <s v="P083543"/>
    <s v="C1"/>
    <s v="S26"/>
    <s v="P083543C1S26"/>
    <x v="0"/>
    <n v="2004"/>
    <x v="6"/>
    <n v="12"/>
    <n v="39"/>
    <n v="0.35"/>
    <s v="USD"/>
    <n v="0.35"/>
    <n v="8.9743589743589737E-3"/>
    <s v=""/>
    <s v=""/>
    <x v="0"/>
    <s v=""/>
    <s v=""/>
    <m/>
  </r>
  <r>
    <s v="Lao PDR"/>
    <x v="4"/>
    <s v="P083543"/>
    <s v="C1"/>
    <s v="S26"/>
    <s v="P083543C1S26"/>
    <x v="1"/>
    <n v="2011"/>
    <x v="6"/>
    <n v="12"/>
    <n v="39"/>
    <n v="0.35427500000000001"/>
    <s v="USD"/>
    <n v="0.35427500000000001"/>
    <n v="9.0839743589743588E-3"/>
    <s v=""/>
    <s v=""/>
    <x v="0"/>
    <s v=""/>
    <s v=""/>
    <m/>
  </r>
  <r>
    <s v="Lao PDR"/>
    <x v="4"/>
    <s v="P083543"/>
    <s v="C1"/>
    <s v=""/>
    <s v="P083543C1S26"/>
    <x v="2"/>
    <s v="2003 / 2008"/>
    <x v="6"/>
    <n v="1"/>
    <n v="1"/>
    <n v="1.0122142857142857"/>
    <m/>
    <n v="1.0122142857142857"/>
    <n v="1.0122142857142857"/>
    <s v=""/>
    <s v=""/>
    <x v="0"/>
    <s v=""/>
    <s v=""/>
    <s v=""/>
  </r>
  <r>
    <s v="Lao PDR"/>
    <x v="4"/>
    <s v="P083543"/>
    <s v="C1"/>
    <s v="S27"/>
    <s v="P083543C1S27"/>
    <x v="0"/>
    <n v="2004"/>
    <x v="14"/>
    <n v="12"/>
    <n v="16"/>
    <n v="0.14000000000000001"/>
    <s v="USD"/>
    <n v="0.14000000000000001"/>
    <n v="8.7500000000000008E-3"/>
    <s v=""/>
    <s v=""/>
    <x v="0"/>
    <s v=""/>
    <s v=""/>
    <m/>
  </r>
  <r>
    <s v="Lao PDR"/>
    <x v="4"/>
    <s v="P083543"/>
    <s v="C1"/>
    <s v="S27"/>
    <s v="P083543C1S27"/>
    <x v="1"/>
    <n v="2011"/>
    <x v="14"/>
    <n v="12"/>
    <n v="16"/>
    <n v="0.16003800000000001"/>
    <s v="USD"/>
    <n v="0.16003800000000001"/>
    <n v="1.0002375000000001E-2"/>
    <s v=""/>
    <s v=""/>
    <x v="0"/>
    <s v=""/>
    <s v=""/>
    <m/>
  </r>
  <r>
    <s v="Lao PDR"/>
    <x v="4"/>
    <s v="P083543"/>
    <s v="C1"/>
    <s v=""/>
    <s v="P083543C1S27"/>
    <x v="2"/>
    <s v="2003 / 2008"/>
    <x v="14"/>
    <n v="1"/>
    <n v="1"/>
    <n v="1.1431285714285715"/>
    <m/>
    <n v="1.1431285714285715"/>
    <n v="1.1431285714285715"/>
    <s v=""/>
    <s v=""/>
    <x v="0"/>
    <s v=""/>
    <s v=""/>
    <s v=""/>
  </r>
  <r>
    <s v="Lao PDR"/>
    <x v="4"/>
    <s v="P083543"/>
    <s v="C1"/>
    <s v="S28"/>
    <s v="P083543C1S28"/>
    <x v="0"/>
    <n v="2004"/>
    <x v="14"/>
    <n v="12"/>
    <n v="38.299999999999997"/>
    <n v="0.1658007"/>
    <s v="USD"/>
    <n v="0.1658007"/>
    <n v="4.3290000000000004E-3"/>
    <s v=""/>
    <s v=""/>
    <x v="0"/>
    <s v="x"/>
    <s v="x"/>
    <m/>
  </r>
  <r>
    <s v="Lao PDR"/>
    <x v="4"/>
    <s v="P083543"/>
    <s v="C1"/>
    <s v="S28"/>
    <s v="P083543C1S28"/>
    <x v="1"/>
    <n v="2011"/>
    <x v="14"/>
    <n v="12"/>
    <n v="38.299999999999997"/>
    <n v="0.3425935"/>
    <s v="USD"/>
    <n v="0.3425935"/>
    <n v="8.9449999999999998E-3"/>
    <s v=""/>
    <s v=""/>
    <x v="0"/>
    <s v="x"/>
    <s v="x"/>
    <m/>
  </r>
  <r>
    <s v="Lao PDR"/>
    <x v="4"/>
    <s v="P083543"/>
    <s v="C1"/>
    <s v=""/>
    <s v="P083543C1S28"/>
    <x v="2"/>
    <s v="2003 / 2008"/>
    <x v="14"/>
    <n v="1"/>
    <n v="1"/>
    <n v="2.0662970662970661"/>
    <m/>
    <n v="2.0662970662970661"/>
    <n v="2.0662970662970661"/>
    <s v=""/>
    <s v=""/>
    <x v="0"/>
    <s v="x"/>
    <s v="x"/>
    <s v="Weather shocks; Political events; "/>
  </r>
  <r>
    <s v="Lao PDR"/>
    <x v="4"/>
    <s v="P083543"/>
    <s v="C1"/>
    <s v="S29"/>
    <s v="P083543C1S29"/>
    <x v="0"/>
    <n v="2004"/>
    <x v="14"/>
    <n v="12"/>
    <n v="30.5"/>
    <n v="0.13200400000000001"/>
    <s v="USD"/>
    <n v="0.13200400000000001"/>
    <n v="4.3280000000000002E-3"/>
    <s v=""/>
    <s v=""/>
    <x v="0"/>
    <s v="x"/>
    <s v="x"/>
    <m/>
  </r>
  <r>
    <s v="Lao PDR"/>
    <x v="4"/>
    <s v="P083543"/>
    <s v="C1"/>
    <s v="S29"/>
    <s v="P083543C1S29"/>
    <x v="1"/>
    <n v="2011"/>
    <x v="14"/>
    <n v="12"/>
    <n v="30.5"/>
    <n v="0.31079499999999999"/>
    <s v="USD"/>
    <n v="0.31079499999999999"/>
    <n v="1.0189999999999999E-2"/>
    <s v=""/>
    <s v=""/>
    <x v="0"/>
    <s v="x"/>
    <s v="x"/>
    <m/>
  </r>
  <r>
    <s v="Lao PDR"/>
    <x v="4"/>
    <s v="P083543"/>
    <s v="C1"/>
    <s v=""/>
    <s v="P083543C1S29"/>
    <x v="2"/>
    <s v="2003 / 2008"/>
    <x v="14"/>
    <n v="1"/>
    <n v="1"/>
    <n v="2.3544362292051755"/>
    <m/>
    <n v="2.3544362292051755"/>
    <n v="2.3544362292051755"/>
    <s v=""/>
    <s v=""/>
    <x v="0"/>
    <s v="x"/>
    <s v="x"/>
    <s v="Weather shocks; Political events; "/>
  </r>
  <r>
    <s v="Lao PDR"/>
    <x v="4"/>
    <s v="P083543"/>
    <s v="C1"/>
    <s v="S3"/>
    <s v="P083543C1S3"/>
    <x v="0"/>
    <n v="2004"/>
    <x v="14"/>
    <n v="12"/>
    <n v="19"/>
    <n v="0.14000000000000001"/>
    <s v="USD"/>
    <n v="0.14000000000000001"/>
    <n v="7.3684210526315796E-3"/>
    <s v=""/>
    <s v=""/>
    <x v="0"/>
    <s v=""/>
    <s v=""/>
    <m/>
  </r>
  <r>
    <s v="Lao PDR"/>
    <x v="4"/>
    <s v="P083543"/>
    <s v="C1"/>
    <s v="S3"/>
    <s v="P083543C1S3"/>
    <x v="1"/>
    <n v="2011"/>
    <x v="14"/>
    <n v="12"/>
    <n v="19"/>
    <n v="8.2600999999999994E-2"/>
    <s v="USD"/>
    <n v="8.2600999999999994E-2"/>
    <n v="4.3474210526315785E-3"/>
    <s v=""/>
    <s v=""/>
    <x v="0"/>
    <s v=""/>
    <s v=""/>
    <m/>
  </r>
  <r>
    <s v="Lao PDR"/>
    <x v="4"/>
    <s v="P083543"/>
    <s v="C1"/>
    <s v=""/>
    <s v="P083543C1S3"/>
    <x v="2"/>
    <s v="2003 / 2008"/>
    <x v="14"/>
    <n v="1"/>
    <n v="1"/>
    <n v="0.59000714285714273"/>
    <m/>
    <n v="0.59000714285714273"/>
    <n v="0.59000714285714273"/>
    <s v=""/>
    <s v=""/>
    <x v="0"/>
    <s v=""/>
    <s v=""/>
    <s v=""/>
  </r>
  <r>
    <s v="Lao PDR"/>
    <x v="4"/>
    <s v="P083543"/>
    <s v="C1"/>
    <s v="S30"/>
    <s v="P083543C1S30"/>
    <x v="0"/>
    <n v="2004"/>
    <x v="14"/>
    <n v="12"/>
    <n v="24.2"/>
    <n v="0.1047134"/>
    <s v="USD"/>
    <n v="0.1047134"/>
    <n v="4.3270000000000001E-3"/>
    <s v=""/>
    <s v=""/>
    <x v="0"/>
    <s v=""/>
    <s v=""/>
    <m/>
  </r>
  <r>
    <s v="Lao PDR"/>
    <x v="4"/>
    <s v="P083543"/>
    <s v="C1"/>
    <s v="S30"/>
    <s v="P083543C1S30"/>
    <x v="1"/>
    <n v="2011"/>
    <x v="14"/>
    <n v="12"/>
    <n v="24.2"/>
    <n v="8.5305000000000006E-2"/>
    <s v="USD"/>
    <n v="8.5305000000000006E-2"/>
    <n v="3.5250000000000004E-3"/>
    <s v=""/>
    <s v=""/>
    <x v="0"/>
    <s v=""/>
    <s v=""/>
    <m/>
  </r>
  <r>
    <s v="Lao PDR"/>
    <x v="4"/>
    <s v="P083543"/>
    <s v="C1"/>
    <s v=""/>
    <s v="P083543C1S30"/>
    <x v="2"/>
    <s v="2003 / 2008"/>
    <x v="14"/>
    <n v="1"/>
    <n v="1"/>
    <n v="0.81465218396117411"/>
    <m/>
    <n v="0.81465218396117411"/>
    <n v="0.81465218396117411"/>
    <s v=""/>
    <s v=""/>
    <x v="0"/>
    <s v=""/>
    <s v=""/>
    <s v=""/>
  </r>
  <r>
    <s v="Lao PDR"/>
    <x v="4"/>
    <s v="P083543"/>
    <s v="C1"/>
    <s v="S31"/>
    <s v="P083543C1S31"/>
    <x v="0"/>
    <n v="2004"/>
    <x v="14"/>
    <n v="12"/>
    <n v="17"/>
    <n v="7.3576000000000003E-2"/>
    <s v="USD"/>
    <n v="7.3576000000000003E-2"/>
    <n v="4.3280000000000002E-3"/>
    <s v=""/>
    <s v=""/>
    <x v="0"/>
    <s v=""/>
    <s v=""/>
    <m/>
  </r>
  <r>
    <s v="Lao PDR"/>
    <x v="4"/>
    <s v="P083543"/>
    <s v="C1"/>
    <s v="S31"/>
    <s v="P083543C1S31"/>
    <x v="1"/>
    <n v="2011"/>
    <x v="14"/>
    <n v="12"/>
    <n v="17"/>
    <n v="6.1404E-2"/>
    <s v="USD"/>
    <n v="6.1404E-2"/>
    <n v="3.6120000000000002E-3"/>
    <s v=""/>
    <s v=""/>
    <x v="0"/>
    <s v=""/>
    <s v=""/>
    <m/>
  </r>
  <r>
    <s v="Lao PDR"/>
    <x v="4"/>
    <s v="P083543"/>
    <s v="C1"/>
    <s v=""/>
    <s v="P083543C1S31"/>
    <x v="2"/>
    <s v="2003 / 2008"/>
    <x v="14"/>
    <n v="1"/>
    <n v="1"/>
    <n v="0.8345656192236599"/>
    <m/>
    <n v="0.8345656192236599"/>
    <n v="0.8345656192236599"/>
    <s v=""/>
    <s v=""/>
    <x v="0"/>
    <s v=""/>
    <s v=""/>
    <s v=""/>
  </r>
  <r>
    <s v="Lao PDR"/>
    <x v="4"/>
    <s v="P083543"/>
    <s v="C1"/>
    <s v="S32"/>
    <s v="P083543C1S32"/>
    <x v="0"/>
    <n v="2004"/>
    <x v="14"/>
    <n v="12"/>
    <n v="44.3"/>
    <n v="0.1917304"/>
    <s v="USD"/>
    <n v="0.1917304"/>
    <n v="4.3280000000000002E-3"/>
    <s v=""/>
    <s v=""/>
    <x v="0"/>
    <s v=""/>
    <s v=""/>
    <m/>
  </r>
  <r>
    <s v="Lao PDR"/>
    <x v="4"/>
    <s v="P083543"/>
    <s v="C1"/>
    <s v="S32"/>
    <s v="P083543C1S32"/>
    <x v="1"/>
    <n v="2011"/>
    <x v="14"/>
    <n v="12"/>
    <n v="44.3"/>
    <n v="0.22624009999999997"/>
    <s v="USD"/>
    <n v="0.22624009999999997"/>
    <n v="5.1069999999999996E-3"/>
    <s v=""/>
    <s v=""/>
    <x v="0"/>
    <s v=""/>
    <s v=""/>
    <m/>
  </r>
  <r>
    <s v="Lao PDR"/>
    <x v="4"/>
    <s v="P083543"/>
    <s v="C1"/>
    <s v=""/>
    <s v="P083543C1S32"/>
    <x v="2"/>
    <s v="2003 / 2008"/>
    <x v="14"/>
    <n v="1"/>
    <n v="1"/>
    <n v="1.1799907578558224"/>
    <m/>
    <n v="1.1799907578558224"/>
    <n v="1.1799907578558224"/>
    <s v=""/>
    <s v=""/>
    <x v="0"/>
    <s v=""/>
    <s v=""/>
    <s v=""/>
  </r>
  <r>
    <s v="Lao PDR"/>
    <x v="4"/>
    <s v="P083543"/>
    <s v="C1"/>
    <s v="S33"/>
    <s v="P083543C1S33"/>
    <x v="0"/>
    <n v="2004"/>
    <x v="14"/>
    <n v="12"/>
    <n v="43"/>
    <n v="0.18610399999999999"/>
    <s v="USD"/>
    <n v="0.18610399999999999"/>
    <n v="4.3279999999999994E-3"/>
    <s v=""/>
    <s v=""/>
    <x v="0"/>
    <s v=""/>
    <s v=""/>
    <m/>
  </r>
  <r>
    <s v="Lao PDR"/>
    <x v="4"/>
    <s v="P083543"/>
    <s v="C1"/>
    <s v="S33"/>
    <s v="P083543C1S33"/>
    <x v="1"/>
    <n v="2011"/>
    <x v="14"/>
    <n v="12"/>
    <n v="43"/>
    <n v="0.20446500000000001"/>
    <s v="USD"/>
    <n v="0.20446500000000001"/>
    <n v="4.7550000000000005E-3"/>
    <s v=""/>
    <s v=""/>
    <x v="0"/>
    <s v=""/>
    <s v=""/>
    <m/>
  </r>
  <r>
    <s v="Lao PDR"/>
    <x v="4"/>
    <s v="P083543"/>
    <s v="C1"/>
    <s v=""/>
    <s v="P083543C1S33"/>
    <x v="2"/>
    <s v="2003 / 2008"/>
    <x v="14"/>
    <n v="1"/>
    <n v="1"/>
    <n v="1.09865988909427"/>
    <m/>
    <n v="1.09865988909427"/>
    <n v="1.0986598890942703"/>
    <s v=""/>
    <s v=""/>
    <x v="0"/>
    <s v=""/>
    <s v=""/>
    <s v=""/>
  </r>
  <r>
    <s v="Lao PDR"/>
    <x v="4"/>
    <s v="P083543"/>
    <s v="C1"/>
    <s v="S34"/>
    <s v="P083543C1S34"/>
    <x v="0"/>
    <n v="2004"/>
    <x v="14"/>
    <n v="12"/>
    <n v="11"/>
    <n v="4.7597E-2"/>
    <s v="USD"/>
    <n v="4.7597E-2"/>
    <n v="4.3270000000000001E-3"/>
    <s v=""/>
    <s v=""/>
    <x v="0"/>
    <s v="x"/>
    <s v="x"/>
    <m/>
  </r>
  <r>
    <s v="Lao PDR"/>
    <x v="4"/>
    <s v="P083543"/>
    <s v="C1"/>
    <s v="S34"/>
    <s v="P083543C1S34"/>
    <x v="1"/>
    <n v="2011"/>
    <x v="14"/>
    <n v="12"/>
    <n v="11"/>
    <n v="7.5899999999999995E-2"/>
    <s v="USD"/>
    <n v="7.5899999999999995E-2"/>
    <n v="6.8999999999999999E-3"/>
    <s v=""/>
    <s v=""/>
    <x v="0"/>
    <s v="x"/>
    <s v="x"/>
    <m/>
  </r>
  <r>
    <s v="Lao PDR"/>
    <x v="4"/>
    <s v="P083543"/>
    <s v="C1"/>
    <s v=""/>
    <s v="P083543C1S34"/>
    <x v="2"/>
    <s v="2003 / 2008"/>
    <x v="14"/>
    <n v="1"/>
    <n v="1"/>
    <n v="1.5946383175410215"/>
    <m/>
    <n v="1.5946383175410215"/>
    <n v="1.5946383175410215"/>
    <s v=""/>
    <s v=""/>
    <x v="0"/>
    <s v="x"/>
    <s v="x"/>
    <s v="Weather shocks; Political events; "/>
  </r>
  <r>
    <s v="Lao PDR"/>
    <x v="4"/>
    <s v="P083543"/>
    <s v="C1"/>
    <s v="S35"/>
    <s v="P083543C1S35"/>
    <x v="0"/>
    <n v="2004"/>
    <x v="14"/>
    <n v="12"/>
    <n v="16.5"/>
    <n v="7.1428500000000006E-2"/>
    <s v="USD"/>
    <n v="7.1428500000000006E-2"/>
    <n v="4.3290000000000004E-3"/>
    <s v=""/>
    <s v=""/>
    <x v="0"/>
    <s v=""/>
    <s v=""/>
    <m/>
  </r>
  <r>
    <s v="Lao PDR"/>
    <x v="4"/>
    <s v="P083543"/>
    <s v="C1"/>
    <s v="S35"/>
    <s v="P083543C1S35"/>
    <x v="1"/>
    <n v="2011"/>
    <x v="14"/>
    <n v="12"/>
    <n v="16.5"/>
    <n v="8.2103999999999996E-2"/>
    <s v="USD"/>
    <n v="8.2103999999999996E-2"/>
    <n v="4.9759999999999995E-3"/>
    <s v=""/>
    <s v=""/>
    <x v="0"/>
    <s v=""/>
    <s v=""/>
    <m/>
  </r>
  <r>
    <s v="Lao PDR"/>
    <x v="4"/>
    <s v="P083543"/>
    <s v="C1"/>
    <s v=""/>
    <s v="P083543C1S35"/>
    <x v="2"/>
    <s v="2003 / 2008"/>
    <x v="14"/>
    <n v="1"/>
    <n v="1"/>
    <n v="1.1494571494571493"/>
    <m/>
    <n v="1.1494571494571493"/>
    <n v="1.1494571494571493"/>
    <s v=""/>
    <s v=""/>
    <x v="0"/>
    <s v=""/>
    <s v=""/>
    <s v=""/>
  </r>
  <r>
    <s v="Lao PDR"/>
    <x v="4"/>
    <s v="P083543"/>
    <s v="C1"/>
    <s v="S36"/>
    <s v="P083543C1S36"/>
    <x v="0"/>
    <n v="2004"/>
    <x v="14"/>
    <n v="12"/>
    <n v="30.6"/>
    <n v="0.1324062"/>
    <s v="USD"/>
    <n v="0.1324062"/>
    <n v="4.3270000000000001E-3"/>
    <s v=""/>
    <s v=""/>
    <x v="0"/>
    <s v=""/>
    <s v=""/>
    <m/>
  </r>
  <r>
    <s v="Lao PDR"/>
    <x v="4"/>
    <s v="P083543"/>
    <s v="C1"/>
    <s v="S36"/>
    <s v="P083543C1S36"/>
    <x v="1"/>
    <n v="2011"/>
    <x v="14"/>
    <n v="12"/>
    <n v="30.6"/>
    <n v="0.13154939999999998"/>
    <s v="USD"/>
    <n v="0.13154939999999998"/>
    <n v="4.298999999999999E-3"/>
    <s v=""/>
    <s v=""/>
    <x v="0"/>
    <s v=""/>
    <s v=""/>
    <m/>
  </r>
  <r>
    <s v="Lao PDR"/>
    <x v="4"/>
    <s v="P083543"/>
    <s v="C1"/>
    <s v=""/>
    <s v="P083543C1S36"/>
    <x v="2"/>
    <s v="2003 / 2008"/>
    <x v="14"/>
    <n v="1"/>
    <n v="1"/>
    <n v="0.99352900392881893"/>
    <m/>
    <n v="0.99352900392881893"/>
    <n v="0.99352900392881882"/>
    <s v=""/>
    <s v=""/>
    <x v="0"/>
    <s v=""/>
    <s v=""/>
    <s v=""/>
  </r>
  <r>
    <s v="Lao PDR"/>
    <x v="4"/>
    <s v="P083543"/>
    <s v="C1"/>
    <s v="S37"/>
    <s v="P083543C1S37"/>
    <x v="0"/>
    <n v="2004"/>
    <x v="5"/>
    <n v="12"/>
    <n v="17.8"/>
    <n v="0.57194959999999995"/>
    <s v="USD"/>
    <n v="0.57194959999999995"/>
    <n v="3.2131999999999994E-2"/>
    <s v=""/>
    <s v=""/>
    <x v="0"/>
    <s v=""/>
    <s v=""/>
    <m/>
  </r>
  <r>
    <s v="Lao PDR"/>
    <x v="4"/>
    <s v="P083543"/>
    <s v="C1"/>
    <s v="S37"/>
    <s v="P083543C1S37"/>
    <x v="1"/>
    <n v="2011"/>
    <x v="5"/>
    <n v="12"/>
    <n v="17.8"/>
    <n v="0.57675559999999992"/>
    <s v="USD"/>
    <n v="0.57675559999999992"/>
    <n v="3.2401999999999993E-2"/>
    <s v=""/>
    <s v=""/>
    <x v="0"/>
    <s v=""/>
    <s v=""/>
    <m/>
  </r>
  <r>
    <s v="Lao PDR"/>
    <x v="4"/>
    <s v="P083543"/>
    <s v="C1"/>
    <s v=""/>
    <s v="P083543C1S37"/>
    <x v="2"/>
    <s v="2003 / 2008"/>
    <x v="5"/>
    <n v="1"/>
    <n v="1"/>
    <n v="1.0084028382920454"/>
    <m/>
    <n v="1.0084028382920454"/>
    <n v="1.0084028382920454"/>
    <s v=""/>
    <s v=""/>
    <x v="0"/>
    <s v=""/>
    <s v=""/>
    <s v=""/>
  </r>
  <r>
    <s v="Lao PDR"/>
    <x v="4"/>
    <s v="P083543"/>
    <s v="C1"/>
    <s v="S38"/>
    <s v="P083543C1S38"/>
    <x v="0"/>
    <n v="2004"/>
    <x v="14"/>
    <n v="12"/>
    <n v="4.3"/>
    <n v="1.85846E-2"/>
    <s v="USD"/>
    <n v="1.85846E-2"/>
    <n v="4.3220000000000003E-3"/>
    <s v=""/>
    <s v=""/>
    <x v="0"/>
    <s v=""/>
    <s v=""/>
    <m/>
  </r>
  <r>
    <s v="Lao PDR"/>
    <x v="4"/>
    <s v="P083543"/>
    <s v="C1"/>
    <s v="S38"/>
    <s v="P083543C1S38"/>
    <x v="1"/>
    <n v="2011"/>
    <x v="14"/>
    <n v="12"/>
    <n v="4.3"/>
    <n v="2.6273000000000001E-2"/>
    <s v="USD"/>
    <n v="2.6273000000000001E-2"/>
    <n v="6.1100000000000008E-3"/>
    <s v=""/>
    <s v=""/>
    <x v="0"/>
    <s v=""/>
    <s v=""/>
    <m/>
  </r>
  <r>
    <s v="Lao PDR"/>
    <x v="4"/>
    <s v="P083543"/>
    <s v="C1"/>
    <s v=""/>
    <s v="P083543C1S38"/>
    <x v="2"/>
    <s v="2003 / 2008"/>
    <x v="14"/>
    <n v="1"/>
    <n v="1"/>
    <n v="1.4136973623322537"/>
    <m/>
    <n v="1.4136973623322537"/>
    <n v="1.4136973623322537"/>
    <s v=""/>
    <s v=""/>
    <x v="0"/>
    <s v=""/>
    <s v=""/>
    <s v=""/>
  </r>
  <r>
    <s v="Lao PDR"/>
    <x v="4"/>
    <s v="P083543"/>
    <s v="C1"/>
    <s v="S39"/>
    <s v="P083543C1S39"/>
    <x v="0"/>
    <n v="2004"/>
    <x v="14"/>
    <n v="12"/>
    <n v="90.5"/>
    <n v="0.39150299999999999"/>
    <s v="USD"/>
    <n v="0.39150299999999999"/>
    <n v="4.326E-3"/>
    <s v=""/>
    <s v=""/>
    <x v="0"/>
    <s v=""/>
    <s v=""/>
    <m/>
  </r>
  <r>
    <s v="Lao PDR"/>
    <x v="4"/>
    <s v="P083543"/>
    <s v="C1"/>
    <s v="S39"/>
    <s v="P083543C1S39"/>
    <x v="1"/>
    <n v="2011"/>
    <x v="14"/>
    <n v="12"/>
    <n v="90.5"/>
    <n v="0.49956"/>
    <s v="USD"/>
    <n v="0.49956"/>
    <n v="5.5199999999999997E-3"/>
    <s v=""/>
    <s v=""/>
    <x v="0"/>
    <s v=""/>
    <s v=""/>
    <m/>
  </r>
  <r>
    <s v="Lao PDR"/>
    <x v="4"/>
    <s v="P083543"/>
    <s v="C1"/>
    <s v=""/>
    <s v="P083543C1S39"/>
    <x v="2"/>
    <s v="2003 / 2008"/>
    <x v="14"/>
    <n v="1"/>
    <n v="1"/>
    <n v="1.2760055478502081"/>
    <m/>
    <n v="1.2760055478502081"/>
    <n v="1.2760055478502079"/>
    <s v=""/>
    <s v=""/>
    <x v="0"/>
    <s v=""/>
    <s v=""/>
    <s v=""/>
  </r>
  <r>
    <s v="Lao PDR"/>
    <x v="4"/>
    <s v="P083543"/>
    <s v="C1"/>
    <s v="S4"/>
    <s v="P083543C1S4"/>
    <x v="0"/>
    <n v="2004"/>
    <x v="6"/>
    <n v="12"/>
    <n v="24"/>
    <n v="0.23"/>
    <s v="USD"/>
    <n v="0.23"/>
    <n v="9.5833333333333343E-3"/>
    <s v=""/>
    <s v=""/>
    <x v="0"/>
    <s v=""/>
    <s v=""/>
    <m/>
  </r>
  <r>
    <s v="Lao PDR"/>
    <x v="4"/>
    <s v="P083543"/>
    <s v="C1"/>
    <s v="S4"/>
    <s v="P083543C1S4"/>
    <x v="1"/>
    <n v="2011"/>
    <x v="6"/>
    <n v="12"/>
    <n v="24"/>
    <n v="0.33328999999999998"/>
    <s v="USD"/>
    <n v="0.33328999999999998"/>
    <n v="1.3887083333333333E-2"/>
    <s v=""/>
    <s v=""/>
    <x v="0"/>
    <s v=""/>
    <s v=""/>
    <m/>
  </r>
  <r>
    <s v="Lao PDR"/>
    <x v="4"/>
    <s v="P083543"/>
    <s v="C1"/>
    <s v=""/>
    <s v="P083543C1S4"/>
    <x v="2"/>
    <s v="2003 / 2008"/>
    <x v="6"/>
    <n v="1"/>
    <n v="1"/>
    <n v="1.449086956521739"/>
    <m/>
    <n v="1.449086956521739"/>
    <n v="1.449086956521739"/>
    <s v=""/>
    <s v=""/>
    <x v="0"/>
    <s v=""/>
    <s v=""/>
    <s v=""/>
  </r>
  <r>
    <s v="Lao PDR"/>
    <x v="4"/>
    <s v="P083543"/>
    <s v="C1"/>
    <s v="S40"/>
    <s v="P083543C1S40"/>
    <x v="0"/>
    <n v="2004"/>
    <x v="14"/>
    <n v="12"/>
    <n v="33.4"/>
    <n v="0.14448839999999999"/>
    <s v="USD"/>
    <n v="0.14448839999999999"/>
    <n v="4.326E-3"/>
    <s v=""/>
    <s v=""/>
    <x v="0"/>
    <s v=""/>
    <s v=""/>
    <m/>
  </r>
  <r>
    <s v="Lao PDR"/>
    <x v="4"/>
    <s v="P083543"/>
    <s v="C1"/>
    <s v="S40"/>
    <s v="P083543C1S40"/>
    <x v="1"/>
    <n v="2011"/>
    <x v="14"/>
    <n v="12"/>
    <n v="33.4"/>
    <n v="0.1892778"/>
    <s v="USD"/>
    <n v="0.1892778"/>
    <n v="5.6670000000000002E-3"/>
    <s v=""/>
    <s v=""/>
    <x v="0"/>
    <s v=""/>
    <s v=""/>
    <m/>
  </r>
  <r>
    <s v="Lao PDR"/>
    <x v="4"/>
    <s v="P083543"/>
    <s v="C1"/>
    <s v=""/>
    <s v="P083543C1S40"/>
    <x v="2"/>
    <s v="2003 / 2008"/>
    <x v="14"/>
    <n v="1"/>
    <n v="1"/>
    <n v="1.30998613037448"/>
    <m/>
    <n v="1.30998613037448"/>
    <n v="1.30998613037448"/>
    <s v=""/>
    <s v=""/>
    <x v="0"/>
    <s v=""/>
    <s v=""/>
    <s v=""/>
  </r>
  <r>
    <s v="Lao PDR"/>
    <x v="4"/>
    <s v="P083543"/>
    <s v="C1"/>
    <s v="S5"/>
    <s v="P083543C1S5"/>
    <x v="0"/>
    <n v="2004"/>
    <x v="6"/>
    <n v="12"/>
    <n v="17"/>
    <n v="0.17"/>
    <s v="USD"/>
    <n v="0.17"/>
    <n v="0.01"/>
    <s v=""/>
    <s v=""/>
    <x v="0"/>
    <s v=""/>
    <s v=""/>
    <m/>
  </r>
  <r>
    <s v="Lao PDR"/>
    <x v="4"/>
    <s v="P083543"/>
    <s v="C1"/>
    <s v="S5"/>
    <s v="P083543C1S5"/>
    <x v="1"/>
    <n v="2011"/>
    <x v="6"/>
    <n v="12"/>
    <n v="17"/>
    <n v="0.17721700000000001"/>
    <s v="USD"/>
    <n v="0.17721700000000001"/>
    <n v="1.0424529411764707E-2"/>
    <s v=""/>
    <s v=""/>
    <x v="0"/>
    <s v=""/>
    <s v=""/>
    <m/>
  </r>
  <r>
    <s v="Lao PDR"/>
    <x v="4"/>
    <s v="P083543"/>
    <s v="C1"/>
    <s v=""/>
    <s v="P083543C1S5"/>
    <x v="2"/>
    <s v="2003 / 2008"/>
    <x v="6"/>
    <n v="1"/>
    <n v="1"/>
    <n v="1.0424529411764707"/>
    <m/>
    <n v="1.0424529411764707"/>
    <n v="1.0424529411764707"/>
    <s v=""/>
    <s v=""/>
    <x v="0"/>
    <s v=""/>
    <s v=""/>
    <s v=""/>
  </r>
  <r>
    <s v="Lao PDR"/>
    <x v="4"/>
    <s v="P083543"/>
    <s v="C1"/>
    <s v="S6"/>
    <s v="P083543C1S6"/>
    <x v="0"/>
    <n v="2004"/>
    <x v="5"/>
    <n v="12"/>
    <n v="8"/>
    <n v="0.16500000000000001"/>
    <s v="USD"/>
    <n v="0.16500000000000001"/>
    <n v="2.0625000000000001E-2"/>
    <s v=""/>
    <s v=""/>
    <x v="0"/>
    <s v=""/>
    <s v=""/>
    <m/>
  </r>
  <r>
    <s v="Lao PDR"/>
    <x v="4"/>
    <s v="P083543"/>
    <s v="C1"/>
    <s v="S6"/>
    <s v="P083543C1S6"/>
    <x v="1"/>
    <n v="2011"/>
    <x v="5"/>
    <n v="12"/>
    <n v="8"/>
    <n v="0.18324699999999999"/>
    <s v="USD"/>
    <n v="0.18324699999999999"/>
    <n v="2.2905874999999999E-2"/>
    <s v=""/>
    <s v=""/>
    <x v="0"/>
    <s v=""/>
    <s v=""/>
    <m/>
  </r>
  <r>
    <s v="Lao PDR"/>
    <x v="4"/>
    <s v="P083543"/>
    <s v="C1"/>
    <s v=""/>
    <s v="P083543C1S6"/>
    <x v="2"/>
    <s v="2003 / 2008"/>
    <x v="5"/>
    <n v="1"/>
    <n v="1"/>
    <n v="1.1105878787878787"/>
    <m/>
    <n v="1.1105878787878787"/>
    <n v="1.1105878787878787"/>
    <s v=""/>
    <s v=""/>
    <x v="0"/>
    <s v=""/>
    <s v=""/>
    <s v=""/>
  </r>
  <r>
    <s v="Lao PDR"/>
    <x v="4"/>
    <s v="P083543"/>
    <s v="C1"/>
    <s v="S7"/>
    <s v="P083543C1S7"/>
    <x v="0"/>
    <n v="2004"/>
    <x v="14"/>
    <n v="12"/>
    <n v="19"/>
    <n v="0.15"/>
    <s v="USD"/>
    <n v="0.15"/>
    <n v="7.8947368421052634E-3"/>
    <s v=""/>
    <s v=""/>
    <x v="0"/>
    <s v=""/>
    <s v=""/>
    <m/>
  </r>
  <r>
    <s v="Lao PDR"/>
    <x v="4"/>
    <s v="P083543"/>
    <s v="C1"/>
    <s v="S7"/>
    <s v="P083543C1S7"/>
    <x v="1"/>
    <n v="2011"/>
    <x v="14"/>
    <n v="12"/>
    <n v="19"/>
    <n v="0.113151"/>
    <s v="USD"/>
    <n v="0.113151"/>
    <n v="5.9553157894736844E-3"/>
    <s v=""/>
    <s v=""/>
    <x v="0"/>
    <s v=""/>
    <s v=""/>
    <m/>
  </r>
  <r>
    <s v="Lao PDR"/>
    <x v="4"/>
    <s v="P083543"/>
    <s v="C1"/>
    <s v=""/>
    <s v="P083543C1S7"/>
    <x v="2"/>
    <s v="2003 / 2008"/>
    <x v="14"/>
    <n v="1"/>
    <n v="1"/>
    <n v="0.75434000000000001"/>
    <m/>
    <n v="0.75434000000000001"/>
    <n v="0.75434000000000001"/>
    <s v=""/>
    <s v=""/>
    <x v="0"/>
    <s v=""/>
    <s v=""/>
    <s v=""/>
  </r>
  <r>
    <s v="Lao PDR"/>
    <x v="4"/>
    <s v="P083543"/>
    <s v="C1"/>
    <s v="S8"/>
    <s v="P083543C1S8"/>
    <x v="0"/>
    <n v="2004"/>
    <x v="14"/>
    <n v="12"/>
    <n v="32"/>
    <n v="0.25"/>
    <s v="USD"/>
    <n v="0.25"/>
    <n v="7.8125E-3"/>
    <s v=""/>
    <s v=""/>
    <x v="0"/>
    <s v=""/>
    <s v=""/>
    <m/>
  </r>
  <r>
    <s v="Lao PDR"/>
    <x v="4"/>
    <s v="P083543"/>
    <s v="C1"/>
    <s v="S8"/>
    <s v="P083543C1S8"/>
    <x v="1"/>
    <n v="2011"/>
    <x v="14"/>
    <n v="12"/>
    <n v="32"/>
    <n v="0.217972"/>
    <s v="USD"/>
    <n v="0.217972"/>
    <n v="6.811625E-3"/>
    <s v=""/>
    <s v=""/>
    <x v="0"/>
    <s v=""/>
    <s v=""/>
    <m/>
  </r>
  <r>
    <s v="Lao PDR"/>
    <x v="4"/>
    <s v="P083543"/>
    <s v="C1"/>
    <s v=""/>
    <s v="P083543C1S8"/>
    <x v="2"/>
    <s v="2003 / 2008"/>
    <x v="14"/>
    <n v="1"/>
    <n v="1"/>
    <n v="0.871888"/>
    <m/>
    <n v="0.871888"/>
    <n v="0.871888"/>
    <s v=""/>
    <s v=""/>
    <x v="0"/>
    <s v=""/>
    <s v=""/>
    <s v=""/>
  </r>
  <r>
    <s v="Lao PDR"/>
    <x v="4"/>
    <s v="P083543"/>
    <s v="C1"/>
    <s v="S9"/>
    <s v="P083543C1S9"/>
    <x v="0"/>
    <n v="2004"/>
    <x v="14"/>
    <n v="12"/>
    <n v="32"/>
    <n v="0.4"/>
    <s v="USD"/>
    <n v="0.4"/>
    <n v="1.2500000000000001E-2"/>
    <s v=""/>
    <s v=""/>
    <x v="0"/>
    <s v=""/>
    <s v=""/>
    <m/>
  </r>
  <r>
    <s v="Lao PDR"/>
    <x v="4"/>
    <s v="P083543"/>
    <s v="C1"/>
    <s v="S9"/>
    <s v="P083543C1S9"/>
    <x v="1"/>
    <n v="2011"/>
    <x v="14"/>
    <n v="12"/>
    <n v="32"/>
    <n v="0.40590199999999999"/>
    <s v="USD"/>
    <n v="0.40590199999999999"/>
    <n v="1.26844375E-2"/>
    <s v=""/>
    <s v=""/>
    <x v="0"/>
    <s v=""/>
    <s v=""/>
    <m/>
  </r>
  <r>
    <s v="Lao PDR"/>
    <x v="4"/>
    <s v="P083543"/>
    <s v="C1"/>
    <s v=""/>
    <s v="P083543C1S9"/>
    <x v="2"/>
    <s v="2003 / 2008"/>
    <x v="14"/>
    <n v="1"/>
    <n v="1"/>
    <n v="1.0147549999999999"/>
    <m/>
    <n v="1.0147549999999999"/>
    <n v="1.0147549999999999"/>
    <s v=""/>
    <s v=""/>
    <x v="0"/>
    <s v=""/>
    <s v=""/>
    <s v=""/>
  </r>
  <r>
    <s v="Lesotho"/>
    <x v="2"/>
    <s v="P075566"/>
    <s v="C1"/>
    <s v=""/>
    <s v="P075566C1"/>
    <x v="0"/>
    <n v="2006"/>
    <x v="0"/>
    <s v=""/>
    <n v="53"/>
    <n v="21.25"/>
    <s v="USD"/>
    <n v="21.25"/>
    <n v="0.40094339622641512"/>
    <s v=""/>
    <s v="x"/>
    <x v="0"/>
    <s v=""/>
    <s v="x"/>
    <m/>
  </r>
  <r>
    <s v="Lesotho"/>
    <x v="2"/>
    <s v="P075566"/>
    <s v="C1"/>
    <s v=""/>
    <s v="P075566C1"/>
    <x v="1"/>
    <n v="2015"/>
    <x v="0"/>
    <s v=""/>
    <n v="110"/>
    <n v="63.86"/>
    <s v="USD"/>
    <n v="63.86"/>
    <n v="0.58054545454545459"/>
    <s v=""/>
    <s v="x"/>
    <x v="0"/>
    <s v=""/>
    <s v="x"/>
    <m/>
  </r>
  <r>
    <s v="Lesotho"/>
    <x v="2"/>
    <s v="P075566"/>
    <s v="C1"/>
    <s v=""/>
    <s v="P075566C1"/>
    <x v="2"/>
    <s v="2003 / 2008"/>
    <x v="0"/>
    <s v=""/>
    <n v="2.0754716981132075"/>
    <n v="3.0051764705882351"/>
    <m/>
    <n v="3.0051764705882351"/>
    <n v="1.4479486631016043"/>
    <s v=""/>
    <s v="x"/>
    <x v="0"/>
    <s v=""/>
    <s v="x"/>
    <s v="Change of project scope; ; "/>
  </r>
  <r>
    <s v="Lesotho"/>
    <x v="2"/>
    <s v="AfDB loan number: CS/LES/TR/86/18_x000a_"/>
    <s v="C1"/>
    <s v=""/>
    <s v="AfDB loan number: CS/LES/TR/86/18_x000a_C1"/>
    <x v="0"/>
    <n v="1985"/>
    <x v="1"/>
    <n v="24"/>
    <n v="22"/>
    <n v="13.293357000000002"/>
    <s v="ZAR"/>
    <n v="5.9664977558348298"/>
    <n v="0.2712044434470377"/>
    <s v="x"/>
    <s v=""/>
    <x v="1"/>
    <m/>
    <m/>
    <m/>
  </r>
  <r>
    <s v="Lesotho"/>
    <x v="2"/>
    <s v="AfDB loan number: CS/LES/TR/86/18_x000a_"/>
    <s v="C1"/>
    <s v=""/>
    <s v="AfDB loan number: CS/LES/TR/86/18_x000a_C1"/>
    <x v="1"/>
    <n v="1991"/>
    <x v="1"/>
    <n v="35"/>
    <n v="22"/>
    <n v="30.614378600000002"/>
    <s v="ZAR"/>
    <n v="11.088148714233974"/>
    <n v="0.50400675973790787"/>
    <s v="x"/>
    <s v=""/>
    <x v="1"/>
    <m/>
    <m/>
    <m/>
  </r>
  <r>
    <s v="Lesotho"/>
    <x v="2"/>
    <s v="AfDB loan number: CS/LES/TR/86/18_x000a_"/>
    <s v="C1"/>
    <s v=""/>
    <s v="AfDB loan number: CS/LES/TR/86/18_x000a_C1"/>
    <x v="2"/>
    <s v="2003 / 2008"/>
    <x v="1"/>
    <n v="1.4583333333333333"/>
    <n v="1"/>
    <n v="2.3029832569756454"/>
    <m/>
    <n v="1.8584015561541973"/>
    <n v="1.8584015561541973"/>
    <s v="x"/>
    <s v=""/>
    <x v="1"/>
    <s v="Quality of estimates"/>
    <m/>
    <s v="; ; Quality of estimates"/>
  </r>
  <r>
    <s v="Lesotho"/>
    <x v="2"/>
    <s v="AfDB loan numbers: F/LES/TRA-ROD/87/20 &amp; F/LES/ROD/93/SUP/8_x000a_"/>
    <s v="C1"/>
    <s v=""/>
    <s v="AfDB loan numbers: F/LES/TRA-ROD/87/20 &amp; F/LES/ROD/93/SUP/8_x000a_C1"/>
    <x v="0"/>
    <n v="1987"/>
    <x v="1"/>
    <n v="24"/>
    <n v="109"/>
    <n v="57.466151399999994"/>
    <s v="ZAR"/>
    <n v="28.225025245579566"/>
    <n v="0.25894518573926206"/>
    <s v="x"/>
    <s v=""/>
    <x v="1"/>
    <m/>
    <m/>
    <m/>
  </r>
  <r>
    <s v="Lesotho"/>
    <x v="2"/>
    <s v="AfDB loan numbers: F/LES/TRA-ROD/87/20 &amp; F/LES/ROD/93/SUP/8_x000a_"/>
    <s v="C1"/>
    <s v=""/>
    <s v="AfDB loan numbers: F/LES/TRA-ROD/87/20 &amp; F/LES/ROD/93/SUP/8_x000a_C1"/>
    <x v="1"/>
    <n v="1997"/>
    <x v="1"/>
    <n v="84"/>
    <n v="109"/>
    <n v="336.66472399999998"/>
    <s v="ZAR"/>
    <n v="73.076779683090948"/>
    <n v="0.67042917140450409"/>
    <s v="x"/>
    <s v=""/>
    <x v="1"/>
    <m/>
    <m/>
    <m/>
  </r>
  <r>
    <s v="Lesotho"/>
    <x v="2"/>
    <s v="AfDB loan numbers: F/LES/TRA-ROD/87/20 &amp; F/LES/ROD/93/SUP/8_x000a_"/>
    <s v="C1"/>
    <s v=""/>
    <s v="AfDB loan numbers: F/LES/TRA-ROD/87/20 &amp; F/LES/ROD/93/SUP/8_x000a_C1"/>
    <x v="2"/>
    <s v="2003 / 2008"/>
    <x v="1"/>
    <n v="3.5"/>
    <n v="1"/>
    <n v="5.8584874016811224"/>
    <m/>
    <n v="2.5890775667077852"/>
    <n v="2.5890775667077852"/>
    <s v="x"/>
    <s v=""/>
    <x v="1"/>
    <s v="change of project scope"/>
    <s v="The actual project cost exceeded the appraisal estimate mainly because of changes in the design (p.15)"/>
    <s v="; ; change of project scope"/>
  </r>
  <r>
    <s v="Macedonia, FYR"/>
    <x v="1"/>
    <s v="P091723"/>
    <s v="C1"/>
    <s v=""/>
    <s v="P091723C1"/>
    <x v="0"/>
    <n v="2007"/>
    <x v="9"/>
    <n v="26"/>
    <n v="7.3"/>
    <n v="13.11"/>
    <s v="USD"/>
    <n v="13.11"/>
    <n v="1.795890410958904"/>
    <s v=""/>
    <s v=""/>
    <x v="0"/>
    <s v=""/>
    <s v=""/>
    <m/>
  </r>
  <r>
    <s v="Macedonia, FYR"/>
    <x v="1"/>
    <s v="P091723"/>
    <s v="C1"/>
    <s v=""/>
    <s v="P091723C1"/>
    <x v="1"/>
    <n v="2012"/>
    <x v="9"/>
    <n v="33"/>
    <n v="7.3"/>
    <n v="18.149999999999999"/>
    <s v="USD"/>
    <n v="18.149999999999999"/>
    <n v="2.4863013698630136"/>
    <s v=""/>
    <s v=""/>
    <x v="0"/>
    <s v=""/>
    <s v=""/>
    <m/>
  </r>
  <r>
    <s v="Macedonia, FYR"/>
    <x v="1"/>
    <s v="P091723"/>
    <s v="C1"/>
    <s v=""/>
    <s v="P091723C1"/>
    <x v="2"/>
    <s v="2003 / 2008"/>
    <x v="9"/>
    <n v="1.2692307692307692"/>
    <n v="1"/>
    <n v="1.3844393592677344"/>
    <m/>
    <n v="1.3844393592677344"/>
    <n v="1.3844393592677346"/>
    <s v=""/>
    <s v=""/>
    <x v="0"/>
    <s v=""/>
    <s v=""/>
    <s v=""/>
  </r>
  <r>
    <s v="Macedonia, FYR"/>
    <x v="1"/>
    <s v="P107840"/>
    <s v="C1"/>
    <s v="S1"/>
    <s v="P107840C1S1"/>
    <x v="0"/>
    <n v="2008"/>
    <x v="2"/>
    <s v=""/>
    <n v="15.2"/>
    <n v="1.38"/>
    <s v="EUR"/>
    <n v="2.0909090909090908"/>
    <n v="0.13755980861244019"/>
    <s v=""/>
    <s v=""/>
    <x v="0"/>
    <s v=""/>
    <s v=""/>
    <m/>
  </r>
  <r>
    <s v="Macedonia, FYR"/>
    <x v="1"/>
    <s v="P107840"/>
    <s v="C1"/>
    <s v="S1"/>
    <s v="P107840C1S1"/>
    <x v="1"/>
    <n v="2016"/>
    <x v="2"/>
    <n v="25"/>
    <n v="19.100000000000001"/>
    <n v="1.67"/>
    <s v="EUR"/>
    <n v="2.5097714285714283"/>
    <n v="0.13140164547494387"/>
    <s v=""/>
    <s v=""/>
    <x v="0"/>
    <s v=""/>
    <s v=""/>
    <m/>
  </r>
  <r>
    <s v="Macedonia, FYR"/>
    <x v="1"/>
    <s v="P107840"/>
    <s v="C1"/>
    <s v=""/>
    <s v="P107840C1S1"/>
    <x v="2"/>
    <s v="2003 / 2008"/>
    <x v="2"/>
    <s v=""/>
    <n v="1.2565789473684212"/>
    <n v="1.2101449275362319"/>
    <m/>
    <n v="1.2003254658385092"/>
    <n v="0.95523283145263549"/>
    <s v=""/>
    <s v=""/>
    <x v="0"/>
    <s v=""/>
    <s v=""/>
    <s v="Capacity of Counterpart; ; "/>
  </r>
  <r>
    <s v="Macedonia, FYR"/>
    <x v="1"/>
    <s v="P107840"/>
    <s v="C1"/>
    <s v="S10"/>
    <s v="P107840C1S10"/>
    <x v="0"/>
    <n v="2008"/>
    <x v="2"/>
    <s v=""/>
    <n v="18.100000000000001"/>
    <n v="1.65"/>
    <s v="EUR"/>
    <n v="2.4999999999999996"/>
    <n v="0.13812154696132592"/>
    <s v=""/>
    <s v=""/>
    <x v="0"/>
    <s v=""/>
    <s v=""/>
    <m/>
  </r>
  <r>
    <s v="Macedonia, FYR"/>
    <x v="1"/>
    <s v="P107840"/>
    <s v="C1"/>
    <s v="S10"/>
    <s v="P107840C1S10"/>
    <x v="1"/>
    <n v="2016"/>
    <x v="2"/>
    <n v="20"/>
    <n v="13.2"/>
    <n v="1.47"/>
    <s v="EUR"/>
    <n v="2.2092000000000001"/>
    <n v="0.16736363636363638"/>
    <s v=""/>
    <s v=""/>
    <x v="0"/>
    <s v=""/>
    <s v=""/>
    <m/>
  </r>
  <r>
    <s v="Macedonia, FYR"/>
    <x v="1"/>
    <s v="P107840"/>
    <s v="C1"/>
    <s v=""/>
    <s v="P107840C1S10"/>
    <x v="2"/>
    <s v="2003 / 2008"/>
    <x v="2"/>
    <s v=""/>
    <n v="0.72928176795580102"/>
    <n v="0.89090909090909098"/>
    <m/>
    <n v="0.88368000000000013"/>
    <n v="1.2117127272727277"/>
    <s v=""/>
    <s v=""/>
    <x v="0"/>
    <s v=""/>
    <s v=""/>
    <s v="; Quality of estimates; "/>
  </r>
  <r>
    <s v="Macedonia, FYR"/>
    <x v="1"/>
    <s v="P107840"/>
    <s v="C1"/>
    <s v="S11"/>
    <s v="P107840C1S11"/>
    <x v="0"/>
    <n v="2008"/>
    <x v="2"/>
    <s v=""/>
    <n v="28.1"/>
    <n v="2.74"/>
    <s v="EUR"/>
    <n v="4.1515151515151514"/>
    <n v="0.14774075272295911"/>
    <s v=""/>
    <s v=""/>
    <x v="0"/>
    <s v=""/>
    <s v=""/>
    <m/>
  </r>
  <r>
    <s v="Macedonia, FYR"/>
    <x v="1"/>
    <s v="P107840"/>
    <s v="C1"/>
    <s v="S11"/>
    <s v="P107840C1S11"/>
    <x v="1"/>
    <n v="2016"/>
    <x v="2"/>
    <n v="25"/>
    <n v="24.4"/>
    <n v="2.17"/>
    <s v="EUR"/>
    <n v="3.2611999999999997"/>
    <n v="0.13365573770491804"/>
    <s v=""/>
    <s v=""/>
    <x v="0"/>
    <s v=""/>
    <s v=""/>
    <m/>
  </r>
  <r>
    <s v="Macedonia, FYR"/>
    <x v="1"/>
    <s v="P107840"/>
    <s v="C1"/>
    <s v=""/>
    <s v="P107840C1S11"/>
    <x v="2"/>
    <s v="2003 / 2008"/>
    <x v="2"/>
    <s v=""/>
    <n v="0.86832740213523119"/>
    <n v="0.79197080291970789"/>
    <m/>
    <n v="0.78554452554744525"/>
    <n v="0.90466398229029565"/>
    <s v=""/>
    <s v=""/>
    <x v="0"/>
    <s v=""/>
    <s v=""/>
    <s v="Capacity of Counterpart; Quality of estimates; "/>
  </r>
  <r>
    <s v="Macedonia, FYR"/>
    <x v="1"/>
    <s v="P107840"/>
    <s v="C1"/>
    <s v="S2"/>
    <s v="P107840C1S2"/>
    <x v="0"/>
    <n v="2008"/>
    <x v="2"/>
    <s v=""/>
    <n v="38"/>
    <n v="3.46"/>
    <s v="EUR"/>
    <n v="5.2424242424242422"/>
    <n v="0.13795853269537481"/>
    <s v=""/>
    <s v=""/>
    <x v="0"/>
    <s v=""/>
    <s v=""/>
    <m/>
  </r>
  <r>
    <s v="Macedonia, FYR"/>
    <x v="1"/>
    <s v="P107840"/>
    <s v="C1"/>
    <s v="S2"/>
    <s v="P107840C1S2"/>
    <x v="1"/>
    <n v="2016"/>
    <x v="2"/>
    <n v="28"/>
    <n v="35.4"/>
    <n v="2.4500000000000002"/>
    <s v="EUR"/>
    <n v="3.6819999999999999"/>
    <n v="0.10401129943502825"/>
    <s v=""/>
    <s v=""/>
    <x v="0"/>
    <s v=""/>
    <s v=""/>
    <m/>
  </r>
  <r>
    <s v="Macedonia, FYR"/>
    <x v="1"/>
    <s v="P107840"/>
    <s v="C1"/>
    <s v=""/>
    <s v="P107840C1S2"/>
    <x v="2"/>
    <s v="2003 / 2008"/>
    <x v="2"/>
    <s v=""/>
    <n v="0.93157894736842106"/>
    <n v="0.70809248554913296"/>
    <m/>
    <n v="0.7023468208092486"/>
    <n v="0.75393161555795041"/>
    <s v=""/>
    <s v=""/>
    <x v="0"/>
    <s v=""/>
    <s v=""/>
    <s v="Capacity of Counterpart; ; "/>
  </r>
  <r>
    <s v="Macedonia, FYR"/>
    <x v="1"/>
    <s v="P107840"/>
    <s v="C1"/>
    <s v="S3"/>
    <s v="P107840C1S3"/>
    <x v="0"/>
    <n v="2008"/>
    <x v="2"/>
    <s v=""/>
    <n v="27.1"/>
    <n v="2.4700000000000002"/>
    <s v="EUR"/>
    <n v="3.7424242424242427"/>
    <n v="0.13809683551380969"/>
    <s v=""/>
    <s v=""/>
    <x v="0"/>
    <s v=""/>
    <s v=""/>
    <m/>
  </r>
  <r>
    <s v="Macedonia, FYR"/>
    <x v="1"/>
    <s v="P107840"/>
    <s v="C1"/>
    <s v="S3"/>
    <s v="P107840C1S3"/>
    <x v="1"/>
    <n v="2016"/>
    <x v="2"/>
    <n v="8"/>
    <n v="33.4"/>
    <n v="3.06"/>
    <s v="EUR"/>
    <n v="4.5987428571428568"/>
    <n v="0.13768691189050469"/>
    <s v=""/>
    <s v=""/>
    <x v="0"/>
    <s v=""/>
    <s v=""/>
    <m/>
  </r>
  <r>
    <s v="Macedonia, FYR"/>
    <x v="1"/>
    <s v="P107840"/>
    <s v="C1"/>
    <s v=""/>
    <s v="P107840C1S3"/>
    <x v="2"/>
    <s v="2003 / 2008"/>
    <x v="2"/>
    <s v=""/>
    <n v="1.2324723247232472"/>
    <n v="1.2388663967611335"/>
    <m/>
    <n v="1.2288138808559859"/>
    <n v="0.99703162189213235"/>
    <s v=""/>
    <s v=""/>
    <x v="0"/>
    <s v=""/>
    <s v=""/>
    <s v="; Quality of estimates; "/>
  </r>
  <r>
    <s v="Macedonia, FYR"/>
    <x v="1"/>
    <s v="P107840"/>
    <s v="C1"/>
    <s v="S4"/>
    <s v="P107840C1S4"/>
    <x v="0"/>
    <n v="2008"/>
    <x v="2"/>
    <s v=""/>
    <n v="11.5"/>
    <n v="1.35"/>
    <s v="EUR"/>
    <n v="2.0454545454545454"/>
    <n v="0.17786561264822134"/>
    <s v=""/>
    <s v=""/>
    <x v="0"/>
    <s v=""/>
    <s v=""/>
    <m/>
  </r>
  <r>
    <s v="Macedonia, FYR"/>
    <x v="1"/>
    <s v="P107840"/>
    <s v="C1"/>
    <s v="S4"/>
    <s v="P107840C1S4"/>
    <x v="1"/>
    <n v="2016"/>
    <x v="2"/>
    <n v="8"/>
    <n v="14.3"/>
    <n v="0.99"/>
    <s v="EUR"/>
    <n v="1.4878285714285713"/>
    <n v="0.10404395604395603"/>
    <s v=""/>
    <s v=""/>
    <x v="0"/>
    <s v=""/>
    <s v=""/>
    <m/>
  </r>
  <r>
    <s v="Macedonia, FYR"/>
    <x v="1"/>
    <s v="P107840"/>
    <s v="C1"/>
    <s v=""/>
    <s v="P107840C1S4"/>
    <x v="2"/>
    <s v="2003 / 2008"/>
    <x v="2"/>
    <s v=""/>
    <n v="1.2434782608695654"/>
    <n v="0.73333333333333328"/>
    <m/>
    <n v="0.72738285714285711"/>
    <n v="0.58495824175824163"/>
    <s v=""/>
    <s v=""/>
    <x v="0"/>
    <s v=""/>
    <s v=""/>
    <s v="Capacity of Counterpart; Quality of estimates; "/>
  </r>
  <r>
    <s v="Macedonia, FYR"/>
    <x v="1"/>
    <s v="P107840"/>
    <s v="C1"/>
    <s v="S5"/>
    <s v="P107840C1S5"/>
    <x v="0"/>
    <n v="2008"/>
    <x v="2"/>
    <s v=""/>
    <n v="25.3"/>
    <n v="2.2999999999999998"/>
    <s v="EUR"/>
    <n v="3.4848484848484844"/>
    <n v="0.1377410468319559"/>
    <s v=""/>
    <s v=""/>
    <x v="0"/>
    <s v=""/>
    <s v=""/>
    <m/>
  </r>
  <r>
    <s v="Macedonia, FYR"/>
    <x v="1"/>
    <s v="P107840"/>
    <s v="C1"/>
    <s v="S5"/>
    <s v="P107840C1S5"/>
    <x v="1"/>
    <n v="2016"/>
    <x v="2"/>
    <n v="25"/>
    <n v="25.5"/>
    <n v="2.98"/>
    <s v="EUR"/>
    <n v="4.4785142857142857"/>
    <n v="0.17562801120448179"/>
    <s v=""/>
    <s v=""/>
    <x v="0"/>
    <s v=""/>
    <s v=""/>
    <m/>
  </r>
  <r>
    <s v="Macedonia, FYR"/>
    <x v="1"/>
    <s v="P107840"/>
    <s v="C1"/>
    <s v=""/>
    <s v="P107840C1S5"/>
    <x v="2"/>
    <s v="2003 / 2008"/>
    <x v="2"/>
    <s v=""/>
    <n v="1.0079051383399209"/>
    <n v="1.2956521739130435"/>
    <m/>
    <n v="1.2851388819875778"/>
    <n v="1.275059361344538"/>
    <s v=""/>
    <s v=""/>
    <x v="0"/>
    <s v=""/>
    <s v=""/>
    <s v="Capacity of Counterpart; ; "/>
  </r>
  <r>
    <s v="Macedonia, FYR"/>
    <x v="1"/>
    <s v="P107840"/>
    <s v="C1"/>
    <s v="S6"/>
    <s v="P107840C1S6"/>
    <x v="0"/>
    <n v="2008"/>
    <x v="2"/>
    <s v=""/>
    <n v="22"/>
    <n v="2"/>
    <s v="EUR"/>
    <n v="3.0303030303030303"/>
    <n v="0.13774104683195593"/>
    <s v=""/>
    <s v=""/>
    <x v="0"/>
    <s v="x"/>
    <s v="x"/>
    <m/>
  </r>
  <r>
    <s v="Macedonia, FYR"/>
    <x v="1"/>
    <s v="P107840"/>
    <s v="C1"/>
    <s v="S6"/>
    <s v="P107840C1S6"/>
    <x v="1"/>
    <n v="2016"/>
    <x v="2"/>
    <n v="6"/>
    <n v="24.2"/>
    <n v="4.45"/>
    <s v="EUR"/>
    <n v="6.6877142857142857"/>
    <n v="0.27635182998819363"/>
    <s v=""/>
    <s v=""/>
    <x v="0"/>
    <s v="x"/>
    <s v="x"/>
    <m/>
  </r>
  <r>
    <s v="Macedonia, FYR"/>
    <x v="1"/>
    <s v="P107840"/>
    <s v="C1"/>
    <s v=""/>
    <s v="P107840C1S6"/>
    <x v="2"/>
    <s v="2003 / 2008"/>
    <x v="2"/>
    <s v=""/>
    <n v="1.0999999999999999"/>
    <n v="2.2250000000000001"/>
    <m/>
    <n v="2.2069457142857143"/>
    <n v="2.0063142857142857"/>
    <s v=""/>
    <s v=""/>
    <x v="0"/>
    <s v="x"/>
    <s v="x"/>
    <s v="Capacity of Counterpart; Quality of estimates; Weather shocks"/>
  </r>
  <r>
    <s v="Macedonia, FYR"/>
    <x v="1"/>
    <s v="P107840"/>
    <s v="C1"/>
    <s v="S7"/>
    <s v="P107840C1S7"/>
    <x v="0"/>
    <n v="2008"/>
    <x v="2"/>
    <s v=""/>
    <n v="27.8"/>
    <n v="3.61"/>
    <s v="EUR"/>
    <n v="5.4696969696969688"/>
    <n v="0.19675168955744493"/>
    <s v=""/>
    <s v=""/>
    <x v="0"/>
    <s v=""/>
    <s v=""/>
    <m/>
  </r>
  <r>
    <s v="Macedonia, FYR"/>
    <x v="1"/>
    <s v="P107840"/>
    <s v="C1"/>
    <s v="S7"/>
    <s v="P107840C1S7"/>
    <x v="1"/>
    <n v="2016"/>
    <x v="2"/>
    <n v="26"/>
    <n v="38.200000000000003"/>
    <n v="3.98"/>
    <s v="EUR"/>
    <n v="5.9813714285714283"/>
    <n v="0.15658040388930439"/>
    <s v=""/>
    <s v=""/>
    <x v="0"/>
    <s v=""/>
    <s v=""/>
    <m/>
  </r>
  <r>
    <s v="Macedonia, FYR"/>
    <x v="1"/>
    <s v="P107840"/>
    <s v="C1"/>
    <s v=""/>
    <s v="P107840C1S7"/>
    <x v="2"/>
    <s v="2003 / 2008"/>
    <x v="2"/>
    <s v=""/>
    <n v="1.3741007194244605"/>
    <n v="1.1024930747922439"/>
    <m/>
    <n v="1.0935471309853582"/>
    <n v="0.79582749323018209"/>
    <s v=""/>
    <s v=""/>
    <x v="0"/>
    <s v=""/>
    <s v=""/>
    <s v=""/>
  </r>
  <r>
    <s v="Macedonia, FYR"/>
    <x v="1"/>
    <s v="P107840"/>
    <s v="C1"/>
    <s v="S8"/>
    <s v="P107840C1S8"/>
    <x v="0"/>
    <n v="2008"/>
    <x v="2"/>
    <s v=""/>
    <n v="36"/>
    <n v="3.28"/>
    <s v="EUR"/>
    <n v="4.9696969696969688"/>
    <n v="0.13804713804713803"/>
    <s v=""/>
    <s v=""/>
    <x v="0"/>
    <s v=""/>
    <s v=""/>
    <m/>
  </r>
  <r>
    <s v="Macedonia, FYR"/>
    <x v="1"/>
    <s v="P107840"/>
    <s v="C1"/>
    <s v="S8"/>
    <s v="P107840C1S8"/>
    <x v="1"/>
    <n v="2016"/>
    <x v="2"/>
    <n v="26"/>
    <n v="37"/>
    <n v="3.86"/>
    <s v="EUR"/>
    <n v="5.8010285714285708"/>
    <n v="0.15678455598455596"/>
    <s v=""/>
    <s v=""/>
    <x v="0"/>
    <s v=""/>
    <s v=""/>
    <m/>
  </r>
  <r>
    <s v="Macedonia, FYR"/>
    <x v="1"/>
    <s v="P107840"/>
    <s v="C1"/>
    <s v=""/>
    <s v="P107840C1S8"/>
    <x v="2"/>
    <s v="2003 / 2008"/>
    <x v="2"/>
    <s v=""/>
    <n v="1.0277777777777777"/>
    <n v="1.1768292682926829"/>
    <m/>
    <n v="1.1672801393728223"/>
    <n v="1.135732027497881"/>
    <s v=""/>
    <s v=""/>
    <x v="0"/>
    <s v=""/>
    <s v=""/>
    <s v=""/>
  </r>
  <r>
    <s v="Macedonia, FYR"/>
    <x v="1"/>
    <s v="P107840"/>
    <s v="C1"/>
    <s v="S9"/>
    <s v="P107840C1S9"/>
    <x v="0"/>
    <n v="2008"/>
    <x v="2"/>
    <s v=""/>
    <n v="25.8"/>
    <n v="3.35"/>
    <s v="EUR"/>
    <n v="5.0757575757575752"/>
    <n v="0.19673478975804554"/>
    <s v=""/>
    <s v=""/>
    <x v="0"/>
    <s v=""/>
    <s v=""/>
    <m/>
  </r>
  <r>
    <s v="Macedonia, FYR"/>
    <x v="1"/>
    <s v="P107840"/>
    <s v="C1"/>
    <s v="S9"/>
    <s v="P107840C1S9"/>
    <x v="1"/>
    <n v="2016"/>
    <x v="2"/>
    <n v="20"/>
    <n v="18.8"/>
    <n v="1.52"/>
    <s v="EUR"/>
    <n v="2.2843428571428572"/>
    <n v="0.12150759878419452"/>
    <s v=""/>
    <s v=""/>
    <x v="0"/>
    <s v=""/>
    <s v=""/>
    <m/>
  </r>
  <r>
    <s v="Macedonia, FYR"/>
    <x v="1"/>
    <s v="P107840"/>
    <s v="C1"/>
    <s v=""/>
    <s v="P107840C1S9"/>
    <x v="2"/>
    <s v="2003 / 2008"/>
    <x v="2"/>
    <s v=""/>
    <n v="0.72868217054263562"/>
    <n v="0.45373134328358206"/>
    <m/>
    <n v="0.4500496375266525"/>
    <n v="0.61762131107381035"/>
    <s v=""/>
    <s v=""/>
    <x v="0"/>
    <s v=""/>
    <s v=""/>
    <s v=""/>
  </r>
  <r>
    <s v="Madagascar"/>
    <x v="2"/>
    <s v="P073689"/>
    <s v="C1"/>
    <s v=""/>
    <s v="P073689C1"/>
    <x v="0"/>
    <n v="2002"/>
    <x v="2"/>
    <s v=""/>
    <n v="3000"/>
    <n v="30"/>
    <s v="USD"/>
    <n v="30"/>
    <n v="0.01"/>
    <s v="x"/>
    <s v=""/>
    <x v="0"/>
    <s v="x"/>
    <s v="x"/>
    <m/>
  </r>
  <r>
    <s v="Madagascar"/>
    <x v="2"/>
    <s v="P073689"/>
    <s v="C1"/>
    <s v=""/>
    <s v="P073689C1"/>
    <x v="1"/>
    <n v="2013"/>
    <x v="2"/>
    <s v=""/>
    <n v="1400"/>
    <n v="28"/>
    <s v="USD"/>
    <n v="28"/>
    <n v="0.02"/>
    <s v="x"/>
    <s v=""/>
    <x v="0"/>
    <s v="x"/>
    <s v="x"/>
    <m/>
  </r>
  <r>
    <s v="Madagascar"/>
    <x v="2"/>
    <s v="P073689"/>
    <s v="C1"/>
    <s v=""/>
    <s v="P073689C1"/>
    <x v="2"/>
    <s v="2003 / 2008"/>
    <x v="2"/>
    <s v=""/>
    <n v="0.46666666666666667"/>
    <n v="0.93333333333333335"/>
    <m/>
    <n v="0.93333333333333335"/>
    <n v="2"/>
    <s v="x"/>
    <s v=""/>
    <x v="0"/>
    <s v="x"/>
    <s v="x"/>
    <s v="Change of project scope ; ; "/>
  </r>
  <r>
    <s v="Madagascar"/>
    <x v="2"/>
    <s v="P082806"/>
    <s v="C1"/>
    <s v="S1"/>
    <s v="P082806C1S1"/>
    <x v="0"/>
    <n v="2003"/>
    <x v="5"/>
    <n v="24"/>
    <n v="249"/>
    <n v="6.6901320000000002"/>
    <s v="USD"/>
    <n v="6.6901320000000002"/>
    <n v="2.6868E-2"/>
    <s v=""/>
    <s v=""/>
    <x v="0"/>
    <s v="x"/>
    <s v="x"/>
    <m/>
  </r>
  <r>
    <s v="Madagascar"/>
    <x v="2"/>
    <s v="P082806"/>
    <s v="C1"/>
    <s v="S1"/>
    <s v="P082806C1S1"/>
    <x v="1"/>
    <n v="2013"/>
    <x v="5"/>
    <n v="39"/>
    <n v="314.5"/>
    <n v="42.679537000000003"/>
    <s v="USD"/>
    <n v="42.679537000000003"/>
    <n v="0.13570600000000002"/>
    <s v=""/>
    <s v=""/>
    <x v="0"/>
    <s v="x"/>
    <s v="x"/>
    <m/>
  </r>
  <r>
    <s v="Madagascar"/>
    <x v="2"/>
    <s v="P082806"/>
    <s v="C1"/>
    <s v=""/>
    <s v="P082806C1S1"/>
    <x v="2"/>
    <s v="2003 / 2008"/>
    <x v="5"/>
    <n v="1.625"/>
    <n v="1.2630522088353413"/>
    <n v="6.3794760701283622"/>
    <m/>
    <n v="6.3794760701283622"/>
    <n v="5.0508411493226149"/>
    <s v=""/>
    <s v=""/>
    <x v="0"/>
    <s v="x"/>
    <s v="x"/>
    <s v="; Weather shocks; Macroeconomic conditions"/>
  </r>
  <r>
    <s v="Madagascar"/>
    <x v="2"/>
    <s v="P082806"/>
    <s v="C1"/>
    <s v="S2"/>
    <s v="P082806C1S2"/>
    <x v="0"/>
    <n v="2003"/>
    <x v="5"/>
    <n v="17"/>
    <n v="295"/>
    <n v="7.9260599999999997"/>
    <s v="USD"/>
    <n v="7.9260599999999997"/>
    <n v="2.6868E-2"/>
    <s v="x"/>
    <s v=""/>
    <x v="0"/>
    <s v="x"/>
    <s v="x"/>
    <m/>
  </r>
  <r>
    <s v="Madagascar"/>
    <x v="2"/>
    <s v="P082806"/>
    <s v="C1"/>
    <s v="S2"/>
    <s v="P082806C1S2"/>
    <x v="1"/>
    <n v="2013"/>
    <x v="5"/>
    <n v="17"/>
    <n v="143.9"/>
    <n v="15.067193400000001"/>
    <s v="USD"/>
    <n v="15.067193400000001"/>
    <n v="0.10470600000000001"/>
    <s v="x"/>
    <s v=""/>
    <x v="0"/>
    <s v="x"/>
    <s v="x"/>
    <m/>
  </r>
  <r>
    <s v="Madagascar"/>
    <x v="2"/>
    <s v="P082806"/>
    <s v="C1"/>
    <s v=""/>
    <s v="P082806C1S2"/>
    <x v="2"/>
    <s v="2003 / 2008"/>
    <x v="5"/>
    <n v="1"/>
    <n v="0.48779661016949155"/>
    <n v="1.9009688798722191"/>
    <m/>
    <n v="1.9009688798722191"/>
    <n v="3.897052255471193"/>
    <s v="x"/>
    <s v=""/>
    <x v="0"/>
    <s v="x"/>
    <s v="x"/>
    <s v="Weather shocks; Change of project scope; Macroeconomic conditions"/>
  </r>
  <r>
    <s v="Madagascar"/>
    <x v="2"/>
    <s v="P082806"/>
    <s v="C1"/>
    <s v="S3"/>
    <s v="P082806C1S3"/>
    <x v="0"/>
    <n v="2003"/>
    <x v="14"/>
    <n v="36"/>
    <n v="181"/>
    <n v="59.327818000000001"/>
    <s v="USD"/>
    <n v="59.327818000000001"/>
    <n v="0.32777800000000001"/>
    <s v=""/>
    <s v=""/>
    <x v="1"/>
    <s v=""/>
    <s v="x"/>
    <m/>
  </r>
  <r>
    <s v="Madagascar"/>
    <x v="2"/>
    <s v="P082806"/>
    <s v="C1"/>
    <s v="S3"/>
    <s v="P082806C1S3"/>
    <x v="1"/>
    <n v="2013"/>
    <x v="14"/>
    <n v="10"/>
    <n v="183"/>
    <n v="5.8616729999999997"/>
    <s v="USD"/>
    <n v="5.8616729999999997"/>
    <n v="3.2030999999999997E-2"/>
    <s v=""/>
    <s v=""/>
    <x v="1"/>
    <s v=""/>
    <s v="x"/>
    <m/>
  </r>
  <r>
    <s v="Madagascar"/>
    <x v="2"/>
    <s v="P082806"/>
    <s v="C1"/>
    <s v=""/>
    <s v="P082806C1S3"/>
    <x v="2"/>
    <s v="2003 / 2008"/>
    <x v="14"/>
    <n v="0.27777777777777779"/>
    <n v="1.011049723756906"/>
    <n v="9.8801425665107037E-2"/>
    <m/>
    <n v="9.8801425665107037E-2"/>
    <n v="9.7721628663302584E-2"/>
    <s v=""/>
    <s v=""/>
    <x v="1"/>
    <s v=""/>
    <s v="x"/>
    <s v="; Change of project scope; "/>
  </r>
  <r>
    <s v="Madagascar"/>
    <x v="2"/>
    <s v="P052208"/>
    <s v="C1"/>
    <s v="S1"/>
    <s v="P052208C1S1"/>
    <x v="0"/>
    <n v="2000"/>
    <x v="6"/>
    <s v=""/>
    <n v="527"/>
    <n v="9.4"/>
    <s v="USD"/>
    <n v="9.4"/>
    <n v="1.7836812144212524E-2"/>
    <s v=""/>
    <s v=""/>
    <x v="0"/>
    <s v="x"/>
    <s v="x"/>
    <m/>
  </r>
  <r>
    <s v="Madagascar"/>
    <x v="2"/>
    <s v="P052208"/>
    <s v="C1"/>
    <s v="S1"/>
    <s v="P052208C1S1"/>
    <x v="1"/>
    <n v="2006"/>
    <x v="6"/>
    <s v=""/>
    <n v="527"/>
    <n v="20.9"/>
    <s v="USD"/>
    <n v="20.9"/>
    <n v="3.9658444022770398E-2"/>
    <s v=""/>
    <s v=""/>
    <x v="0"/>
    <s v="x"/>
    <s v="x"/>
    <m/>
  </r>
  <r>
    <s v="Madagascar"/>
    <x v="2"/>
    <s v="P052208"/>
    <s v="C1"/>
    <s v=""/>
    <s v="P052208C1S1"/>
    <x v="2"/>
    <s v="2003 / 2008"/>
    <x v="6"/>
    <s v=""/>
    <n v="1"/>
    <n v="2.2234042553191489"/>
    <m/>
    <n v="2.2234042553191489"/>
    <n v="2.2234042553191489"/>
    <s v=""/>
    <s v=""/>
    <x v="0"/>
    <s v="x"/>
    <s v="x"/>
    <s v="Political events ; Weather shocks ; Macroeconomic conditions"/>
  </r>
  <r>
    <s v="Malawi"/>
    <x v="2"/>
    <s v="AfDB loan F/MLW/AGR(RD)/87/15"/>
    <s v="C1"/>
    <s v=""/>
    <s v="AfDB loan F/MLW/AGR(RD)/87/15C1"/>
    <x v="0"/>
    <n v="1987"/>
    <x v="1"/>
    <s v=""/>
    <n v="62"/>
    <n v="1.0149999999999999"/>
    <s v="MWK"/>
    <n v="0.46136363636363631"/>
    <n v="7.4413489736070374E-3"/>
    <s v="x"/>
    <s v=""/>
    <x v="1"/>
    <m/>
    <m/>
    <m/>
  </r>
  <r>
    <s v="Malawi"/>
    <x v="2"/>
    <s v="AfDB loan F/MLW/AGR(RD)/87/15"/>
    <s v="C1"/>
    <s v=""/>
    <s v="AfDB loan F/MLW/AGR(RD)/87/15C1"/>
    <x v="1"/>
    <n v="1999"/>
    <x v="1"/>
    <s v=""/>
    <n v="65"/>
    <n v="1.8939999999999999"/>
    <s v="MWK"/>
    <n v="4.2967332123411979E-2"/>
    <n v="6.6103587882172278E-4"/>
    <s v="x"/>
    <s v=""/>
    <x v="1"/>
    <m/>
    <m/>
    <m/>
  </r>
  <r>
    <s v="Malawi"/>
    <x v="2"/>
    <s v="AfDB loan F/MLW/AGR(RD)/87/15"/>
    <s v="C1"/>
    <s v=""/>
    <s v="AfDB loan F/MLW/AGR(RD)/87/15C1"/>
    <x v="2"/>
    <s v="2003 / 2008"/>
    <x v="1"/>
    <s v=""/>
    <n v="1.0483870967741935"/>
    <n v="1.8660098522167488"/>
    <m/>
    <n v="9.313116322315898E-2"/>
    <n v="8.8832801843628573E-2"/>
    <s v="x"/>
    <s v=""/>
    <x v="1"/>
    <s v="macroeconomic conditions"/>
    <s v="It should be noted that devaluation of the local currency over the implementation period of the project more than doubled project costs when measured in MWK (PCR p. 3). Instead of improving five roads, totalling 62 km, the project improved four roads, totalling 65 km, exceeding the projected target by nearly 5% while remaining within the original budget [when costs are calculated using the UA currency (AfDB currency)] (PCR p.6). "/>
    <s v="; ; Macroeconomic conditions"/>
  </r>
  <r>
    <s v="Mali"/>
    <x v="2"/>
    <s v="P079749_2"/>
    <s v="C1"/>
    <s v="S2"/>
    <s v="P079749_2C1S2"/>
    <x v="0"/>
    <n v="2008"/>
    <x v="5"/>
    <s v=""/>
    <n v="154"/>
    <n v="4"/>
    <s v="USD"/>
    <n v="4"/>
    <n v="2.5974025974025976E-2"/>
    <s v=""/>
    <s v=""/>
    <x v="0"/>
    <s v="x"/>
    <s v="x"/>
    <m/>
  </r>
  <r>
    <s v="Mali"/>
    <x v="2"/>
    <s v="P079749_2"/>
    <s v="C1"/>
    <s v="S2"/>
    <s v="P079749_2C1S2"/>
    <x v="1"/>
    <n v="2015"/>
    <x v="5"/>
    <n v="47"/>
    <n v="199"/>
    <n v="27.6"/>
    <s v="USD"/>
    <n v="27.6"/>
    <n v="0.13869346733668342"/>
    <s v=""/>
    <s v=""/>
    <x v="0"/>
    <s v="x"/>
    <s v="x"/>
    <m/>
  </r>
  <r>
    <s v="Mali"/>
    <x v="2"/>
    <s v="P079749_2"/>
    <s v="C1"/>
    <s v=""/>
    <s v="P079749_2C1S2"/>
    <x v="2"/>
    <s v="2003 / 2008"/>
    <x v="5"/>
    <s v=""/>
    <n v="1.2922077922077921"/>
    <n v="6.9"/>
    <m/>
    <n v="6.9"/>
    <n v="5.3396984924623112"/>
    <s v=""/>
    <s v=""/>
    <x v="0"/>
    <s v="x"/>
    <s v="x"/>
    <s v="Quality of estimates; ; "/>
  </r>
  <r>
    <s v="Mali"/>
    <x v="2"/>
    <s v="P090075"/>
    <s v="C1"/>
    <s v=""/>
    <s v="P090075C1"/>
    <x v="0"/>
    <n v="2007"/>
    <x v="14"/>
    <s v=""/>
    <n v="2150"/>
    <n v="81"/>
    <s v="USD"/>
    <n v="81"/>
    <n v="3.7674418604651164E-2"/>
    <s v=""/>
    <s v=""/>
    <x v="0"/>
    <s v=""/>
    <s v=""/>
    <m/>
  </r>
  <r>
    <s v="Mali"/>
    <x v="2"/>
    <s v="P090075"/>
    <s v="C1"/>
    <s v=""/>
    <s v="P090075C1"/>
    <x v="1"/>
    <n v="2016"/>
    <x v="14"/>
    <n v="37"/>
    <n v="2485"/>
    <n v="76.77"/>
    <s v="USD"/>
    <n v="76.77"/>
    <n v="3.0893360160965794E-2"/>
    <s v=""/>
    <s v=""/>
    <x v="0"/>
    <s v=""/>
    <s v=""/>
    <m/>
  </r>
  <r>
    <s v="Mali"/>
    <x v="2"/>
    <s v="P090075"/>
    <s v="C1"/>
    <s v=""/>
    <s v="P090075C1"/>
    <x v="2"/>
    <s v="2003 / 2008"/>
    <x v="14"/>
    <s v=""/>
    <n v="1.155813953488372"/>
    <n v="0.94777777777777772"/>
    <m/>
    <n v="0.94777777777777772"/>
    <n v="0.8200089425441538"/>
    <s v=""/>
    <s v=""/>
    <x v="0"/>
    <s v=""/>
    <s v=""/>
    <s v=""/>
  </r>
  <r>
    <s v="Mali"/>
    <x v="2"/>
    <s v="P079351"/>
    <s v="C1"/>
    <s v=""/>
    <s v="P079351C1"/>
    <x v="0"/>
    <n v="2004"/>
    <x v="5"/>
    <n v="60"/>
    <n v="564"/>
    <n v="32.479999999999997"/>
    <s v="USD"/>
    <n v="32.479999999999997"/>
    <n v="5.7588652482269499E-2"/>
    <s v="x"/>
    <s v=""/>
    <x v="0"/>
    <s v="x"/>
    <s v="x"/>
    <m/>
  </r>
  <r>
    <s v="Mali"/>
    <x v="2"/>
    <s v="P079351"/>
    <s v="C1"/>
    <s v=""/>
    <s v="P079351C1"/>
    <x v="1"/>
    <n v="2010"/>
    <x v="5"/>
    <n v="72"/>
    <n v="239"/>
    <n v="32.1"/>
    <s v="USD"/>
    <n v="32.1"/>
    <n v="0.13430962343096234"/>
    <s v="x"/>
    <s v=""/>
    <x v="0"/>
    <s v="x"/>
    <s v="x"/>
    <m/>
  </r>
  <r>
    <s v="Mali"/>
    <x v="2"/>
    <s v="P079351"/>
    <s v="C1"/>
    <s v=""/>
    <s v="P079351C1"/>
    <x v="2"/>
    <s v="2003 / 2008"/>
    <x v="5"/>
    <n v="1.2"/>
    <n v="0.42375886524822692"/>
    <n v="0.98830049261083752"/>
    <m/>
    <n v="0.98830049261083752"/>
    <n v="2.3322237566213904"/>
    <s v="x"/>
    <s v=""/>
    <x v="0"/>
    <s v="x"/>
    <s v="x"/>
    <s v="Capacity of counterpart; Procurement system; "/>
  </r>
  <r>
    <s v="Mauritius"/>
    <x v="2"/>
    <s v="P091828"/>
    <s v="C1"/>
    <s v="S1"/>
    <s v="P091828C1S1"/>
    <x v="0"/>
    <n v="2009"/>
    <x v="12"/>
    <s v=""/>
    <n v="12.1"/>
    <n v="21.6"/>
    <s v="USD"/>
    <n v="21.6"/>
    <n v="1.785123966942149"/>
    <s v=""/>
    <s v=""/>
    <x v="0"/>
    <s v="x"/>
    <s v="x"/>
    <m/>
  </r>
  <r>
    <s v="Mauritius"/>
    <x v="2"/>
    <s v="P091828"/>
    <s v="C1"/>
    <s v="S1"/>
    <s v="P091828C1S1"/>
    <x v="1"/>
    <n v="2015"/>
    <x v="12"/>
    <n v="18"/>
    <n v="12.1"/>
    <n v="33.880000000000003"/>
    <s v="USD"/>
    <n v="33.880000000000003"/>
    <n v="2.8000000000000003"/>
    <s v=""/>
    <s v=""/>
    <x v="0"/>
    <s v="x"/>
    <s v="x"/>
    <m/>
  </r>
  <r>
    <s v="Mauritius"/>
    <x v="2"/>
    <s v="P091828"/>
    <s v="C1"/>
    <s v=""/>
    <s v="P091828C1S1"/>
    <x v="2"/>
    <s v="2003 / 2008"/>
    <x v="12"/>
    <s v=""/>
    <n v="1"/>
    <n v="1.5685185185185184"/>
    <m/>
    <n v="1.5685185185185184"/>
    <n v="1.5685185185185184"/>
    <s v=""/>
    <s v=""/>
    <x v="0"/>
    <s v="x"/>
    <s v="x"/>
    <s v="Macroeconomic conditions; Quality of estimates; "/>
  </r>
  <r>
    <s v="Mauritius"/>
    <x v="2"/>
    <s v="P091828"/>
    <s v="C1"/>
    <s v="S2"/>
    <s v="P091828C1S2"/>
    <x v="0"/>
    <n v="2009"/>
    <x v="2"/>
    <s v=""/>
    <n v="5"/>
    <n v="4.6399999999999997"/>
    <s v="USD"/>
    <n v="4.6399999999999997"/>
    <n v="0.92799999999999994"/>
    <s v=""/>
    <s v=""/>
    <x v="0"/>
    <s v=""/>
    <s v=""/>
    <m/>
  </r>
  <r>
    <s v="Mauritius"/>
    <x v="2"/>
    <s v="P091828"/>
    <s v="C1"/>
    <s v="S2"/>
    <s v="P091828C1S2"/>
    <x v="1"/>
    <n v="2015"/>
    <x v="2"/>
    <n v="10"/>
    <n v="5"/>
    <n v="3.7520395051968509"/>
    <s v="USD"/>
    <n v="3.7520395051968509"/>
    <n v="0.75040790103937016"/>
    <s v=""/>
    <s v=""/>
    <x v="0"/>
    <s v=""/>
    <s v=""/>
    <m/>
  </r>
  <r>
    <s v="Mauritius"/>
    <x v="2"/>
    <s v="P091828"/>
    <s v="C1"/>
    <s v=""/>
    <s v="P091828C1S2"/>
    <x v="2"/>
    <s v="2003 / 2008"/>
    <x v="2"/>
    <s v=""/>
    <n v="1"/>
    <n v="0.80862920370621794"/>
    <m/>
    <n v="0.80862920370621794"/>
    <n v="0.80862920370621794"/>
    <s v=""/>
    <s v=""/>
    <x v="0"/>
    <s v=""/>
    <s v=""/>
    <s v=""/>
  </r>
  <r>
    <s v="Mauritius"/>
    <x v="2"/>
    <s v="P091828"/>
    <s v="C1"/>
    <s v="S3"/>
    <s v="P091828C1S3"/>
    <x v="0"/>
    <n v="2009"/>
    <x v="2"/>
    <s v=""/>
    <n v="8"/>
    <n v="3.33"/>
    <s v="USD"/>
    <n v="3.33"/>
    <n v="0.41625000000000001"/>
    <s v=""/>
    <s v=""/>
    <x v="0"/>
    <s v="x"/>
    <s v="x"/>
    <m/>
  </r>
  <r>
    <s v="Mauritius"/>
    <x v="2"/>
    <s v="P091828"/>
    <s v="C1"/>
    <s v="S3"/>
    <s v="P091828C1S3"/>
    <x v="1"/>
    <n v="2015"/>
    <x v="2"/>
    <n v="10"/>
    <n v="8"/>
    <n v="6.3849968737007874"/>
    <s v="USD"/>
    <n v="6.3849968737007874"/>
    <n v="0.79812460921259842"/>
    <s v=""/>
    <s v=""/>
    <x v="0"/>
    <s v="x"/>
    <s v="x"/>
    <m/>
  </r>
  <r>
    <s v="Mauritius"/>
    <x v="2"/>
    <s v="P091828"/>
    <s v="C1"/>
    <s v=""/>
    <s v="P091828C1S3"/>
    <x v="2"/>
    <s v="2003 / 2008"/>
    <x v="2"/>
    <s v=""/>
    <n v="1"/>
    <n v="1.917416478588825"/>
    <m/>
    <n v="1.917416478588825"/>
    <n v="1.917416478588825"/>
    <s v=""/>
    <s v=""/>
    <x v="0"/>
    <s v="x"/>
    <s v="x"/>
    <s v="Macroeconomic conditions; Change of project scope; "/>
  </r>
  <r>
    <s v="Mauritius"/>
    <x v="2"/>
    <s v="P091828"/>
    <s v="C1"/>
    <s v="S4"/>
    <s v="P091828C1S4"/>
    <x v="0"/>
    <n v="2009"/>
    <x v="2"/>
    <s v=""/>
    <n v="4"/>
    <n v="2.4300000000000002"/>
    <s v="USD"/>
    <n v="2.4300000000000002"/>
    <n v="0.60750000000000004"/>
    <s v=""/>
    <s v=""/>
    <x v="0"/>
    <s v=""/>
    <s v=""/>
    <m/>
  </r>
  <r>
    <s v="Mauritius"/>
    <x v="2"/>
    <s v="P091828"/>
    <s v="C1"/>
    <s v="S4"/>
    <s v="P091828C1S4"/>
    <x v="1"/>
    <n v="2015"/>
    <x v="2"/>
    <n v="6"/>
    <n v="4"/>
    <n v="2.2313215644094488"/>
    <s v="USD"/>
    <n v="2.2313215644094488"/>
    <n v="0.55783039110236221"/>
    <s v=""/>
    <s v=""/>
    <x v="0"/>
    <s v=""/>
    <s v=""/>
    <m/>
  </r>
  <r>
    <s v="Mauritius"/>
    <x v="2"/>
    <s v="P091828"/>
    <s v="C1"/>
    <s v=""/>
    <s v="P091828C1S4"/>
    <x v="2"/>
    <s v="2003 / 2008"/>
    <x v="2"/>
    <s v=""/>
    <n v="1"/>
    <n v="0.91823932691746857"/>
    <m/>
    <n v="0.91823932691746857"/>
    <n v="0.91823932691746857"/>
    <s v=""/>
    <s v=""/>
    <x v="0"/>
    <s v=""/>
    <s v=""/>
    <s v=""/>
  </r>
  <r>
    <s v="Mexico"/>
    <x v="3"/>
    <s v="P065779"/>
    <s v="C1"/>
    <s v="S1"/>
    <s v="P065779C1S1"/>
    <x v="0"/>
    <n v="2000"/>
    <x v="2"/>
    <s v=""/>
    <n v="14.4"/>
    <n v="1.62"/>
    <s v="USD"/>
    <n v="1.62"/>
    <n v="0.1125"/>
    <s v=""/>
    <s v=""/>
    <x v="0"/>
    <s v=""/>
    <s v=""/>
    <m/>
  </r>
  <r>
    <s v="Mexico"/>
    <x v="3"/>
    <s v="P065779"/>
    <s v="C1"/>
    <s v="S1"/>
    <s v="P065779C1S1"/>
    <x v="1"/>
    <n v="2007"/>
    <x v="2"/>
    <s v=""/>
    <n v="14.4"/>
    <n v="1.54"/>
    <s v="USD"/>
    <n v="1.54"/>
    <n v="0.10694444444444444"/>
    <s v=""/>
    <s v=""/>
    <x v="0"/>
    <s v=""/>
    <s v=""/>
    <m/>
  </r>
  <r>
    <s v="Mexico"/>
    <x v="3"/>
    <s v="P065779"/>
    <s v="C1"/>
    <s v=""/>
    <s v="P065779C1S1"/>
    <x v="2"/>
    <s v="2003 / 2008"/>
    <x v="2"/>
    <s v=""/>
    <n v="1"/>
    <n v="0.95061728395061729"/>
    <m/>
    <n v="0.95061728395061729"/>
    <n v="0.95061728395061718"/>
    <s v=""/>
    <s v=""/>
    <x v="0"/>
    <s v=""/>
    <s v=""/>
    <s v=""/>
  </r>
  <r>
    <s v="Mexico"/>
    <x v="3"/>
    <s v="P065779"/>
    <s v="C1"/>
    <s v="S10"/>
    <s v="P065779C1S10"/>
    <x v="0"/>
    <n v="2000"/>
    <x v="2"/>
    <s v=""/>
    <n v="11.9"/>
    <n v="2.16"/>
    <s v="USD"/>
    <n v="2.16"/>
    <n v="0.1815126050420168"/>
    <s v=""/>
    <s v=""/>
    <x v="0"/>
    <s v=""/>
    <s v=""/>
    <m/>
  </r>
  <r>
    <s v="Mexico"/>
    <x v="3"/>
    <s v="P065779"/>
    <s v="C1"/>
    <s v="S10"/>
    <s v="P065779C1S10"/>
    <x v="1"/>
    <n v="2007"/>
    <x v="2"/>
    <s v=""/>
    <n v="11.9"/>
    <n v="3.08"/>
    <s v="USD"/>
    <n v="3.08"/>
    <n v="0.25882352941176473"/>
    <s v=""/>
    <s v=""/>
    <x v="0"/>
    <s v=""/>
    <s v=""/>
    <m/>
  </r>
  <r>
    <s v="Mexico"/>
    <x v="3"/>
    <s v="P065779"/>
    <s v="C1"/>
    <s v=""/>
    <s v="P065779C1S10"/>
    <x v="2"/>
    <s v="2003 / 2008"/>
    <x v="2"/>
    <s v=""/>
    <n v="1"/>
    <n v="1.4259259259259258"/>
    <m/>
    <n v="1.4259259259259258"/>
    <n v="1.425925925925926"/>
    <s v=""/>
    <s v=""/>
    <x v="0"/>
    <s v=""/>
    <s v=""/>
    <s v=""/>
  </r>
  <r>
    <s v="Mexico"/>
    <x v="3"/>
    <s v="P065779"/>
    <s v="C1"/>
    <s v="S11"/>
    <s v="P065779C1S11"/>
    <x v="0"/>
    <n v="2000"/>
    <x v="2"/>
    <s v=""/>
    <n v="3"/>
    <n v="0.54"/>
    <s v="USD"/>
    <n v="0.54"/>
    <n v="0.18000000000000002"/>
    <s v=""/>
    <s v=""/>
    <x v="0"/>
    <s v=""/>
    <s v=""/>
    <m/>
  </r>
  <r>
    <s v="Mexico"/>
    <x v="3"/>
    <s v="P065779"/>
    <s v="C1"/>
    <s v="S11"/>
    <s v="P065779C1S11"/>
    <x v="1"/>
    <n v="2007"/>
    <x v="2"/>
    <s v=""/>
    <n v="3"/>
    <n v="0.74"/>
    <s v="USD"/>
    <n v="0.74"/>
    <n v="0.24666666666666667"/>
    <s v=""/>
    <s v=""/>
    <x v="0"/>
    <s v=""/>
    <s v=""/>
    <m/>
  </r>
  <r>
    <s v="Mexico"/>
    <x v="3"/>
    <s v="P065779"/>
    <s v="C1"/>
    <s v=""/>
    <s v="P065779C1S11"/>
    <x v="2"/>
    <s v="2003 / 2008"/>
    <x v="2"/>
    <s v=""/>
    <n v="1"/>
    <n v="1.3703703703703702"/>
    <m/>
    <n v="1.3703703703703702"/>
    <n v="1.3703703703703702"/>
    <s v=""/>
    <s v=""/>
    <x v="0"/>
    <s v=""/>
    <s v=""/>
    <s v=""/>
  </r>
  <r>
    <s v="Mexico"/>
    <x v="3"/>
    <s v="P065779"/>
    <s v="C1"/>
    <s v="S12"/>
    <s v="P065779C1S12"/>
    <x v="0"/>
    <n v="2000"/>
    <x v="2"/>
    <s v=""/>
    <n v="12.5"/>
    <n v="1.41"/>
    <s v="USD"/>
    <n v="1.41"/>
    <n v="0.1128"/>
    <s v=""/>
    <s v=""/>
    <x v="0"/>
    <s v=""/>
    <s v=""/>
    <m/>
  </r>
  <r>
    <s v="Mexico"/>
    <x v="3"/>
    <s v="P065779"/>
    <s v="C1"/>
    <s v="S12"/>
    <s v="P065779C1S12"/>
    <x v="1"/>
    <n v="2007"/>
    <x v="2"/>
    <s v=""/>
    <n v="12.5"/>
    <n v="1.2"/>
    <s v="USD"/>
    <n v="1.2"/>
    <n v="9.6000000000000002E-2"/>
    <s v=""/>
    <s v=""/>
    <x v="0"/>
    <s v=""/>
    <s v=""/>
    <m/>
  </r>
  <r>
    <s v="Mexico"/>
    <x v="3"/>
    <s v="P065779"/>
    <s v="C1"/>
    <s v=""/>
    <s v="P065779C1S12"/>
    <x v="2"/>
    <s v="2003 / 2008"/>
    <x v="2"/>
    <s v=""/>
    <n v="1"/>
    <n v="0.85106382978723405"/>
    <m/>
    <n v="0.85106382978723405"/>
    <n v="0.85106382978723405"/>
    <s v=""/>
    <s v=""/>
    <x v="0"/>
    <s v=""/>
    <s v=""/>
    <s v=""/>
  </r>
  <r>
    <s v="Mexico"/>
    <x v="3"/>
    <s v="P065779"/>
    <s v="C1"/>
    <s v="S13"/>
    <s v="P065779C1S13"/>
    <x v="0"/>
    <n v="2000"/>
    <x v="2"/>
    <s v=""/>
    <n v="9"/>
    <n v="1.1499999999999999"/>
    <s v="USD"/>
    <n v="1.1499999999999999"/>
    <n v="0.12777777777777777"/>
    <s v=""/>
    <s v=""/>
    <x v="0"/>
    <s v="x"/>
    <s v="x"/>
    <m/>
  </r>
  <r>
    <s v="Mexico"/>
    <x v="3"/>
    <s v="P065779"/>
    <s v="C1"/>
    <s v="S13"/>
    <s v="P065779C1S13"/>
    <x v="1"/>
    <n v="2007"/>
    <x v="2"/>
    <s v=""/>
    <n v="9"/>
    <n v="2.0699999999999998"/>
    <s v="USD"/>
    <n v="2.0699999999999998"/>
    <n v="0.22999999999999998"/>
    <s v=""/>
    <s v=""/>
    <x v="0"/>
    <s v="x"/>
    <s v="x"/>
    <m/>
  </r>
  <r>
    <s v="Mexico"/>
    <x v="3"/>
    <s v="P065779"/>
    <s v="C1"/>
    <s v=""/>
    <s v="P065779C1S13"/>
    <x v="2"/>
    <s v="2003 / 2008"/>
    <x v="2"/>
    <s v=""/>
    <n v="1"/>
    <n v="1.8"/>
    <m/>
    <n v="1.8"/>
    <n v="1.8"/>
    <s v=""/>
    <s v=""/>
    <x v="0"/>
    <s v="x"/>
    <s v="x"/>
    <s v="Capacity of counterpart ; Quality of estimates; "/>
  </r>
  <r>
    <s v="Mexico"/>
    <x v="3"/>
    <s v="P065779"/>
    <s v="C1"/>
    <s v="S14"/>
    <s v="P065779C1S14"/>
    <x v="0"/>
    <n v="2000"/>
    <x v="2"/>
    <s v=""/>
    <n v="4"/>
    <n v="0.6"/>
    <s v="USD"/>
    <n v="0.6"/>
    <n v="0.15"/>
    <s v=""/>
    <s v=""/>
    <x v="0"/>
    <s v="x"/>
    <s v="x"/>
    <m/>
  </r>
  <r>
    <s v="Mexico"/>
    <x v="3"/>
    <s v="P065779"/>
    <s v="C1"/>
    <s v="S14"/>
    <s v="P065779C1S14"/>
    <x v="1"/>
    <n v="2007"/>
    <x v="2"/>
    <s v=""/>
    <n v="3.4"/>
    <n v="1.53"/>
    <s v="USD"/>
    <n v="1.53"/>
    <n v="0.45"/>
    <s v=""/>
    <s v=""/>
    <x v="0"/>
    <s v="x"/>
    <s v="x"/>
    <m/>
  </r>
  <r>
    <s v="Mexico"/>
    <x v="3"/>
    <s v="P065779"/>
    <s v="C1"/>
    <s v=""/>
    <s v="P065779C1S14"/>
    <x v="2"/>
    <s v="2003 / 2008"/>
    <x v="2"/>
    <s v=""/>
    <n v="0.85"/>
    <n v="2.5500000000000003"/>
    <m/>
    <n v="2.5500000000000003"/>
    <n v="3"/>
    <s v=""/>
    <s v=""/>
    <x v="0"/>
    <s v="x"/>
    <s v="x"/>
    <s v="Capacity of counterpart ; Quality of estimates; "/>
  </r>
  <r>
    <s v="Mexico"/>
    <x v="3"/>
    <s v="P065779"/>
    <s v="C1"/>
    <s v="S15"/>
    <s v="P065779C1S15"/>
    <x v="0"/>
    <n v="2000"/>
    <x v="2"/>
    <s v=""/>
    <n v="15.4"/>
    <n v="2.48"/>
    <s v="USD"/>
    <n v="2.48"/>
    <n v="0.16103896103896104"/>
    <s v=""/>
    <s v=""/>
    <x v="0"/>
    <s v=""/>
    <s v=""/>
    <m/>
  </r>
  <r>
    <s v="Mexico"/>
    <x v="3"/>
    <s v="P065779"/>
    <s v="C1"/>
    <s v="S15"/>
    <s v="P065779C1S15"/>
    <x v="1"/>
    <n v="2007"/>
    <x v="2"/>
    <s v=""/>
    <n v="15.4"/>
    <n v="1.91"/>
    <s v="USD"/>
    <n v="1.91"/>
    <n v="0.12402597402597401"/>
    <s v=""/>
    <s v=""/>
    <x v="0"/>
    <s v=""/>
    <s v=""/>
    <m/>
  </r>
  <r>
    <s v="Mexico"/>
    <x v="3"/>
    <s v="P065779"/>
    <s v="C1"/>
    <s v=""/>
    <s v="P065779C1S15"/>
    <x v="2"/>
    <s v="2003 / 2008"/>
    <x v="2"/>
    <s v=""/>
    <n v="1"/>
    <n v="0.77016129032258063"/>
    <m/>
    <n v="0.77016129032258063"/>
    <n v="0.77016129032258052"/>
    <s v=""/>
    <s v=""/>
    <x v="0"/>
    <s v=""/>
    <s v=""/>
    <s v=""/>
  </r>
  <r>
    <s v="Mexico"/>
    <x v="3"/>
    <s v="P065779"/>
    <s v="C1"/>
    <s v="S16"/>
    <s v="P065779C1S16"/>
    <x v="0"/>
    <n v="2000"/>
    <x v="2"/>
    <s v=""/>
    <n v="9.1999999999999993"/>
    <n v="1.38"/>
    <s v="USD"/>
    <n v="1.38"/>
    <n v="0.15"/>
    <s v=""/>
    <s v=""/>
    <x v="0"/>
    <s v=""/>
    <s v=""/>
    <m/>
  </r>
  <r>
    <s v="Mexico"/>
    <x v="3"/>
    <s v="P065779"/>
    <s v="C1"/>
    <s v="S16"/>
    <s v="P065779C1S16"/>
    <x v="1"/>
    <n v="2007"/>
    <x v="2"/>
    <s v=""/>
    <n v="9.1999999999999993"/>
    <n v="1.26"/>
    <s v="USD"/>
    <n v="1.26"/>
    <n v="0.13695652173913045"/>
    <s v=""/>
    <s v=""/>
    <x v="0"/>
    <s v=""/>
    <s v=""/>
    <m/>
  </r>
  <r>
    <s v="Mexico"/>
    <x v="3"/>
    <s v="P065779"/>
    <s v="C1"/>
    <s v=""/>
    <s v="P065779C1S16"/>
    <x v="2"/>
    <s v="2003 / 2008"/>
    <x v="2"/>
    <s v=""/>
    <n v="1"/>
    <n v="0.91304347826086962"/>
    <m/>
    <n v="0.91304347826086962"/>
    <n v="0.91304347826086973"/>
    <s v=""/>
    <s v=""/>
    <x v="0"/>
    <s v=""/>
    <s v=""/>
    <s v=""/>
  </r>
  <r>
    <s v="Mexico"/>
    <x v="3"/>
    <s v="P065779"/>
    <s v="C1"/>
    <s v="S17"/>
    <s v="P065779C1S17"/>
    <x v="0"/>
    <n v="2000"/>
    <x v="2"/>
    <s v=""/>
    <n v="25"/>
    <n v="2.81"/>
    <s v="USD"/>
    <n v="2.81"/>
    <n v="0.1124"/>
    <s v=""/>
    <s v=""/>
    <x v="1"/>
    <s v=""/>
    <s v="x"/>
    <m/>
  </r>
  <r>
    <s v="Mexico"/>
    <x v="3"/>
    <s v="P065779"/>
    <s v="C1"/>
    <s v="S17"/>
    <s v="P065779C1S17"/>
    <x v="1"/>
    <n v="2007"/>
    <x v="2"/>
    <s v=""/>
    <n v="25"/>
    <n v="0.53"/>
    <s v="USD"/>
    <n v="0.53"/>
    <n v="2.12E-2"/>
    <s v=""/>
    <s v=""/>
    <x v="1"/>
    <s v=""/>
    <s v="x"/>
    <m/>
  </r>
  <r>
    <s v="Mexico"/>
    <x v="3"/>
    <s v="P065779"/>
    <s v="C1"/>
    <s v=""/>
    <s v="P065779C1S17"/>
    <x v="2"/>
    <s v="2003 / 2008"/>
    <x v="2"/>
    <s v=""/>
    <n v="1"/>
    <n v="0.18861209964412812"/>
    <m/>
    <n v="0.18861209964412812"/>
    <n v="0.18861209964412812"/>
    <s v=""/>
    <s v=""/>
    <x v="1"/>
    <s v=""/>
    <s v="x"/>
    <s v="Change of project scope; ; "/>
  </r>
  <r>
    <s v="Mexico"/>
    <x v="3"/>
    <s v="P065779"/>
    <s v="C1"/>
    <s v="S18"/>
    <s v="P065779C1S18"/>
    <x v="0"/>
    <n v="2000"/>
    <x v="2"/>
    <s v=""/>
    <n v="11"/>
    <n v="1.24"/>
    <s v="USD"/>
    <n v="1.24"/>
    <n v="0.11272727272727273"/>
    <s v=""/>
    <s v=""/>
    <x v="0"/>
    <s v=""/>
    <s v=""/>
    <m/>
  </r>
  <r>
    <s v="Mexico"/>
    <x v="3"/>
    <s v="P065779"/>
    <s v="C1"/>
    <s v="S18"/>
    <s v="P065779C1S18"/>
    <x v="1"/>
    <n v="2007"/>
    <x v="2"/>
    <s v=""/>
    <n v="11"/>
    <n v="1.55"/>
    <s v="USD"/>
    <n v="1.55"/>
    <n v="0.1409090909090909"/>
    <s v=""/>
    <s v=""/>
    <x v="0"/>
    <s v=""/>
    <s v=""/>
    <m/>
  </r>
  <r>
    <s v="Mexico"/>
    <x v="3"/>
    <s v="P065779"/>
    <s v="C1"/>
    <s v=""/>
    <s v="P065779C1S18"/>
    <x v="2"/>
    <s v="2003 / 2008"/>
    <x v="2"/>
    <s v=""/>
    <n v="1"/>
    <n v="1.25"/>
    <m/>
    <n v="1.25"/>
    <n v="1.2499999999999998"/>
    <s v=""/>
    <s v=""/>
    <x v="0"/>
    <s v=""/>
    <s v=""/>
    <s v=""/>
  </r>
  <r>
    <s v="Mexico"/>
    <x v="3"/>
    <s v="P065779"/>
    <s v="C1"/>
    <s v="S19"/>
    <s v="P065779C1S19"/>
    <x v="0"/>
    <n v="2000"/>
    <x v="2"/>
    <s v=""/>
    <n v="10.5"/>
    <n v="1.34"/>
    <s v="USD"/>
    <n v="1.34"/>
    <n v="0.12761904761904763"/>
    <s v=""/>
    <s v=""/>
    <x v="0"/>
    <s v="x"/>
    <s v="x"/>
    <m/>
  </r>
  <r>
    <s v="Mexico"/>
    <x v="3"/>
    <s v="P065779"/>
    <s v="C1"/>
    <s v="S19"/>
    <s v="P065779C1S19"/>
    <x v="1"/>
    <n v="2007"/>
    <x v="2"/>
    <s v=""/>
    <n v="10.5"/>
    <n v="2.0499999999999998"/>
    <s v="USD"/>
    <n v="2.0499999999999998"/>
    <n v="0.19523809523809521"/>
    <s v=""/>
    <s v=""/>
    <x v="0"/>
    <s v="x"/>
    <s v="x"/>
    <m/>
  </r>
  <r>
    <s v="Mexico"/>
    <x v="3"/>
    <s v="P065779"/>
    <s v="C1"/>
    <s v=""/>
    <s v="P065779C1S19"/>
    <x v="2"/>
    <s v="2003 / 2008"/>
    <x v="2"/>
    <s v=""/>
    <n v="1"/>
    <n v="1.5298507462686566"/>
    <m/>
    <n v="1.5298507462686566"/>
    <n v="1.5298507462686564"/>
    <s v=""/>
    <s v=""/>
    <x v="0"/>
    <s v="x"/>
    <s v="x"/>
    <s v="Capacity of counterpart ; Quality of estimates; "/>
  </r>
  <r>
    <s v="Mexico"/>
    <x v="3"/>
    <s v="P065779"/>
    <s v="C1"/>
    <s v="S2"/>
    <s v="P065779C1S2"/>
    <x v="0"/>
    <n v="2000"/>
    <x v="2"/>
    <s v=""/>
    <n v="11"/>
    <n v="1.24"/>
    <s v="USD"/>
    <n v="1.24"/>
    <n v="0.11272727272727273"/>
    <s v=""/>
    <s v=""/>
    <x v="0"/>
    <s v=""/>
    <s v=""/>
    <m/>
  </r>
  <r>
    <s v="Mexico"/>
    <x v="3"/>
    <s v="P065779"/>
    <s v="C1"/>
    <s v="S2"/>
    <s v="P065779C1S2"/>
    <x v="1"/>
    <n v="2007"/>
    <x v="2"/>
    <s v=""/>
    <n v="11"/>
    <n v="0.8"/>
    <s v="USD"/>
    <n v="0.8"/>
    <n v="7.2727272727272738E-2"/>
    <s v=""/>
    <s v=""/>
    <x v="0"/>
    <s v=""/>
    <s v=""/>
    <m/>
  </r>
  <r>
    <s v="Mexico"/>
    <x v="3"/>
    <s v="P065779"/>
    <s v="C1"/>
    <s v=""/>
    <s v="P065779C1S2"/>
    <x v="2"/>
    <s v="2003 / 2008"/>
    <x v="2"/>
    <s v=""/>
    <n v="1"/>
    <n v="0.64516129032258074"/>
    <m/>
    <n v="0.64516129032258074"/>
    <n v="0.64516129032258074"/>
    <s v=""/>
    <s v=""/>
    <x v="0"/>
    <s v=""/>
    <s v=""/>
    <s v=""/>
  </r>
  <r>
    <s v="Mexico"/>
    <x v="3"/>
    <s v="P065779"/>
    <s v="C1"/>
    <s v="S20"/>
    <s v="P065779C1S20"/>
    <x v="0"/>
    <n v="2000"/>
    <x v="2"/>
    <s v=""/>
    <n v="21"/>
    <n v="3.78"/>
    <s v="USD"/>
    <n v="3.78"/>
    <n v="0.18"/>
    <s v=""/>
    <s v=""/>
    <x v="0"/>
    <s v=""/>
    <s v=""/>
    <m/>
  </r>
  <r>
    <s v="Mexico"/>
    <x v="3"/>
    <s v="P065779"/>
    <s v="C1"/>
    <s v="S20"/>
    <s v="P065779C1S20"/>
    <x v="1"/>
    <n v="2007"/>
    <x v="2"/>
    <s v=""/>
    <n v="21"/>
    <n v="4.9400000000000004"/>
    <s v="USD"/>
    <n v="4.9400000000000004"/>
    <n v="0.23523809523809525"/>
    <s v=""/>
    <s v=""/>
    <x v="0"/>
    <s v=""/>
    <s v=""/>
    <m/>
  </r>
  <r>
    <s v="Mexico"/>
    <x v="3"/>
    <s v="P065779"/>
    <s v="C1"/>
    <s v=""/>
    <s v="P065779C1S20"/>
    <x v="2"/>
    <s v="2003 / 2008"/>
    <x v="2"/>
    <s v=""/>
    <n v="1"/>
    <n v="1.306878306878307"/>
    <m/>
    <n v="1.306878306878307"/>
    <n v="1.306878306878307"/>
    <s v=""/>
    <s v=""/>
    <x v="0"/>
    <s v=""/>
    <s v=""/>
    <s v=""/>
  </r>
  <r>
    <s v="Mexico"/>
    <x v="3"/>
    <s v="P065779"/>
    <s v="C1"/>
    <s v="S21"/>
    <s v="P065779C1S21"/>
    <x v="0"/>
    <n v="2000"/>
    <x v="2"/>
    <s v=""/>
    <n v="21.4"/>
    <n v="3.85"/>
    <s v="USD"/>
    <n v="3.85"/>
    <n v="0.17990654205607479"/>
    <s v="x"/>
    <s v=""/>
    <x v="1"/>
    <s v=""/>
    <s v="x"/>
    <m/>
  </r>
  <r>
    <s v="Mexico"/>
    <x v="3"/>
    <s v="P065779"/>
    <s v="C1"/>
    <s v="S21"/>
    <s v="P065779C1S21"/>
    <x v="1"/>
    <n v="2007"/>
    <x v="5"/>
    <s v=""/>
    <n v="10"/>
    <n v="0.75"/>
    <s v="USD"/>
    <n v="0.75"/>
    <n v="7.4999999999999997E-2"/>
    <s v="x"/>
    <s v=""/>
    <x v="1"/>
    <s v=""/>
    <s v="x"/>
    <m/>
  </r>
  <r>
    <s v="Mexico"/>
    <x v="3"/>
    <s v="P065779"/>
    <s v="C1"/>
    <s v=""/>
    <s v="P065779C1S21"/>
    <x v="2"/>
    <s v="2003 / 2008"/>
    <x v="5"/>
    <s v=""/>
    <n v="0.46728971962616828"/>
    <n v="0.19480519480519481"/>
    <m/>
    <n v="0.19480519480519481"/>
    <n v="0.4168831168831168"/>
    <s v="x"/>
    <s v=""/>
    <x v="1"/>
    <s v=""/>
    <s v="x"/>
    <s v="Change of project scope; ; "/>
  </r>
  <r>
    <s v="Mexico"/>
    <x v="3"/>
    <s v="P065779"/>
    <s v="C1"/>
    <s v="S22"/>
    <s v="P065779C1S22"/>
    <x v="0"/>
    <n v="2000"/>
    <x v="2"/>
    <s v=""/>
    <n v="12"/>
    <n v="2.16"/>
    <s v="USD"/>
    <n v="2.16"/>
    <n v="0.18000000000000002"/>
    <s v=""/>
    <s v=""/>
    <x v="0"/>
    <s v=""/>
    <s v=""/>
    <m/>
  </r>
  <r>
    <s v="Mexico"/>
    <x v="3"/>
    <s v="P065779"/>
    <s v="C1"/>
    <s v="S22"/>
    <s v="P065779C1S22"/>
    <x v="1"/>
    <n v="2007"/>
    <x v="5"/>
    <s v=""/>
    <n v="12.1"/>
    <n v="1.4"/>
    <s v="USD"/>
    <n v="1.4"/>
    <n v="0.11570247933884296"/>
    <s v=""/>
    <s v=""/>
    <x v="0"/>
    <s v=""/>
    <s v=""/>
    <m/>
  </r>
  <r>
    <s v="Mexico"/>
    <x v="3"/>
    <s v="P065779"/>
    <s v="C1"/>
    <s v=""/>
    <s v="P065779C1S22"/>
    <x v="2"/>
    <s v="2003 / 2008"/>
    <x v="5"/>
    <s v=""/>
    <n v="1.0083333333333333"/>
    <n v="0.64814814814814803"/>
    <m/>
    <n v="0.64814814814814803"/>
    <n v="0.64279155188246084"/>
    <s v=""/>
    <s v=""/>
    <x v="0"/>
    <s v=""/>
    <s v=""/>
    <s v=""/>
  </r>
  <r>
    <s v="Mexico"/>
    <x v="3"/>
    <s v="P065779"/>
    <s v="C1"/>
    <s v="S23"/>
    <s v="P065779C1S23"/>
    <x v="0"/>
    <n v="2000"/>
    <x v="2"/>
    <s v=""/>
    <n v="4"/>
    <n v="0.6"/>
    <s v="USD"/>
    <n v="0.6"/>
    <n v="0.15"/>
    <s v=""/>
    <s v=""/>
    <x v="0"/>
    <s v=""/>
    <s v=""/>
    <m/>
  </r>
  <r>
    <s v="Mexico"/>
    <x v="3"/>
    <s v="P065779"/>
    <s v="C1"/>
    <s v="S23"/>
    <s v="P065779C1S23"/>
    <x v="1"/>
    <n v="2007"/>
    <x v="2"/>
    <s v=""/>
    <n v="4"/>
    <n v="0.55000000000000004"/>
    <s v="USD"/>
    <n v="0.55000000000000004"/>
    <n v="0.13750000000000001"/>
    <s v=""/>
    <s v=""/>
    <x v="0"/>
    <s v=""/>
    <s v=""/>
    <m/>
  </r>
  <r>
    <s v="Mexico"/>
    <x v="3"/>
    <s v="P065779"/>
    <s v="C1"/>
    <s v=""/>
    <s v="P065779C1S23"/>
    <x v="2"/>
    <s v="2003 / 2008"/>
    <x v="2"/>
    <s v=""/>
    <n v="1"/>
    <n v="0.91666666666666674"/>
    <m/>
    <n v="0.91666666666666674"/>
    <n v="0.91666666666666674"/>
    <s v=""/>
    <s v=""/>
    <x v="0"/>
    <s v=""/>
    <s v=""/>
    <s v=""/>
  </r>
  <r>
    <s v="Mexico"/>
    <x v="3"/>
    <s v="P065779"/>
    <s v="C1"/>
    <s v="S24"/>
    <s v="P065779C1S24"/>
    <x v="0"/>
    <n v="2000"/>
    <x v="2"/>
    <s v=""/>
    <n v="6.5"/>
    <n v="0.98"/>
    <s v="USD"/>
    <n v="0.98"/>
    <n v="0.15076923076923077"/>
    <s v=""/>
    <s v=""/>
    <x v="0"/>
    <s v=""/>
    <s v=""/>
    <m/>
  </r>
  <r>
    <s v="Mexico"/>
    <x v="3"/>
    <s v="P065779"/>
    <s v="C1"/>
    <s v="S24"/>
    <s v="P065779C1S24"/>
    <x v="1"/>
    <n v="2007"/>
    <x v="2"/>
    <s v=""/>
    <n v="6.5"/>
    <n v="0.7"/>
    <s v="USD"/>
    <n v="0.7"/>
    <n v="0.10769230769230768"/>
    <s v=""/>
    <s v=""/>
    <x v="0"/>
    <s v=""/>
    <s v=""/>
    <m/>
  </r>
  <r>
    <s v="Mexico"/>
    <x v="3"/>
    <s v="P065779"/>
    <s v="C1"/>
    <s v=""/>
    <s v="P065779C1S24"/>
    <x v="2"/>
    <s v="2003 / 2008"/>
    <x v="2"/>
    <s v=""/>
    <n v="1"/>
    <n v="0.7142857142857143"/>
    <m/>
    <n v="0.7142857142857143"/>
    <n v="0.7142857142857143"/>
    <s v=""/>
    <s v=""/>
    <x v="0"/>
    <s v=""/>
    <s v=""/>
    <s v=""/>
  </r>
  <r>
    <s v="Mexico"/>
    <x v="3"/>
    <s v="P065779"/>
    <s v="C1"/>
    <s v="S25"/>
    <s v="P065779C1S25"/>
    <x v="0"/>
    <n v="2000"/>
    <x v="5"/>
    <s v=""/>
    <n v="15.8"/>
    <n v="0.49"/>
    <s v="USD"/>
    <n v="0.49"/>
    <n v="3.10126582278481E-2"/>
    <s v=""/>
    <s v=""/>
    <x v="0"/>
    <s v="x"/>
    <s v="x"/>
    <m/>
  </r>
  <r>
    <s v="Mexico"/>
    <x v="3"/>
    <s v="P065779"/>
    <s v="C1"/>
    <s v="S25"/>
    <s v="P065779C1S25"/>
    <x v="1"/>
    <n v="2007"/>
    <x v="5"/>
    <s v=""/>
    <n v="15.2"/>
    <n v="0.84"/>
    <s v="USD"/>
    <n v="0.84"/>
    <n v="5.526315789473684E-2"/>
    <s v=""/>
    <s v=""/>
    <x v="0"/>
    <s v="x"/>
    <s v="x"/>
    <m/>
  </r>
  <r>
    <s v="Mexico"/>
    <x v="3"/>
    <s v="P065779"/>
    <s v="C1"/>
    <s v=""/>
    <s v="P065779C1S25"/>
    <x v="2"/>
    <s v="2003 / 2008"/>
    <x v="5"/>
    <s v=""/>
    <n v="0.96202531645569611"/>
    <n v="1.7142857142857142"/>
    <m/>
    <n v="1.7142857142857142"/>
    <n v="1.7819548872180451"/>
    <s v=""/>
    <s v=""/>
    <x v="0"/>
    <s v="x"/>
    <s v="x"/>
    <s v="Capacity of counterpart ; Quality of estimates; "/>
  </r>
  <r>
    <s v="Mexico"/>
    <x v="3"/>
    <s v="P065779"/>
    <s v="C1"/>
    <s v="S26"/>
    <s v="P065779C1S26"/>
    <x v="0"/>
    <n v="2000"/>
    <x v="5"/>
    <s v=""/>
    <n v="30"/>
    <n v="0.63"/>
    <s v="USD"/>
    <n v="0.63"/>
    <n v="2.1000000000000001E-2"/>
    <s v=""/>
    <s v=""/>
    <x v="0"/>
    <s v=""/>
    <s v=""/>
    <m/>
  </r>
  <r>
    <s v="Mexico"/>
    <x v="3"/>
    <s v="P065779"/>
    <s v="C1"/>
    <s v="S26"/>
    <s v="P065779C1S26"/>
    <x v="1"/>
    <n v="2007"/>
    <x v="5"/>
    <s v=""/>
    <n v="30"/>
    <n v="0.8"/>
    <s v="USD"/>
    <n v="0.8"/>
    <n v="2.6666666666666668E-2"/>
    <s v=""/>
    <s v=""/>
    <x v="0"/>
    <s v=""/>
    <s v=""/>
    <m/>
  </r>
  <r>
    <s v="Mexico"/>
    <x v="3"/>
    <s v="P065779"/>
    <s v="C1"/>
    <s v=""/>
    <s v="P065779C1S26"/>
    <x v="2"/>
    <s v="2003 / 2008"/>
    <x v="5"/>
    <s v=""/>
    <n v="1"/>
    <n v="1.26984126984127"/>
    <m/>
    <n v="1.26984126984127"/>
    <n v="1.2698412698412698"/>
    <s v=""/>
    <s v=""/>
    <x v="0"/>
    <s v=""/>
    <s v=""/>
    <s v=""/>
  </r>
  <r>
    <s v="Mexico"/>
    <x v="3"/>
    <s v="P065779"/>
    <s v="C1"/>
    <s v="S27"/>
    <s v="P065779C1S27"/>
    <x v="0"/>
    <n v="2000"/>
    <x v="5"/>
    <s v=""/>
    <n v="17"/>
    <n v="0.55000000000000004"/>
    <s v="USD"/>
    <n v="0.55000000000000004"/>
    <n v="3.2352941176470591E-2"/>
    <s v=""/>
    <s v=""/>
    <x v="0"/>
    <s v=""/>
    <s v=""/>
    <m/>
  </r>
  <r>
    <s v="Mexico"/>
    <x v="3"/>
    <s v="P065779"/>
    <s v="C1"/>
    <s v="S27"/>
    <s v="P065779C1S27"/>
    <x v="1"/>
    <n v="2007"/>
    <x v="5"/>
    <s v=""/>
    <n v="17"/>
    <n v="0.69"/>
    <s v="USD"/>
    <n v="0.69"/>
    <n v="4.0588235294117647E-2"/>
    <s v=""/>
    <s v=""/>
    <x v="0"/>
    <s v=""/>
    <s v=""/>
    <m/>
  </r>
  <r>
    <s v="Mexico"/>
    <x v="3"/>
    <s v="P065779"/>
    <s v="C1"/>
    <s v=""/>
    <s v="P065779C1S27"/>
    <x v="2"/>
    <s v="2003 / 2008"/>
    <x v="5"/>
    <s v=""/>
    <n v="1"/>
    <n v="1.2545454545454544"/>
    <m/>
    <n v="1.2545454545454544"/>
    <n v="1.2545454545454544"/>
    <s v=""/>
    <s v=""/>
    <x v="0"/>
    <s v=""/>
    <s v=""/>
    <s v=""/>
  </r>
  <r>
    <s v="Mexico"/>
    <x v="3"/>
    <s v="P065779"/>
    <s v="C1"/>
    <s v="S28"/>
    <s v="P065779C1S28"/>
    <x v="0"/>
    <n v="2000"/>
    <x v="5"/>
    <s v=""/>
    <n v="17.600000000000001"/>
    <n v="0.49"/>
    <s v="USD"/>
    <n v="0.49"/>
    <n v="2.784090909090909E-2"/>
    <s v=""/>
    <s v=""/>
    <x v="0"/>
    <s v="x"/>
    <s v="x"/>
    <m/>
  </r>
  <r>
    <s v="Mexico"/>
    <x v="3"/>
    <s v="P065779"/>
    <s v="C1"/>
    <s v="S28"/>
    <s v="P065779C1S28"/>
    <x v="1"/>
    <n v="2007"/>
    <x v="5"/>
    <s v=""/>
    <n v="17.600000000000001"/>
    <n v="1.17"/>
    <s v="USD"/>
    <n v="1.17"/>
    <n v="6.6477272727272718E-2"/>
    <s v=""/>
    <s v=""/>
    <x v="0"/>
    <s v="x"/>
    <s v="x"/>
    <m/>
  </r>
  <r>
    <s v="Mexico"/>
    <x v="3"/>
    <s v="P065779"/>
    <s v="C1"/>
    <s v=""/>
    <s v="P065779C1S28"/>
    <x v="2"/>
    <s v="2003 / 2008"/>
    <x v="5"/>
    <s v=""/>
    <n v="1"/>
    <n v="2.3877551020408161"/>
    <m/>
    <n v="2.3877551020408161"/>
    <n v="2.3877551020408161"/>
    <s v=""/>
    <s v=""/>
    <x v="0"/>
    <s v="x"/>
    <s v="x"/>
    <s v="Capacity of counterpart ; Quality of estimates; "/>
  </r>
  <r>
    <s v="Mexico"/>
    <x v="3"/>
    <s v="P065779"/>
    <s v="C1"/>
    <s v="S29"/>
    <s v="P065779C1S29"/>
    <x v="0"/>
    <n v="2000"/>
    <x v="5"/>
    <s v=""/>
    <n v="4"/>
    <n v="0.17"/>
    <s v="USD"/>
    <n v="0.17"/>
    <n v="4.2500000000000003E-2"/>
    <s v=""/>
    <s v=""/>
    <x v="0"/>
    <s v="x"/>
    <s v="x"/>
    <m/>
  </r>
  <r>
    <s v="Mexico"/>
    <x v="3"/>
    <s v="P065779"/>
    <s v="C1"/>
    <s v="S29"/>
    <s v="P065779C1S29"/>
    <x v="1"/>
    <n v="2007"/>
    <x v="5"/>
    <s v=""/>
    <n v="4"/>
    <n v="0.34"/>
    <s v="USD"/>
    <n v="0.34"/>
    <n v="8.5000000000000006E-2"/>
    <s v=""/>
    <s v=""/>
    <x v="0"/>
    <s v="x"/>
    <s v="x"/>
    <m/>
  </r>
  <r>
    <s v="Mexico"/>
    <x v="3"/>
    <s v="P065779"/>
    <s v="C1"/>
    <s v=""/>
    <s v="P065779C1S29"/>
    <x v="2"/>
    <s v="2003 / 2008"/>
    <x v="5"/>
    <s v=""/>
    <n v="1"/>
    <n v="2"/>
    <m/>
    <n v="2"/>
    <n v="2"/>
    <s v=""/>
    <s v=""/>
    <x v="0"/>
    <s v="x"/>
    <s v="x"/>
    <s v="Capacity of counterpart ; Quality of estimates; "/>
  </r>
  <r>
    <s v="Mexico"/>
    <x v="3"/>
    <s v="P065779"/>
    <s v="C1"/>
    <s v="S3"/>
    <s v="P065779C1S3"/>
    <x v="0"/>
    <n v="2000"/>
    <x v="2"/>
    <s v=""/>
    <n v="3"/>
    <n v="0.34"/>
    <s v="USD"/>
    <n v="0.34"/>
    <n v="0.11333333333333334"/>
    <s v=""/>
    <s v=""/>
    <x v="0"/>
    <s v=""/>
    <s v=""/>
    <m/>
  </r>
  <r>
    <s v="Mexico"/>
    <x v="3"/>
    <s v="P065779"/>
    <s v="C1"/>
    <s v="S3"/>
    <s v="P065779C1S3"/>
    <x v="1"/>
    <n v="2007"/>
    <x v="2"/>
    <s v=""/>
    <n v="3"/>
    <n v="0.17"/>
    <s v="USD"/>
    <n v="0.17"/>
    <n v="5.6666666666666671E-2"/>
    <s v=""/>
    <s v=""/>
    <x v="0"/>
    <s v=""/>
    <s v=""/>
    <m/>
  </r>
  <r>
    <s v="Mexico"/>
    <x v="3"/>
    <s v="P065779"/>
    <s v="C1"/>
    <s v=""/>
    <s v="P065779C1S3"/>
    <x v="2"/>
    <s v="2003 / 2008"/>
    <x v="2"/>
    <s v=""/>
    <n v="1"/>
    <n v="0.5"/>
    <m/>
    <n v="0.5"/>
    <n v="0.5"/>
    <s v=""/>
    <s v=""/>
    <x v="0"/>
    <s v=""/>
    <s v=""/>
    <s v=""/>
  </r>
  <r>
    <s v="Mexico"/>
    <x v="3"/>
    <s v="P065779"/>
    <s v="C1"/>
    <s v="S30"/>
    <s v="P065779C1S30"/>
    <x v="0"/>
    <n v="2000"/>
    <x v="5"/>
    <s v=""/>
    <n v="4.5"/>
    <n v="0.17"/>
    <s v="USD"/>
    <n v="0.17"/>
    <n v="3.7777777777777778E-2"/>
    <s v=""/>
    <s v=""/>
    <x v="0"/>
    <s v="x"/>
    <s v="x"/>
    <m/>
  </r>
  <r>
    <s v="Mexico"/>
    <x v="3"/>
    <s v="P065779"/>
    <s v="C1"/>
    <s v="S30"/>
    <s v="P065779C1S30"/>
    <x v="1"/>
    <n v="2007"/>
    <x v="5"/>
    <s v=""/>
    <n v="4.5"/>
    <n v="0.33"/>
    <s v="USD"/>
    <n v="0.33"/>
    <n v="7.3333333333333334E-2"/>
    <s v=""/>
    <s v=""/>
    <x v="0"/>
    <s v="x"/>
    <s v="x"/>
    <m/>
  </r>
  <r>
    <s v="Mexico"/>
    <x v="3"/>
    <s v="P065779"/>
    <s v="C1"/>
    <s v=""/>
    <s v="P065779C1S30"/>
    <x v="2"/>
    <s v="2003 / 2008"/>
    <x v="5"/>
    <s v=""/>
    <n v="1"/>
    <n v="1.9411764705882353"/>
    <m/>
    <n v="1.9411764705882353"/>
    <n v="1.9411764705882353"/>
    <s v=""/>
    <s v=""/>
    <x v="0"/>
    <s v="x"/>
    <s v="x"/>
    <s v="Capacity of counterpart ; Quality of estimates; "/>
  </r>
  <r>
    <s v="Mexico"/>
    <x v="3"/>
    <s v="P065779"/>
    <s v="C1"/>
    <s v="S31"/>
    <s v="P065779C1S31"/>
    <x v="0"/>
    <n v="2000"/>
    <x v="5"/>
    <s v=""/>
    <n v="3"/>
    <n v="0.06"/>
    <s v="USD"/>
    <n v="0.06"/>
    <n v="0.02"/>
    <s v=""/>
    <s v=""/>
    <x v="0"/>
    <s v=""/>
    <s v=""/>
    <m/>
  </r>
  <r>
    <s v="Mexico"/>
    <x v="3"/>
    <s v="P065779"/>
    <s v="C1"/>
    <s v="S31"/>
    <s v="P065779C1S31"/>
    <x v="1"/>
    <n v="2007"/>
    <x v="5"/>
    <s v=""/>
    <n v="3"/>
    <n v="7.0000000000000007E-2"/>
    <s v="USD"/>
    <n v="7.0000000000000007E-2"/>
    <n v="2.3333333333333334E-2"/>
    <s v=""/>
    <s v=""/>
    <x v="0"/>
    <s v=""/>
    <s v=""/>
    <m/>
  </r>
  <r>
    <s v="Mexico"/>
    <x v="3"/>
    <s v="P065779"/>
    <s v="C1"/>
    <s v=""/>
    <s v="P065779C1S31"/>
    <x v="2"/>
    <s v="2003 / 2008"/>
    <x v="5"/>
    <s v=""/>
    <n v="1"/>
    <n v="1.1666666666666667"/>
    <m/>
    <n v="1.1666666666666667"/>
    <n v="1.1666666666666667"/>
    <s v=""/>
    <s v=""/>
    <x v="0"/>
    <s v=""/>
    <s v=""/>
    <s v=""/>
  </r>
  <r>
    <s v="Mexico"/>
    <x v="3"/>
    <s v="P065779"/>
    <s v="C1"/>
    <s v="S32"/>
    <s v="P065779C1S32"/>
    <x v="0"/>
    <n v="2000"/>
    <x v="5"/>
    <s v=""/>
    <n v="30"/>
    <n v="1.08"/>
    <s v="USD"/>
    <n v="1.08"/>
    <n v="3.6000000000000004E-2"/>
    <s v=""/>
    <s v=""/>
    <x v="1"/>
    <s v=""/>
    <s v="x"/>
    <m/>
  </r>
  <r>
    <s v="Mexico"/>
    <x v="3"/>
    <s v="P065779"/>
    <s v="C1"/>
    <s v="S32"/>
    <s v="P065779C1S32"/>
    <x v="1"/>
    <n v="2007"/>
    <x v="5"/>
    <s v=""/>
    <n v="30"/>
    <n v="0.48"/>
    <s v="USD"/>
    <n v="0.48"/>
    <n v="1.6E-2"/>
    <s v=""/>
    <s v=""/>
    <x v="1"/>
    <s v=""/>
    <s v="x"/>
    <m/>
  </r>
  <r>
    <s v="Mexico"/>
    <x v="3"/>
    <s v="P065779"/>
    <s v="C1"/>
    <s v=""/>
    <s v="P065779C1S32"/>
    <x v="2"/>
    <s v="2003 / 2008"/>
    <x v="5"/>
    <s v=""/>
    <n v="1"/>
    <n v="0.44444444444444442"/>
    <m/>
    <n v="0.44444444444444442"/>
    <n v="0.44444444444444442"/>
    <s v=""/>
    <s v=""/>
    <x v="1"/>
    <s v=""/>
    <s v="x"/>
    <s v="Change of project scope; ; "/>
  </r>
  <r>
    <s v="Mexico"/>
    <x v="3"/>
    <s v="P065779"/>
    <s v="C1"/>
    <s v="S33"/>
    <s v="P065779C1S33"/>
    <x v="0"/>
    <n v="2000"/>
    <x v="5"/>
    <s v=""/>
    <n v="22"/>
    <n v="0.71"/>
    <s v="USD"/>
    <n v="0.71"/>
    <n v="3.2272727272727272E-2"/>
    <s v=""/>
    <s v=""/>
    <x v="0"/>
    <s v="x"/>
    <s v="x"/>
    <m/>
  </r>
  <r>
    <s v="Mexico"/>
    <x v="3"/>
    <s v="P065779"/>
    <s v="C1"/>
    <s v="S33"/>
    <s v="P065779C1S33"/>
    <x v="1"/>
    <n v="2007"/>
    <x v="5"/>
    <s v=""/>
    <n v="22"/>
    <n v="1.37"/>
    <s v="USD"/>
    <n v="1.37"/>
    <n v="6.2272727272727278E-2"/>
    <s v=""/>
    <s v=""/>
    <x v="0"/>
    <s v="x"/>
    <s v="x"/>
    <m/>
  </r>
  <r>
    <s v="Mexico"/>
    <x v="3"/>
    <s v="P065779"/>
    <s v="C1"/>
    <s v=""/>
    <s v="P065779C1S33"/>
    <x v="2"/>
    <s v="2003 / 2008"/>
    <x v="5"/>
    <s v=""/>
    <n v="1"/>
    <n v="1.9295774647887327"/>
    <m/>
    <n v="1.9295774647887327"/>
    <n v="1.9295774647887325"/>
    <s v=""/>
    <s v=""/>
    <x v="0"/>
    <s v="x"/>
    <s v="x"/>
    <s v="Change of project scope; Capacity of counterpart (Procurement system); "/>
  </r>
  <r>
    <s v="Mexico"/>
    <x v="3"/>
    <s v="P065779"/>
    <s v="C1"/>
    <s v="S34"/>
    <s v="P065779C1S34"/>
    <x v="0"/>
    <n v="2000"/>
    <x v="5"/>
    <s v=""/>
    <n v="5"/>
    <n v="0.26"/>
    <s v="USD"/>
    <n v="0.26"/>
    <n v="5.2000000000000005E-2"/>
    <s v=""/>
    <s v="x"/>
    <x v="0"/>
    <s v="x"/>
    <s v="x"/>
    <m/>
  </r>
  <r>
    <s v="Mexico"/>
    <x v="3"/>
    <s v="P065779"/>
    <s v="C1"/>
    <s v="S34"/>
    <s v="P065779C1S34"/>
    <x v="1"/>
    <n v="2007"/>
    <x v="5"/>
    <s v=""/>
    <n v="8"/>
    <n v="0.84"/>
    <s v="USD"/>
    <n v="0.84"/>
    <n v="0.105"/>
    <s v=""/>
    <s v="x"/>
    <x v="0"/>
    <s v="x"/>
    <s v="x"/>
    <m/>
  </r>
  <r>
    <s v="Mexico"/>
    <x v="3"/>
    <s v="P065779"/>
    <s v="C1"/>
    <s v=""/>
    <s v="P065779C1S34"/>
    <x v="2"/>
    <s v="2003 / 2008"/>
    <x v="5"/>
    <s v=""/>
    <n v="1.6"/>
    <n v="3.2307692307692304"/>
    <m/>
    <n v="3.2307692307692304"/>
    <n v="2.0192307692307692"/>
    <s v=""/>
    <s v="x"/>
    <x v="0"/>
    <s v="x"/>
    <s v="x"/>
    <s v="Capacity of counterpart ; Quality of estimates; Change of project scope"/>
  </r>
  <r>
    <s v="Mexico"/>
    <x v="3"/>
    <s v="P065779"/>
    <s v="C1"/>
    <s v="S35"/>
    <s v="P065779C1S35"/>
    <x v="0"/>
    <n v="2000"/>
    <x v="5"/>
    <s v=""/>
    <n v="9"/>
    <n v="0.47"/>
    <s v="USD"/>
    <n v="0.47"/>
    <n v="5.2222222222222218E-2"/>
    <s v=""/>
    <s v=""/>
    <x v="0"/>
    <s v="x"/>
    <s v="x"/>
    <m/>
  </r>
  <r>
    <s v="Mexico"/>
    <x v="3"/>
    <s v="P065779"/>
    <s v="C1"/>
    <s v="S35"/>
    <s v="P065779C1S35"/>
    <x v="1"/>
    <n v="2007"/>
    <x v="5"/>
    <s v=""/>
    <n v="9"/>
    <n v="1.41"/>
    <s v="USD"/>
    <n v="1.41"/>
    <n v="0.15666666666666665"/>
    <s v=""/>
    <s v=""/>
    <x v="0"/>
    <s v="x"/>
    <s v="x"/>
    <m/>
  </r>
  <r>
    <s v="Mexico"/>
    <x v="3"/>
    <s v="P065779"/>
    <s v="C1"/>
    <s v=""/>
    <s v="P065779C1S35"/>
    <x v="2"/>
    <s v="2003 / 2008"/>
    <x v="5"/>
    <s v=""/>
    <n v="1"/>
    <n v="3"/>
    <m/>
    <n v="3"/>
    <n v="3"/>
    <s v=""/>
    <s v=""/>
    <x v="0"/>
    <s v="x"/>
    <s v="x"/>
    <s v="Capacity of counterpart ; Quality of estimates; "/>
  </r>
  <r>
    <s v="Mexico"/>
    <x v="3"/>
    <s v="P065779"/>
    <s v="C1"/>
    <s v="S36"/>
    <s v="P065779C1S36"/>
    <x v="0"/>
    <n v="2000"/>
    <x v="5"/>
    <s v=""/>
    <n v="16"/>
    <n v="0.46"/>
    <s v="USD"/>
    <n v="0.46"/>
    <n v="2.8750000000000001E-2"/>
    <s v=""/>
    <s v=""/>
    <x v="0"/>
    <s v="x"/>
    <s v="x"/>
    <m/>
  </r>
  <r>
    <s v="Mexico"/>
    <x v="3"/>
    <s v="P065779"/>
    <s v="C1"/>
    <s v="S36"/>
    <s v="P065779C1S36"/>
    <x v="1"/>
    <n v="2007"/>
    <x v="5"/>
    <s v=""/>
    <n v="17.5"/>
    <n v="1.61"/>
    <s v="USD"/>
    <n v="1.61"/>
    <n v="9.2000000000000012E-2"/>
    <s v=""/>
    <s v=""/>
    <x v="0"/>
    <s v="x"/>
    <s v="x"/>
    <m/>
  </r>
  <r>
    <s v="Mexico"/>
    <x v="3"/>
    <s v="P065779"/>
    <s v="C1"/>
    <s v=""/>
    <s v="P065779C1S36"/>
    <x v="2"/>
    <s v="2003 / 2008"/>
    <x v="5"/>
    <s v=""/>
    <n v="1.09375"/>
    <n v="3.5"/>
    <m/>
    <n v="3.5"/>
    <n v="3.2"/>
    <s v=""/>
    <s v=""/>
    <x v="0"/>
    <s v="x"/>
    <s v="x"/>
    <s v="Capacity of counterpart ; Quality of estimates; "/>
  </r>
  <r>
    <s v="Mexico"/>
    <x v="3"/>
    <s v="P065779"/>
    <s v="C1"/>
    <s v="S37"/>
    <s v="P065779C1S37"/>
    <x v="0"/>
    <n v="2000"/>
    <x v="5"/>
    <s v=""/>
    <n v="31"/>
    <n v="1.33"/>
    <s v="USD"/>
    <n v="1.33"/>
    <n v="4.2903225806451617E-2"/>
    <s v=""/>
    <s v=""/>
    <x v="0"/>
    <s v="x"/>
    <s v="x"/>
    <m/>
  </r>
  <r>
    <s v="Mexico"/>
    <x v="3"/>
    <s v="P065779"/>
    <s v="C1"/>
    <s v="S37"/>
    <s v="P065779C1S37"/>
    <x v="1"/>
    <n v="2007"/>
    <x v="5"/>
    <s v=""/>
    <n v="31"/>
    <n v="2"/>
    <s v="USD"/>
    <n v="2"/>
    <n v="6.4516129032258063E-2"/>
    <s v=""/>
    <s v=""/>
    <x v="0"/>
    <s v="x"/>
    <s v="x"/>
    <m/>
  </r>
  <r>
    <s v="Mexico"/>
    <x v="3"/>
    <s v="P065779"/>
    <s v="C1"/>
    <s v=""/>
    <s v="P065779C1S37"/>
    <x v="2"/>
    <s v="2003 / 2008"/>
    <x v="5"/>
    <s v=""/>
    <n v="1"/>
    <n v="1.5037593984962405"/>
    <m/>
    <n v="1.5037593984962405"/>
    <n v="1.5037593984962405"/>
    <s v=""/>
    <s v=""/>
    <x v="0"/>
    <s v="x"/>
    <s v="x"/>
    <s v="Capacity of counterpart ; Quality of estimates; "/>
  </r>
  <r>
    <s v="Mexico"/>
    <x v="3"/>
    <s v="P065779"/>
    <s v="C1"/>
    <s v="S38"/>
    <s v="P065779C1S38"/>
    <x v="0"/>
    <n v="2000"/>
    <x v="5"/>
    <s v=""/>
    <n v="31"/>
    <n v="1.6"/>
    <s v="USD"/>
    <n v="1.6"/>
    <n v="5.1612903225806452E-2"/>
    <s v=""/>
    <s v=""/>
    <x v="0"/>
    <s v=""/>
    <s v=""/>
    <m/>
  </r>
  <r>
    <s v="Mexico"/>
    <x v="3"/>
    <s v="P065779"/>
    <s v="C1"/>
    <s v="S38"/>
    <s v="P065779C1S38"/>
    <x v="1"/>
    <n v="2007"/>
    <x v="5"/>
    <s v=""/>
    <n v="30.7"/>
    <n v="1.41"/>
    <s v="USD"/>
    <n v="1.41"/>
    <n v="4.5928338762214985E-2"/>
    <s v=""/>
    <s v=""/>
    <x v="0"/>
    <s v=""/>
    <s v=""/>
    <m/>
  </r>
  <r>
    <s v="Mexico"/>
    <x v="3"/>
    <s v="P065779"/>
    <s v="C1"/>
    <s v=""/>
    <s v="P065779C1S38"/>
    <x v="2"/>
    <s v="2003 / 2008"/>
    <x v="5"/>
    <s v=""/>
    <n v="0.99032258064516132"/>
    <n v="0.88124999999999987"/>
    <m/>
    <n v="0.88124999999999987"/>
    <n v="0.88986156351791534"/>
    <s v=""/>
    <s v=""/>
    <x v="0"/>
    <s v=""/>
    <s v=""/>
    <s v=""/>
  </r>
  <r>
    <s v="Mexico"/>
    <x v="3"/>
    <s v="P065779"/>
    <s v="C1"/>
    <s v="S39"/>
    <s v="P065779C1S39"/>
    <x v="0"/>
    <n v="2000"/>
    <x v="5"/>
    <s v=""/>
    <n v="7"/>
    <n v="0.3"/>
    <s v="USD"/>
    <n v="0.3"/>
    <n v="4.2857142857142858E-2"/>
    <s v=""/>
    <s v=""/>
    <x v="0"/>
    <s v="x"/>
    <s v="x"/>
    <m/>
  </r>
  <r>
    <s v="Mexico"/>
    <x v="3"/>
    <s v="P065779"/>
    <s v="C1"/>
    <s v="S39"/>
    <s v="P065779C1S39"/>
    <x v="1"/>
    <n v="2007"/>
    <x v="2"/>
    <s v=""/>
    <n v="7"/>
    <n v="2.25"/>
    <s v="USD"/>
    <n v="2.25"/>
    <n v="0.32142857142857145"/>
    <s v=""/>
    <s v=""/>
    <x v="0"/>
    <s v="x"/>
    <s v="x"/>
    <m/>
  </r>
  <r>
    <s v="Mexico"/>
    <x v="3"/>
    <s v="P065779"/>
    <s v="C1"/>
    <s v=""/>
    <s v="P065779C1S39"/>
    <x v="2"/>
    <s v="2003 / 2008"/>
    <x v="2"/>
    <s v=""/>
    <n v="1"/>
    <n v="7.5"/>
    <m/>
    <n v="7.5"/>
    <n v="7.5000000000000009"/>
    <s v=""/>
    <s v=""/>
    <x v="0"/>
    <s v="x"/>
    <s v="x"/>
    <s v="Capacity of counterpart ; Quality of estimates; "/>
  </r>
  <r>
    <s v="Mexico"/>
    <x v="3"/>
    <s v="P065779"/>
    <s v="C1"/>
    <s v="S4"/>
    <s v="P065779C1S4"/>
    <x v="0"/>
    <n v="2000"/>
    <x v="2"/>
    <s v=""/>
    <n v="9"/>
    <n v="1.01"/>
    <s v="USD"/>
    <n v="1.01"/>
    <n v="0.11222222222222222"/>
    <s v=""/>
    <s v=""/>
    <x v="0"/>
    <s v=""/>
    <s v=""/>
    <m/>
  </r>
  <r>
    <s v="Mexico"/>
    <x v="3"/>
    <s v="P065779"/>
    <s v="C1"/>
    <s v="S4"/>
    <s v="P065779C1S4"/>
    <x v="1"/>
    <n v="2007"/>
    <x v="2"/>
    <s v=""/>
    <n v="9"/>
    <n v="0.85"/>
    <s v="USD"/>
    <n v="0.85"/>
    <n v="9.4444444444444442E-2"/>
    <s v=""/>
    <s v=""/>
    <x v="0"/>
    <s v=""/>
    <s v=""/>
    <m/>
  </r>
  <r>
    <s v="Mexico"/>
    <x v="3"/>
    <s v="P065779"/>
    <s v="C1"/>
    <s v=""/>
    <s v="P065779C1S4"/>
    <x v="2"/>
    <s v="2003 / 2008"/>
    <x v="2"/>
    <s v=""/>
    <n v="1"/>
    <n v="0.84158415841584155"/>
    <m/>
    <n v="0.84158415841584155"/>
    <n v="0.84158415841584155"/>
    <s v=""/>
    <s v=""/>
    <x v="0"/>
    <s v=""/>
    <s v=""/>
    <s v=""/>
  </r>
  <r>
    <s v="Mexico"/>
    <x v="3"/>
    <s v="P065779"/>
    <s v="C1"/>
    <s v="S40"/>
    <s v="P065779C1S40"/>
    <x v="0"/>
    <n v="2000"/>
    <x v="5"/>
    <s v=""/>
    <n v="4"/>
    <n v="0.1"/>
    <s v="USD"/>
    <n v="0.1"/>
    <n v="2.5000000000000001E-2"/>
    <s v=""/>
    <s v="x"/>
    <x v="0"/>
    <s v="x"/>
    <s v="x"/>
    <m/>
  </r>
  <r>
    <s v="Mexico"/>
    <x v="3"/>
    <s v="P065779"/>
    <s v="C1"/>
    <s v="S40"/>
    <s v="P065779C1S40"/>
    <x v="1"/>
    <n v="2007"/>
    <x v="5"/>
    <s v=""/>
    <n v="16"/>
    <n v="0.66"/>
    <s v="USD"/>
    <n v="0.66"/>
    <n v="4.1250000000000002E-2"/>
    <s v=""/>
    <s v="x"/>
    <x v="0"/>
    <s v="x"/>
    <s v="x"/>
    <m/>
  </r>
  <r>
    <s v="Mexico"/>
    <x v="3"/>
    <s v="P065779"/>
    <s v="C1"/>
    <s v=""/>
    <s v="P065779C1S40"/>
    <x v="2"/>
    <s v="2003 / 2008"/>
    <x v="5"/>
    <s v=""/>
    <n v="4"/>
    <n v="6.6"/>
    <m/>
    <n v="6.6"/>
    <n v="1.65"/>
    <s v=""/>
    <s v="x"/>
    <x v="0"/>
    <s v="x"/>
    <s v="x"/>
    <s v="Capacity of counterpart ; Quality of estimates; Change of project scope"/>
  </r>
  <r>
    <s v="Mexico"/>
    <x v="3"/>
    <s v="P065779"/>
    <s v="C1"/>
    <s v="S41"/>
    <s v="P065779C1S41"/>
    <x v="0"/>
    <n v="2000"/>
    <x v="5"/>
    <s v=""/>
    <n v="30"/>
    <n v="1.29"/>
    <s v="USD"/>
    <n v="1.29"/>
    <n v="4.3000000000000003E-2"/>
    <s v=""/>
    <s v=""/>
    <x v="0"/>
    <s v="x"/>
    <s v="x"/>
    <m/>
  </r>
  <r>
    <s v="Mexico"/>
    <x v="3"/>
    <s v="P065779"/>
    <s v="C1"/>
    <s v="S41"/>
    <s v="P065779C1S41"/>
    <x v="1"/>
    <n v="2007"/>
    <x v="2"/>
    <s v=""/>
    <n v="30"/>
    <n v="2.9"/>
    <s v="USD"/>
    <n v="2.9"/>
    <n v="9.6666666666666665E-2"/>
    <s v=""/>
    <s v=""/>
    <x v="0"/>
    <s v="x"/>
    <s v="x"/>
    <m/>
  </r>
  <r>
    <s v="Mexico"/>
    <x v="3"/>
    <s v="P065779"/>
    <s v="C1"/>
    <s v=""/>
    <s v="P065779C1S41"/>
    <x v="2"/>
    <s v="2003 / 2008"/>
    <x v="2"/>
    <s v=""/>
    <n v="1"/>
    <n v="2.248062015503876"/>
    <m/>
    <n v="2.248062015503876"/>
    <n v="2.2480620155038755"/>
    <s v=""/>
    <s v=""/>
    <x v="0"/>
    <s v="x"/>
    <s v="x"/>
    <s v="Capacity of counterpart ; Quality of estimates; "/>
  </r>
  <r>
    <s v="Mexico"/>
    <x v="3"/>
    <s v="P065779"/>
    <s v="C1"/>
    <s v="S42"/>
    <s v="P065779C1S42"/>
    <x v="0"/>
    <n v="2000"/>
    <x v="5"/>
    <s v=""/>
    <n v="7"/>
    <n v="0.23"/>
    <s v="USD"/>
    <n v="0.23"/>
    <n v="3.2857142857142856E-2"/>
    <s v=""/>
    <s v=""/>
    <x v="0"/>
    <s v="x"/>
    <s v="x"/>
    <m/>
  </r>
  <r>
    <s v="Mexico"/>
    <x v="3"/>
    <s v="P065779"/>
    <s v="C1"/>
    <s v="S42"/>
    <s v="P065779C1S42"/>
    <x v="1"/>
    <n v="2007"/>
    <x v="5"/>
    <s v=""/>
    <n v="7"/>
    <n v="0.47"/>
    <s v="USD"/>
    <n v="0.47"/>
    <n v="6.7142857142857143E-2"/>
    <s v=""/>
    <s v=""/>
    <x v="0"/>
    <s v="x"/>
    <s v="x"/>
    <m/>
  </r>
  <r>
    <s v="Mexico"/>
    <x v="3"/>
    <s v="P065779"/>
    <s v="C1"/>
    <s v=""/>
    <s v="P065779C1S42"/>
    <x v="2"/>
    <s v="2003 / 2008"/>
    <x v="5"/>
    <s v=""/>
    <n v="1"/>
    <n v="2.043478260869565"/>
    <m/>
    <n v="2.043478260869565"/>
    <n v="2.0434782608695654"/>
    <s v=""/>
    <s v=""/>
    <x v="0"/>
    <s v="x"/>
    <s v="x"/>
    <s v="Capacity of counterpart ; Quality of estimates; "/>
  </r>
  <r>
    <s v="Mexico"/>
    <x v="3"/>
    <s v="P065779"/>
    <s v="C1"/>
    <s v="S43"/>
    <s v="P065779C1S43"/>
    <x v="0"/>
    <n v="2000"/>
    <x v="5"/>
    <s v=""/>
    <n v="20"/>
    <n v="1.17"/>
    <s v="USD"/>
    <n v="1.17"/>
    <n v="5.8499999999999996E-2"/>
    <s v=""/>
    <s v=""/>
    <x v="0"/>
    <s v=""/>
    <s v=""/>
    <m/>
  </r>
  <r>
    <s v="Mexico"/>
    <x v="3"/>
    <s v="P065779"/>
    <s v="C1"/>
    <s v="S43"/>
    <s v="P065779C1S43"/>
    <x v="1"/>
    <n v="2007"/>
    <x v="5"/>
    <s v=""/>
    <n v="20"/>
    <n v="1.3"/>
    <s v="USD"/>
    <n v="1.3"/>
    <n v="6.5000000000000002E-2"/>
    <s v=""/>
    <s v=""/>
    <x v="0"/>
    <s v=""/>
    <s v=""/>
    <m/>
  </r>
  <r>
    <s v="Mexico"/>
    <x v="3"/>
    <s v="P065779"/>
    <s v="C1"/>
    <s v=""/>
    <s v="P065779C1S43"/>
    <x v="2"/>
    <s v="2003 / 2008"/>
    <x v="5"/>
    <s v=""/>
    <n v="1"/>
    <n v="1.1111111111111112"/>
    <m/>
    <n v="1.1111111111111112"/>
    <n v="1.1111111111111112"/>
    <s v=""/>
    <s v=""/>
    <x v="0"/>
    <s v=""/>
    <s v=""/>
    <s v=""/>
  </r>
  <r>
    <s v="Mexico"/>
    <x v="3"/>
    <s v="P065779"/>
    <s v="C1"/>
    <s v="S44"/>
    <s v="P065779C1S44"/>
    <x v="0"/>
    <n v="2000"/>
    <x v="5"/>
    <s v=""/>
    <n v="12"/>
    <n v="0.52"/>
    <s v="USD"/>
    <n v="0.52"/>
    <n v="4.3333333333333335E-2"/>
    <s v=""/>
    <s v=""/>
    <x v="0"/>
    <s v="x"/>
    <s v="x"/>
    <m/>
  </r>
  <r>
    <s v="Mexico"/>
    <x v="3"/>
    <s v="P065779"/>
    <s v="C1"/>
    <s v="S44"/>
    <s v="P065779C1S44"/>
    <x v="1"/>
    <n v="2007"/>
    <x v="2"/>
    <s v=""/>
    <n v="11.5"/>
    <n v="3.6"/>
    <s v="USD"/>
    <n v="3.6"/>
    <n v="0.31304347826086959"/>
    <s v=""/>
    <s v=""/>
    <x v="0"/>
    <s v="x"/>
    <s v="x"/>
    <m/>
  </r>
  <r>
    <s v="Mexico"/>
    <x v="3"/>
    <s v="P065779"/>
    <s v="C1"/>
    <s v=""/>
    <s v="P065779C1S44"/>
    <x v="2"/>
    <s v="2003 / 2008"/>
    <x v="2"/>
    <s v=""/>
    <n v="0.95833333333333337"/>
    <n v="6.9230769230769234"/>
    <m/>
    <n v="6.9230769230769234"/>
    <n v="7.2240802675585289"/>
    <s v=""/>
    <s v=""/>
    <x v="0"/>
    <s v="x"/>
    <s v="x"/>
    <s v="Capacity of counterpart ; Quality of estimates; "/>
  </r>
  <r>
    <s v="Mexico"/>
    <x v="3"/>
    <s v="P065779"/>
    <s v="C1"/>
    <s v="S45"/>
    <s v="P065779C1S45"/>
    <x v="0"/>
    <n v="2000"/>
    <x v="5"/>
    <s v=""/>
    <n v="9"/>
    <n v="0.39"/>
    <s v="USD"/>
    <n v="0.39"/>
    <n v="4.3333333333333335E-2"/>
    <s v=""/>
    <s v=""/>
    <x v="0"/>
    <s v=""/>
    <s v=""/>
    <m/>
  </r>
  <r>
    <s v="Mexico"/>
    <x v="3"/>
    <s v="P065779"/>
    <s v="C1"/>
    <s v="S45"/>
    <s v="P065779C1S45"/>
    <x v="1"/>
    <n v="2007"/>
    <x v="5"/>
    <s v=""/>
    <n v="9"/>
    <n v="0.35"/>
    <s v="USD"/>
    <n v="0.35"/>
    <n v="3.888888888888889E-2"/>
    <s v=""/>
    <s v=""/>
    <x v="0"/>
    <s v=""/>
    <s v=""/>
    <m/>
  </r>
  <r>
    <s v="Mexico"/>
    <x v="3"/>
    <s v="P065779"/>
    <s v="C1"/>
    <s v=""/>
    <s v="P065779C1S45"/>
    <x v="2"/>
    <s v="2003 / 2008"/>
    <x v="5"/>
    <s v=""/>
    <n v="1"/>
    <n v="0.89743589743589736"/>
    <m/>
    <n v="0.89743589743589736"/>
    <n v="0.89743589743589747"/>
    <s v=""/>
    <s v=""/>
    <x v="0"/>
    <s v=""/>
    <s v=""/>
    <s v=""/>
  </r>
  <r>
    <s v="Mexico"/>
    <x v="3"/>
    <s v="P065779"/>
    <s v="C1"/>
    <s v="S46"/>
    <s v="P065779C1S46"/>
    <x v="0"/>
    <n v="2000"/>
    <x v="5"/>
    <s v=""/>
    <n v="9"/>
    <n v="0.28000000000000003"/>
    <s v="USD"/>
    <n v="0.28000000000000003"/>
    <n v="3.1111111111111114E-2"/>
    <s v=""/>
    <s v=""/>
    <x v="0"/>
    <s v="x"/>
    <s v="x"/>
    <m/>
  </r>
  <r>
    <s v="Mexico"/>
    <x v="3"/>
    <s v="P065779"/>
    <s v="C1"/>
    <s v="S46"/>
    <s v="P065779C1S46"/>
    <x v="1"/>
    <n v="2007"/>
    <x v="5"/>
    <s v=""/>
    <n v="9"/>
    <n v="0.45"/>
    <s v="USD"/>
    <n v="0.45"/>
    <n v="0.05"/>
    <s v=""/>
    <s v=""/>
    <x v="0"/>
    <s v="x"/>
    <s v="x"/>
    <m/>
  </r>
  <r>
    <s v="Mexico"/>
    <x v="3"/>
    <s v="P065779"/>
    <s v="C1"/>
    <s v=""/>
    <s v="P065779C1S46"/>
    <x v="2"/>
    <s v="2003 / 2008"/>
    <x v="5"/>
    <s v=""/>
    <n v="1"/>
    <n v="1.607142857142857"/>
    <m/>
    <n v="1.607142857142857"/>
    <n v="1.6071428571428572"/>
    <s v=""/>
    <s v=""/>
    <x v="0"/>
    <s v="x"/>
    <s v="x"/>
    <s v="Capacity of counterpart ; Quality of estimates; "/>
  </r>
  <r>
    <s v="Mexico"/>
    <x v="3"/>
    <s v="P065779"/>
    <s v="C1"/>
    <s v="S47"/>
    <s v="P065779C1S47"/>
    <x v="0"/>
    <n v="2000"/>
    <x v="5"/>
    <s v=""/>
    <n v="30"/>
    <n v="0.97"/>
    <s v="USD"/>
    <n v="0.97"/>
    <n v="3.2333333333333332E-2"/>
    <s v=""/>
    <s v=""/>
    <x v="0"/>
    <s v="x"/>
    <s v="x"/>
    <m/>
  </r>
  <r>
    <s v="Mexico"/>
    <x v="3"/>
    <s v="P065779"/>
    <s v="C1"/>
    <s v="S47"/>
    <s v="P065779C1S47"/>
    <x v="1"/>
    <n v="2007"/>
    <x v="5"/>
    <s v=""/>
    <n v="23"/>
    <n v="1.1299999999999999"/>
    <s v="USD"/>
    <n v="1.1299999999999999"/>
    <n v="4.9130434782608694E-2"/>
    <s v=""/>
    <s v=""/>
    <x v="0"/>
    <s v="x"/>
    <s v="x"/>
    <m/>
  </r>
  <r>
    <s v="Mexico"/>
    <x v="3"/>
    <s v="P065779"/>
    <s v="C1"/>
    <s v=""/>
    <s v="P065779C1S47"/>
    <x v="2"/>
    <s v="2003 / 2008"/>
    <x v="5"/>
    <s v=""/>
    <n v="0.76666666666666672"/>
    <n v="1.1649484536082473"/>
    <m/>
    <n v="1.1649484536082473"/>
    <n v="1.5194979829672792"/>
    <s v=""/>
    <s v=""/>
    <x v="0"/>
    <s v="x"/>
    <s v="x"/>
    <s v="Capacity of counterpart ; Quality of estimates; "/>
  </r>
  <r>
    <s v="Mexico"/>
    <x v="3"/>
    <s v="P065779"/>
    <s v="C1"/>
    <s v="S48"/>
    <s v="P065779C1S48"/>
    <x v="0"/>
    <n v="2000"/>
    <x v="5"/>
    <s v=""/>
    <n v="13"/>
    <n v="0.4"/>
    <s v="USD"/>
    <n v="0.4"/>
    <n v="3.0769230769230771E-2"/>
    <s v=""/>
    <s v=""/>
    <x v="0"/>
    <s v="x"/>
    <s v="x"/>
    <m/>
  </r>
  <r>
    <s v="Mexico"/>
    <x v="3"/>
    <s v="P065779"/>
    <s v="C1"/>
    <s v="S48"/>
    <s v="P065779C1S48"/>
    <x v="1"/>
    <n v="2007"/>
    <x v="5"/>
    <s v=""/>
    <n v="13"/>
    <n v="1.2"/>
    <s v="USD"/>
    <n v="1.2"/>
    <n v="9.2307692307692299E-2"/>
    <s v=""/>
    <s v=""/>
    <x v="0"/>
    <s v="x"/>
    <s v="x"/>
    <m/>
  </r>
  <r>
    <s v="Mexico"/>
    <x v="3"/>
    <s v="P065779"/>
    <s v="C1"/>
    <s v=""/>
    <s v="P065779C1S48"/>
    <x v="2"/>
    <s v="2003 / 2008"/>
    <x v="5"/>
    <s v=""/>
    <n v="1"/>
    <n v="2.9999999999999996"/>
    <m/>
    <n v="2.9999999999999996"/>
    <n v="2.9999999999999996"/>
    <s v=""/>
    <s v=""/>
    <x v="0"/>
    <s v="x"/>
    <s v="x"/>
    <s v="Capacity of counterpart ; Quality of estimates; "/>
  </r>
  <r>
    <s v="Mexico"/>
    <x v="3"/>
    <s v="P065779"/>
    <s v="C1"/>
    <s v="S49"/>
    <s v="P065779C1S49"/>
    <x v="0"/>
    <n v="2000"/>
    <x v="5"/>
    <s v=""/>
    <n v="9"/>
    <n v="0.75"/>
    <s v="USD"/>
    <n v="0.75"/>
    <n v="8.3333333333333329E-2"/>
    <s v=""/>
    <s v=""/>
    <x v="0"/>
    <s v=""/>
    <s v=""/>
    <m/>
  </r>
  <r>
    <s v="Mexico"/>
    <x v="3"/>
    <s v="P065779"/>
    <s v="C1"/>
    <s v="S49"/>
    <s v="P065779C1S49"/>
    <x v="1"/>
    <n v="2007"/>
    <x v="5"/>
    <s v=""/>
    <n v="9.5"/>
    <n v="0.89"/>
    <s v="USD"/>
    <n v="0.89"/>
    <n v="9.3684210526315786E-2"/>
    <s v=""/>
    <s v=""/>
    <x v="0"/>
    <s v=""/>
    <s v=""/>
    <m/>
  </r>
  <r>
    <s v="Mexico"/>
    <x v="3"/>
    <s v="P065779"/>
    <s v="C1"/>
    <s v=""/>
    <s v="P065779C1S49"/>
    <x v="2"/>
    <s v="2003 / 2008"/>
    <x v="5"/>
    <s v=""/>
    <n v="1.0555555555555556"/>
    <n v="1.1866666666666668"/>
    <m/>
    <n v="1.1866666666666668"/>
    <n v="1.1242105263157895"/>
    <s v=""/>
    <s v=""/>
    <x v="0"/>
    <s v=""/>
    <s v=""/>
    <s v=""/>
  </r>
  <r>
    <s v="Mexico"/>
    <x v="3"/>
    <s v="P065779"/>
    <s v="C1"/>
    <s v="S5"/>
    <s v="P065779C1S5"/>
    <x v="0"/>
    <n v="2000"/>
    <x v="2"/>
    <s v=""/>
    <n v="16"/>
    <n v="1.8"/>
    <s v="USD"/>
    <n v="1.8"/>
    <n v="0.1125"/>
    <s v=""/>
    <s v=""/>
    <x v="0"/>
    <s v=""/>
    <s v=""/>
    <m/>
  </r>
  <r>
    <s v="Mexico"/>
    <x v="3"/>
    <s v="P065779"/>
    <s v="C1"/>
    <s v="S5"/>
    <s v="P065779C1S5"/>
    <x v="1"/>
    <n v="2007"/>
    <x v="2"/>
    <s v=""/>
    <n v="11"/>
    <n v="1.04"/>
    <s v="USD"/>
    <n v="1.04"/>
    <n v="9.4545454545454544E-2"/>
    <s v=""/>
    <s v=""/>
    <x v="0"/>
    <s v=""/>
    <s v=""/>
    <m/>
  </r>
  <r>
    <s v="Mexico"/>
    <x v="3"/>
    <s v="P065779"/>
    <s v="C1"/>
    <s v=""/>
    <s v="P065779C1S5"/>
    <x v="2"/>
    <s v="2003 / 2008"/>
    <x v="2"/>
    <s v=""/>
    <n v="0.6875"/>
    <n v="0.57777777777777783"/>
    <m/>
    <n v="0.57777777777777783"/>
    <n v="0.84040404040404038"/>
    <s v=""/>
    <s v=""/>
    <x v="0"/>
    <s v=""/>
    <s v=""/>
    <s v=""/>
  </r>
  <r>
    <s v="Mexico"/>
    <x v="3"/>
    <s v="P065779"/>
    <s v="C1"/>
    <s v="S50"/>
    <s v="P065779C1S50"/>
    <x v="0"/>
    <n v="2000"/>
    <x v="5"/>
    <s v=""/>
    <n v="69"/>
    <n v="2.23"/>
    <s v="USD"/>
    <n v="2.23"/>
    <n v="3.2318840579710142E-2"/>
    <s v=""/>
    <s v=""/>
    <x v="0"/>
    <s v=""/>
    <s v=""/>
    <m/>
  </r>
  <r>
    <s v="Mexico"/>
    <x v="3"/>
    <s v="P065779"/>
    <s v="C1"/>
    <s v="S50"/>
    <s v="P065779C1S50"/>
    <x v="1"/>
    <n v="2007"/>
    <x v="5"/>
    <s v=""/>
    <n v="69"/>
    <n v="3.26"/>
    <s v="USD"/>
    <n v="3.26"/>
    <n v="4.7246376811594201E-2"/>
    <s v=""/>
    <s v=""/>
    <x v="0"/>
    <s v=""/>
    <s v=""/>
    <m/>
  </r>
  <r>
    <s v="Mexico"/>
    <x v="3"/>
    <s v="P065779"/>
    <s v="C1"/>
    <s v=""/>
    <s v="P065779C1S50"/>
    <x v="2"/>
    <s v="2003 / 2008"/>
    <x v="5"/>
    <s v=""/>
    <n v="1"/>
    <n v="1.4618834080717489"/>
    <m/>
    <n v="1.4618834080717489"/>
    <n v="1.4618834080717489"/>
    <s v=""/>
    <s v=""/>
    <x v="0"/>
    <s v=""/>
    <s v=""/>
    <s v=""/>
  </r>
  <r>
    <s v="Mexico"/>
    <x v="3"/>
    <s v="P065779"/>
    <s v="C1"/>
    <s v="S51"/>
    <s v="P065779C1S51"/>
    <x v="0"/>
    <n v="2000"/>
    <x v="5"/>
    <s v=""/>
    <n v="20"/>
    <n v="1.38"/>
    <s v="USD"/>
    <n v="1.38"/>
    <n v="6.8999999999999992E-2"/>
    <s v=""/>
    <s v=""/>
    <x v="0"/>
    <s v=""/>
    <s v=""/>
    <m/>
  </r>
  <r>
    <s v="Mexico"/>
    <x v="3"/>
    <s v="P065779"/>
    <s v="C1"/>
    <s v="S51"/>
    <s v="P065779C1S51"/>
    <x v="1"/>
    <n v="2007"/>
    <x v="5"/>
    <s v=""/>
    <n v="14"/>
    <n v="0.74"/>
    <s v="USD"/>
    <n v="0.74"/>
    <n v="5.2857142857142859E-2"/>
    <s v=""/>
    <s v=""/>
    <x v="0"/>
    <s v=""/>
    <s v=""/>
    <m/>
  </r>
  <r>
    <s v="Mexico"/>
    <x v="3"/>
    <s v="P065779"/>
    <s v="C1"/>
    <s v=""/>
    <s v="P065779C1S51"/>
    <x v="2"/>
    <s v="2003 / 2008"/>
    <x v="5"/>
    <s v=""/>
    <n v="0.7"/>
    <n v="0.53623188405797106"/>
    <m/>
    <n v="0.53623188405797106"/>
    <n v="0.76604554865424446"/>
    <s v=""/>
    <s v=""/>
    <x v="0"/>
    <s v=""/>
    <s v=""/>
    <s v=""/>
  </r>
  <r>
    <s v="Mexico"/>
    <x v="3"/>
    <s v="P065779"/>
    <s v="C1"/>
    <s v="S6"/>
    <s v="P065779C1S6"/>
    <x v="0"/>
    <n v="2000"/>
    <x v="2"/>
    <s v=""/>
    <n v="5"/>
    <n v="0.56000000000000005"/>
    <s v="USD"/>
    <n v="0.56000000000000005"/>
    <n v="0.11200000000000002"/>
    <s v=""/>
    <s v="x"/>
    <x v="0"/>
    <s v=""/>
    <s v="x"/>
    <m/>
  </r>
  <r>
    <s v="Mexico"/>
    <x v="3"/>
    <s v="P065779"/>
    <s v="C1"/>
    <s v="S6"/>
    <s v="P065779C1S6"/>
    <x v="1"/>
    <n v="2007"/>
    <x v="2"/>
    <s v=""/>
    <n v="10"/>
    <n v="1.54"/>
    <s v="USD"/>
    <n v="1.54"/>
    <n v="0.154"/>
    <s v=""/>
    <s v="x"/>
    <x v="0"/>
    <s v=""/>
    <s v="x"/>
    <m/>
  </r>
  <r>
    <s v="Mexico"/>
    <x v="3"/>
    <s v="P065779"/>
    <s v="C1"/>
    <s v=""/>
    <s v="P065779C1S6"/>
    <x v="2"/>
    <s v="2003 / 2008"/>
    <x v="2"/>
    <s v=""/>
    <n v="2"/>
    <n v="2.75"/>
    <m/>
    <n v="2.75"/>
    <n v="1.3749999999999998"/>
    <s v=""/>
    <s v="x"/>
    <x v="0"/>
    <s v=""/>
    <s v="x"/>
    <s v="Change of project scope; ; "/>
  </r>
  <r>
    <s v="Mexico"/>
    <x v="3"/>
    <s v="P065779"/>
    <s v="C1"/>
    <s v="S7"/>
    <s v="P065779C1S7"/>
    <x v="0"/>
    <n v="2000"/>
    <x v="2"/>
    <s v=""/>
    <n v="5"/>
    <n v="0.75"/>
    <s v="USD"/>
    <n v="0.75"/>
    <n v="0.15"/>
    <s v=""/>
    <s v=""/>
    <x v="1"/>
    <s v=""/>
    <s v="x"/>
    <m/>
  </r>
  <r>
    <s v="Mexico"/>
    <x v="3"/>
    <s v="P065779"/>
    <s v="C1"/>
    <s v="S7"/>
    <s v="P065779C1S7"/>
    <x v="1"/>
    <n v="2007"/>
    <x v="5"/>
    <s v=""/>
    <n v="5"/>
    <n v="0.11"/>
    <s v="USD"/>
    <n v="0.11"/>
    <n v="2.1999999999999999E-2"/>
    <s v=""/>
    <s v=""/>
    <x v="1"/>
    <s v=""/>
    <s v="x"/>
    <m/>
  </r>
  <r>
    <s v="Mexico"/>
    <x v="3"/>
    <s v="P065779"/>
    <s v="C1"/>
    <s v=""/>
    <s v="P065779C1S7"/>
    <x v="2"/>
    <s v="2003 / 2008"/>
    <x v="5"/>
    <s v=""/>
    <n v="1"/>
    <n v="0.14666666666666667"/>
    <m/>
    <n v="0.14666666666666667"/>
    <n v="0.14666666666666667"/>
    <s v=""/>
    <s v=""/>
    <x v="1"/>
    <s v=""/>
    <s v="x"/>
    <s v="Change of project scope; ; "/>
  </r>
  <r>
    <s v="Mexico"/>
    <x v="3"/>
    <s v="P065779"/>
    <s v="C1"/>
    <s v="S8"/>
    <s v="P065779C1S8"/>
    <x v="0"/>
    <n v="2000"/>
    <x v="2"/>
    <s v=""/>
    <n v="17"/>
    <n v="2.5499999999999998"/>
    <s v="USD"/>
    <n v="2.5499999999999998"/>
    <n v="0.15"/>
    <s v=""/>
    <s v=""/>
    <x v="1"/>
    <s v=""/>
    <s v="x"/>
    <m/>
  </r>
  <r>
    <s v="Mexico"/>
    <x v="3"/>
    <s v="P065779"/>
    <s v="C1"/>
    <s v="S8"/>
    <s v="P065779C1S8"/>
    <x v="1"/>
    <n v="2007"/>
    <x v="2"/>
    <s v=""/>
    <n v="17"/>
    <n v="1.1599999999999999"/>
    <s v="USD"/>
    <n v="1.1599999999999999"/>
    <n v="6.8235294117647061E-2"/>
    <s v=""/>
    <s v=""/>
    <x v="1"/>
    <s v=""/>
    <s v="x"/>
    <m/>
  </r>
  <r>
    <s v="Mexico"/>
    <x v="3"/>
    <s v="P065779"/>
    <s v="C1"/>
    <s v=""/>
    <s v="P065779C1S8"/>
    <x v="2"/>
    <s v="2003 / 2008"/>
    <x v="2"/>
    <s v=""/>
    <n v="1"/>
    <n v="0.45490196078431372"/>
    <m/>
    <n v="0.45490196078431372"/>
    <n v="0.45490196078431377"/>
    <s v=""/>
    <s v=""/>
    <x v="1"/>
    <s v=""/>
    <s v="x"/>
    <s v="Change of project scope; ; "/>
  </r>
  <r>
    <s v="Mexico"/>
    <x v="3"/>
    <s v="P065779"/>
    <s v="C1"/>
    <s v="S9"/>
    <s v="P065779C1S9"/>
    <x v="0"/>
    <n v="2000"/>
    <x v="2"/>
    <s v=""/>
    <n v="10"/>
    <n v="1.5"/>
    <s v="USD"/>
    <n v="1.5"/>
    <n v="0.15"/>
    <s v=""/>
    <s v=""/>
    <x v="0"/>
    <s v="x"/>
    <s v="x"/>
    <m/>
  </r>
  <r>
    <s v="Mexico"/>
    <x v="3"/>
    <s v="P065779"/>
    <s v="C1"/>
    <s v="S9"/>
    <s v="P065779C1S9"/>
    <x v="1"/>
    <n v="2007"/>
    <x v="2"/>
    <s v=""/>
    <n v="10"/>
    <n v="3.91"/>
    <s v="USD"/>
    <n v="3.91"/>
    <n v="0.39100000000000001"/>
    <s v=""/>
    <s v=""/>
    <x v="0"/>
    <s v="x"/>
    <s v="x"/>
    <m/>
  </r>
  <r>
    <s v="Mexico"/>
    <x v="3"/>
    <s v="P065779"/>
    <s v="C1"/>
    <s v=""/>
    <s v="P065779C1S9"/>
    <x v="2"/>
    <s v="2003 / 2008"/>
    <x v="2"/>
    <s v=""/>
    <n v="1"/>
    <n v="2.6066666666666669"/>
    <m/>
    <n v="2.6066666666666669"/>
    <n v="2.6066666666666669"/>
    <s v=""/>
    <s v=""/>
    <x v="0"/>
    <s v="x"/>
    <s v="x"/>
    <s v="Capacity of counterpart ; Quality of estimates; "/>
  </r>
  <r>
    <s v="Moldova"/>
    <x v="1"/>
    <s v="P100929"/>
    <s v="C1"/>
    <s v=""/>
    <s v="P100929C1"/>
    <x v="0"/>
    <n v="2005"/>
    <x v="11"/>
    <s v=""/>
    <n v="180"/>
    <n v="44"/>
    <s v="USD"/>
    <n v="44"/>
    <n v="0.24444444444444444"/>
    <s v="x"/>
    <s v=""/>
    <x v="0"/>
    <s v="x"/>
    <s v="x"/>
    <m/>
  </r>
  <r>
    <s v="Moldova"/>
    <x v="1"/>
    <s v="P100929"/>
    <s v="C1"/>
    <s v=""/>
    <s v="P100929C1"/>
    <x v="1"/>
    <n v="2013"/>
    <x v="11"/>
    <s v=""/>
    <n v="87.1"/>
    <n v="67.2"/>
    <s v="USD"/>
    <n v="67.2"/>
    <n v="0.77152698048220447"/>
    <s v="x"/>
    <s v=""/>
    <x v="0"/>
    <s v="x"/>
    <s v="x"/>
    <m/>
  </r>
  <r>
    <s v="Moldova"/>
    <x v="1"/>
    <s v="P100929"/>
    <s v="C1"/>
    <s v=""/>
    <s v="P100929C1"/>
    <x v="2"/>
    <s v="2003 / 2008"/>
    <x v="11"/>
    <s v=""/>
    <n v="0.48388888888888887"/>
    <n v="1.5272727272727273"/>
    <m/>
    <n v="1.5272727272727273"/>
    <n v="3.1562467383362911"/>
    <s v="x"/>
    <s v=""/>
    <x v="0"/>
    <s v="x"/>
    <s v="x"/>
    <s v="Procurement system; Change of project scope; Quality of estimates"/>
  </r>
  <r>
    <s v="Mongolia"/>
    <x v="4"/>
    <s v="P056200"/>
    <s v="C1"/>
    <s v=""/>
    <s v="P056200C1"/>
    <x v="0"/>
    <n v="2001"/>
    <x v="1"/>
    <s v=""/>
    <n v="356"/>
    <n v="38.200000000000003"/>
    <s v="USD"/>
    <n v="38.200000000000003"/>
    <n v="0.10730337078651686"/>
    <s v=""/>
    <s v=""/>
    <x v="0"/>
    <s v=""/>
    <s v=""/>
    <m/>
  </r>
  <r>
    <s v="Mongolia"/>
    <x v="4"/>
    <s v="P056200"/>
    <s v="C1"/>
    <s v=""/>
    <s v="P056200C1"/>
    <x v="1"/>
    <n v="2008"/>
    <x v="1"/>
    <s v=""/>
    <n v="433"/>
    <n v="40.83"/>
    <s v="USD"/>
    <n v="40.83"/>
    <n v="9.4295612009237875E-2"/>
    <s v=""/>
    <s v=""/>
    <x v="0"/>
    <s v=""/>
    <s v=""/>
    <m/>
  </r>
  <r>
    <s v="Mongolia"/>
    <x v="4"/>
    <s v="P056200"/>
    <s v="C1"/>
    <s v=""/>
    <s v="P056200C1"/>
    <x v="2"/>
    <s v="2003 / 2008"/>
    <x v="1"/>
    <s v=""/>
    <n v="1.2162921348314606"/>
    <n v="1.0688481675392669"/>
    <m/>
    <n v="1.0688481675392669"/>
    <n v="0.87877586060965129"/>
    <s v=""/>
    <s v=""/>
    <x v="0"/>
    <s v=""/>
    <s v=""/>
    <s v=""/>
  </r>
  <r>
    <s v="Morocco"/>
    <x v="5"/>
    <s v="P082754"/>
    <s v="C1"/>
    <s v=""/>
    <s v="P082754C1"/>
    <x v="0"/>
    <n v="2004"/>
    <x v="2"/>
    <n v="54"/>
    <n v="625"/>
    <n v="379.3"/>
    <s v="MAD"/>
    <n v="40.961123110151192"/>
    <n v="6.5537796976241902E-2"/>
    <s v=""/>
    <s v=""/>
    <x v="0"/>
    <s v="x"/>
    <s v="x"/>
    <m/>
  </r>
  <r>
    <s v="Morocco"/>
    <x v="5"/>
    <s v="P082754"/>
    <s v="C1"/>
    <s v=""/>
    <s v="P082754C1"/>
    <x v="1"/>
    <n v="2011"/>
    <x v="2"/>
    <n v="69"/>
    <n v="520"/>
    <n v="451.9"/>
    <s v="MAD"/>
    <n v="54.18465227817746"/>
    <n v="0.1042012543811105"/>
    <s v=""/>
    <s v=""/>
    <x v="0"/>
    <s v="x"/>
    <s v="x"/>
    <m/>
  </r>
  <r>
    <s v="Morocco"/>
    <x v="5"/>
    <s v="P082754"/>
    <s v="C1"/>
    <s v=""/>
    <s v="P082754C1"/>
    <x v="2"/>
    <s v="2003 / 2008"/>
    <x v="2"/>
    <n v="1.2777777777777777"/>
    <n v="0.83199999999999996"/>
    <n v="1.1914052201423675"/>
    <m/>
    <n v="1.3228312156496789"/>
    <n v="1.5899413649635565"/>
    <s v=""/>
    <s v=""/>
    <x v="0"/>
    <s v="x"/>
    <s v="x"/>
    <s v="Macroeconomic conditions; Quality of estimates; "/>
  </r>
  <r>
    <s v="Morocco"/>
    <x v="5"/>
    <s v="P082754"/>
    <s v="C1"/>
    <s v="S1"/>
    <s v="P082754C1S1"/>
    <x v="0"/>
    <n v="2004"/>
    <x v="2"/>
    <n v="54"/>
    <n v="24"/>
    <n v="14.4"/>
    <s v="MAD"/>
    <n v="1.5550755939524838"/>
    <n v="6.4794816414686832E-2"/>
    <s v=""/>
    <s v=""/>
    <x v="0"/>
    <s v=""/>
    <s v=""/>
    <m/>
  </r>
  <r>
    <s v="Morocco"/>
    <x v="5"/>
    <s v="P082754"/>
    <s v="C1"/>
    <s v="S1"/>
    <s v="P082754C1S1"/>
    <x v="1"/>
    <n v="2011"/>
    <x v="2"/>
    <n v="69"/>
    <n v="18.7"/>
    <n v="13.19"/>
    <s v="MAD"/>
    <n v="1.5815347721822541"/>
    <n v="8.4574051988355839E-2"/>
    <s v=""/>
    <s v=""/>
    <x v="0"/>
    <s v=""/>
    <s v=""/>
    <m/>
  </r>
  <r>
    <s v="Morocco"/>
    <x v="5"/>
    <s v="P082754"/>
    <s v="C1"/>
    <s v=""/>
    <s v="P082754C1S1"/>
    <x v="2"/>
    <s v="2003 / 2008"/>
    <x v="2"/>
    <n v="1.2777777777777777"/>
    <n v="0.77916666666666667"/>
    <n v="0.91597222222222219"/>
    <m/>
    <n v="1.0170147215560883"/>
    <n v="1.3052595356869583"/>
    <s v=""/>
    <s v=""/>
    <x v="0"/>
    <s v=""/>
    <s v=""/>
    <s v=""/>
  </r>
  <r>
    <s v="Morocco"/>
    <x v="5"/>
    <s v="P082754"/>
    <s v="C1"/>
    <s v="S10"/>
    <s v="P082754C1S10"/>
    <x v="0"/>
    <n v="2004"/>
    <x v="2"/>
    <n v="54"/>
    <n v="9"/>
    <n v="7.2"/>
    <s v="MAD"/>
    <n v="0.77753779697624192"/>
    <n v="8.6393088552915775E-2"/>
    <s v=""/>
    <s v=""/>
    <x v="0"/>
    <s v="x"/>
    <s v="x"/>
    <m/>
  </r>
  <r>
    <s v="Morocco"/>
    <x v="5"/>
    <s v="P082754"/>
    <s v="C1"/>
    <s v="S10"/>
    <s v="P082754C1S10"/>
    <x v="1"/>
    <n v="2011"/>
    <x v="2"/>
    <n v="69"/>
    <n v="8.8000000000000007"/>
    <n v="12.04"/>
    <s v="MAD"/>
    <n v="1.4436450839328536"/>
    <n v="0.16405057771964243"/>
    <s v=""/>
    <s v=""/>
    <x v="0"/>
    <s v="x"/>
    <s v="x"/>
    <m/>
  </r>
  <r>
    <s v="Morocco"/>
    <x v="5"/>
    <s v="P082754"/>
    <s v="C1"/>
    <s v=""/>
    <s v="P082754C1S10"/>
    <x v="2"/>
    <s v="2003 / 2008"/>
    <x v="2"/>
    <n v="1.2777777777777777"/>
    <n v="0.97777777777777786"/>
    <n v="1.6722222222222221"/>
    <m/>
    <n v="1.8566879829469756"/>
    <n v="1.8988854371048609"/>
    <s v=""/>
    <s v=""/>
    <x v="0"/>
    <s v="x"/>
    <s v="x"/>
    <s v="Macroeconomic conditions; Quality of estimates; "/>
  </r>
  <r>
    <s v="Morocco"/>
    <x v="5"/>
    <s v="P082754"/>
    <s v="C1"/>
    <s v="S11"/>
    <s v="P082754C1S11"/>
    <x v="0"/>
    <n v="2004"/>
    <x v="2"/>
    <n v="54"/>
    <n v="10"/>
    <n v="3.4"/>
    <s v="MAD"/>
    <n v="0.367170626349892"/>
    <n v="3.6717062634989202E-2"/>
    <s v=""/>
    <s v=""/>
    <x v="0"/>
    <s v="x"/>
    <s v="x"/>
    <m/>
  </r>
  <r>
    <s v="Morocco"/>
    <x v="5"/>
    <s v="P082754"/>
    <s v="C1"/>
    <s v="S11"/>
    <s v="P082754C1S11"/>
    <x v="1"/>
    <n v="2011"/>
    <x v="2"/>
    <n v="69"/>
    <n v="9.5"/>
    <n v="7.98"/>
    <s v="MAD"/>
    <n v="0.95683453237410077"/>
    <n v="0.10071942446043165"/>
    <s v=""/>
    <s v=""/>
    <x v="0"/>
    <s v="x"/>
    <s v="x"/>
    <m/>
  </r>
  <r>
    <s v="Morocco"/>
    <x v="5"/>
    <s v="P082754"/>
    <s v="C1"/>
    <s v=""/>
    <s v="P082754C1S11"/>
    <x v="2"/>
    <s v="2003 / 2008"/>
    <x v="2"/>
    <n v="1.2777777777777777"/>
    <n v="0.95"/>
    <n v="2.3470588235294119"/>
    <m/>
    <n v="2.6059669911129921"/>
    <n v="2.7431231485399916"/>
    <s v=""/>
    <s v=""/>
    <x v="0"/>
    <s v="x"/>
    <s v="x"/>
    <s v="Macroeconomic conditions; Quality of estimates; "/>
  </r>
  <r>
    <s v="Morocco"/>
    <x v="5"/>
    <s v="P082754"/>
    <s v="C1"/>
    <s v="S12"/>
    <s v="P082754C1S12"/>
    <x v="0"/>
    <n v="2004"/>
    <x v="2"/>
    <n v="54"/>
    <n v="28"/>
    <n v="10.56"/>
    <s v="MAD"/>
    <n v="1.1403887688984882"/>
    <n v="4.0728170317803146E-2"/>
    <s v=""/>
    <s v=""/>
    <x v="0"/>
    <s v=""/>
    <s v=""/>
    <m/>
  </r>
  <r>
    <s v="Morocco"/>
    <x v="5"/>
    <s v="P082754"/>
    <s v="C1"/>
    <s v="S12"/>
    <s v="P082754C1S12"/>
    <x v="1"/>
    <n v="2011"/>
    <x v="2"/>
    <n v="69"/>
    <n v="28.9"/>
    <n v="10.75"/>
    <s v="MAD"/>
    <n v="1.2889688249400479"/>
    <n v="4.4600997402769828E-2"/>
    <s v=""/>
    <s v=""/>
    <x v="0"/>
    <s v=""/>
    <s v=""/>
    <m/>
  </r>
  <r>
    <s v="Morocco"/>
    <x v="5"/>
    <s v="P082754"/>
    <s v="C1"/>
    <s v=""/>
    <s v="P082754C1S12"/>
    <x v="2"/>
    <s v="2003 / 2008"/>
    <x v="2"/>
    <n v="1.2777777777777777"/>
    <n v="1.032142857142857"/>
    <n v="1.0179924242424241"/>
    <m/>
    <n v="1.1302889506576557"/>
    <n v="1.0950896407755835"/>
    <s v=""/>
    <s v=""/>
    <x v="0"/>
    <s v=""/>
    <s v=""/>
    <s v=""/>
  </r>
  <r>
    <s v="Morocco"/>
    <x v="5"/>
    <s v="P082754"/>
    <s v="C1"/>
    <s v="S2"/>
    <s v="P082754C1S2"/>
    <x v="0"/>
    <n v="2004"/>
    <x v="2"/>
    <n v="54"/>
    <n v="27.5"/>
    <n v="24"/>
    <s v="MAD"/>
    <n v="2.5917926565874732"/>
    <n v="9.4247005694089933E-2"/>
    <s v=""/>
    <s v=""/>
    <x v="0"/>
    <s v=""/>
    <s v=""/>
    <m/>
  </r>
  <r>
    <s v="Morocco"/>
    <x v="5"/>
    <s v="P082754"/>
    <s v="C1"/>
    <s v="S2"/>
    <s v="P082754C1S2"/>
    <x v="1"/>
    <n v="2011"/>
    <x v="2"/>
    <n v="69"/>
    <n v="27.6"/>
    <n v="26.22"/>
    <s v="MAD"/>
    <n v="3.1438848920863309"/>
    <n v="0.11390887290167866"/>
    <s v=""/>
    <s v=""/>
    <x v="0"/>
    <s v=""/>
    <s v=""/>
    <m/>
  </r>
  <r>
    <s v="Morocco"/>
    <x v="5"/>
    <s v="P082754"/>
    <s v="C1"/>
    <s v=""/>
    <s v="P082754C1S2"/>
    <x v="2"/>
    <s v="2003 / 2008"/>
    <x v="2"/>
    <n v="1.2777777777777777"/>
    <n v="1.0036363636363637"/>
    <n v="1.0925"/>
    <m/>
    <n v="1.213015587529976"/>
    <n v="1.2086206035171863"/>
    <s v=""/>
    <s v=""/>
    <x v="0"/>
    <s v=""/>
    <s v=""/>
    <s v=""/>
  </r>
  <r>
    <s v="Morocco"/>
    <x v="5"/>
    <s v="P082754"/>
    <s v="C1"/>
    <s v="S3"/>
    <s v="P082754C1S3"/>
    <x v="0"/>
    <n v="2004"/>
    <x v="2"/>
    <n v="54"/>
    <n v="7"/>
    <n v="4.4000000000000004"/>
    <s v="MAD"/>
    <n v="0.47516198704103679"/>
    <n v="6.788028386300525E-2"/>
    <s v=""/>
    <s v=""/>
    <x v="0"/>
    <s v=""/>
    <s v=""/>
    <m/>
  </r>
  <r>
    <s v="Morocco"/>
    <x v="5"/>
    <s v="P082754"/>
    <s v="C1"/>
    <s v="S3"/>
    <s v="P082754C1S3"/>
    <x v="1"/>
    <n v="2011"/>
    <x v="2"/>
    <n v="69"/>
    <n v="7.7"/>
    <n v="5.98"/>
    <s v="MAD"/>
    <n v="0.71702637889688259"/>
    <n v="9.3120308947647085E-2"/>
    <s v=""/>
    <s v=""/>
    <x v="0"/>
    <s v=""/>
    <s v=""/>
    <m/>
  </r>
  <r>
    <s v="Morocco"/>
    <x v="5"/>
    <s v="P082754"/>
    <s v="C1"/>
    <s v=""/>
    <s v="P082754C1S3"/>
    <x v="2"/>
    <s v="2003 / 2008"/>
    <x v="2"/>
    <n v="1.2777777777777777"/>
    <n v="1.1000000000000001"/>
    <n v="1.3590909090909091"/>
    <m/>
    <n v="1.5090146064966208"/>
    <n v="1.3718314604514736"/>
    <s v=""/>
    <s v=""/>
    <x v="0"/>
    <s v=""/>
    <s v=""/>
    <s v=""/>
  </r>
  <r>
    <s v="Morocco"/>
    <x v="5"/>
    <s v="P082754"/>
    <s v="C1"/>
    <s v="S4"/>
    <s v="P082754C1S4"/>
    <x v="0"/>
    <n v="2004"/>
    <x v="2"/>
    <n v="54"/>
    <n v="14"/>
    <n v="8.8000000000000007"/>
    <s v="MAD"/>
    <n v="0.95032397408207359"/>
    <n v="6.788028386300525E-2"/>
    <s v=""/>
    <s v=""/>
    <x v="0"/>
    <s v=""/>
    <s v=""/>
    <m/>
  </r>
  <r>
    <s v="Morocco"/>
    <x v="5"/>
    <s v="P082754"/>
    <s v="C1"/>
    <s v="S4"/>
    <s v="P082754C1S4"/>
    <x v="1"/>
    <n v="2011"/>
    <x v="2"/>
    <n v="69"/>
    <n v="13.7"/>
    <n v="9.5500000000000007"/>
    <s v="MAD"/>
    <n v="1.1450839328537172"/>
    <n v="8.3582768821439224E-2"/>
    <s v=""/>
    <s v=""/>
    <x v="0"/>
    <s v=""/>
    <s v=""/>
    <m/>
  </r>
  <r>
    <s v="Morocco"/>
    <x v="5"/>
    <s v="P082754"/>
    <s v="C1"/>
    <s v=""/>
    <s v="P082754C1S4"/>
    <x v="2"/>
    <s v="2003 / 2008"/>
    <x v="2"/>
    <n v="1.2777777777777777"/>
    <n v="0.97857142857142854"/>
    <n v="1.0852272727272727"/>
    <m/>
    <n v="1.2049405929801613"/>
    <n v="1.2313261534103841"/>
    <s v=""/>
    <s v=""/>
    <x v="0"/>
    <s v=""/>
    <s v=""/>
    <s v=""/>
  </r>
  <r>
    <s v="Morocco"/>
    <x v="5"/>
    <s v="P082754"/>
    <s v="C1"/>
    <s v="S5"/>
    <s v="P082754C1S5"/>
    <x v="0"/>
    <n v="2004"/>
    <x v="2"/>
    <n v="54"/>
    <n v="10"/>
    <n v="8.32"/>
    <s v="MAD"/>
    <n v="0.89848812095032404"/>
    <n v="8.9848812095032399E-2"/>
    <s v=""/>
    <s v=""/>
    <x v="0"/>
    <s v=""/>
    <s v=""/>
    <m/>
  </r>
  <r>
    <s v="Morocco"/>
    <x v="5"/>
    <s v="P082754"/>
    <s v="C1"/>
    <s v="S5"/>
    <s v="P082754C1S5"/>
    <x v="1"/>
    <n v="2011"/>
    <x v="2"/>
    <n v="69"/>
    <n v="10.1"/>
    <n v="7.37"/>
    <s v="MAD"/>
    <n v="0.88369304556354922"/>
    <n v="8.7494360946886063E-2"/>
    <s v=""/>
    <s v=""/>
    <x v="0"/>
    <s v=""/>
    <s v=""/>
    <m/>
  </r>
  <r>
    <s v="Morocco"/>
    <x v="5"/>
    <s v="P082754"/>
    <s v="C1"/>
    <s v=""/>
    <s v="P082754C1S5"/>
    <x v="2"/>
    <s v="2003 / 2008"/>
    <x v="2"/>
    <n v="1.2777777777777777"/>
    <n v="1.01"/>
    <n v="0.88581730769230771"/>
    <m/>
    <n v="0.98353336561520011"/>
    <n v="0.97379541150019822"/>
    <s v=""/>
    <s v=""/>
    <x v="0"/>
    <s v=""/>
    <s v=""/>
    <s v=""/>
  </r>
  <r>
    <s v="Morocco"/>
    <x v="5"/>
    <s v="P082754"/>
    <s v="C1"/>
    <s v="S6"/>
    <s v="P082754C1S6"/>
    <x v="0"/>
    <n v="2004"/>
    <x v="2"/>
    <n v="54"/>
    <n v="20"/>
    <n v="12.32"/>
    <s v="MAD"/>
    <n v="1.3304535637149029"/>
    <n v="6.6522678185745143E-2"/>
    <s v=""/>
    <s v=""/>
    <x v="0"/>
    <s v=""/>
    <s v=""/>
    <m/>
  </r>
  <r>
    <s v="Morocco"/>
    <x v="5"/>
    <s v="P082754"/>
    <s v="C1"/>
    <s v="S6"/>
    <s v="P082754C1S6"/>
    <x v="1"/>
    <n v="2011"/>
    <x v="2"/>
    <n v="69"/>
    <n v="18.5"/>
    <n v="15.22"/>
    <s v="MAD"/>
    <n v="1.8249400479616309"/>
    <n v="9.8645407997925996E-2"/>
    <s v=""/>
    <s v=""/>
    <x v="0"/>
    <s v=""/>
    <s v=""/>
    <m/>
  </r>
  <r>
    <s v="Morocco"/>
    <x v="5"/>
    <s v="P082754"/>
    <s v="C1"/>
    <s v=""/>
    <s v="P082754C1S6"/>
    <x v="2"/>
    <s v="2003 / 2008"/>
    <x v="2"/>
    <n v="1.2777777777777777"/>
    <n v="0.92500000000000004"/>
    <n v="1.2353896103896105"/>
    <m/>
    <n v="1.3716676009841478"/>
    <n v="1.4828838929558354"/>
    <s v=""/>
    <s v=""/>
    <x v="0"/>
    <s v=""/>
    <s v=""/>
    <s v=""/>
  </r>
  <r>
    <s v="Morocco"/>
    <x v="5"/>
    <s v="P082754"/>
    <s v="C1"/>
    <s v="S7"/>
    <s v="P082754C1S7"/>
    <x v="0"/>
    <n v="2004"/>
    <x v="2"/>
    <n v="54"/>
    <n v="13"/>
    <n v="8.32"/>
    <s v="MAD"/>
    <n v="0.89848812095032404"/>
    <n v="6.9114470842332618E-2"/>
    <s v=""/>
    <s v=""/>
    <x v="0"/>
    <s v=""/>
    <s v=""/>
    <m/>
  </r>
  <r>
    <s v="Morocco"/>
    <x v="5"/>
    <s v="P082754"/>
    <s v="C1"/>
    <s v="S7"/>
    <s v="P082754C1S7"/>
    <x v="1"/>
    <n v="2011"/>
    <x v="2"/>
    <n v="69"/>
    <n v="11.5"/>
    <n v="7.82"/>
    <s v="MAD"/>
    <n v="0.93764988009592332"/>
    <n v="8.1534772182254203E-2"/>
    <s v=""/>
    <s v=""/>
    <x v="0"/>
    <s v=""/>
    <s v=""/>
    <m/>
  </r>
  <r>
    <s v="Morocco"/>
    <x v="5"/>
    <s v="P082754"/>
    <s v="C1"/>
    <s v=""/>
    <s v="P082754C1S7"/>
    <x v="2"/>
    <s v="2003 / 2008"/>
    <x v="2"/>
    <n v="1.2777777777777777"/>
    <n v="0.88461538461538458"/>
    <n v="0.93990384615384615"/>
    <m/>
    <n v="1.0435862848182993"/>
    <n v="1.1797062350119905"/>
    <s v=""/>
    <s v=""/>
    <x v="0"/>
    <s v=""/>
    <s v=""/>
    <s v=""/>
  </r>
  <r>
    <s v="Morocco"/>
    <x v="5"/>
    <s v="P082754"/>
    <s v="C1"/>
    <s v="S8"/>
    <s v="P082754C1S8"/>
    <x v="0"/>
    <n v="2004"/>
    <x v="2"/>
    <n v="54"/>
    <n v="13"/>
    <n v="8.32"/>
    <s v="MAD"/>
    <n v="0.89848812095032404"/>
    <n v="6.9114470842332618E-2"/>
    <s v=""/>
    <s v=""/>
    <x v="0"/>
    <s v=""/>
    <s v=""/>
    <m/>
  </r>
  <r>
    <s v="Morocco"/>
    <x v="5"/>
    <s v="P082754"/>
    <s v="C1"/>
    <s v="S8"/>
    <s v="P082754C1S8"/>
    <x v="1"/>
    <n v="2011"/>
    <x v="2"/>
    <n v="69"/>
    <n v="11.2"/>
    <n v="7.82"/>
    <s v="MAD"/>
    <n v="0.93764988009592332"/>
    <n v="8.3718739294278879E-2"/>
    <s v=""/>
    <s v=""/>
    <x v="0"/>
    <s v=""/>
    <s v=""/>
    <m/>
  </r>
  <r>
    <s v="Morocco"/>
    <x v="5"/>
    <s v="P082754"/>
    <s v="C1"/>
    <s v=""/>
    <s v="P082754C1S8"/>
    <x v="2"/>
    <s v="2003 / 2008"/>
    <x v="2"/>
    <n v="1.2777777777777777"/>
    <n v="0.86153846153846148"/>
    <n v="0.93990384615384615"/>
    <m/>
    <n v="1.0435862848182993"/>
    <n v="1.2113055091640974"/>
    <s v=""/>
    <s v=""/>
    <x v="0"/>
    <s v=""/>
    <s v=""/>
    <s v=""/>
  </r>
  <r>
    <s v="Morocco"/>
    <x v="5"/>
    <s v="P082754"/>
    <s v="C1"/>
    <s v="S9"/>
    <s v="P082754C1S9"/>
    <x v="0"/>
    <n v="2004"/>
    <x v="2"/>
    <n v="54"/>
    <n v="9"/>
    <n v="5.76"/>
    <s v="MAD"/>
    <n v="0.62203023758099352"/>
    <n v="6.9114470842332618E-2"/>
    <s v=""/>
    <s v=""/>
    <x v="0"/>
    <s v="x"/>
    <s v="x"/>
    <m/>
  </r>
  <r>
    <s v="Morocco"/>
    <x v="5"/>
    <s v="P082754"/>
    <s v="C1"/>
    <s v="S9"/>
    <s v="P082754C1S9"/>
    <x v="1"/>
    <n v="2011"/>
    <x v="2"/>
    <n v="69"/>
    <n v="13"/>
    <n v="11.79"/>
    <s v="MAD"/>
    <n v="1.4136690647482013"/>
    <n v="0.10874377421140011"/>
    <s v=""/>
    <s v=""/>
    <x v="0"/>
    <s v="x"/>
    <s v="x"/>
    <m/>
  </r>
  <r>
    <s v="Morocco"/>
    <x v="5"/>
    <s v="P082754"/>
    <s v="C1"/>
    <s v=""/>
    <s v="P082754C1S9"/>
    <x v="2"/>
    <s v="2003 / 2008"/>
    <x v="2"/>
    <n v="1.2777777777777777"/>
    <n v="1.4444444444444444"/>
    <n v="2.046875"/>
    <m/>
    <n v="2.2726693645083933"/>
    <n v="1.5733864831211952"/>
    <s v=""/>
    <s v=""/>
    <x v="0"/>
    <s v="x"/>
    <s v="x"/>
    <s v="Macroeconomic conditions; Quality of estimates; "/>
  </r>
  <r>
    <s v="Morocco"/>
    <x v="5"/>
    <s v="AfDB loan number B/MRC/RTE/90/35"/>
    <s v="C1"/>
    <s v=""/>
    <s v="AfDB loan number B/MRC/RTE/90/35C1"/>
    <x v="0"/>
    <n v="1989"/>
    <x v="0"/>
    <s v=""/>
    <n v="865"/>
    <n v="295.75057800000002"/>
    <s v="MAD"/>
    <n v="34.843376295947223"/>
    <n v="4.0281359879707775E-2"/>
    <s v=""/>
    <s v=""/>
    <x v="0"/>
    <m/>
    <m/>
    <m/>
  </r>
  <r>
    <s v="Morocco"/>
    <x v="5"/>
    <s v="AfDB loan number B/MRC/RTE/90/35"/>
    <s v="C1"/>
    <s v=""/>
    <s v="AfDB loan number B/MRC/RTE/90/35C1"/>
    <x v="1"/>
    <n v="1998"/>
    <x v="0"/>
    <s v=""/>
    <n v="1184.8800000000001"/>
    <n v="287.0172"/>
    <s v="MAD"/>
    <n v="29.885172844648068"/>
    <n v="2.5222109280811613E-2"/>
    <s v=""/>
    <s v=""/>
    <x v="0"/>
    <m/>
    <m/>
    <m/>
  </r>
  <r>
    <s v="Morocco"/>
    <x v="5"/>
    <s v="AfDB loan number B/MRC/RTE/90/35"/>
    <s v="C1"/>
    <s v=""/>
    <s v="AfDB loan number B/MRC/RTE/90/35C1"/>
    <x v="2"/>
    <s v="2003 / 2008"/>
    <x v="0"/>
    <s v=""/>
    <n v="1.3698034682080926"/>
    <n v="0.97047046176863261"/>
    <m/>
    <n v="0.85770025817286066"/>
    <n v="0.62614840601539767"/>
    <s v=""/>
    <s v=""/>
    <x v="0"/>
    <m/>
    <m/>
    <s v=""/>
  </r>
  <r>
    <s v="Mozambique"/>
    <x v="2"/>
    <s v="P001785"/>
    <s v="C1"/>
    <s v=""/>
    <s v="P001785C1"/>
    <x v="0"/>
    <n v="2001"/>
    <x v="2"/>
    <n v="9.4240000000000004E-2"/>
    <n v="1250"/>
    <n v="117.8"/>
    <s v="USD"/>
    <n v="117.8"/>
    <n v="9.4240000000000004E-2"/>
    <s v=""/>
    <s v=""/>
    <x v="0"/>
    <s v="x"/>
    <s v="x"/>
    <m/>
  </r>
  <r>
    <s v="Mozambique"/>
    <x v="2"/>
    <s v="P001785"/>
    <s v="C1"/>
    <s v=""/>
    <s v="P001785C1"/>
    <x v="1"/>
    <n v="2007"/>
    <x v="2"/>
    <s v=""/>
    <n v="827"/>
    <n v="161"/>
    <s v="USD"/>
    <n v="161"/>
    <n v="0.19467956469165659"/>
    <s v=""/>
    <s v=""/>
    <x v="0"/>
    <s v="x"/>
    <s v="x"/>
    <m/>
  </r>
  <r>
    <s v="Mozambique"/>
    <x v="2"/>
    <s v="P001785"/>
    <s v="C1"/>
    <s v=""/>
    <s v="P001785C1"/>
    <x v="2"/>
    <s v="2003 / 2008"/>
    <x v="2"/>
    <s v=""/>
    <n v="0.66159999999999997"/>
    <n v="1.3667232597623091"/>
    <m/>
    <n v="1.3667232597623091"/>
    <n v="2.0657848545379518"/>
    <s v=""/>
    <s v=""/>
    <x v="0"/>
    <s v="x"/>
    <s v="x"/>
    <s v="Macroeconomic conditions ; Capacity of contractors; Capacity of counterpart"/>
  </r>
  <r>
    <s v="Namibia"/>
    <x v="2"/>
    <s v="AfDB loan number: F/NAM/ROD/92/1_x000a_"/>
    <s v="C1"/>
    <s v=""/>
    <s v="AfDB loan number: F/NAM/ROD/92/1_x000a_C1"/>
    <x v="0"/>
    <n v="1991"/>
    <x v="1"/>
    <s v=""/>
    <n v="75"/>
    <n v="58.480991799999998"/>
    <s v="ZAR"/>
    <n v="21.181090836653386"/>
    <n v="0.28241454448871184"/>
    <s v=""/>
    <s v=""/>
    <x v="0"/>
    <m/>
    <m/>
    <m/>
  </r>
  <r>
    <s v="Namibia"/>
    <x v="2"/>
    <s v="AfDB loan number: F/NAM/ROD/92/1_x000a_"/>
    <s v="C1"/>
    <s v=""/>
    <s v="AfDB loan number: F/NAM/ROD/92/1_x000a_C1"/>
    <x v="1"/>
    <n v="1995"/>
    <x v="1"/>
    <s v=""/>
    <n v="75"/>
    <n v="88.034702600000003"/>
    <s v="ZAR"/>
    <n v="24.272043727598568"/>
    <n v="0.32362724970131423"/>
    <s v=""/>
    <s v=""/>
    <x v="0"/>
    <m/>
    <m/>
    <m/>
  </r>
  <r>
    <s v="Namibia"/>
    <x v="2"/>
    <s v="AfDB loan number: F/NAM/ROD/92/1_x000a_"/>
    <s v="C1"/>
    <s v=""/>
    <s v="AfDB loan number: F/NAM/ROD/92/1_x000a_C1"/>
    <x v="2"/>
    <s v="2003 / 2008"/>
    <x v="1"/>
    <s v=""/>
    <n v="1"/>
    <n v="1.5053558411093844"/>
    <m/>
    <n v="1.1459298255591426"/>
    <n v="1.1459298255591424"/>
    <s v=""/>
    <s v=""/>
    <x v="0"/>
    <m/>
    <m/>
    <s v=""/>
  </r>
  <r>
    <s v="Nepal"/>
    <x v="0"/>
    <s v="P045052"/>
    <s v="C1"/>
    <s v=""/>
    <s v="P045052C1"/>
    <x v="0"/>
    <n v="1999"/>
    <x v="6"/>
    <s v=""/>
    <n v="160"/>
    <n v="6.15"/>
    <s v="USD"/>
    <n v="6.15"/>
    <n v="3.8437499999999999E-2"/>
    <s v=""/>
    <s v="x"/>
    <x v="0"/>
    <s v="x"/>
    <s v="x"/>
    <m/>
  </r>
  <r>
    <s v="Nepal"/>
    <x v="0"/>
    <s v="P045052"/>
    <s v="C1"/>
    <s v=""/>
    <s v="P045052C1"/>
    <x v="1"/>
    <n v="2007"/>
    <x v="6"/>
    <s v=""/>
    <n v="248"/>
    <n v="26.23"/>
    <s v="USD"/>
    <n v="26.23"/>
    <n v="0.10576612903225807"/>
    <s v=""/>
    <s v="x"/>
    <x v="0"/>
    <s v="x"/>
    <s v="x"/>
    <m/>
  </r>
  <r>
    <s v="Nepal"/>
    <x v="0"/>
    <s v="P045052"/>
    <s v="C1"/>
    <s v=""/>
    <s v="P045052C1"/>
    <x v="2"/>
    <s v="2003 / 2008"/>
    <x v="6"/>
    <s v=""/>
    <n v="1.55"/>
    <n v="4.2650406504065037"/>
    <m/>
    <n v="4.2650406504065037"/>
    <n v="2.751639129294519"/>
    <s v=""/>
    <s v="x"/>
    <x v="0"/>
    <s v="x"/>
    <s v="x"/>
    <s v=" Political events; Quality of estimates ; Change of project scope "/>
  </r>
  <r>
    <s v="Nepal"/>
    <x v="0"/>
    <s v="P045052"/>
    <s v="C2"/>
    <s v=""/>
    <s v="P045052C2"/>
    <x v="0"/>
    <n v="1999"/>
    <x v="6"/>
    <s v=""/>
    <n v="470"/>
    <n v="5.63"/>
    <s v="USD"/>
    <n v="5.63"/>
    <n v="1.1978723404255319E-2"/>
    <s v=""/>
    <s v=""/>
    <x v="0"/>
    <s v=""/>
    <s v=""/>
    <m/>
  </r>
  <r>
    <s v="Nepal"/>
    <x v="0"/>
    <s v="P045052"/>
    <s v="C2"/>
    <s v=""/>
    <s v="P045052C2"/>
    <x v="1"/>
    <n v="2007"/>
    <x v="6"/>
    <s v=""/>
    <n v="661"/>
    <n v="11.06"/>
    <s v="USD"/>
    <n v="11.06"/>
    <n v="1.6732223903177006E-2"/>
    <s v=""/>
    <s v=""/>
    <x v="0"/>
    <s v=""/>
    <s v=""/>
    <m/>
  </r>
  <r>
    <s v="Nepal"/>
    <x v="0"/>
    <s v="P045052"/>
    <s v="C1"/>
    <s v=""/>
    <s v="P045052C2"/>
    <x v="2"/>
    <s v="2003 / 2008"/>
    <x v="6"/>
    <s v=""/>
    <n v="1.4063829787234043"/>
    <n v="1.9644760213143873"/>
    <m/>
    <n v="1.9644760213143873"/>
    <n v="1.396828638453498"/>
    <s v=""/>
    <s v=""/>
    <x v="0"/>
    <s v=""/>
    <s v=""/>
    <s v=""/>
  </r>
  <r>
    <s v="Nepal"/>
    <x v="0"/>
    <s v="P083923"/>
    <s v="C1"/>
    <s v="S1"/>
    <s v="P083923C1S1"/>
    <x v="0"/>
    <n v="2005"/>
    <x v="1"/>
    <n v="17"/>
    <n v="800"/>
    <n v="16.8"/>
    <s v="USD"/>
    <n v="16.8"/>
    <n v="2.1000000000000001E-2"/>
    <s v=""/>
    <s v="x"/>
    <x v="0"/>
    <s v=""/>
    <s v="x"/>
    <m/>
  </r>
  <r>
    <s v="Nepal"/>
    <x v="0"/>
    <s v="P083923"/>
    <s v="C1"/>
    <s v="S1"/>
    <s v="P083923C1S1"/>
    <x v="1"/>
    <n v="2014"/>
    <x v="1"/>
    <s v=""/>
    <n v="1741"/>
    <n v="45.62"/>
    <s v="USD"/>
    <n v="45.62"/>
    <n v="2.6203331418724871E-2"/>
    <s v=""/>
    <s v="x"/>
    <x v="0"/>
    <s v=""/>
    <s v="x"/>
    <m/>
  </r>
  <r>
    <s v="Nepal"/>
    <x v="0"/>
    <s v="P083923"/>
    <s v="C1"/>
    <s v=""/>
    <s v="P083923C1S1"/>
    <x v="2"/>
    <s v="2003 / 2008"/>
    <x v="1"/>
    <s v=""/>
    <n v="2.17625"/>
    <n v="2.7154761904761902"/>
    <m/>
    <n v="2.7154761904761902"/>
    <n v="1.2477776866059462"/>
    <s v=""/>
    <s v="x"/>
    <x v="0"/>
    <s v=""/>
    <s v="x"/>
    <s v="Change of project scope ; Macroeconomic conditions; Procurement system"/>
  </r>
  <r>
    <s v="Nepal"/>
    <x v="0"/>
    <s v="P083923"/>
    <s v="C1"/>
    <s v="S2"/>
    <s v="P083923C1S2"/>
    <x v="0"/>
    <n v="2005"/>
    <x v="1"/>
    <n v="17"/>
    <n v="200"/>
    <n v="7"/>
    <s v="USD"/>
    <n v="7"/>
    <n v="3.5000000000000003E-2"/>
    <s v=""/>
    <s v=""/>
    <x v="0"/>
    <s v=""/>
    <s v=""/>
    <m/>
  </r>
  <r>
    <s v="Nepal"/>
    <x v="0"/>
    <s v="P083923"/>
    <s v="C1"/>
    <s v="S2"/>
    <s v="P083923C1S2"/>
    <x v="1"/>
    <n v="2014"/>
    <x v="1"/>
    <s v=""/>
    <n v="140"/>
    <n v="5.32"/>
    <s v="USD"/>
    <n v="5.32"/>
    <n v="3.7999999999999999E-2"/>
    <s v=""/>
    <s v=""/>
    <x v="0"/>
    <s v=""/>
    <s v=""/>
    <m/>
  </r>
  <r>
    <s v="Nepal"/>
    <x v="0"/>
    <s v="P083923"/>
    <s v="C1"/>
    <s v=""/>
    <s v="P083923C1S2"/>
    <x v="2"/>
    <s v="2003 / 2008"/>
    <x v="1"/>
    <s v=""/>
    <n v="0.7"/>
    <n v="0.76"/>
    <m/>
    <n v="0.76"/>
    <n v="1.0857142857142856"/>
    <s v=""/>
    <s v=""/>
    <x v="0"/>
    <s v=""/>
    <s v=""/>
    <s v=""/>
  </r>
  <r>
    <s v="Nepal"/>
    <x v="0"/>
    <s v="P083923"/>
    <s v="C1"/>
    <s v="S3"/>
    <s v="P083923C1S3"/>
    <x v="0"/>
    <n v="2005"/>
    <x v="4"/>
    <s v=""/>
    <n v="3500"/>
    <n v="2.63"/>
    <s v="USD"/>
    <n v="2.63"/>
    <n v="7.514285714285714E-4"/>
    <s v=""/>
    <s v=""/>
    <x v="0"/>
    <s v="x"/>
    <s v="x"/>
    <m/>
  </r>
  <r>
    <s v="Nepal"/>
    <x v="0"/>
    <s v="P083923"/>
    <s v="C1"/>
    <s v="S3"/>
    <s v="P083923C1S3"/>
    <x v="1"/>
    <n v="2014"/>
    <x v="4"/>
    <s v=""/>
    <n v="4600"/>
    <n v="5.3"/>
    <s v="USD"/>
    <n v="5.3"/>
    <n v="1.1521739130434783E-3"/>
    <s v=""/>
    <s v=""/>
    <x v="0"/>
    <s v="x"/>
    <s v="x"/>
    <m/>
  </r>
  <r>
    <s v="Nepal"/>
    <x v="0"/>
    <s v="P083923"/>
    <s v="C1"/>
    <s v=""/>
    <s v="P083923C1S3"/>
    <x v="2"/>
    <s v="2003 / 2008"/>
    <x v="4"/>
    <s v=""/>
    <n v="1.3142857142857143"/>
    <n v="2.0152091254752853"/>
    <m/>
    <n v="2.0152091254752853"/>
    <n v="1.5333112911224998"/>
    <s v=""/>
    <s v=""/>
    <x v="0"/>
    <s v="x"/>
    <s v="x"/>
    <s v="Quality of estimates; Political events; Capacity"/>
  </r>
  <r>
    <s v="Nicaragua"/>
    <x v="3"/>
    <s v="P068673"/>
    <s v="C1"/>
    <s v=""/>
    <s v="P068673C1"/>
    <x v="0"/>
    <n v="2000"/>
    <x v="12"/>
    <s v=""/>
    <n v="155"/>
    <n v="36.4"/>
    <s v="USD"/>
    <n v="36.4"/>
    <n v="0.23483870967741935"/>
    <s v=""/>
    <s v=""/>
    <x v="0"/>
    <s v=""/>
    <s v=""/>
    <m/>
  </r>
  <r>
    <s v="Nicaragua"/>
    <x v="3"/>
    <s v="P068673"/>
    <s v="C1"/>
    <s v=""/>
    <s v="P068673C1"/>
    <x v="1"/>
    <n v="2007"/>
    <x v="12"/>
    <s v=""/>
    <n v="152.9"/>
    <n v="39.700000000000003"/>
    <s v="USD"/>
    <n v="39.700000000000003"/>
    <n v="0.25964682799215172"/>
    <s v=""/>
    <s v=""/>
    <x v="0"/>
    <s v=""/>
    <s v=""/>
    <m/>
  </r>
  <r>
    <s v="Nicaragua"/>
    <x v="3"/>
    <s v="P068673"/>
    <s v="C1"/>
    <s v=""/>
    <s v="P068673C1"/>
    <x v="2"/>
    <s v="2003 / 2008"/>
    <x v="12"/>
    <s v=""/>
    <n v="0.98645161290322581"/>
    <n v="1.0906593406593408"/>
    <m/>
    <n v="1.0906593406593408"/>
    <n v="1.1056389653511955"/>
    <s v=""/>
    <s v=""/>
    <x v="0"/>
    <s v=""/>
    <s v=""/>
    <s v=""/>
  </r>
  <r>
    <s v="Nicaragua"/>
    <x v="3"/>
    <s v="P068673"/>
    <s v="C2"/>
    <s v=""/>
    <s v="P068673C2"/>
    <x v="0"/>
    <n v="2000"/>
    <x v="1"/>
    <s v=""/>
    <n v="300"/>
    <n v="24.9"/>
    <s v="USD"/>
    <n v="24.9"/>
    <n v="8.299999999999999E-2"/>
    <s v=""/>
    <s v=""/>
    <x v="0"/>
    <s v=""/>
    <s v=""/>
    <m/>
  </r>
  <r>
    <s v="Nicaragua"/>
    <x v="3"/>
    <s v="P068673"/>
    <s v="C2"/>
    <s v=""/>
    <s v="P068673C2"/>
    <x v="1"/>
    <n v="2007"/>
    <x v="1"/>
    <s v=""/>
    <n v="287"/>
    <n v="28.3"/>
    <s v="USD"/>
    <n v="28.3"/>
    <n v="9.8606271777003485E-2"/>
    <s v=""/>
    <s v=""/>
    <x v="0"/>
    <s v=""/>
    <s v=""/>
    <m/>
  </r>
  <r>
    <s v="Nicaragua"/>
    <x v="3"/>
    <s v="P068673"/>
    <s v="C1"/>
    <s v=""/>
    <s v="P068673C2"/>
    <x v="2"/>
    <s v="2003 / 2008"/>
    <x v="1"/>
    <s v=""/>
    <n v="0.95666666666666667"/>
    <n v="1.136546184738956"/>
    <m/>
    <n v="1.136546184738956"/>
    <n v="1.1880273708072711"/>
    <s v=""/>
    <s v=""/>
    <x v="0"/>
    <s v=""/>
    <s v=""/>
    <s v=""/>
  </r>
  <r>
    <s v="Nicaragua"/>
    <x v="3"/>
    <s v="P083952"/>
    <s v="C1"/>
    <s v=""/>
    <s v="P083952C1"/>
    <x v="0"/>
    <n v="2006"/>
    <x v="0"/>
    <n v="36"/>
    <n v="51"/>
    <n v="10.130000000000001"/>
    <s v="USD"/>
    <n v="10.130000000000001"/>
    <n v="0.19862745098039217"/>
    <s v=""/>
    <s v=""/>
    <x v="0"/>
    <s v=""/>
    <s v=""/>
    <m/>
  </r>
  <r>
    <s v="Nicaragua"/>
    <x v="3"/>
    <s v="P083952"/>
    <s v="C1"/>
    <s v=""/>
    <s v="P083952C1"/>
    <x v="1"/>
    <n v="2015"/>
    <x v="0"/>
    <s v=""/>
    <n v="51.57"/>
    <n v="13.69"/>
    <s v="USD"/>
    <n v="13.69"/>
    <n v="0.26546441729687803"/>
    <s v=""/>
    <s v=""/>
    <x v="0"/>
    <s v=""/>
    <s v=""/>
    <m/>
  </r>
  <r>
    <s v="Nicaragua"/>
    <x v="3"/>
    <s v="P083952"/>
    <s v="C1"/>
    <s v=""/>
    <s v="P083952C1"/>
    <x v="2"/>
    <s v="2003 / 2008"/>
    <x v="0"/>
    <s v=""/>
    <n v="1.0111764705882353"/>
    <n v="1.3514313919052319"/>
    <m/>
    <n v="1.3514313919052319"/>
    <n v="1.3364941048510146"/>
    <s v=""/>
    <s v=""/>
    <x v="0"/>
    <s v=""/>
    <s v=""/>
    <s v=""/>
  </r>
  <r>
    <s v="Nicaragua"/>
    <x v="3"/>
    <s v="P083952"/>
    <s v="C2"/>
    <s v=""/>
    <s v="P083952C2"/>
    <x v="0"/>
    <n v="2006"/>
    <x v="2"/>
    <n v="48"/>
    <n v="320"/>
    <n v="41.87"/>
    <s v="USD"/>
    <n v="41.87"/>
    <n v="0.13084374999999998"/>
    <s v=""/>
    <s v=""/>
    <x v="0"/>
    <s v="x"/>
    <s v="x"/>
    <m/>
  </r>
  <r>
    <s v="Nicaragua"/>
    <x v="3"/>
    <s v="P083952"/>
    <s v="C2"/>
    <s v=""/>
    <s v="P083952C2"/>
    <x v="1"/>
    <n v="2015"/>
    <x v="2"/>
    <s v=""/>
    <n v="361"/>
    <n v="86.73"/>
    <s v="USD"/>
    <n v="86.73"/>
    <n v="0.24024930747922438"/>
    <s v=""/>
    <s v=""/>
    <x v="0"/>
    <s v="x"/>
    <s v="x"/>
    <m/>
  </r>
  <r>
    <s v="Nicaragua"/>
    <x v="3"/>
    <s v="P083952"/>
    <s v="C1"/>
    <s v=""/>
    <s v="P083952C2"/>
    <x v="2"/>
    <s v="2003 / 2008"/>
    <x v="2"/>
    <s v=""/>
    <n v="1.128125"/>
    <n v="2.0714115118223075"/>
    <m/>
    <n v="2.0714115118223075"/>
    <n v="1.8361542487067546"/>
    <s v=""/>
    <s v=""/>
    <x v="0"/>
    <s v="x"/>
    <s v="x"/>
    <s v="Macroeconomic conditions; Change of project scope; "/>
  </r>
  <r>
    <s v="Nicaragua"/>
    <x v="3"/>
    <s v="P083952"/>
    <s v="C3"/>
    <s v=""/>
    <s v="P083952C3"/>
    <x v="0"/>
    <n v="2006"/>
    <x v="4"/>
    <s v=""/>
    <n v="2480"/>
    <n v="7.64"/>
    <s v="USD"/>
    <n v="7.64"/>
    <n v="3.0806451612903226E-3"/>
    <s v=""/>
    <s v=""/>
    <x v="0"/>
    <s v=""/>
    <s v=""/>
    <m/>
  </r>
  <r>
    <s v="Nicaragua"/>
    <x v="3"/>
    <s v="P083952"/>
    <s v="C3"/>
    <s v=""/>
    <s v="P083952C3"/>
    <x v="1"/>
    <n v="2015"/>
    <x v="4"/>
    <s v=""/>
    <n v="3200"/>
    <n v="12.26"/>
    <s v="USD"/>
    <n v="12.26"/>
    <n v="3.83125E-3"/>
    <s v=""/>
    <s v=""/>
    <x v="0"/>
    <s v=""/>
    <s v=""/>
    <m/>
  </r>
  <r>
    <s v="Nicaragua"/>
    <x v="3"/>
    <s v="P083952"/>
    <s v="C1"/>
    <s v=""/>
    <s v="P083952C3"/>
    <x v="2"/>
    <s v="2003 / 2008"/>
    <x v="4"/>
    <s v=""/>
    <n v="1.2903225806451613"/>
    <n v="1.6047120418848169"/>
    <m/>
    <n v="1.6047120418848169"/>
    <n v="1.2436518324607331"/>
    <s v=""/>
    <s v=""/>
    <x v="0"/>
    <s v=""/>
    <s v=""/>
    <s v=""/>
  </r>
  <r>
    <s v="Niger"/>
    <x v="2"/>
    <n v="0"/>
    <s v="C1"/>
    <s v=""/>
    <s v="0C1"/>
    <x v="0"/>
    <n v="1989"/>
    <x v="6"/>
    <s v=""/>
    <n v="147.89999999999998"/>
    <n v="3502.5858000000007"/>
    <s v="FCFA"/>
    <n v="10.979892789968654"/>
    <n v="7.4238626030890167E-2"/>
    <s v=""/>
    <s v=""/>
    <x v="0"/>
    <m/>
    <m/>
    <m/>
  </r>
  <r>
    <s v="Niger"/>
    <x v="2"/>
    <n v="0"/>
    <s v="C1"/>
    <s v=""/>
    <s v="0C1"/>
    <x v="1"/>
    <n v="1999"/>
    <x v="6"/>
    <s v=""/>
    <n v="131.80000000000001"/>
    <n v="7898.2903600000009"/>
    <s v="FCFA"/>
    <n v="12.828355763452388"/>
    <n v="9.7331986065647844E-2"/>
    <s v=""/>
    <s v=""/>
    <x v="0"/>
    <m/>
    <m/>
    <m/>
  </r>
  <r>
    <s v="Niger"/>
    <x v="2"/>
    <n v="0"/>
    <s v="C1"/>
    <s v=""/>
    <s v="0C1"/>
    <x v="2"/>
    <s v="2003 / 2008"/>
    <x v="6"/>
    <s v=""/>
    <n v="0.89114266396213682"/>
    <n v="2.2549884031391891"/>
    <m/>
    <n v="1.1683498198791622"/>
    <n v="1.3110693350540821"/>
    <s v=""/>
    <s v=""/>
    <x v="0"/>
    <m/>
    <m/>
    <s v=""/>
  </r>
  <r>
    <s v="Nigeria"/>
    <x v="2"/>
    <s v="P074963"/>
    <s v="C1"/>
    <s v=""/>
    <s v="P074963C1"/>
    <x v="0"/>
    <n v="2002"/>
    <x v="0"/>
    <s v=""/>
    <n v="660"/>
    <n v="98.5"/>
    <s v="USD"/>
    <n v="98.5"/>
    <n v="0.14924242424242423"/>
    <s v=""/>
    <s v=""/>
    <x v="0"/>
    <s v="x"/>
    <s v="x"/>
    <m/>
  </r>
  <r>
    <s v="Nigeria"/>
    <x v="2"/>
    <s v="P074963"/>
    <s v="C1"/>
    <s v=""/>
    <s v="P074963C1"/>
    <x v="1"/>
    <n v="2011"/>
    <x v="0"/>
    <s v=""/>
    <n v="690.8"/>
    <n v="158.80000000000001"/>
    <s v="USD"/>
    <n v="158.80000000000001"/>
    <n v="0.22987840185292419"/>
    <s v=""/>
    <s v=""/>
    <x v="0"/>
    <s v="x"/>
    <s v="x"/>
    <m/>
  </r>
  <r>
    <s v="Nigeria"/>
    <x v="2"/>
    <s v="P074963"/>
    <s v="C1"/>
    <s v=""/>
    <s v="P074963C1"/>
    <x v="2"/>
    <s v="2003 / 2008"/>
    <x v="0"/>
    <s v=""/>
    <n v="1.0466666666666666"/>
    <n v="1.6121827411167513"/>
    <m/>
    <n v="1.6121827411167513"/>
    <n v="1.5403019819586798"/>
    <s v=""/>
    <s v=""/>
    <x v="0"/>
    <s v="x"/>
    <s v="x"/>
    <s v="Macroeconomic conditions; ; "/>
  </r>
  <r>
    <s v="Nigeria"/>
    <x v="2"/>
    <s v="P074963"/>
    <s v="C1"/>
    <s v="S1"/>
    <s v="P074963C1S1"/>
    <x v="0"/>
    <n v="2002"/>
    <x v="5"/>
    <s v=""/>
    <n v="567"/>
    <n v="45.53"/>
    <s v="USD"/>
    <n v="45.53"/>
    <n v="8.0299823633156964E-2"/>
    <s v=""/>
    <s v=""/>
    <x v="0"/>
    <s v=""/>
    <s v=""/>
    <m/>
  </r>
  <r>
    <s v="Nigeria"/>
    <x v="2"/>
    <s v="P074963"/>
    <s v="C1"/>
    <s v="S1"/>
    <s v="P074963C1S1"/>
    <x v="1"/>
    <n v="2011"/>
    <x v="5"/>
    <s v=""/>
    <n v="567"/>
    <n v="47"/>
    <s v="USD"/>
    <n v="47"/>
    <n v="8.2892416225749554E-2"/>
    <s v=""/>
    <s v=""/>
    <x v="0"/>
    <s v=""/>
    <s v=""/>
    <m/>
  </r>
  <r>
    <s v="Nigeria"/>
    <x v="2"/>
    <s v="P074963"/>
    <s v="C1"/>
    <s v=""/>
    <s v="P074963C1S1"/>
    <x v="2"/>
    <s v="2003 / 2008"/>
    <x v="5"/>
    <s v=""/>
    <n v="1"/>
    <n v="1.0322864045684164"/>
    <m/>
    <n v="1.0322864045684164"/>
    <n v="1.0322864045684164"/>
    <s v=""/>
    <s v=""/>
    <x v="0"/>
    <s v=""/>
    <s v=""/>
    <s v=""/>
  </r>
  <r>
    <s v="Nigeria"/>
    <x v="2"/>
    <s v="P074963"/>
    <s v="C1"/>
    <s v="S2"/>
    <s v="P074963C1S2"/>
    <x v="0"/>
    <n v="2002"/>
    <x v="5"/>
    <s v=""/>
    <n v="93"/>
    <n v="46.17"/>
    <s v="USD"/>
    <n v="46.17"/>
    <n v="0.49645161290322581"/>
    <s v=""/>
    <s v=""/>
    <x v="0"/>
    <s v=""/>
    <s v=""/>
    <m/>
  </r>
  <r>
    <s v="Nigeria"/>
    <x v="2"/>
    <s v="P074963"/>
    <s v="C1"/>
    <s v="S2"/>
    <s v="P074963C1S2"/>
    <x v="1"/>
    <n v="2011"/>
    <x v="5"/>
    <s v=""/>
    <n v="123.8"/>
    <n v="59.3"/>
    <s v="USD"/>
    <n v="59.3"/>
    <n v="0.4789983844911147"/>
    <s v=""/>
    <s v=""/>
    <x v="0"/>
    <s v=""/>
    <s v=""/>
    <m/>
  </r>
  <r>
    <s v="Nigeria"/>
    <x v="2"/>
    <s v="P074963"/>
    <s v="C1"/>
    <s v=""/>
    <s v="P074963C1S2"/>
    <x v="2"/>
    <s v="2003 / 2008"/>
    <x v="5"/>
    <s v=""/>
    <n v="1.3311827956989246"/>
    <n v="1.2843837990036819"/>
    <m/>
    <n v="1.2843837990036819"/>
    <n v="0.96484404933232981"/>
    <s v=""/>
    <s v=""/>
    <x v="0"/>
    <s v=""/>
    <s v=""/>
    <s v=""/>
  </r>
  <r>
    <s v="Pakistan"/>
    <x v="0"/>
    <s v="P010556"/>
    <s v="C1"/>
    <s v="S10"/>
    <s v="P010556C1S10"/>
    <x v="0"/>
    <n v="2003"/>
    <x v="3"/>
    <n v="32"/>
    <n v="72"/>
    <n v="636"/>
    <s v="PKR"/>
    <n v="11.041666666666666"/>
    <n v="0.15335648148148148"/>
    <s v=""/>
    <s v="x"/>
    <x v="0"/>
    <s v=""/>
    <s v="x"/>
    <m/>
  </r>
  <r>
    <s v="Pakistan"/>
    <x v="0"/>
    <s v="P010556"/>
    <s v="C1"/>
    <s v="S10"/>
    <s v="P010556C1S10"/>
    <x v="1"/>
    <n v="2013"/>
    <x v="3"/>
    <s v=""/>
    <n v="123"/>
    <n v="2235"/>
    <s v="PKR"/>
    <n v="20.83139155559698"/>
    <n v="0.169360906956073"/>
    <s v=""/>
    <s v="x"/>
    <x v="0"/>
    <s v=""/>
    <s v="x"/>
    <m/>
  </r>
  <r>
    <s v="Pakistan"/>
    <x v="0"/>
    <s v="P010556"/>
    <s v="C1"/>
    <s v=""/>
    <s v="P010556C1S10"/>
    <x v="2"/>
    <s v="2003 / 2008"/>
    <x v="3"/>
    <s v=""/>
    <n v="1.7083333333333333"/>
    <n v="3.5141509433962264"/>
    <m/>
    <n v="1.8866165937144437"/>
    <n v="1.1043609329060156"/>
    <s v=""/>
    <s v="x"/>
    <x v="0"/>
    <s v=""/>
    <s v="x"/>
    <s v="Change of project scope; Weather shocks; "/>
  </r>
  <r>
    <s v="Pakistan"/>
    <x v="0"/>
    <s v="P010556"/>
    <s v="C1"/>
    <s v="S14"/>
    <s v="P010556C1S14"/>
    <x v="0"/>
    <n v="2003"/>
    <x v="3"/>
    <n v="32"/>
    <n v="62"/>
    <n v="376"/>
    <s v="PKR"/>
    <n v="6.5277777777777777"/>
    <n v="0.10528673835125447"/>
    <s v=""/>
    <s v="x"/>
    <x v="0"/>
    <s v=""/>
    <s v="x"/>
    <m/>
  </r>
  <r>
    <s v="Pakistan"/>
    <x v="0"/>
    <s v="P010556"/>
    <s v="C1"/>
    <s v="S14"/>
    <s v="P010556C1S14"/>
    <x v="1"/>
    <n v="2013"/>
    <x v="3"/>
    <s v=""/>
    <n v="111"/>
    <n v="1518"/>
    <s v="PKR"/>
    <n v="14.148569298163855"/>
    <n v="0.12746458827174645"/>
    <s v=""/>
    <s v="x"/>
    <x v="0"/>
    <s v=""/>
    <s v="x"/>
    <m/>
  </r>
  <r>
    <s v="Pakistan"/>
    <x v="0"/>
    <s v="P010556"/>
    <s v="C1"/>
    <s v=""/>
    <s v="P010556C1S14"/>
    <x v="2"/>
    <s v="2003 / 2008"/>
    <x v="3"/>
    <s v=""/>
    <n v="1.7903225806451613"/>
    <n v="4.0372340425531918"/>
    <m/>
    <n v="2.1674404031229737"/>
    <n v="1.2106423873299492"/>
    <s v=""/>
    <s v="x"/>
    <x v="0"/>
    <s v=""/>
    <s v="x"/>
    <s v="Change of project scope; Weather shocks; "/>
  </r>
  <r>
    <s v="Pakistan"/>
    <x v="0"/>
    <s v="P010556"/>
    <s v="C1"/>
    <s v="S15"/>
    <s v="P010556C1S15"/>
    <x v="0"/>
    <n v="2003"/>
    <x v="2"/>
    <n v="48"/>
    <n v="68"/>
    <n v="604"/>
    <s v="PKR"/>
    <n v="10.486111111111111"/>
    <n v="0.15420751633986929"/>
    <s v=""/>
    <s v=""/>
    <x v="0"/>
    <s v=""/>
    <s v=""/>
    <m/>
  </r>
  <r>
    <s v="Pakistan"/>
    <x v="0"/>
    <s v="P010556"/>
    <s v="C1"/>
    <s v="S15"/>
    <s v="P010556C1S15"/>
    <x v="1"/>
    <n v="2013"/>
    <x v="2"/>
    <s v=""/>
    <n v="68"/>
    <n v="1532"/>
    <s v="PKR"/>
    <n v="14.279056762046789"/>
    <n v="0.20998612885362924"/>
    <s v=""/>
    <s v=""/>
    <x v="0"/>
    <s v=""/>
    <s v=""/>
    <m/>
  </r>
  <r>
    <s v="Pakistan"/>
    <x v="0"/>
    <s v="P010556"/>
    <s v="C1"/>
    <s v=""/>
    <s v="P010556C1S15"/>
    <x v="2"/>
    <s v="2003 / 2008"/>
    <x v="2"/>
    <s v=""/>
    <n v="1"/>
    <n v="2.5364238410596025"/>
    <m/>
    <n v="1.3617113733342634"/>
    <n v="1.3617113733342632"/>
    <s v=""/>
    <s v=""/>
    <x v="0"/>
    <s v=""/>
    <s v=""/>
    <s v=""/>
  </r>
  <r>
    <s v="Pakistan"/>
    <x v="0"/>
    <s v="P010556"/>
    <s v="C1"/>
    <s v="S4"/>
    <s v="P010556C1S4"/>
    <x v="0"/>
    <n v="2003"/>
    <x v="2"/>
    <n v="48"/>
    <n v="89"/>
    <n v="1310"/>
    <s v="PKR"/>
    <n v="22.743055555555554"/>
    <n v="0.25553995006242197"/>
    <s v=""/>
    <s v=""/>
    <x v="0"/>
    <s v=""/>
    <s v=""/>
    <m/>
  </r>
  <r>
    <s v="Pakistan"/>
    <x v="0"/>
    <s v="P010556"/>
    <s v="C1"/>
    <s v="S4"/>
    <s v="P010556C1S4"/>
    <x v="1"/>
    <n v="2013"/>
    <x v="2"/>
    <s v=""/>
    <n v="86"/>
    <n v="1757"/>
    <s v="PKR"/>
    <n v="16.37617671730823"/>
    <n v="0.19042065950358406"/>
    <s v=""/>
    <s v=""/>
    <x v="0"/>
    <s v=""/>
    <s v=""/>
    <m/>
  </r>
  <r>
    <s v="Pakistan"/>
    <x v="0"/>
    <s v="P010556"/>
    <s v="C1"/>
    <s v=""/>
    <s v="P010556C1S4"/>
    <x v="2"/>
    <s v="2003 / 2008"/>
    <x v="2"/>
    <s v=""/>
    <n v="0.9662921348314607"/>
    <n v="1.3412213740458014"/>
    <m/>
    <n v="0.72005173963126268"/>
    <n v="0.74516982357188799"/>
    <s v=""/>
    <s v=""/>
    <x v="0"/>
    <s v=""/>
    <s v=""/>
    <s v=""/>
  </r>
  <r>
    <s v="Pakistan"/>
    <x v="0"/>
    <s v="P010556"/>
    <s v="C1"/>
    <s v="S5"/>
    <s v="P010556C1S5"/>
    <x v="0"/>
    <n v="2003"/>
    <x v="2"/>
    <n v="48"/>
    <n v="53.7"/>
    <n v="951"/>
    <s v="PKR"/>
    <n v="16.510416666666668"/>
    <n v="0.30745654872749845"/>
    <s v=""/>
    <s v=""/>
    <x v="0"/>
    <s v=""/>
    <s v=""/>
    <m/>
  </r>
  <r>
    <s v="Pakistan"/>
    <x v="0"/>
    <s v="P010556"/>
    <s v="C1"/>
    <s v="S5"/>
    <s v="P010556C1S5"/>
    <x v="1"/>
    <n v="2013"/>
    <x v="2"/>
    <s v=""/>
    <n v="50"/>
    <n v="1557"/>
    <s v="PKR"/>
    <n v="14.512070090409171"/>
    <n v="0.29024140180818342"/>
    <s v=""/>
    <s v=""/>
    <x v="0"/>
    <s v=""/>
    <s v=""/>
    <m/>
  </r>
  <r>
    <s v="Pakistan"/>
    <x v="0"/>
    <s v="P010556"/>
    <s v="C1"/>
    <s v=""/>
    <s v="P010556C1S5"/>
    <x v="2"/>
    <s v="2003 / 2008"/>
    <x v="2"/>
    <s v=""/>
    <n v="0.93109869646182486"/>
    <n v="1.637223974763407"/>
    <m/>
    <n v="0.87896449758945128"/>
    <n v="0.94400787041107082"/>
    <s v=""/>
    <s v=""/>
    <x v="0"/>
    <s v=""/>
    <s v=""/>
    <s v=""/>
  </r>
  <r>
    <s v="Pakistan"/>
    <x v="0"/>
    <s v="P010556"/>
    <s v="C1"/>
    <s v="S6"/>
    <s v="P010556C1S6"/>
    <x v="0"/>
    <n v="2003"/>
    <x v="2"/>
    <n v="48"/>
    <n v="46"/>
    <n v="750"/>
    <s v="PKR"/>
    <n v="13.020833333333332"/>
    <n v="0.2830615942028985"/>
    <s v=""/>
    <s v=""/>
    <x v="0"/>
    <s v=""/>
    <s v=""/>
    <m/>
  </r>
  <r>
    <s v="Pakistan"/>
    <x v="0"/>
    <s v="P010556"/>
    <s v="C1"/>
    <s v="S6"/>
    <s v="P010556C1S6"/>
    <x v="1"/>
    <n v="2013"/>
    <x v="2"/>
    <s v=""/>
    <n v="47"/>
    <n v="1195"/>
    <s v="PKR"/>
    <n v="11.138037095721876"/>
    <n v="0.23697951267493353"/>
    <s v=""/>
    <s v=""/>
    <x v="0"/>
    <s v=""/>
    <s v=""/>
    <m/>
  </r>
  <r>
    <s v="Pakistan"/>
    <x v="0"/>
    <s v="P010556"/>
    <s v="C1"/>
    <s v=""/>
    <s v="P010556C1S6"/>
    <x v="2"/>
    <s v="2003 / 2008"/>
    <x v="2"/>
    <s v=""/>
    <n v="1.0217391304347827"/>
    <n v="1.5933333333333333"/>
    <m/>
    <n v="0.8554012489514401"/>
    <n v="0.83720122237800532"/>
    <s v=""/>
    <s v=""/>
    <x v="0"/>
    <s v=""/>
    <s v=""/>
    <s v=""/>
  </r>
  <r>
    <s v="Pakistan"/>
    <x v="0"/>
    <s v="P010556"/>
    <s v="C1"/>
    <s v="S7"/>
    <s v="P010556C1S7"/>
    <x v="0"/>
    <n v="2003"/>
    <x v="11"/>
    <n v="48"/>
    <n v="100"/>
    <n v="4509"/>
    <s v="PKR"/>
    <n v="78.28125"/>
    <n v="0.78281250000000002"/>
    <s v=""/>
    <s v=""/>
    <x v="0"/>
    <s v=""/>
    <s v=""/>
    <m/>
  </r>
  <r>
    <s v="Pakistan"/>
    <x v="0"/>
    <s v="P010556"/>
    <s v="C1"/>
    <s v="S7"/>
    <s v="P010556C1S7"/>
    <x v="1"/>
    <n v="2013"/>
    <x v="11"/>
    <s v=""/>
    <n v="100"/>
    <n v="7657"/>
    <s v="PKR"/>
    <n v="71.367322210830451"/>
    <n v="0.71367322210830453"/>
    <s v=""/>
    <s v=""/>
    <x v="0"/>
    <s v=""/>
    <s v=""/>
    <m/>
  </r>
  <r>
    <s v="Pakistan"/>
    <x v="0"/>
    <s v="P010556"/>
    <s v="C1"/>
    <s v=""/>
    <s v="P010556C1S7"/>
    <x v="2"/>
    <s v="2003 / 2008"/>
    <x v="11"/>
    <s v=""/>
    <n v="1"/>
    <n v="1.6981592370813927"/>
    <m/>
    <n v="0.91167836756350273"/>
    <n v="0.91167836756350273"/>
    <s v=""/>
    <s v=""/>
    <x v="0"/>
    <s v=""/>
    <s v=""/>
    <s v=""/>
  </r>
  <r>
    <s v="Pakistan"/>
    <x v="0"/>
    <s v="P125584"/>
    <s v="C1"/>
    <s v="S1"/>
    <s v="P125584C1S1"/>
    <x v="0"/>
    <n v="2011"/>
    <x v="12"/>
    <n v="24"/>
    <n v="10.5"/>
    <n v="5.14"/>
    <s v="USD"/>
    <n v="5.14"/>
    <n v="0.48952380952380947"/>
    <s v=""/>
    <s v=""/>
    <x v="0"/>
    <s v=""/>
    <s v=""/>
    <m/>
  </r>
  <r>
    <s v="Pakistan"/>
    <x v="0"/>
    <s v="P125584"/>
    <s v="C1"/>
    <s v="S1"/>
    <s v="P125584C1S1"/>
    <x v="1"/>
    <n v="2016"/>
    <x v="12"/>
    <n v="24"/>
    <n v="15.5"/>
    <n v="7.4"/>
    <s v="USD"/>
    <n v="7.4"/>
    <n v="0.47741935483870968"/>
    <s v=""/>
    <s v=""/>
    <x v="0"/>
    <s v=""/>
    <s v=""/>
    <m/>
  </r>
  <r>
    <s v="Pakistan"/>
    <x v="0"/>
    <s v="P125584"/>
    <s v="C1"/>
    <s v=""/>
    <s v="P125584C1S1"/>
    <x v="2"/>
    <s v="2003 / 2008"/>
    <x v="12"/>
    <n v="1"/>
    <n v="1.4761904761904763"/>
    <n v="1.4396887159533076"/>
    <m/>
    <n v="1.4396887159533076"/>
    <n v="0.97527300112965998"/>
    <s v=""/>
    <s v=""/>
    <x v="0"/>
    <s v=""/>
    <s v=""/>
    <s v=""/>
  </r>
  <r>
    <s v="Pakistan"/>
    <x v="0"/>
    <s v="P128966"/>
    <s v="C1"/>
    <s v=""/>
    <s v="P128966C1"/>
    <x v="0"/>
    <n v="2012"/>
    <x v="1"/>
    <s v=""/>
    <n v="50"/>
    <n v="13.5"/>
    <s v="USD"/>
    <n v="13.5"/>
    <n v="0.27"/>
    <s v=""/>
    <s v=""/>
    <x v="0"/>
    <s v=""/>
    <s v=""/>
    <m/>
  </r>
  <r>
    <s v="Pakistan"/>
    <x v="0"/>
    <s v="P128966"/>
    <s v="C1"/>
    <s v=""/>
    <s v="P128966C1"/>
    <x v="1"/>
    <n v="2016"/>
    <x v="1"/>
    <n v="31"/>
    <n v="50"/>
    <n v="13.44"/>
    <s v="USD"/>
    <n v="13.44"/>
    <n v="0.26879999999999998"/>
    <s v=""/>
    <s v=""/>
    <x v="0"/>
    <s v=""/>
    <s v=""/>
    <m/>
  </r>
  <r>
    <s v="Pakistan"/>
    <x v="0"/>
    <s v="P128966"/>
    <s v="C1"/>
    <s v=""/>
    <s v="P128966C1"/>
    <x v="2"/>
    <s v="2003 / 2008"/>
    <x v="1"/>
    <s v=""/>
    <n v="1"/>
    <n v="0.99555555555555553"/>
    <m/>
    <n v="0.99555555555555553"/>
    <n v="0.99555555555555542"/>
    <s v=""/>
    <s v=""/>
    <x v="0"/>
    <s v=""/>
    <s v=""/>
    <s v=""/>
  </r>
  <r>
    <s v="Papua New Guinea"/>
    <x v="4"/>
    <s v="P054238"/>
    <s v="C1"/>
    <s v=""/>
    <s v="P054238C1"/>
    <x v="0"/>
    <n v="1999"/>
    <x v="2"/>
    <n v="48"/>
    <n v="21"/>
    <n v="8.19"/>
    <s v="USD"/>
    <n v="8.19"/>
    <n v="0.38999999999999996"/>
    <s v=""/>
    <s v=""/>
    <x v="0"/>
    <s v="x"/>
    <s v="x"/>
    <m/>
  </r>
  <r>
    <s v="Papua New Guinea"/>
    <x v="4"/>
    <s v="P054238"/>
    <s v="C1"/>
    <s v=""/>
    <s v="P054238C1"/>
    <x v="1"/>
    <n v="2008"/>
    <x v="2"/>
    <n v="91.333333333333329"/>
    <n v="21"/>
    <n v="23.09"/>
    <s v="USD"/>
    <n v="23.09"/>
    <n v="1.0995238095238096"/>
    <s v=""/>
    <s v=""/>
    <x v="0"/>
    <s v="x"/>
    <s v="x"/>
    <m/>
  </r>
  <r>
    <s v="Papua New Guinea"/>
    <x v="4"/>
    <s v="P054238"/>
    <s v="C1"/>
    <s v=""/>
    <s v="P054238C1"/>
    <x v="2"/>
    <s v="2003 / 2008"/>
    <x v="2"/>
    <n v="1.9027777777777777"/>
    <n v="1"/>
    <n v="2.8192918192918195"/>
    <m/>
    <n v="2.8192918192918195"/>
    <n v="2.8192918192918199"/>
    <s v=""/>
    <s v=""/>
    <x v="0"/>
    <s v="x"/>
    <s v="x"/>
    <s v="Weather shocks ; Macroeconomic conditions ; Capacity of counterpart "/>
  </r>
  <r>
    <s v="Papua New Guinea"/>
    <x v="4"/>
    <s v="P004397"/>
    <s v="C1"/>
    <s v="S1"/>
    <s v="P004397C1S1"/>
    <x v="0"/>
    <n v="2002"/>
    <x v="4"/>
    <n v="12"/>
    <n v="2200"/>
    <n v="5.8599999999999994"/>
    <s v="USD"/>
    <n v="5.8599999999999994"/>
    <n v="2.6636363636363633E-3"/>
    <s v=""/>
    <s v=""/>
    <x v="0"/>
    <s v="x"/>
    <s v="x"/>
    <m/>
  </r>
  <r>
    <s v="Papua New Guinea"/>
    <x v="4"/>
    <s v="P004397"/>
    <s v="C1"/>
    <s v="S1"/>
    <s v="P004397C1S1"/>
    <x v="1"/>
    <n v="2012"/>
    <x v="4"/>
    <n v="48"/>
    <n v="1788"/>
    <n v="23.7"/>
    <s v="PGK"/>
    <n v="11.504854368932039"/>
    <n v="6.4344823092461062E-3"/>
    <s v=""/>
    <s v=""/>
    <x v="0"/>
    <s v="x"/>
    <s v="x"/>
    <m/>
  </r>
  <r>
    <s v="Papua New Guinea"/>
    <x v="4"/>
    <s v="P004397"/>
    <s v="C1"/>
    <s v=""/>
    <s v="P004397C1S1"/>
    <x v="2"/>
    <s v="2003 / 2008"/>
    <x v="4"/>
    <n v="4"/>
    <n v="0.81272727272727274"/>
    <n v="4.0443686006825939"/>
    <m/>
    <n v="1.9632857284866962"/>
    <n v="2.4156759522766955"/>
    <s v=""/>
    <s v=""/>
    <x v="0"/>
    <s v="x"/>
    <s v="x"/>
    <s v="Macroeconomic conditions; Weather shocks ; "/>
  </r>
  <r>
    <s v="Papua New Guinea"/>
    <x v="4"/>
    <s v="P004397"/>
    <s v="C1"/>
    <s v="S2"/>
    <s v="P004397C1S2"/>
    <x v="0"/>
    <n v="2002"/>
    <x v="2"/>
    <s v=""/>
    <n v="440"/>
    <n v="16.66"/>
    <s v="USD"/>
    <n v="16.66"/>
    <n v="3.7863636363636363E-2"/>
    <s v=""/>
    <s v=""/>
    <x v="0"/>
    <s v="x"/>
    <s v="x"/>
    <m/>
  </r>
  <r>
    <s v="Papua New Guinea"/>
    <x v="4"/>
    <s v="P004397"/>
    <s v="C1"/>
    <s v="S2"/>
    <s v="P004397C1S2"/>
    <x v="1"/>
    <n v="2012"/>
    <x v="2"/>
    <n v="48"/>
    <n v="622.4"/>
    <n v="187.36"/>
    <s v="PGK"/>
    <n v="90.951456310679617"/>
    <n v="0.14613023186163179"/>
    <s v=""/>
    <s v=""/>
    <x v="0"/>
    <s v="x"/>
    <s v="x"/>
    <m/>
  </r>
  <r>
    <s v="Papua New Guinea"/>
    <x v="4"/>
    <s v="P004397"/>
    <s v="C1"/>
    <s v=""/>
    <s v="P004397C1S2"/>
    <x v="2"/>
    <s v="2003 / 2008"/>
    <x v="2"/>
    <s v=""/>
    <n v="1.4145454545454546"/>
    <n v="11.246098439375752"/>
    <m/>
    <n v="5.4592710870756074"/>
    <n v="3.8593818738966381"/>
    <s v=""/>
    <s v=""/>
    <x v="0"/>
    <s v="x"/>
    <s v="x"/>
    <s v="Macroeconomic conditions; Weather shocks ; "/>
  </r>
  <r>
    <s v="Papua New Guinea"/>
    <x v="4"/>
    <s v="P004397"/>
    <s v="C2"/>
    <s v="S1"/>
    <s v="P004397C2S1"/>
    <x v="0"/>
    <n v="2002"/>
    <x v="4"/>
    <n v="12"/>
    <n v="900"/>
    <n v="2.97"/>
    <s v="USD"/>
    <n v="2.97"/>
    <n v="3.3000000000000004E-3"/>
    <s v=""/>
    <s v=""/>
    <x v="0"/>
    <s v=""/>
    <s v=""/>
    <m/>
  </r>
  <r>
    <s v="Papua New Guinea"/>
    <x v="4"/>
    <s v="P004397"/>
    <s v="C2"/>
    <s v="S1"/>
    <s v="P004397C2S1"/>
    <x v="1"/>
    <n v="2012"/>
    <x v="4"/>
    <n v="48"/>
    <n v="664"/>
    <n v="3.8"/>
    <s v="PGK"/>
    <n v="1.8446601941747571"/>
    <n v="2.7781027020704172E-3"/>
    <s v=""/>
    <s v=""/>
    <x v="0"/>
    <s v=""/>
    <s v=""/>
    <m/>
  </r>
  <r>
    <s v="Papua New Guinea"/>
    <x v="4"/>
    <s v="P004397"/>
    <s v="C1"/>
    <s v=""/>
    <s v="P004397C2S1"/>
    <x v="2"/>
    <s v="2003 / 2008"/>
    <x v="4"/>
    <n v="4"/>
    <n v="0.73777777777777775"/>
    <n v="1.2794612794612794"/>
    <m/>
    <n v="0.62109770847634915"/>
    <n v="0.84184930365770205"/>
    <s v=""/>
    <s v=""/>
    <x v="0"/>
    <s v=""/>
    <s v=""/>
    <s v=""/>
  </r>
  <r>
    <s v="Papua New Guinea"/>
    <x v="4"/>
    <s v="P004397"/>
    <s v="C2"/>
    <s v="S2"/>
    <s v="P004397C2S2"/>
    <x v="0"/>
    <n v="2002"/>
    <x v="2"/>
    <s v=""/>
    <n v="200"/>
    <n v="3.4"/>
    <s v="USD"/>
    <n v="3.4"/>
    <n v="1.7000000000000001E-2"/>
    <s v=""/>
    <s v=""/>
    <x v="0"/>
    <s v="x"/>
    <s v="x"/>
    <m/>
  </r>
  <r>
    <s v="Papua New Guinea"/>
    <x v="4"/>
    <s v="P004397"/>
    <s v="C2"/>
    <s v="S2"/>
    <s v="P004397C2S2"/>
    <x v="1"/>
    <n v="2012"/>
    <x v="2"/>
    <n v="48"/>
    <n v="156"/>
    <n v="32.200000000000003"/>
    <s v="PGK"/>
    <n v="15.63106796116505"/>
    <n v="0.10019915359721186"/>
    <s v=""/>
    <s v=""/>
    <x v="0"/>
    <s v="x"/>
    <s v="x"/>
    <m/>
  </r>
  <r>
    <s v="Papua New Guinea"/>
    <x v="4"/>
    <s v="P004397"/>
    <s v="C1"/>
    <s v=""/>
    <s v="P004397C2S2"/>
    <x v="2"/>
    <s v="2003 / 2008"/>
    <x v="2"/>
    <s v=""/>
    <n v="0.78"/>
    <n v="9.4705882352941195"/>
    <m/>
    <n v="4.5973729297544264"/>
    <n v="5.894067858659521"/>
    <s v=""/>
    <s v=""/>
    <x v="0"/>
    <s v="x"/>
    <s v="x"/>
    <s v="Macroeconomic conditions; Weather shocks; "/>
  </r>
  <r>
    <s v="Paraguay"/>
    <x v="3"/>
    <s v="P082026"/>
    <s v="C1"/>
    <s v=""/>
    <s v="P082026C1"/>
    <x v="0"/>
    <n v="2006"/>
    <x v="0"/>
    <s v=""/>
    <n v="968"/>
    <n v="43.45"/>
    <s v="USD"/>
    <n v="43.45"/>
    <n v="4.4886363636363641E-2"/>
    <s v=""/>
    <s v=""/>
    <x v="0"/>
    <s v="x"/>
    <s v="x"/>
    <m/>
  </r>
  <r>
    <s v="Paraguay"/>
    <x v="3"/>
    <s v="P082026"/>
    <s v="C1"/>
    <s v=""/>
    <s v="P082026C1"/>
    <x v="1"/>
    <n v="2016"/>
    <x v="0"/>
    <s v=""/>
    <n v="623"/>
    <n v="73.47"/>
    <s v="USD"/>
    <n v="73.47"/>
    <n v="0.11792937399678972"/>
    <s v=""/>
    <s v=""/>
    <x v="0"/>
    <s v="x"/>
    <s v="x"/>
    <m/>
  </r>
  <r>
    <s v="Paraguay"/>
    <x v="3"/>
    <s v="P082026"/>
    <s v="C1"/>
    <s v=""/>
    <s v="P082026C1"/>
    <x v="2"/>
    <s v="2003 / 2008"/>
    <x v="0"/>
    <s v=""/>
    <n v="0.64359504132231404"/>
    <n v="1.6909090909090907"/>
    <m/>
    <n v="1.6909090909090907"/>
    <n v="2.6272873194221504"/>
    <s v=""/>
    <s v=""/>
    <x v="0"/>
    <s v="x"/>
    <s v="x"/>
    <s v="Quality of estimates; ; "/>
  </r>
  <r>
    <s v="Paraguay"/>
    <x v="3"/>
    <s v="P082026"/>
    <s v="C1"/>
    <s v="S1"/>
    <s v="P082026C1S1"/>
    <x v="0"/>
    <n v="2006"/>
    <x v="0"/>
    <n v="48"/>
    <n v="108"/>
    <n v="4.5999999999999996"/>
    <s v="USD"/>
    <n v="4.5999999999999996"/>
    <n v="4.2592592592592592E-2"/>
    <s v=""/>
    <s v=""/>
    <x v="0"/>
    <s v=""/>
    <s v=""/>
    <m/>
  </r>
  <r>
    <s v="Paraguay"/>
    <x v="3"/>
    <s v="P082026"/>
    <s v="C1"/>
    <s v="S1"/>
    <s v="P082026C1S1"/>
    <x v="1"/>
    <n v="2016"/>
    <x v="0"/>
    <n v="48"/>
    <n v="108"/>
    <n v="5.47"/>
    <s v="USD"/>
    <n v="5.47"/>
    <n v="5.0648148148148144E-2"/>
    <s v=""/>
    <s v=""/>
    <x v="0"/>
    <s v=""/>
    <s v=""/>
    <m/>
  </r>
  <r>
    <s v="Paraguay"/>
    <x v="3"/>
    <s v="P082026"/>
    <s v="C1"/>
    <s v=""/>
    <s v="P082026C1S1"/>
    <x v="2"/>
    <s v="2003 / 2008"/>
    <x v="0"/>
    <n v="1"/>
    <n v="1"/>
    <n v="1.1891304347826088"/>
    <m/>
    <n v="1.1891304347826088"/>
    <n v="1.1891304347826086"/>
    <s v=""/>
    <s v=""/>
    <x v="0"/>
    <s v=""/>
    <s v=""/>
    <s v=""/>
  </r>
  <r>
    <s v="Paraguay"/>
    <x v="3"/>
    <s v="P082026"/>
    <s v="C1"/>
    <s v="S2"/>
    <s v="P082026C1S2"/>
    <x v="0"/>
    <n v="2006"/>
    <x v="0"/>
    <n v="48"/>
    <n v="381"/>
    <n v="10.3"/>
    <s v="USD"/>
    <n v="10.3"/>
    <n v="2.703412073490814E-2"/>
    <s v=""/>
    <s v=""/>
    <x v="0"/>
    <s v="x"/>
    <s v="x"/>
    <m/>
  </r>
  <r>
    <s v="Paraguay"/>
    <x v="3"/>
    <s v="P082026"/>
    <s v="C1"/>
    <s v="S2"/>
    <s v="P082026C1S2"/>
    <x v="1"/>
    <n v="2016"/>
    <x v="0"/>
    <n v="48"/>
    <n v="381"/>
    <n v="17.97"/>
    <s v="USD"/>
    <n v="17.97"/>
    <n v="4.7165354330708661E-2"/>
    <s v=""/>
    <s v=""/>
    <x v="0"/>
    <s v="x"/>
    <s v="x"/>
    <m/>
  </r>
  <r>
    <s v="Paraguay"/>
    <x v="3"/>
    <s v="P082026"/>
    <s v="C1"/>
    <s v=""/>
    <s v="P082026C1S2"/>
    <x v="2"/>
    <s v="2003 / 2008"/>
    <x v="0"/>
    <n v="1"/>
    <n v="1"/>
    <n v="1.744660194174757"/>
    <m/>
    <n v="1.744660194174757"/>
    <n v="1.744660194174757"/>
    <s v=""/>
    <s v=""/>
    <x v="0"/>
    <s v="x"/>
    <s v="x"/>
    <s v="Quality of estimates; ; "/>
  </r>
  <r>
    <s v="Paraguay"/>
    <x v="3"/>
    <s v="P082026"/>
    <s v="C1"/>
    <s v="S3"/>
    <s v="P082026C1S3"/>
    <x v="0"/>
    <n v="2006"/>
    <x v="0"/>
    <n v="20.924855491329481"/>
    <n v="142"/>
    <n v="10.7"/>
    <s v="USD"/>
    <n v="10.7"/>
    <n v="7.5352112676056335E-2"/>
    <s v=""/>
    <s v=""/>
    <x v="0"/>
    <s v="x"/>
    <s v="x"/>
    <m/>
  </r>
  <r>
    <s v="Paraguay"/>
    <x v="3"/>
    <s v="P082026"/>
    <s v="C1"/>
    <s v="S3"/>
    <s v="P082026C1S3"/>
    <x v="1"/>
    <n v="2016"/>
    <x v="0"/>
    <n v="36.166666666666664"/>
    <n v="142"/>
    <n v="42.221699999999998"/>
    <s v="USD"/>
    <n v="42.221699999999998"/>
    <n v="0.29733591549295774"/>
    <s v=""/>
    <s v=""/>
    <x v="0"/>
    <s v="x"/>
    <s v="x"/>
    <m/>
  </r>
  <r>
    <s v="Paraguay"/>
    <x v="3"/>
    <s v="P082026"/>
    <s v="C1"/>
    <s v=""/>
    <s v="P082026C1S3"/>
    <x v="2"/>
    <s v="2003 / 2008"/>
    <x v="0"/>
    <n v="1.7284069981583792"/>
    <n v="1"/>
    <n v="3.9459532710280376"/>
    <m/>
    <n v="3.9459532710280376"/>
    <n v="3.9459532710280376"/>
    <s v=""/>
    <s v=""/>
    <x v="0"/>
    <s v="x"/>
    <s v="x"/>
    <s v="Quality of estimates; ; "/>
  </r>
  <r>
    <s v="Paraguay"/>
    <x v="3"/>
    <s v="P082026"/>
    <s v="C2"/>
    <s v=""/>
    <s v="P082026C2"/>
    <x v="0"/>
    <n v="2006"/>
    <x v="2"/>
    <s v=""/>
    <n v="337.9"/>
    <n v="42.9"/>
    <s v="USD"/>
    <n v="42.9"/>
    <n v="0.12696063924237941"/>
    <s v="x"/>
    <s v=""/>
    <x v="0"/>
    <s v=""/>
    <s v="x"/>
    <m/>
  </r>
  <r>
    <s v="Paraguay"/>
    <x v="3"/>
    <s v="P082026"/>
    <s v="C2"/>
    <s v=""/>
    <s v="P082026C2"/>
    <x v="1"/>
    <n v="2016"/>
    <x v="2"/>
    <s v=""/>
    <n v="143"/>
    <n v="26.34"/>
    <s v="USD"/>
    <n v="26.34"/>
    <n v="0.1841958041958042"/>
    <s v="x"/>
    <s v=""/>
    <x v="0"/>
    <s v=""/>
    <s v="x"/>
    <m/>
  </r>
  <r>
    <s v="Paraguay"/>
    <x v="3"/>
    <s v="P082026"/>
    <s v="C1"/>
    <s v=""/>
    <s v="P082026C2"/>
    <x v="2"/>
    <s v="2003 / 2008"/>
    <x v="2"/>
    <s v=""/>
    <n v="0.42320213080793134"/>
    <n v="0.61398601398601405"/>
    <m/>
    <n v="0.61398601398601405"/>
    <n v="1.4508103085725463"/>
    <s v="x"/>
    <s v=""/>
    <x v="0"/>
    <s v=""/>
    <s v="x"/>
    <s v="Change of project scope; ; "/>
  </r>
  <r>
    <s v="Paraguay"/>
    <x v="3"/>
    <s v="P082026"/>
    <s v="C2"/>
    <s v="S1"/>
    <s v="P082026C2S1"/>
    <x v="0"/>
    <n v="2006"/>
    <x v="2"/>
    <n v="15.040000000000001"/>
    <n v="121.6"/>
    <n v="4.9000000000000004"/>
    <s v="USD"/>
    <n v="4.9000000000000004"/>
    <n v="4.0296052631578955E-2"/>
    <s v="x"/>
    <s v=""/>
    <x v="0"/>
    <s v="x"/>
    <s v="x"/>
    <m/>
  </r>
  <r>
    <s v="Paraguay"/>
    <x v="3"/>
    <s v="P082026"/>
    <s v="C2"/>
    <s v="S1"/>
    <s v="P082026C2S1"/>
    <x v="1"/>
    <n v="2016"/>
    <x v="2"/>
    <n v="18.8"/>
    <n v="35.700000000000003"/>
    <n v="6.87"/>
    <s v="USD"/>
    <n v="6.87"/>
    <n v="0.19243697478991595"/>
    <s v="x"/>
    <s v=""/>
    <x v="0"/>
    <s v="x"/>
    <s v="x"/>
    <m/>
  </r>
  <r>
    <s v="Paraguay"/>
    <x v="3"/>
    <s v="P082026"/>
    <s v="C1"/>
    <s v=""/>
    <s v="P082026C2S1"/>
    <x v="2"/>
    <s v="2003 / 2008"/>
    <x v="2"/>
    <n v="1.25"/>
    <n v="0.29358552631578949"/>
    <n v="1.4020408163265305"/>
    <m/>
    <n v="1.4020408163265305"/>
    <n v="4.7755788029497497"/>
    <s v="x"/>
    <s v=""/>
    <x v="0"/>
    <s v="x"/>
    <s v="x"/>
    <s v="Change of project scope; Quality of estimates; "/>
  </r>
  <r>
    <s v="Paraguay"/>
    <x v="3"/>
    <s v="P082026"/>
    <s v="C2"/>
    <s v="S2"/>
    <s v="P082026C2S2"/>
    <x v="0"/>
    <n v="2006"/>
    <x v="2"/>
    <n v="20"/>
    <n v="113.4"/>
    <n v="4.2"/>
    <s v="USD"/>
    <n v="4.2"/>
    <n v="3.7037037037037035E-2"/>
    <s v="x"/>
    <s v=""/>
    <x v="0"/>
    <s v="x"/>
    <s v="x"/>
    <m/>
  </r>
  <r>
    <s v="Paraguay"/>
    <x v="3"/>
    <s v="P082026"/>
    <s v="C2"/>
    <s v="S2"/>
    <s v="P082026C2S2"/>
    <x v="1"/>
    <n v="2016"/>
    <x v="2"/>
    <n v="21.333333333333332"/>
    <n v="35.5"/>
    <n v="6.19"/>
    <s v="USD"/>
    <n v="6.19"/>
    <n v="0.17436619718309859"/>
    <s v="x"/>
    <s v=""/>
    <x v="0"/>
    <s v="x"/>
    <s v="x"/>
    <m/>
  </r>
  <r>
    <s v="Paraguay"/>
    <x v="3"/>
    <s v="P082026"/>
    <s v="C1"/>
    <s v=""/>
    <s v="P082026C2S2"/>
    <x v="2"/>
    <s v="2003 / 2008"/>
    <x v="2"/>
    <n v="1.0666666666666667"/>
    <n v="0.31305114638447973"/>
    <n v="1.4738095238095239"/>
    <m/>
    <n v="1.4738095238095239"/>
    <n v="4.7078873239436625"/>
    <s v="x"/>
    <s v=""/>
    <x v="0"/>
    <s v="x"/>
    <s v="x"/>
    <s v="Quality of estimates; Change of project scope; "/>
  </r>
  <r>
    <s v="Paraguay"/>
    <x v="3"/>
    <s v="P082026"/>
    <s v="C2"/>
    <s v="S3"/>
    <s v="P082026C2S3"/>
    <x v="0"/>
    <n v="2006"/>
    <x v="2"/>
    <n v="12.052631578947368"/>
    <n v="102.9"/>
    <n v="3.5"/>
    <s v="USD"/>
    <n v="3.5"/>
    <n v="3.4013605442176867E-2"/>
    <s v="x"/>
    <s v=""/>
    <x v="0"/>
    <s v="x"/>
    <s v="x"/>
    <m/>
  </r>
  <r>
    <s v="Paraguay"/>
    <x v="3"/>
    <s v="P082026"/>
    <s v="C2"/>
    <s v="S3"/>
    <s v="P082026C2S3"/>
    <x v="1"/>
    <n v="2016"/>
    <x v="2"/>
    <n v="22.866666666666667"/>
    <n v="14.7"/>
    <n v="3.26"/>
    <s v="USD"/>
    <n v="3.26"/>
    <n v="0.22176870748299318"/>
    <s v="x"/>
    <s v=""/>
    <x v="0"/>
    <s v="x"/>
    <s v="x"/>
    <m/>
  </r>
  <r>
    <s v="Paraguay"/>
    <x v="3"/>
    <s v="P082026"/>
    <s v="C1"/>
    <s v=""/>
    <s v="P082026C2S3"/>
    <x v="2"/>
    <s v="2003 / 2008"/>
    <x v="2"/>
    <n v="1.8972343522561863"/>
    <n v="0.14285714285714285"/>
    <n v="0.93142857142857138"/>
    <m/>
    <n v="0.93142857142857138"/>
    <n v="6.5200000000000005"/>
    <s v="x"/>
    <s v=""/>
    <x v="0"/>
    <s v="x"/>
    <s v="x"/>
    <s v="Change of project scope; Quality of estimates; "/>
  </r>
  <r>
    <s v="Peru"/>
    <x v="3"/>
    <s v="P044601"/>
    <s v="C1"/>
    <s v=""/>
    <s v="P044601C1"/>
    <x v="0"/>
    <n v="2001"/>
    <x v="2"/>
    <s v=""/>
    <n v="3575"/>
    <n v="61.7"/>
    <s v="USD"/>
    <n v="61.7"/>
    <n v="1.7258741258741259E-2"/>
    <s v=""/>
    <s v=""/>
    <x v="0"/>
    <s v=""/>
    <s v=""/>
    <m/>
  </r>
  <r>
    <s v="Peru"/>
    <x v="3"/>
    <s v="P044601"/>
    <s v="C1"/>
    <s v=""/>
    <s v="P044601C1"/>
    <x v="1"/>
    <n v="2007"/>
    <x v="2"/>
    <s v=""/>
    <n v="4692"/>
    <n v="65.33"/>
    <s v="USD"/>
    <n v="65.33"/>
    <n v="1.3923699914748507E-2"/>
    <s v=""/>
    <s v=""/>
    <x v="0"/>
    <s v=""/>
    <s v=""/>
    <m/>
  </r>
  <r>
    <s v="Peru"/>
    <x v="3"/>
    <s v="P044601"/>
    <s v="C1"/>
    <s v=""/>
    <s v="P044601C1"/>
    <x v="2"/>
    <s v="2003 / 2008"/>
    <x v="2"/>
    <s v=""/>
    <n v="1.3124475524475525"/>
    <n v="1.0588330632090761"/>
    <m/>
    <n v="1.0588330632090761"/>
    <n v="0.80676219117059833"/>
    <s v=""/>
    <s v=""/>
    <x v="0"/>
    <s v=""/>
    <s v=""/>
    <s v=""/>
  </r>
  <r>
    <s v="Peru"/>
    <x v="3"/>
    <s v="P044601"/>
    <s v="C2"/>
    <s v=""/>
    <s v="P044601C2"/>
    <x v="0"/>
    <n v="2001"/>
    <x v="4"/>
    <s v=""/>
    <n v="13495"/>
    <n v="51.8"/>
    <s v="USD"/>
    <n v="51.8"/>
    <n v="3.8384586884031122E-3"/>
    <s v=""/>
    <s v=""/>
    <x v="0"/>
    <s v=""/>
    <s v=""/>
    <m/>
  </r>
  <r>
    <s v="Peru"/>
    <x v="3"/>
    <s v="P044601"/>
    <s v="C2"/>
    <s v=""/>
    <s v="P044601C2"/>
    <x v="1"/>
    <n v="2007"/>
    <x v="4"/>
    <s v=""/>
    <n v="14750"/>
    <n v="38.590000000000003"/>
    <s v="USD"/>
    <n v="38.590000000000003"/>
    <n v="2.6162711864406783E-3"/>
    <s v=""/>
    <s v=""/>
    <x v="0"/>
    <s v=""/>
    <s v=""/>
    <m/>
  </r>
  <r>
    <s v="Peru"/>
    <x v="3"/>
    <s v="P044601"/>
    <s v="C1"/>
    <s v=""/>
    <s v="P044601C2"/>
    <x v="2"/>
    <s v="2003 / 2008"/>
    <x v="4"/>
    <s v=""/>
    <n v="1.0929974064468322"/>
    <n v="0.74498069498069508"/>
    <m/>
    <n v="0.74498069498069508"/>
    <n v="0.6815942019501342"/>
    <s v=""/>
    <s v=""/>
    <x v="0"/>
    <s v=""/>
    <s v=""/>
    <s v=""/>
  </r>
  <r>
    <s v="Peru"/>
    <x v="3"/>
    <s v="P078813"/>
    <s v="C1"/>
    <s v=""/>
    <s v="P078813C1"/>
    <x v="0"/>
    <n v="2005"/>
    <x v="2"/>
    <s v=""/>
    <n v="4900"/>
    <n v="138.84"/>
    <s v="USD"/>
    <n v="138.84"/>
    <n v="2.8334693877551023E-2"/>
    <s v=""/>
    <s v=""/>
    <x v="0"/>
    <s v=""/>
    <s v=""/>
    <m/>
  </r>
  <r>
    <s v="Peru"/>
    <x v="3"/>
    <s v="P078813"/>
    <s v="C1"/>
    <s v=""/>
    <s v="P078813C1"/>
    <x v="1"/>
    <n v="2014"/>
    <x v="2"/>
    <s v=""/>
    <n v="5103"/>
    <n v="141.49"/>
    <s v="USD"/>
    <n v="141.49"/>
    <n v="2.7726827356456988E-2"/>
    <s v=""/>
    <s v=""/>
    <x v="0"/>
    <s v=""/>
    <s v=""/>
    <m/>
  </r>
  <r>
    <s v="Peru"/>
    <x v="3"/>
    <s v="P078813"/>
    <s v="C1"/>
    <s v=""/>
    <s v="P078813C1"/>
    <x v="2"/>
    <s v="2003 / 2008"/>
    <x v="2"/>
    <s v=""/>
    <n v="1.0414285714285714"/>
    <n v="1.0190867185249208"/>
    <m/>
    <n v="1.0190867185249208"/>
    <n v="0.97854691765081558"/>
    <s v=""/>
    <s v=""/>
    <x v="0"/>
    <s v=""/>
    <s v=""/>
    <s v=""/>
  </r>
  <r>
    <s v="Peru"/>
    <x v="3"/>
    <s v="P078813"/>
    <s v="C1"/>
    <s v="S1"/>
    <s v="P078813C1S1"/>
    <x v="0"/>
    <n v="2005"/>
    <x v="2"/>
    <s v=""/>
    <n v="2200"/>
    <n v="110"/>
    <s v="USD"/>
    <n v="110"/>
    <n v="0.05"/>
    <s v=""/>
    <s v=""/>
    <x v="0"/>
    <s v=""/>
    <s v=""/>
    <m/>
  </r>
  <r>
    <s v="Peru"/>
    <x v="3"/>
    <s v="P078813"/>
    <s v="C1"/>
    <s v="S1"/>
    <s v="P078813C1S1"/>
    <x v="1"/>
    <n v="2014"/>
    <x v="2"/>
    <s v=""/>
    <n v="1562"/>
    <n v="102.36"/>
    <s v="USD"/>
    <n v="102.36"/>
    <n v="6.5531370038412293E-2"/>
    <s v=""/>
    <s v=""/>
    <x v="0"/>
    <s v=""/>
    <s v=""/>
    <m/>
  </r>
  <r>
    <s v="Peru"/>
    <x v="3"/>
    <s v="P078813"/>
    <s v="C1"/>
    <s v=""/>
    <s v="P078813C1S1"/>
    <x v="2"/>
    <s v="2003 / 2008"/>
    <x v="2"/>
    <s v=""/>
    <n v="0.71"/>
    <n v="0.93054545454545456"/>
    <m/>
    <n v="0.93054545454545456"/>
    <n v="1.3106274007682457"/>
    <s v=""/>
    <s v=""/>
    <x v="0"/>
    <s v=""/>
    <s v=""/>
    <s v=""/>
  </r>
  <r>
    <s v="Peru"/>
    <x v="3"/>
    <s v="P078813"/>
    <s v="C1"/>
    <s v="S2"/>
    <s v="P078813C1S2"/>
    <x v="0"/>
    <n v="2005"/>
    <x v="14"/>
    <s v=""/>
    <n v="2700"/>
    <n v="18.91"/>
    <s v="USD"/>
    <n v="18.91"/>
    <n v="7.0037037037037038E-3"/>
    <s v=""/>
    <s v=""/>
    <x v="0"/>
    <s v=""/>
    <s v=""/>
    <m/>
  </r>
  <r>
    <s v="Peru"/>
    <x v="3"/>
    <s v="P078813"/>
    <s v="C1"/>
    <s v="S2"/>
    <s v="P078813C1S2"/>
    <x v="1"/>
    <n v="2014"/>
    <x v="14"/>
    <s v=""/>
    <n v="3541"/>
    <n v="28.23"/>
    <s v="USD"/>
    <n v="28.23"/>
    <n v="7.9723242022027678E-3"/>
    <s v=""/>
    <s v=""/>
    <x v="0"/>
    <s v=""/>
    <s v=""/>
    <m/>
  </r>
  <r>
    <s v="Peru"/>
    <x v="3"/>
    <s v="P078813"/>
    <s v="C1"/>
    <s v=""/>
    <s v="P078813C1S2"/>
    <x v="2"/>
    <s v="2003 / 2008"/>
    <x v="14"/>
    <s v=""/>
    <n v="1.3114814814814815"/>
    <n v="1.4928609201480698"/>
    <m/>
    <n v="1.4928609201480698"/>
    <n v="1.138301181700025"/>
    <s v=""/>
    <s v=""/>
    <x v="0"/>
    <s v=""/>
    <s v=""/>
    <s v=""/>
  </r>
  <r>
    <s v="Peru"/>
    <x v="3"/>
    <s v="P095570"/>
    <s v="C1"/>
    <s v=""/>
    <s v="P095570C1"/>
    <x v="0"/>
    <n v="2006"/>
    <x v="14"/>
    <s v=""/>
    <n v="16850"/>
    <n v="99.6"/>
    <s v="USD"/>
    <n v="99.6"/>
    <n v="5.9109792284866465E-3"/>
    <s v=""/>
    <s v=""/>
    <x v="0"/>
    <s v="x"/>
    <s v="x"/>
    <m/>
  </r>
  <r>
    <s v="Peru"/>
    <x v="3"/>
    <s v="P095570"/>
    <s v="C1"/>
    <s v=""/>
    <s v="P095570C1"/>
    <x v="1"/>
    <n v="2014"/>
    <x v="14"/>
    <s v=""/>
    <n v="13439"/>
    <n v="129.80000000000001"/>
    <s v="USD"/>
    <n v="129.80000000000001"/>
    <n v="9.6584567304114893E-3"/>
    <s v=""/>
    <s v=""/>
    <x v="0"/>
    <s v="x"/>
    <s v="x"/>
    <m/>
  </r>
  <r>
    <s v="Peru"/>
    <x v="3"/>
    <s v="P095570"/>
    <s v="C1"/>
    <s v=""/>
    <s v="P095570C1"/>
    <x v="2"/>
    <s v="2003 / 2008"/>
    <x v="14"/>
    <s v=""/>
    <n v="0.79756676557863504"/>
    <n v="1.3032128514056227"/>
    <m/>
    <n v="1.3032128514056227"/>
    <n v="1.6339859026850763"/>
    <s v=""/>
    <s v=""/>
    <x v="0"/>
    <s v="x"/>
    <s v="x"/>
    <s v="Macroeconomic conditions; ; "/>
  </r>
  <r>
    <s v="Peru"/>
    <x v="3"/>
    <s v="P095570"/>
    <s v="C1"/>
    <s v="S1"/>
    <s v="P095570C1S1"/>
    <x v="0"/>
    <n v="2006"/>
    <x v="2"/>
    <s v=""/>
    <n v="3000"/>
    <n v="47.7"/>
    <s v="USD"/>
    <n v="47.7"/>
    <n v="1.5900000000000001E-2"/>
    <s v=""/>
    <s v=""/>
    <x v="0"/>
    <s v="x"/>
    <s v="x"/>
    <m/>
  </r>
  <r>
    <s v="Peru"/>
    <x v="3"/>
    <s v="P095570"/>
    <s v="C1"/>
    <s v="S1"/>
    <s v="P095570C1S1"/>
    <x v="1"/>
    <n v="2014"/>
    <x v="2"/>
    <s v=""/>
    <n v="3277"/>
    <n v="81.374046000000007"/>
    <s v="USD"/>
    <n v="81.374046000000007"/>
    <n v="2.483187244430882E-2"/>
    <s v=""/>
    <s v=""/>
    <x v="0"/>
    <s v="x"/>
    <s v="x"/>
    <m/>
  </r>
  <r>
    <s v="Peru"/>
    <x v="3"/>
    <s v="P095570"/>
    <s v="C1"/>
    <s v=""/>
    <s v="P095570C1S1"/>
    <x v="2"/>
    <s v="2003 / 2008"/>
    <x v="2"/>
    <s v=""/>
    <n v="1.0923333333333334"/>
    <n v="1.7059548427672957"/>
    <m/>
    <n v="1.7059548427672957"/>
    <n v="1.5617529839187936"/>
    <s v=""/>
    <s v=""/>
    <x v="0"/>
    <s v="x"/>
    <s v="x"/>
    <s v="Macroeconomic conditions; ; "/>
  </r>
  <r>
    <s v="Peru"/>
    <x v="3"/>
    <s v="P095570"/>
    <s v="C1"/>
    <s v="S2"/>
    <s v="P095570C1S2"/>
    <x v="0"/>
    <n v="2006"/>
    <x v="14"/>
    <s v=""/>
    <n v="11200"/>
    <n v="31.4"/>
    <s v="USD"/>
    <n v="31.4"/>
    <n v="2.8035714285714283E-3"/>
    <s v=""/>
    <s v=""/>
    <x v="0"/>
    <s v="x"/>
    <s v="x"/>
    <m/>
  </r>
  <r>
    <s v="Peru"/>
    <x v="3"/>
    <s v="P095570"/>
    <s v="C1"/>
    <s v="S2"/>
    <s v="P095570C1S2"/>
    <x v="1"/>
    <n v="2014"/>
    <x v="14"/>
    <s v=""/>
    <n v="7806"/>
    <n v="40.002380000000002"/>
    <s v="USD"/>
    <n v="40.002380000000002"/>
    <n v="5.1245682808096337E-3"/>
    <s v=""/>
    <s v=""/>
    <x v="0"/>
    <s v="x"/>
    <s v="x"/>
    <m/>
  </r>
  <r>
    <s v="Peru"/>
    <x v="3"/>
    <s v="P095570"/>
    <s v="C1"/>
    <s v=""/>
    <s v="P095570C1S2"/>
    <x v="2"/>
    <s v="2003 / 2008"/>
    <x v="14"/>
    <s v=""/>
    <n v="0.6969642857142857"/>
    <n v="1.2739611464968155"/>
    <m/>
    <n v="1.2739611464968155"/>
    <n v="1.82787148869643"/>
    <s v=""/>
    <s v=""/>
    <x v="0"/>
    <s v="x"/>
    <s v="x"/>
    <s v="Macroeconomic conditions; ; "/>
  </r>
  <r>
    <s v="Peru"/>
    <x v="3"/>
    <s v="P095570"/>
    <s v="C1"/>
    <s v="S3"/>
    <s v="P095570C1S3"/>
    <x v="0"/>
    <n v="2006"/>
    <x v="2"/>
    <s v=""/>
    <n v="2650"/>
    <n v="5"/>
    <s v="USD"/>
    <n v="5"/>
    <n v="1.8867924528301887E-3"/>
    <s v=""/>
    <s v=""/>
    <x v="0"/>
    <s v=""/>
    <s v=""/>
    <m/>
  </r>
  <r>
    <s v="Peru"/>
    <x v="3"/>
    <s v="P095570"/>
    <s v="C1"/>
    <s v="S3"/>
    <s v="P095570C1S3"/>
    <x v="1"/>
    <n v="2014"/>
    <x v="2"/>
    <s v=""/>
    <n v="2356"/>
    <n v="6.3991199999999999"/>
    <s v="USD"/>
    <n v="6.3991199999999999"/>
    <n v="2.7160950764006792E-3"/>
    <s v=""/>
    <s v=""/>
    <x v="0"/>
    <s v=""/>
    <s v=""/>
    <m/>
  </r>
  <r>
    <s v="Peru"/>
    <x v="3"/>
    <s v="P095570"/>
    <s v="C1"/>
    <s v=""/>
    <s v="P095570C1S3"/>
    <x v="2"/>
    <s v="2003 / 2008"/>
    <x v="2"/>
    <s v=""/>
    <n v="0.88905660377358486"/>
    <n v="1.2798240000000001"/>
    <m/>
    <n v="1.2798240000000001"/>
    <n v="1.43953039049236"/>
    <s v=""/>
    <s v=""/>
    <x v="0"/>
    <s v=""/>
    <s v=""/>
    <s v=""/>
  </r>
  <r>
    <s v="Philippines"/>
    <x v="4"/>
    <s v="P039019"/>
    <s v="C1"/>
    <s v="S1"/>
    <s v="P039019C1S1"/>
    <x v="0"/>
    <n v="2000"/>
    <x v="1"/>
    <s v=""/>
    <n v="85"/>
    <n v="27.9"/>
    <s v="USD"/>
    <n v="27.9"/>
    <n v="0.32823529411764707"/>
    <s v=""/>
    <s v=""/>
    <x v="0"/>
    <s v=""/>
    <s v=""/>
    <m/>
  </r>
  <r>
    <s v="Philippines"/>
    <x v="4"/>
    <s v="P039019"/>
    <s v="C1"/>
    <s v="S1"/>
    <s v="P039019C1S1"/>
    <x v="1"/>
    <n v="2008"/>
    <x v="1"/>
    <s v=""/>
    <n v="84.8"/>
    <n v="1038"/>
    <s v="PHP"/>
    <n v="23.299663299663301"/>
    <n v="0.27476018042055783"/>
    <s v=""/>
    <s v=""/>
    <x v="0"/>
    <s v=""/>
    <s v=""/>
    <m/>
  </r>
  <r>
    <s v="Philippines"/>
    <x v="4"/>
    <s v="P039019"/>
    <s v="C1"/>
    <s v=""/>
    <s v="P039019C1S1"/>
    <x v="2"/>
    <s v="2003 / 2008"/>
    <x v="1"/>
    <s v=""/>
    <n v="0.99764705882352933"/>
    <n v="37.204301075268816"/>
    <m/>
    <n v="0.83511337991624734"/>
    <n v="0.83708298694435179"/>
    <s v=""/>
    <s v=""/>
    <x v="0"/>
    <s v=""/>
    <s v=""/>
    <s v=""/>
  </r>
  <r>
    <s v="Philippines"/>
    <x v="4"/>
    <s v="P039019"/>
    <s v="C1"/>
    <s v="S2"/>
    <s v="P039019C1S2"/>
    <x v="0"/>
    <n v="2000"/>
    <x v="1"/>
    <s v=""/>
    <n v="43"/>
    <n v="14.8"/>
    <s v="USD"/>
    <n v="14.8"/>
    <n v="0.34418604651162793"/>
    <s v=""/>
    <s v=""/>
    <x v="0"/>
    <s v=""/>
    <s v=""/>
    <m/>
  </r>
  <r>
    <s v="Philippines"/>
    <x v="4"/>
    <s v="P039019"/>
    <s v="C1"/>
    <s v="S2"/>
    <s v="P039019C1S2"/>
    <x v="1"/>
    <n v="2008"/>
    <x v="1"/>
    <s v=""/>
    <n v="48.3"/>
    <n v="1000"/>
    <s v="PHP"/>
    <n v="22.446689113355781"/>
    <n v="0.46473476425167248"/>
    <s v=""/>
    <s v=""/>
    <x v="0"/>
    <s v=""/>
    <s v=""/>
    <m/>
  </r>
  <r>
    <s v="Philippines"/>
    <x v="4"/>
    <s v="P039019"/>
    <s v="C1"/>
    <s v=""/>
    <s v="P039019C1S2"/>
    <x v="2"/>
    <s v="2003 / 2008"/>
    <x v="1"/>
    <s v=""/>
    <n v="1.1232558139534883"/>
    <n v="67.567567567567565"/>
    <m/>
    <n v="1.5166681833348501"/>
    <n v="1.350242896136616"/>
    <s v=""/>
    <s v=""/>
    <x v="0"/>
    <s v=""/>
    <s v=""/>
    <s v=""/>
  </r>
  <r>
    <s v="Philippines"/>
    <x v="4"/>
    <s v="P039019"/>
    <s v="C1"/>
    <s v="S3"/>
    <s v="P039019C1S3"/>
    <x v="0"/>
    <n v="2000"/>
    <x v="1"/>
    <s v=""/>
    <n v="46"/>
    <n v="9.8800000000000008"/>
    <s v="USD"/>
    <n v="9.8800000000000008"/>
    <n v="0.21478260869565219"/>
    <s v=""/>
    <s v=""/>
    <x v="0"/>
    <s v=""/>
    <s v=""/>
    <m/>
  </r>
  <r>
    <s v="Philippines"/>
    <x v="4"/>
    <s v="P039019"/>
    <s v="C1"/>
    <s v="S3"/>
    <s v="P039019C1S3"/>
    <x v="1"/>
    <n v="2008"/>
    <x v="1"/>
    <s v=""/>
    <n v="46.2"/>
    <n v="364"/>
    <s v="PHP"/>
    <n v="8.170594837261504"/>
    <n v="0.17685270210522736"/>
    <s v=""/>
    <s v=""/>
    <x v="0"/>
    <s v=""/>
    <s v=""/>
    <m/>
  </r>
  <r>
    <s v="Philippines"/>
    <x v="4"/>
    <s v="P039019"/>
    <s v="C1"/>
    <s v=""/>
    <s v="P039019C1S3"/>
    <x v="2"/>
    <s v="2003 / 2008"/>
    <x v="1"/>
    <s v=""/>
    <n v="1.0043478260869565"/>
    <n v="36.84210526315789"/>
    <m/>
    <n v="0.82698328312363389"/>
    <n v="0.82340326891097748"/>
    <s v=""/>
    <s v=""/>
    <x v="0"/>
    <s v=""/>
    <s v=""/>
    <s v=""/>
  </r>
  <r>
    <s v="Philippines"/>
    <x v="4"/>
    <s v="P039019"/>
    <s v="C1"/>
    <s v="S4"/>
    <s v="P039019C1S4"/>
    <x v="0"/>
    <n v="2000"/>
    <x v="1"/>
    <s v=""/>
    <n v="142"/>
    <n v="10.9"/>
    <s v="USD"/>
    <n v="10.9"/>
    <n v="7.6760563380281699E-2"/>
    <s v="x"/>
    <s v=""/>
    <x v="0"/>
    <s v="x"/>
    <s v="x"/>
    <m/>
  </r>
  <r>
    <s v="Philippines"/>
    <x v="4"/>
    <s v="P039019"/>
    <s v="C1"/>
    <s v="S4"/>
    <s v="P039019C1S4"/>
    <x v="1"/>
    <n v="2008"/>
    <x v="1"/>
    <s v=""/>
    <n v="45.2"/>
    <n v="501"/>
    <s v="PHP"/>
    <n v="11.245791245791246"/>
    <n v="0.24880069127856735"/>
    <s v="x"/>
    <s v=""/>
    <x v="0"/>
    <s v="x"/>
    <s v="x"/>
    <m/>
  </r>
  <r>
    <s v="Philippines"/>
    <x v="4"/>
    <s v="P039019"/>
    <s v="C1"/>
    <s v=""/>
    <s v="P039019C1S4"/>
    <x v="2"/>
    <s v="2003 / 2008"/>
    <x v="1"/>
    <s v=""/>
    <n v="0.3183098591549296"/>
    <n v="45.963302752293579"/>
    <m/>
    <n v="1.0317239675037839"/>
    <n v="3.2412567120694091"/>
    <s v="x"/>
    <s v=""/>
    <x v="0"/>
    <s v="x"/>
    <s v="x"/>
    <s v="Capacity of counterpart (Procurement system); Quality of estimates; Weather shocks"/>
  </r>
  <r>
    <s v="Philippines"/>
    <x v="4"/>
    <s v="P039019"/>
    <s v="C1"/>
    <s v="S5"/>
    <s v="P039019C1S5"/>
    <x v="0"/>
    <n v="2000"/>
    <x v="1"/>
    <s v=""/>
    <n v="46"/>
    <n v="2.8"/>
    <s v="USD"/>
    <n v="2.8"/>
    <n v="6.08695652173913E-2"/>
    <s v=""/>
    <s v=""/>
    <x v="0"/>
    <s v="x"/>
    <s v="x"/>
    <m/>
  </r>
  <r>
    <s v="Philippines"/>
    <x v="4"/>
    <s v="P039019"/>
    <s v="C1"/>
    <s v="S5"/>
    <s v="P039019C1S5"/>
    <x v="1"/>
    <n v="2008"/>
    <x v="1"/>
    <s v=""/>
    <n v="52.6"/>
    <n v="534"/>
    <s v="PHP"/>
    <n v="11.986531986531988"/>
    <n v="0.22788083624585528"/>
    <s v=""/>
    <s v=""/>
    <x v="0"/>
    <s v="x"/>
    <s v="x"/>
    <m/>
  </r>
  <r>
    <s v="Philippines"/>
    <x v="4"/>
    <s v="P039019"/>
    <s v="C1"/>
    <s v=""/>
    <s v="P039019C1S5"/>
    <x v="2"/>
    <s v="2003 / 2008"/>
    <x v="1"/>
    <s v=""/>
    <n v="1.1434782608695653"/>
    <n v="190.71428571428572"/>
    <m/>
    <n v="4.2809042809042817"/>
    <n v="3.7437565954676226"/>
    <s v=""/>
    <s v=""/>
    <x v="0"/>
    <s v="x"/>
    <s v="x"/>
    <s v="Capacity of counterpart (Procurement system); Quality of estimates; Weather shocks"/>
  </r>
  <r>
    <s v="Philippines"/>
    <x v="4"/>
    <s v="P039019"/>
    <s v="C1"/>
    <s v="S8"/>
    <s v="P039019C1S8"/>
    <x v="0"/>
    <n v="2000"/>
    <x v="1"/>
    <s v=""/>
    <n v="46"/>
    <n v="5"/>
    <s v="USD"/>
    <n v="5"/>
    <n v="0.10869565217391304"/>
    <s v=""/>
    <s v=""/>
    <x v="0"/>
    <s v="x"/>
    <s v="x"/>
    <m/>
  </r>
  <r>
    <s v="Philippines"/>
    <x v="4"/>
    <s v="P039019"/>
    <s v="C1"/>
    <s v="S8"/>
    <s v="P039019C1S8"/>
    <x v="1"/>
    <n v="2008"/>
    <x v="1"/>
    <s v=""/>
    <n v="46.1"/>
    <n v="412"/>
    <s v="PHP"/>
    <n v="9.2480359147025819"/>
    <n v="0.20060815433194321"/>
    <s v=""/>
    <s v=""/>
    <x v="0"/>
    <s v="x"/>
    <s v="x"/>
    <m/>
  </r>
  <r>
    <s v="Philippines"/>
    <x v="4"/>
    <s v="P039019"/>
    <s v="C1"/>
    <s v=""/>
    <s v="P039019C1S8"/>
    <x v="2"/>
    <s v="2003 / 2008"/>
    <x v="1"/>
    <s v=""/>
    <n v="1.0021739130434784"/>
    <n v="82.4"/>
    <m/>
    <n v="1.8496071829405163"/>
    <n v="1.8455950198538775"/>
    <s v=""/>
    <s v=""/>
    <x v="0"/>
    <s v="x"/>
    <s v="x"/>
    <s v="Capacity of counterpart (Procurement system); Quality of estimates; Weather shocks"/>
  </r>
  <r>
    <s v="Philippines"/>
    <x v="4"/>
    <s v="P039019"/>
    <s v="C1"/>
    <s v="S9"/>
    <s v="P039019C1S9"/>
    <x v="0"/>
    <n v="2000"/>
    <x v="1"/>
    <s v=""/>
    <n v="59"/>
    <n v="12.63"/>
    <s v="USD"/>
    <n v="12.63"/>
    <n v="0.2140677966101695"/>
    <s v=""/>
    <s v=""/>
    <x v="0"/>
    <s v=""/>
    <s v=""/>
    <m/>
  </r>
  <r>
    <s v="Philippines"/>
    <x v="4"/>
    <s v="P039019"/>
    <s v="C1"/>
    <s v="S9"/>
    <s v="P039019C1S9"/>
    <x v="1"/>
    <n v="2008"/>
    <x v="1"/>
    <s v=""/>
    <n v="59.1"/>
    <n v="766"/>
    <s v="PHP"/>
    <n v="17.194163860830528"/>
    <n v="0.29093339866041501"/>
    <s v=""/>
    <s v=""/>
    <x v="0"/>
    <s v=""/>
    <s v=""/>
    <m/>
  </r>
  <r>
    <s v="Philippines"/>
    <x v="4"/>
    <s v="P039019"/>
    <s v="C1"/>
    <s v=""/>
    <s v="P039019C1S9"/>
    <x v="2"/>
    <s v="2003 / 2008"/>
    <x v="1"/>
    <s v=""/>
    <n v="1.0016949152542374"/>
    <n v="60.64924782264449"/>
    <m/>
    <n v="1.3613748108337709"/>
    <n v="1.3590713001555412"/>
    <s v=""/>
    <s v=""/>
    <x v="0"/>
    <s v=""/>
    <s v=""/>
    <s v=""/>
  </r>
  <r>
    <s v="Philippines"/>
    <x v="4"/>
    <s v="P039019"/>
    <s v="C2"/>
    <s v=""/>
    <s v="P039019C2"/>
    <x v="0"/>
    <n v="2000"/>
    <x v="5"/>
    <s v=""/>
    <n v="900"/>
    <n v="112.29"/>
    <s v="USD"/>
    <n v="112.29"/>
    <n v="0.12476666666666668"/>
    <s v=""/>
    <s v=""/>
    <x v="0"/>
    <s v=""/>
    <s v=""/>
    <m/>
  </r>
  <r>
    <s v="Philippines"/>
    <x v="4"/>
    <s v="P039019"/>
    <s v="C2"/>
    <s v=""/>
    <s v="P039019C2"/>
    <x v="1"/>
    <n v="2008"/>
    <x v="5"/>
    <s v=""/>
    <n v="721.3"/>
    <n v="99.53"/>
    <s v="USD"/>
    <n v="99.53"/>
    <n v="0.1379869679744905"/>
    <s v=""/>
    <s v=""/>
    <x v="0"/>
    <s v=""/>
    <s v=""/>
    <m/>
  </r>
  <r>
    <s v="Philippines"/>
    <x v="4"/>
    <s v="P039019"/>
    <s v="C1"/>
    <s v=""/>
    <s v="P039019C2"/>
    <x v="2"/>
    <s v="2003 / 2008"/>
    <x v="5"/>
    <s v=""/>
    <n v="0.8014444444444444"/>
    <n v="0.88636566034375275"/>
    <m/>
    <n v="0.88636566034375275"/>
    <n v="1.1059602028412276"/>
    <s v=""/>
    <s v=""/>
    <x v="0"/>
    <s v=""/>
    <s v=""/>
    <s v=""/>
  </r>
  <r>
    <s v="Philippines"/>
    <x v="4"/>
    <s v="P039019"/>
    <s v="C3"/>
    <s v=""/>
    <s v="P039019C3"/>
    <x v="0"/>
    <n v="2000"/>
    <x v="5"/>
    <s v=""/>
    <n v="231"/>
    <n v="9.9600000000000009"/>
    <s v="USD"/>
    <n v="9.9600000000000009"/>
    <n v="4.3116883116883123E-2"/>
    <s v=""/>
    <s v=""/>
    <x v="0"/>
    <s v="x"/>
    <s v="x"/>
    <m/>
  </r>
  <r>
    <s v="Philippines"/>
    <x v="4"/>
    <s v="P039019"/>
    <s v="C3"/>
    <s v=""/>
    <s v="P039019C3"/>
    <x v="1"/>
    <n v="2008"/>
    <x v="5"/>
    <s v=""/>
    <n v="254"/>
    <n v="20.65"/>
    <s v="USD"/>
    <n v="20.65"/>
    <n v="8.1299212598425194E-2"/>
    <s v=""/>
    <s v=""/>
    <x v="0"/>
    <s v="x"/>
    <s v="x"/>
    <m/>
  </r>
  <r>
    <s v="Philippines"/>
    <x v="4"/>
    <s v="P039019"/>
    <s v="C1"/>
    <s v=""/>
    <s v="P039019C3"/>
    <x v="2"/>
    <s v="2003 / 2008"/>
    <x v="5"/>
    <s v=""/>
    <n v="1.0995670995670996"/>
    <n v="2.0732931726907626"/>
    <m/>
    <n v="2.0732931726907626"/>
    <n v="1.8855540271321503"/>
    <s v=""/>
    <s v=""/>
    <x v="0"/>
    <s v="x"/>
    <s v="x"/>
    <s v="Capacity of counterpart (Procurement system); Quality of estimates; Weather shocks"/>
  </r>
  <r>
    <s v="Philippines"/>
    <x v="4"/>
    <s v="P057731"/>
    <s v="C1"/>
    <s v="S1"/>
    <s v="P057731C1S1"/>
    <x v="0"/>
    <n v="2001"/>
    <x v="2"/>
    <n v="18.5"/>
    <n v="3.6900000000000004"/>
    <n v="1.17"/>
    <s v="USD"/>
    <n v="1.17"/>
    <n v="0.31707317073170727"/>
    <s v=""/>
    <s v=""/>
    <x v="0"/>
    <s v=""/>
    <s v=""/>
    <m/>
  </r>
  <r>
    <s v="Philippines"/>
    <x v="4"/>
    <s v="P057731"/>
    <s v="C1"/>
    <s v="S1"/>
    <s v="P057731C1S1"/>
    <x v="1"/>
    <n v="2011"/>
    <x v="2"/>
    <s v=""/>
    <n v="3.6900000000000004"/>
    <n v="1.1200000000000001"/>
    <s v="USD"/>
    <n v="1.1200000000000001"/>
    <n v="0.30352303523035229"/>
    <s v=""/>
    <s v=""/>
    <x v="0"/>
    <s v=""/>
    <s v=""/>
    <m/>
  </r>
  <r>
    <s v="Philippines"/>
    <x v="4"/>
    <s v="P057731"/>
    <s v="C1"/>
    <s v=""/>
    <s v="P057731C1S1"/>
    <x v="2"/>
    <s v="2003 / 2008"/>
    <x v="2"/>
    <s v=""/>
    <n v="1"/>
    <n v="0.95726495726495742"/>
    <m/>
    <n v="0.95726495726495742"/>
    <n v="0.95726495726495742"/>
    <s v=""/>
    <s v=""/>
    <x v="0"/>
    <s v=""/>
    <s v=""/>
    <s v=""/>
  </r>
  <r>
    <s v="Philippines"/>
    <x v="4"/>
    <s v="P057731"/>
    <s v="C1"/>
    <s v="S2"/>
    <s v="P057731C1S2"/>
    <x v="0"/>
    <n v="2001"/>
    <x v="2"/>
    <n v="16.166666666666668"/>
    <n v="2.42"/>
    <n v="2.9"/>
    <s v="USD"/>
    <n v="2.9"/>
    <n v="1.1983471074380165"/>
    <s v=""/>
    <s v=""/>
    <x v="0"/>
    <s v=""/>
    <s v=""/>
    <m/>
  </r>
  <r>
    <s v="Philippines"/>
    <x v="4"/>
    <s v="P057731"/>
    <s v="C1"/>
    <s v="S2"/>
    <s v="P057731C1S2"/>
    <x v="1"/>
    <n v="2011"/>
    <x v="2"/>
    <s v=""/>
    <n v="2.42"/>
    <n v="2.1800000000000002"/>
    <s v="USD"/>
    <n v="2.1800000000000002"/>
    <n v="0.90082644628099184"/>
    <s v=""/>
    <s v=""/>
    <x v="0"/>
    <s v=""/>
    <s v=""/>
    <m/>
  </r>
  <r>
    <s v="Philippines"/>
    <x v="4"/>
    <s v="P057731"/>
    <s v="C1"/>
    <s v=""/>
    <s v="P057731C1S2"/>
    <x v="2"/>
    <s v="2003 / 2008"/>
    <x v="2"/>
    <s v=""/>
    <n v="1"/>
    <n v="0.75172413793103454"/>
    <m/>
    <n v="0.75172413793103454"/>
    <n v="0.75172413793103454"/>
    <s v=""/>
    <s v=""/>
    <x v="0"/>
    <s v=""/>
    <s v=""/>
    <s v=""/>
  </r>
  <r>
    <s v="Philippines"/>
    <x v="4"/>
    <s v="P057731"/>
    <s v="C1"/>
    <s v="S3"/>
    <s v="P057731C1S3"/>
    <x v="0"/>
    <n v="2001"/>
    <x v="2"/>
    <n v="26.833333333333332"/>
    <n v="27.200000000000003"/>
    <n v="4.67"/>
    <s v="USD"/>
    <n v="4.67"/>
    <n v="0.17169117647058821"/>
    <s v=""/>
    <s v=""/>
    <x v="0"/>
    <s v="x"/>
    <s v="x"/>
    <m/>
  </r>
  <r>
    <s v="Philippines"/>
    <x v="4"/>
    <s v="P057731"/>
    <s v="C1"/>
    <s v="S3"/>
    <s v="P057731C1S3"/>
    <x v="1"/>
    <n v="2011"/>
    <x v="2"/>
    <s v=""/>
    <n v="27.200000000000003"/>
    <n v="13.51"/>
    <s v="USD"/>
    <n v="13.51"/>
    <n v="0.49669117647058819"/>
    <s v=""/>
    <s v=""/>
    <x v="0"/>
    <s v="x"/>
    <s v="x"/>
    <m/>
  </r>
  <r>
    <s v="Philippines"/>
    <x v="4"/>
    <s v="P057731"/>
    <s v="C1"/>
    <s v=""/>
    <s v="P057731C1S3"/>
    <x v="2"/>
    <s v="2003 / 2008"/>
    <x v="2"/>
    <s v=""/>
    <n v="1"/>
    <n v="2.8929336188436832"/>
    <m/>
    <n v="2.8929336188436832"/>
    <n v="2.8929336188436832"/>
    <s v=""/>
    <s v=""/>
    <x v="0"/>
    <s v="x"/>
    <s v="x"/>
    <s v="Procurement system; Quality of estimates; "/>
  </r>
  <r>
    <s v="Philippines"/>
    <x v="4"/>
    <s v="P057731"/>
    <s v="C1"/>
    <s v="S4"/>
    <s v="P057731C1S4"/>
    <x v="0"/>
    <n v="2001"/>
    <x v="2"/>
    <n v="26.6"/>
    <n v="11.8"/>
    <n v="3.44"/>
    <s v="USD"/>
    <n v="3.44"/>
    <n v="0.29152542372881352"/>
    <s v=""/>
    <s v=""/>
    <x v="0"/>
    <s v="x"/>
    <s v="x"/>
    <m/>
  </r>
  <r>
    <s v="Philippines"/>
    <x v="4"/>
    <s v="P057731"/>
    <s v="C1"/>
    <s v="S4"/>
    <s v="P057731C1S4"/>
    <x v="1"/>
    <n v="2011"/>
    <x v="2"/>
    <s v=""/>
    <n v="11.8"/>
    <n v="12.77"/>
    <s v="USD"/>
    <n v="12.77"/>
    <n v="1.0822033898305083"/>
    <s v=""/>
    <s v=""/>
    <x v="0"/>
    <s v="x"/>
    <s v="x"/>
    <m/>
  </r>
  <r>
    <s v="Philippines"/>
    <x v="4"/>
    <s v="P057731"/>
    <s v="C1"/>
    <s v=""/>
    <s v="P057731C1S4"/>
    <x v="2"/>
    <s v="2003 / 2008"/>
    <x v="2"/>
    <s v=""/>
    <n v="1"/>
    <n v="3.7122093023255816"/>
    <m/>
    <n v="3.7122093023255816"/>
    <n v="3.7122093023255816"/>
    <s v=""/>
    <s v=""/>
    <x v="0"/>
    <s v="x"/>
    <s v="x"/>
    <s v="Procurement system; Quality of estimates; "/>
  </r>
  <r>
    <s v="Poland"/>
    <x v="1"/>
    <s v="P096214"/>
    <s v="C1"/>
    <s v=""/>
    <s v="P096214C1"/>
    <x v="0"/>
    <n v="2006"/>
    <x v="5"/>
    <s v=""/>
    <n v="900"/>
    <n v="167"/>
    <s v="USD"/>
    <n v="167"/>
    <n v="0.18555555555555556"/>
    <s v=""/>
    <s v=""/>
    <x v="0"/>
    <s v=""/>
    <s v=""/>
    <m/>
  </r>
  <r>
    <s v="Poland"/>
    <x v="1"/>
    <s v="P096214"/>
    <s v="C1"/>
    <s v=""/>
    <s v="P096214C1"/>
    <x v="1"/>
    <n v="2012"/>
    <x v="5"/>
    <s v=""/>
    <n v="1103"/>
    <n v="181.92"/>
    <s v="USD"/>
    <n v="181.92"/>
    <n v="0.16493200362647326"/>
    <s v=""/>
    <s v=""/>
    <x v="0"/>
    <s v=""/>
    <s v=""/>
    <m/>
  </r>
  <r>
    <s v="Poland"/>
    <x v="1"/>
    <s v="P096214"/>
    <s v="C1"/>
    <s v=""/>
    <s v="P096214C1"/>
    <x v="2"/>
    <s v="2003 / 2008"/>
    <x v="5"/>
    <s v=""/>
    <n v="1.2255555555555555"/>
    <n v="1.0893413173652693"/>
    <m/>
    <n v="1.0893413173652693"/>
    <n v="0.88885510936422707"/>
    <s v=""/>
    <s v=""/>
    <x v="0"/>
    <s v=""/>
    <s v=""/>
    <s v=""/>
  </r>
  <r>
    <s v="Poland"/>
    <x v="1"/>
    <s v="P078170"/>
    <s v="C2"/>
    <s v=""/>
    <s v="P078170C2"/>
    <x v="0"/>
    <n v="2004"/>
    <x v="16"/>
    <s v=""/>
    <n v="917"/>
    <n v="158.6"/>
    <s v="USD"/>
    <n v="158.6"/>
    <n v="0.17295528898582332"/>
    <s v=""/>
    <s v=""/>
    <x v="0"/>
    <s v=""/>
    <s v=""/>
    <m/>
  </r>
  <r>
    <s v="Poland"/>
    <x v="1"/>
    <s v="P078170"/>
    <s v="C2"/>
    <s v=""/>
    <s v="P078170C2"/>
    <x v="1"/>
    <n v="2009"/>
    <x v="16"/>
    <s v=""/>
    <n v="917"/>
    <n v="133.30000000000001"/>
    <s v="USD"/>
    <n v="133.30000000000001"/>
    <n v="0.14536532170119956"/>
    <s v=""/>
    <s v=""/>
    <x v="0"/>
    <s v=""/>
    <s v=""/>
    <m/>
  </r>
  <r>
    <s v="Poland"/>
    <x v="1"/>
    <s v="P078170"/>
    <s v="C1"/>
    <s v=""/>
    <s v="P078170C2"/>
    <x v="2"/>
    <s v="2003 / 2008"/>
    <x v="16"/>
    <s v=""/>
    <n v="1"/>
    <n v="0.84047919293820939"/>
    <m/>
    <n v="0.84047919293820939"/>
    <n v="0.84047919293820939"/>
    <s v=""/>
    <s v=""/>
    <x v="0"/>
    <s v=""/>
    <s v=""/>
    <s v=""/>
  </r>
  <r>
    <s v="Romania"/>
    <x v="1"/>
    <s v="P093812"/>
    <s v="C1"/>
    <s v=""/>
    <s v="P093812C1"/>
    <x v="0"/>
    <n v="2006"/>
    <x v="6"/>
    <s v=""/>
    <n v="2909"/>
    <n v="112.5"/>
    <s v="USD"/>
    <n v="112.5"/>
    <n v="3.8673083533860432E-2"/>
    <s v=""/>
    <s v=""/>
    <x v="0"/>
    <s v=""/>
    <s v=""/>
    <m/>
  </r>
  <r>
    <s v="Romania"/>
    <x v="1"/>
    <s v="P093812"/>
    <s v="C1"/>
    <s v=""/>
    <s v="P093812C1"/>
    <x v="1"/>
    <n v="2010"/>
    <x v="6"/>
    <s v=""/>
    <n v="2197"/>
    <n v="125.4"/>
    <s v="USD"/>
    <n v="125.4"/>
    <n v="5.707783340919436E-2"/>
    <s v=""/>
    <s v=""/>
    <x v="0"/>
    <s v=""/>
    <s v=""/>
    <m/>
  </r>
  <r>
    <s v="Romania"/>
    <x v="1"/>
    <s v="P093812"/>
    <s v="C1"/>
    <s v=""/>
    <s v="P093812C1"/>
    <x v="2"/>
    <s v="2003 / 2008"/>
    <x v="6"/>
    <s v=""/>
    <n v="0.75524235132347883"/>
    <n v="1.1146666666666667"/>
    <m/>
    <n v="1.1146666666666667"/>
    <n v="1.4759059323319681"/>
    <s v=""/>
    <s v=""/>
    <x v="0"/>
    <s v=""/>
    <s v=""/>
    <s v=""/>
  </r>
  <r>
    <s v="Rwanda"/>
    <x v="2"/>
    <s v="P079414"/>
    <s v="C1"/>
    <s v="S1"/>
    <s v="P079414C1S1"/>
    <x v="0"/>
    <n v="2007"/>
    <x v="12"/>
    <n v="27"/>
    <n v="83"/>
    <n v="38"/>
    <s v="USD"/>
    <n v="38"/>
    <n v="0.45783132530120479"/>
    <s v=""/>
    <s v=""/>
    <x v="0"/>
    <s v=""/>
    <s v=""/>
    <m/>
  </r>
  <r>
    <s v="Rwanda"/>
    <x v="2"/>
    <s v="P079414"/>
    <s v="C1"/>
    <s v="S1"/>
    <s v="P079414C1S1"/>
    <x v="1"/>
    <n v="2015"/>
    <x v="12"/>
    <n v="33"/>
    <n v="83"/>
    <n v="48.09"/>
    <s v="USD"/>
    <n v="48.09"/>
    <n v="0.57939759036144578"/>
    <s v=""/>
    <s v=""/>
    <x v="0"/>
    <s v=""/>
    <s v=""/>
    <m/>
  </r>
  <r>
    <s v="Rwanda"/>
    <x v="2"/>
    <s v="P079414"/>
    <s v="C1"/>
    <s v=""/>
    <s v="P079414C1S1"/>
    <x v="2"/>
    <s v="2003 / 2008"/>
    <x v="12"/>
    <n v="1.2222222222222223"/>
    <n v="1"/>
    <n v="1.2655263157894738"/>
    <m/>
    <n v="1.2655263157894738"/>
    <n v="1.2655263157894738"/>
    <s v=""/>
    <s v=""/>
    <x v="0"/>
    <s v=""/>
    <s v=""/>
    <s v=""/>
  </r>
  <r>
    <s v="Samoa"/>
    <x v="4"/>
    <s v="P075523"/>
    <s v="C1"/>
    <s v="S1"/>
    <s v="P075523C1S1"/>
    <x v="0"/>
    <n v="2003"/>
    <x v="6"/>
    <n v="15"/>
    <n v="32"/>
    <n v="2.8"/>
    <s v="USD"/>
    <n v="2.8"/>
    <n v="8.7499999999999994E-2"/>
    <s v=""/>
    <s v=""/>
    <x v="0"/>
    <s v="x"/>
    <s v="x"/>
    <m/>
  </r>
  <r>
    <s v="Samoa"/>
    <x v="4"/>
    <s v="P075523"/>
    <s v="C1"/>
    <s v="S1"/>
    <s v="P075523C1S1"/>
    <x v="1"/>
    <n v="2014"/>
    <x v="6"/>
    <n v="19"/>
    <n v="30"/>
    <n v="10.18"/>
    <s v="USD"/>
    <n v="10.18"/>
    <n v="0.33933333333333332"/>
    <s v=""/>
    <s v=""/>
    <x v="0"/>
    <s v="x"/>
    <s v="x"/>
    <m/>
  </r>
  <r>
    <s v="Samoa"/>
    <x v="4"/>
    <s v="P075523"/>
    <s v="C1"/>
    <s v=""/>
    <s v="P075523C1S1"/>
    <x v="2"/>
    <s v="2003 / 2008"/>
    <x v="6"/>
    <n v="1.2666666666666666"/>
    <n v="0.9375"/>
    <n v="3.6357142857142857"/>
    <m/>
    <n v="3.6357142857142857"/>
    <n v="3.8780952380952383"/>
    <s v=""/>
    <s v=""/>
    <x v="0"/>
    <s v="x"/>
    <s v="x"/>
    <s v="Capacity of counterpart; Weather shocks; Quality of estimates"/>
  </r>
  <r>
    <s v="Samoa"/>
    <x v="4"/>
    <s v="P075523"/>
    <s v="C1"/>
    <s v="S2"/>
    <s v="P075523C1S2"/>
    <x v="0"/>
    <n v="2003"/>
    <x v="9"/>
    <n v="24"/>
    <n v="3.4000000000000004"/>
    <n v="2.48"/>
    <s v="USD"/>
    <n v="2.48"/>
    <n v="0.72941176470588232"/>
    <s v=""/>
    <s v=""/>
    <x v="0"/>
    <s v="x"/>
    <s v="x"/>
    <m/>
  </r>
  <r>
    <s v="Samoa"/>
    <x v="4"/>
    <s v="P075523"/>
    <s v="C1"/>
    <s v="S2"/>
    <s v="P075523C1S2"/>
    <x v="1"/>
    <n v="2014"/>
    <x v="9"/>
    <n v="24"/>
    <n v="3.4000000000000004"/>
    <n v="10.93"/>
    <s v="USD"/>
    <n v="10.93"/>
    <n v="3.2147058823529409"/>
    <s v=""/>
    <s v=""/>
    <x v="0"/>
    <s v="x"/>
    <s v="x"/>
    <m/>
  </r>
  <r>
    <s v="Samoa"/>
    <x v="4"/>
    <s v="P075523"/>
    <s v="C1"/>
    <s v=""/>
    <s v="P075523C1S2"/>
    <x v="2"/>
    <s v="2003 / 2008"/>
    <x v="9"/>
    <n v="1"/>
    <n v="1"/>
    <n v="4.407258064516129"/>
    <m/>
    <n v="4.407258064516129"/>
    <n v="4.407258064516129"/>
    <s v=""/>
    <s v=""/>
    <x v="0"/>
    <s v="x"/>
    <s v="x"/>
    <s v="Capacity of counterpart; Weather shocks; Quality of estimates"/>
  </r>
  <r>
    <s v="Samoa"/>
    <x v="4"/>
    <s v="P075523"/>
    <s v="C1"/>
    <s v="S3"/>
    <s v="P075523C1S3"/>
    <x v="0"/>
    <n v="2003"/>
    <x v="1"/>
    <n v="12"/>
    <n v="3.9"/>
    <n v="0.6"/>
    <s v="USD"/>
    <n v="0.6"/>
    <n v="0.15384615384615385"/>
    <s v=""/>
    <s v=""/>
    <x v="0"/>
    <s v="x"/>
    <s v="x"/>
    <m/>
  </r>
  <r>
    <s v="Samoa"/>
    <x v="4"/>
    <s v="P075523"/>
    <s v="C1"/>
    <s v="S3"/>
    <s v="P075523C1S3"/>
    <x v="1"/>
    <n v="2014"/>
    <x v="1"/>
    <n v="4"/>
    <n v="3.93"/>
    <n v="2.3199999999999998"/>
    <s v="USD"/>
    <n v="2.3199999999999998"/>
    <n v="0.59033078880407119"/>
    <s v=""/>
    <s v=""/>
    <x v="0"/>
    <s v="x"/>
    <s v="x"/>
    <m/>
  </r>
  <r>
    <s v="Samoa"/>
    <x v="4"/>
    <s v="P075523"/>
    <s v="C1"/>
    <s v=""/>
    <s v="P075523C1S3"/>
    <x v="2"/>
    <s v="2003 / 2008"/>
    <x v="1"/>
    <n v="0.33333333333333331"/>
    <n v="1.0076923076923077"/>
    <n v="3.8666666666666667"/>
    <m/>
    <n v="3.8666666666666667"/>
    <n v="3.8371501272264625"/>
    <s v=""/>
    <s v=""/>
    <x v="0"/>
    <s v="x"/>
    <s v="x"/>
    <s v="Capacity of counterpart; Weather shocks; Quality of estimates"/>
  </r>
  <r>
    <s v="Senegal"/>
    <x v="2"/>
    <s v="P055472"/>
    <s v="C1"/>
    <s v=""/>
    <s v="P055472C1"/>
    <x v="0"/>
    <n v="2000"/>
    <x v="2"/>
    <s v=""/>
    <n v="39"/>
    <n v="37.54"/>
    <s v="USD"/>
    <n v="37.54"/>
    <n v="0.96256410256410252"/>
    <s v=""/>
    <s v=""/>
    <x v="0"/>
    <s v="x"/>
    <s v="x"/>
    <m/>
  </r>
  <r>
    <s v="Senegal"/>
    <x v="2"/>
    <s v="P055472"/>
    <s v="C1"/>
    <s v=""/>
    <s v="P055472C1"/>
    <x v="1"/>
    <n v="2009"/>
    <x v="2"/>
    <s v=""/>
    <n v="27"/>
    <n v="87.74"/>
    <s v="USD"/>
    <n v="87.74"/>
    <n v="3.2496296296296294"/>
    <s v=""/>
    <s v=""/>
    <x v="0"/>
    <s v="x"/>
    <s v="x"/>
    <m/>
  </r>
  <r>
    <s v="Senegal"/>
    <x v="2"/>
    <s v="P055472"/>
    <s v="C1"/>
    <s v=""/>
    <s v="P055472C1"/>
    <x v="2"/>
    <s v="2003 / 2008"/>
    <x v="2"/>
    <s v=""/>
    <n v="0.69230769230769229"/>
    <n v="2.3372402770378264"/>
    <m/>
    <n v="2.3372402770378264"/>
    <n v="3.3760137334990823"/>
    <s v=""/>
    <s v=""/>
    <x v="0"/>
    <s v="x"/>
    <s v="x"/>
    <s v="Quality of estimates; Capacity of counterpart; "/>
  </r>
  <r>
    <s v="Sierra Leone"/>
    <x v="2"/>
    <s v="P078389"/>
    <s v="C1"/>
    <s v=""/>
    <s v="P078389C1"/>
    <x v="0"/>
    <n v="2005"/>
    <x v="14"/>
    <s v=""/>
    <n v="506"/>
    <n v="21.05"/>
    <s v="USD"/>
    <n v="21.05"/>
    <n v="4.1600790513833995E-2"/>
    <s v=""/>
    <s v=""/>
    <x v="0"/>
    <s v="x"/>
    <s v="x"/>
    <m/>
  </r>
  <r>
    <s v="Sierra Leone"/>
    <x v="2"/>
    <s v="P078389"/>
    <s v="C1"/>
    <s v=""/>
    <s v="P078389C1"/>
    <x v="1"/>
    <n v="2014"/>
    <x v="14"/>
    <s v=""/>
    <n v="376"/>
    <n v="26.28"/>
    <s v="USD"/>
    <n v="26.28"/>
    <n v="6.9893617021276597E-2"/>
    <s v=""/>
    <s v=""/>
    <x v="0"/>
    <s v="x"/>
    <s v="x"/>
    <m/>
  </r>
  <r>
    <s v="Sierra Leone"/>
    <x v="2"/>
    <s v="P078389"/>
    <s v="C1"/>
    <s v=""/>
    <s v="P078389C1"/>
    <x v="2"/>
    <s v="2003 / 2008"/>
    <x v="14"/>
    <s v=""/>
    <n v="0.74308300395256921"/>
    <n v="1.2484560570071259"/>
    <m/>
    <n v="1.2484560570071259"/>
    <n v="1.680103097993632"/>
    <s v=""/>
    <s v=""/>
    <x v="0"/>
    <s v="x"/>
    <s v="x"/>
    <s v="Political events; Competition; "/>
  </r>
  <r>
    <s v="South Sudan"/>
    <x v="2"/>
    <s v="P118579"/>
    <s v="C1"/>
    <s v="S1"/>
    <s v="P118579C1S1"/>
    <x v="0"/>
    <n v="2010"/>
    <x v="4"/>
    <s v=""/>
    <n v="363"/>
    <n v="7.76"/>
    <s v="USD"/>
    <n v="7.76"/>
    <n v="2.137741046831956E-2"/>
    <s v=""/>
    <s v=""/>
    <x v="0"/>
    <s v=""/>
    <s v=""/>
    <m/>
  </r>
  <r>
    <s v="South Sudan"/>
    <x v="2"/>
    <s v="P118579"/>
    <s v="C1"/>
    <s v="S1"/>
    <s v="P118579C1S1"/>
    <x v="1"/>
    <n v="2013"/>
    <x v="4"/>
    <n v="14"/>
    <n v="308"/>
    <n v="7.6363245700000002"/>
    <s v="USD"/>
    <n v="7.6363245700000002"/>
    <n v="2.4793261590909093E-2"/>
    <s v=""/>
    <s v=""/>
    <x v="0"/>
    <s v=""/>
    <s v=""/>
    <m/>
  </r>
  <r>
    <s v="South Sudan"/>
    <x v="2"/>
    <s v="P118579"/>
    <s v="C1"/>
    <s v=""/>
    <s v="P118579C1S1"/>
    <x v="2"/>
    <s v="2003 / 2008"/>
    <x v="4"/>
    <s v=""/>
    <n v="0.84848484848484851"/>
    <n v="0.98406244458762893"/>
    <m/>
    <n v="0.98406244458762893"/>
    <n v="1.1597878811211342"/>
    <s v=""/>
    <s v=""/>
    <x v="0"/>
    <s v=""/>
    <s v=""/>
    <s v=""/>
  </r>
  <r>
    <s v="South Sudan"/>
    <x v="2"/>
    <s v="P118579"/>
    <s v="C1"/>
    <s v="S2"/>
    <s v="P118579C1S2"/>
    <x v="0"/>
    <n v="2010"/>
    <x v="4"/>
    <s v=""/>
    <n v="160"/>
    <n v="4.25"/>
    <s v="USD"/>
    <n v="4.25"/>
    <n v="2.6562499999999999E-2"/>
    <s v=""/>
    <s v=""/>
    <x v="0"/>
    <s v=""/>
    <s v=""/>
    <m/>
  </r>
  <r>
    <s v="South Sudan"/>
    <x v="2"/>
    <s v="P118579"/>
    <s v="C1"/>
    <s v="S2"/>
    <s v="P118579C1S2"/>
    <x v="1"/>
    <n v="2013"/>
    <x v="4"/>
    <n v="13"/>
    <n v="113"/>
    <n v="4.3112166900000002"/>
    <s v="USD"/>
    <n v="4.3112166900000002"/>
    <n v="3.8152360088495575E-2"/>
    <s v=""/>
    <s v=""/>
    <x v="0"/>
    <s v=""/>
    <s v=""/>
    <m/>
  </r>
  <r>
    <s v="South Sudan"/>
    <x v="2"/>
    <s v="P118579"/>
    <s v="C1"/>
    <s v=""/>
    <s v="P118579C1S2"/>
    <x v="2"/>
    <s v="2003 / 2008"/>
    <x v="4"/>
    <s v=""/>
    <n v="0.70625000000000004"/>
    <n v="1.0144039270588237"/>
    <m/>
    <n v="1.0144039270588237"/>
    <n v="1.4363241445080688"/>
    <s v=""/>
    <s v=""/>
    <x v="0"/>
    <s v=""/>
    <s v=""/>
    <s v=""/>
  </r>
  <r>
    <s v="South Sudan"/>
    <x v="2"/>
    <s v="P118579"/>
    <s v="C1"/>
    <s v="S3"/>
    <s v="P118579C1S3"/>
    <x v="0"/>
    <n v="2010"/>
    <x v="4"/>
    <s v=""/>
    <n v="190"/>
    <n v="4.05"/>
    <s v="USD"/>
    <n v="4.05"/>
    <n v="2.1315789473684208E-2"/>
    <s v=""/>
    <s v=""/>
    <x v="0"/>
    <s v=""/>
    <s v=""/>
    <m/>
  </r>
  <r>
    <s v="South Sudan"/>
    <x v="2"/>
    <s v="P118579"/>
    <s v="C1"/>
    <s v="S3"/>
    <s v="P118579C1S3"/>
    <x v="1"/>
    <n v="2013"/>
    <x v="4"/>
    <n v="21"/>
    <n v="151"/>
    <n v="4.5263280899999998"/>
    <s v="USD"/>
    <n v="4.5263280899999998"/>
    <n v="2.9975682715231787E-2"/>
    <s v=""/>
    <s v=""/>
    <x v="0"/>
    <s v=""/>
    <s v=""/>
    <m/>
  </r>
  <r>
    <s v="South Sudan"/>
    <x v="2"/>
    <s v="P118579"/>
    <s v="C1"/>
    <s v=""/>
    <s v="P118579C1S3"/>
    <x v="2"/>
    <s v="2003 / 2008"/>
    <x v="4"/>
    <s v=""/>
    <n v="0.79473684210526319"/>
    <n v="1.1176118740740741"/>
    <m/>
    <n v="1.1176118740740741"/>
    <n v="1.4062665965170469"/>
    <s v=""/>
    <s v=""/>
    <x v="0"/>
    <s v=""/>
    <s v=""/>
    <s v=""/>
  </r>
  <r>
    <s v="South Sudan"/>
    <x v="2"/>
    <s v="P118579"/>
    <s v="C1"/>
    <s v="S4"/>
    <s v="P118579C1S4"/>
    <x v="0"/>
    <n v="2010"/>
    <x v="4"/>
    <s v=""/>
    <n v="245"/>
    <n v="5.4"/>
    <s v="USD"/>
    <n v="5.4"/>
    <n v="2.2040816326530613E-2"/>
    <s v=""/>
    <s v=""/>
    <x v="0"/>
    <s v=""/>
    <s v=""/>
    <m/>
  </r>
  <r>
    <s v="South Sudan"/>
    <x v="2"/>
    <s v="P118579"/>
    <s v="C1"/>
    <s v="S4"/>
    <s v="P118579C1S4"/>
    <x v="1"/>
    <n v="2013"/>
    <x v="4"/>
    <n v="15"/>
    <n v="233"/>
    <n v="5.1730975399999997"/>
    <s v="USD"/>
    <n v="5.1730975399999997"/>
    <n v="2.2202135364806867E-2"/>
    <s v=""/>
    <s v=""/>
    <x v="0"/>
    <s v=""/>
    <s v=""/>
    <m/>
  </r>
  <r>
    <s v="South Sudan"/>
    <x v="2"/>
    <s v="P118579"/>
    <s v="C1"/>
    <s v=""/>
    <s v="P118579C1S4"/>
    <x v="2"/>
    <s v="2003 / 2008"/>
    <x v="4"/>
    <s v=""/>
    <n v="0.95102040816326527"/>
    <n v="0.95798102592592582"/>
    <m/>
    <n v="0.95798102592592582"/>
    <n v="1.0073191045143857"/>
    <s v=""/>
    <s v=""/>
    <x v="0"/>
    <s v=""/>
    <s v=""/>
    <s v=""/>
  </r>
  <r>
    <s v="South Sudan"/>
    <x v="2"/>
    <s v="P118579"/>
    <s v="C1"/>
    <s v="S5"/>
    <s v="P118579C1S5"/>
    <x v="0"/>
    <n v="2010"/>
    <x v="4"/>
    <s v=""/>
    <n v="96"/>
    <n v="2.17"/>
    <s v="USD"/>
    <n v="2.17"/>
    <n v="2.2604166666666665E-2"/>
    <s v="x"/>
    <s v=""/>
    <x v="0"/>
    <s v="x"/>
    <s v="x"/>
    <m/>
  </r>
  <r>
    <s v="South Sudan"/>
    <x v="2"/>
    <s v="P118579"/>
    <s v="C1"/>
    <s v="S5"/>
    <s v="P118579C1S5"/>
    <x v="1"/>
    <n v="2013"/>
    <x v="4"/>
    <n v="9"/>
    <n v="43"/>
    <n v="1.6595076000000002"/>
    <s v="USD"/>
    <n v="1.6595076000000002"/>
    <n v="3.8593200000000001E-2"/>
    <s v="x"/>
    <s v=""/>
    <x v="0"/>
    <s v="x"/>
    <s v="x"/>
    <m/>
  </r>
  <r>
    <s v="South Sudan"/>
    <x v="2"/>
    <s v="P118579"/>
    <s v="C1"/>
    <s v=""/>
    <s v="P118579C1S5"/>
    <x v="2"/>
    <s v="2003 / 2008"/>
    <x v="4"/>
    <s v=""/>
    <n v="0.44791666666666669"/>
    <n v="0.76475004608294939"/>
    <m/>
    <n v="0.76475004608294939"/>
    <n v="1.7073489400921662"/>
    <s v="x"/>
    <s v=""/>
    <x v="0"/>
    <s v="x"/>
    <s v="x"/>
    <s v="Capacity of counterpart; Political events; "/>
  </r>
  <r>
    <s v="South Sudan"/>
    <x v="2"/>
    <s v="P118579"/>
    <s v="C1"/>
    <s v="S6"/>
    <s v="P118579C1S6"/>
    <x v="0"/>
    <n v="2010"/>
    <x v="4"/>
    <s v=""/>
    <n v="85"/>
    <n v="3.1549999999999998"/>
    <s v="USD"/>
    <n v="3.1549999999999998"/>
    <n v="3.7117647058823526E-2"/>
    <s v=""/>
    <s v=""/>
    <x v="0"/>
    <s v=""/>
    <s v=""/>
    <m/>
  </r>
  <r>
    <s v="South Sudan"/>
    <x v="2"/>
    <s v="P118579"/>
    <s v="C1"/>
    <s v="S6"/>
    <s v="P118579C1S6"/>
    <x v="1"/>
    <n v="2013"/>
    <x v="4"/>
    <n v="12"/>
    <n v="85"/>
    <n v="3.0101543199999998"/>
    <s v="USD"/>
    <n v="3.0101543199999998"/>
    <n v="3.5413580235294118E-2"/>
    <s v=""/>
    <s v=""/>
    <x v="0"/>
    <s v=""/>
    <s v=""/>
    <m/>
  </r>
  <r>
    <s v="South Sudan"/>
    <x v="2"/>
    <s v="P118579"/>
    <s v="C1"/>
    <s v=""/>
    <s v="P118579C1S6"/>
    <x v="2"/>
    <s v="2003 / 2008"/>
    <x v="4"/>
    <s v=""/>
    <n v="1"/>
    <n v="0.95409011727416804"/>
    <m/>
    <n v="0.95409011727416804"/>
    <n v="0.95409011727416804"/>
    <s v=""/>
    <s v=""/>
    <x v="0"/>
    <s v=""/>
    <s v=""/>
    <s v=""/>
  </r>
  <r>
    <s v="South Sudan"/>
    <x v="2"/>
    <s v="P118579"/>
    <s v="C1"/>
    <s v="S7"/>
    <s v="P118579C1S7"/>
    <x v="0"/>
    <n v="2010"/>
    <x v="4"/>
    <s v=""/>
    <n v="150"/>
    <n v="3.18"/>
    <s v="USD"/>
    <n v="3.18"/>
    <n v="2.12E-2"/>
    <s v=""/>
    <s v=""/>
    <x v="0"/>
    <s v=""/>
    <s v=""/>
    <m/>
  </r>
  <r>
    <s v="South Sudan"/>
    <x v="2"/>
    <s v="P118579"/>
    <s v="C1"/>
    <s v="S7"/>
    <s v="P118579C1S7"/>
    <x v="1"/>
    <n v="2013"/>
    <x v="4"/>
    <n v="12"/>
    <n v="140"/>
    <n v="3.65480413"/>
    <s v="USD"/>
    <n v="3.65480413"/>
    <n v="2.6105743785714286E-2"/>
    <s v=""/>
    <s v=""/>
    <x v="0"/>
    <s v=""/>
    <s v=""/>
    <m/>
  </r>
  <r>
    <s v="South Sudan"/>
    <x v="2"/>
    <s v="P118579"/>
    <s v="C1"/>
    <s v=""/>
    <s v="P118579C1S7"/>
    <x v="2"/>
    <s v="2003 / 2008"/>
    <x v="4"/>
    <s v=""/>
    <n v="0.93333333333333335"/>
    <n v="1.1493094748427672"/>
    <m/>
    <n v="1.1493094748427672"/>
    <n v="1.2314030087601078"/>
    <s v=""/>
    <s v=""/>
    <x v="0"/>
    <s v=""/>
    <s v=""/>
    <s v=""/>
  </r>
  <r>
    <s v="South Sudan"/>
    <x v="2"/>
    <s v="P118579"/>
    <s v="C1"/>
    <s v="S8"/>
    <s v="P118579C1S8"/>
    <x v="0"/>
    <n v="2010"/>
    <x v="4"/>
    <s v=""/>
    <n v="260"/>
    <n v="2.76"/>
    <s v="USD"/>
    <n v="2.76"/>
    <n v="1.0615384615384615E-2"/>
    <s v="x"/>
    <s v=""/>
    <x v="0"/>
    <s v="x"/>
    <s v="x"/>
    <m/>
  </r>
  <r>
    <s v="South Sudan"/>
    <x v="2"/>
    <s v="P118579"/>
    <s v="C1"/>
    <s v="S8"/>
    <s v="P118579C1S8"/>
    <x v="1"/>
    <n v="2013"/>
    <x v="4"/>
    <n v="7"/>
    <n v="129"/>
    <n v="3.1530038999999999"/>
    <s v="USD"/>
    <n v="3.1530038999999999"/>
    <n v="2.4441890697674419E-2"/>
    <s v="x"/>
    <s v=""/>
    <x v="0"/>
    <s v="x"/>
    <s v="x"/>
    <m/>
  </r>
  <r>
    <s v="South Sudan"/>
    <x v="2"/>
    <s v="P118579"/>
    <s v="C1"/>
    <s v=""/>
    <s v="P118579C1S8"/>
    <x v="2"/>
    <s v="2003 / 2008"/>
    <x v="4"/>
    <s v=""/>
    <n v="0.49615384615384617"/>
    <n v="1.1423927173913044"/>
    <m/>
    <n v="1.1423927173913044"/>
    <n v="2.3024969497809238"/>
    <s v="x"/>
    <s v=""/>
    <x v="0"/>
    <s v="x"/>
    <s v="x"/>
    <s v="Quality of estimates; Capacity of counterpart; Political events"/>
  </r>
  <r>
    <s v="Sri Lanka"/>
    <x v="0"/>
    <s v="P086411"/>
    <s v="C1"/>
    <s v=""/>
    <s v="P086411C1"/>
    <x v="0"/>
    <n v="2005"/>
    <x v="1"/>
    <s v=""/>
    <n v="635"/>
    <n v="10.039999999999999"/>
    <s v="USD"/>
    <n v="10.039999999999999"/>
    <n v="1.5811023622047244E-2"/>
    <s v="x"/>
    <s v=""/>
    <x v="0"/>
    <s v="x"/>
    <s v="x"/>
    <m/>
  </r>
  <r>
    <s v="Sri Lanka"/>
    <x v="0"/>
    <s v="P086411"/>
    <s v="C1"/>
    <s v=""/>
    <s v="P086411C1"/>
    <x v="1"/>
    <n v="2016"/>
    <x v="1"/>
    <s v=""/>
    <n v="157"/>
    <n v="13.07"/>
    <s v="USD"/>
    <n v="13.07"/>
    <n v="8.3248407643312108E-2"/>
    <s v="x"/>
    <s v=""/>
    <x v="0"/>
    <s v="x"/>
    <s v="x"/>
    <m/>
  </r>
  <r>
    <s v="Sri Lanka"/>
    <x v="0"/>
    <s v="P086411"/>
    <s v="C1"/>
    <s v=""/>
    <s v="P086411C1"/>
    <x v="2"/>
    <s v="2003 / 2008"/>
    <x v="1"/>
    <s v=""/>
    <n v="0.24724409448818899"/>
    <n v="1.3017928286852591"/>
    <m/>
    <n v="1.3017928286852591"/>
    <n v="5.2652130332174494"/>
    <s v="x"/>
    <s v=""/>
    <x v="0"/>
    <s v="x"/>
    <s v="x"/>
    <s v="Macroeconomic conditions; Quality of estimates; "/>
  </r>
  <r>
    <s v="Sri Lanka"/>
    <x v="0"/>
    <s v="P086411"/>
    <s v="C2"/>
    <s v=""/>
    <s v="P086411C2"/>
    <x v="0"/>
    <n v="2005"/>
    <x v="9"/>
    <s v=""/>
    <n v="620"/>
    <n v="112.51"/>
    <s v="USD"/>
    <n v="112.51"/>
    <n v="0.18146774193548387"/>
    <s v=""/>
    <s v=""/>
    <x v="0"/>
    <s v="x"/>
    <s v="x"/>
    <m/>
  </r>
  <r>
    <s v="Sri Lanka"/>
    <x v="0"/>
    <s v="P086411"/>
    <s v="C2"/>
    <s v=""/>
    <s v="P086411C2"/>
    <x v="1"/>
    <n v="2016"/>
    <x v="9"/>
    <s v=""/>
    <n v="617"/>
    <n v="239"/>
    <s v="USD"/>
    <n v="239"/>
    <n v="0.3873581847649919"/>
    <s v=""/>
    <s v=""/>
    <x v="0"/>
    <s v="x"/>
    <s v="x"/>
    <m/>
  </r>
  <r>
    <s v="Sri Lanka"/>
    <x v="0"/>
    <s v="P086411"/>
    <s v="C1"/>
    <s v=""/>
    <s v="P086411C2"/>
    <x v="2"/>
    <s v="2003 / 2008"/>
    <x v="9"/>
    <s v=""/>
    <n v="0.99516129032258061"/>
    <n v="2.1242556217225133"/>
    <m/>
    <n v="2.1242556217225133"/>
    <n v="2.1345842552154917"/>
    <s v=""/>
    <s v=""/>
    <x v="0"/>
    <s v="x"/>
    <s v="x"/>
    <s v="Macroeconomic conditions; Change of project scope; Quality of estimates"/>
  </r>
  <r>
    <s v="Sri Lanka"/>
    <x v="0"/>
    <s v="P107847"/>
    <s v="C1"/>
    <s v="S1"/>
    <s v="P107847C1S1"/>
    <x v="0"/>
    <n v="2009"/>
    <x v="12"/>
    <n v="60"/>
    <n v="150"/>
    <n v="35.299999999999997"/>
    <s v="USD"/>
    <n v="35.299999999999997"/>
    <n v="0.23533333333333331"/>
    <s v=""/>
    <s v=""/>
    <x v="0"/>
    <s v="x"/>
    <s v="x"/>
    <m/>
  </r>
  <r>
    <s v="Sri Lanka"/>
    <x v="0"/>
    <s v="P107847"/>
    <s v="C1"/>
    <s v="S1"/>
    <s v="P107847C1S1"/>
    <x v="1"/>
    <n v="2015"/>
    <x v="12"/>
    <n v="59"/>
    <n v="117.29"/>
    <n v="50"/>
    <s v="USD"/>
    <n v="50"/>
    <n v="0.42629380168812342"/>
    <s v=""/>
    <s v=""/>
    <x v="0"/>
    <s v="x"/>
    <s v="x"/>
    <m/>
  </r>
  <r>
    <s v="Sri Lanka"/>
    <x v="0"/>
    <s v="P107847"/>
    <s v="C1"/>
    <s v=""/>
    <s v="P107847C1S1"/>
    <x v="2"/>
    <s v="2003 / 2008"/>
    <x v="12"/>
    <n v="0.98333333333333328"/>
    <n v="0.78193333333333337"/>
    <n v="1.41643059490085"/>
    <m/>
    <n v="1.41643059490085"/>
    <n v="1.8114467493829609"/>
    <s v=""/>
    <s v=""/>
    <x v="0"/>
    <s v="x"/>
    <s v="x"/>
    <s v="Quality of estimates; Macroeconomic conditions; Weather shocks"/>
  </r>
  <r>
    <s v="Sri Lanka"/>
    <x v="0"/>
    <s v="P107847"/>
    <s v="C1"/>
    <s v="S2"/>
    <s v="P107847C1S2"/>
    <x v="0"/>
    <n v="2009"/>
    <x v="12"/>
    <n v="60"/>
    <n v="100"/>
    <n v="14"/>
    <s v="USD"/>
    <n v="14"/>
    <n v="0.14000000000000001"/>
    <s v=""/>
    <s v=""/>
    <x v="0"/>
    <s v="x"/>
    <s v="x"/>
    <m/>
  </r>
  <r>
    <s v="Sri Lanka"/>
    <x v="0"/>
    <s v="P107847"/>
    <s v="C1"/>
    <s v="S2"/>
    <s v="P107847C1S2"/>
    <x v="1"/>
    <n v="2015"/>
    <x v="12"/>
    <n v="59"/>
    <n v="59.15"/>
    <n v="20"/>
    <s v="USD"/>
    <n v="20"/>
    <n v="0.33812341504649196"/>
    <s v=""/>
    <s v=""/>
    <x v="0"/>
    <s v="x"/>
    <s v="x"/>
    <m/>
  </r>
  <r>
    <s v="Sri Lanka"/>
    <x v="0"/>
    <s v="P107847"/>
    <s v="C1"/>
    <s v=""/>
    <s v="P107847C1S2"/>
    <x v="2"/>
    <s v="2003 / 2008"/>
    <x v="12"/>
    <n v="0.98333333333333328"/>
    <n v="0.59150000000000003"/>
    <n v="1.4285714285714286"/>
    <m/>
    <n v="1.4285714285714286"/>
    <n v="2.4151672503320851"/>
    <s v=""/>
    <s v=""/>
    <x v="0"/>
    <s v="x"/>
    <s v="x"/>
    <s v="Macroeconomic conditions; Capacity of counterpart; "/>
  </r>
  <r>
    <s v="Sri Lanka"/>
    <x v="0"/>
    <s v="P107847"/>
    <s v="C1"/>
    <s v="S3"/>
    <s v="P107847C1S3"/>
    <x v="0"/>
    <n v="2009"/>
    <x v="12"/>
    <n v="60"/>
    <n v="100"/>
    <n v="14"/>
    <s v="USD"/>
    <n v="14"/>
    <n v="0.14000000000000001"/>
    <s v=""/>
    <s v=""/>
    <x v="0"/>
    <s v="x"/>
    <s v="x"/>
    <m/>
  </r>
  <r>
    <s v="Sri Lanka"/>
    <x v="0"/>
    <s v="P107847"/>
    <s v="C1"/>
    <s v="S3"/>
    <s v="P107847C1S3"/>
    <x v="1"/>
    <n v="2015"/>
    <x v="12"/>
    <n v="59"/>
    <n v="55.72"/>
    <n v="20"/>
    <s v="USD"/>
    <n v="20"/>
    <n v="0.35893754486719309"/>
    <s v=""/>
    <s v=""/>
    <x v="0"/>
    <s v="x"/>
    <s v="x"/>
    <m/>
  </r>
  <r>
    <s v="Sri Lanka"/>
    <x v="0"/>
    <s v="P107847"/>
    <s v="C1"/>
    <s v=""/>
    <s v="P107847C1S3"/>
    <x v="2"/>
    <s v="2003 / 2008"/>
    <x v="12"/>
    <n v="0.98333333333333328"/>
    <n v="0.55720000000000003"/>
    <n v="1.4285714285714286"/>
    <m/>
    <n v="1.4285714285714286"/>
    <n v="2.5638396061942363"/>
    <s v=""/>
    <s v=""/>
    <x v="0"/>
    <s v="x"/>
    <s v="x"/>
    <s v="Macroeconomic conditions; Capacity of contractors; "/>
  </r>
  <r>
    <s v="Sudan"/>
    <x v="2"/>
    <s v="P095081"/>
    <s v="C1"/>
    <s v="S1"/>
    <s v="P095081C1S1"/>
    <x v="0"/>
    <n v="2006"/>
    <x v="1"/>
    <s v=""/>
    <n v="250"/>
    <n v="20.16"/>
    <s v="USD"/>
    <n v="20.16"/>
    <n v="8.0640000000000003E-2"/>
    <s v=""/>
    <s v=""/>
    <x v="0"/>
    <s v="x"/>
    <s v="x"/>
    <m/>
  </r>
  <r>
    <s v="Sudan"/>
    <x v="2"/>
    <s v="P095081"/>
    <s v="C1"/>
    <s v="S1"/>
    <s v="P095081C1S1"/>
    <x v="1"/>
    <n v="2013"/>
    <x v="1"/>
    <s v=""/>
    <n v="170"/>
    <n v="29.43"/>
    <s v="USD"/>
    <n v="29.43"/>
    <n v="0.17311764705882352"/>
    <s v=""/>
    <s v=""/>
    <x v="0"/>
    <s v="x"/>
    <s v="x"/>
    <m/>
  </r>
  <r>
    <s v="Sudan"/>
    <x v="2"/>
    <s v="P095081"/>
    <s v="C1"/>
    <s v=""/>
    <s v="P095081C1S1"/>
    <x v="2"/>
    <s v="2003 / 2008"/>
    <x v="1"/>
    <s v=""/>
    <n v="0.68"/>
    <n v="1.4598214285714286"/>
    <m/>
    <n v="1.4598214285714286"/>
    <n v="2.1467962184873945"/>
    <s v=""/>
    <s v=""/>
    <x v="0"/>
    <s v="x"/>
    <s v="x"/>
    <s v="Capacity; Change of project scope; Political events"/>
  </r>
  <r>
    <s v="Sudan"/>
    <x v="2"/>
    <s v="P095081"/>
    <s v="C1"/>
    <s v="S2"/>
    <s v="P095081C1S2"/>
    <x v="0"/>
    <n v="2006"/>
    <x v="5"/>
    <s v=""/>
    <n v="100"/>
    <n v="11.85"/>
    <s v="USD"/>
    <n v="11.85"/>
    <n v="0.11849999999999999"/>
    <s v=""/>
    <s v="x"/>
    <x v="0"/>
    <s v=""/>
    <s v="x"/>
    <m/>
  </r>
  <r>
    <s v="Sudan"/>
    <x v="2"/>
    <s v="P095081"/>
    <s v="C1"/>
    <s v="S2"/>
    <s v="P095081C1S2"/>
    <x v="1"/>
    <n v="2013"/>
    <x v="5"/>
    <s v=""/>
    <n v="285"/>
    <n v="17.850000000000001"/>
    <s v="USD"/>
    <n v="17.850000000000001"/>
    <n v="6.2631578947368427E-2"/>
    <s v=""/>
    <s v="x"/>
    <x v="0"/>
    <s v=""/>
    <s v="x"/>
    <m/>
  </r>
  <r>
    <s v="Sudan"/>
    <x v="2"/>
    <s v="P095081"/>
    <s v="C1"/>
    <s v=""/>
    <s v="P095081C1S2"/>
    <x v="2"/>
    <s v="2003 / 2008"/>
    <x v="5"/>
    <s v=""/>
    <n v="2.85"/>
    <n v="1.5063291139240509"/>
    <m/>
    <n v="1.5063291139240509"/>
    <n v="0.5285365312014213"/>
    <s v=""/>
    <s v="x"/>
    <x v="0"/>
    <s v=""/>
    <s v="x"/>
    <s v="Change of project scope; ; "/>
  </r>
  <r>
    <s v="Sudan"/>
    <x v="2"/>
    <s v="P095081"/>
    <s v="C1"/>
    <s v="S3"/>
    <s v="P095081C1S3"/>
    <x v="0"/>
    <n v="2006"/>
    <x v="14"/>
    <s v=""/>
    <n v="820"/>
    <n v="3.54"/>
    <s v="USD"/>
    <n v="3.54"/>
    <n v="4.3170731707317077E-3"/>
    <s v=""/>
    <s v=""/>
    <x v="0"/>
    <s v="x"/>
    <s v="x"/>
    <m/>
  </r>
  <r>
    <s v="Sudan"/>
    <x v="2"/>
    <s v="P095081"/>
    <s v="C1"/>
    <s v="S3"/>
    <s v="P095081C1S3"/>
    <x v="1"/>
    <n v="2013"/>
    <x v="14"/>
    <s v=""/>
    <n v="579"/>
    <n v="6.08"/>
    <s v="USD"/>
    <n v="6.08"/>
    <n v="1.0500863557858377E-2"/>
    <s v=""/>
    <s v=""/>
    <x v="0"/>
    <s v="x"/>
    <s v="x"/>
    <m/>
  </r>
  <r>
    <s v="Sudan"/>
    <x v="2"/>
    <s v="P095081"/>
    <s v="C1"/>
    <s v=""/>
    <s v="P095081C1S3"/>
    <x v="2"/>
    <s v="2003 / 2008"/>
    <x v="14"/>
    <s v=""/>
    <n v="0.70609756097560972"/>
    <n v="1.7175141242937852"/>
    <m/>
    <n v="1.7175141242937852"/>
    <n v="2.4324034230067424"/>
    <s v=""/>
    <s v=""/>
    <x v="0"/>
    <s v="x"/>
    <s v="x"/>
    <s v="Capacity; Change of project scope; Political events"/>
  </r>
  <r>
    <s v="Sudan"/>
    <x v="2"/>
    <s v="P098837"/>
    <s v="C1"/>
    <s v=""/>
    <s v="P098837C1"/>
    <x v="0"/>
    <n v="2011"/>
    <x v="1"/>
    <s v=""/>
    <n v="298"/>
    <n v="89.27"/>
    <s v="USD"/>
    <n v="89.27"/>
    <n v="0.29956375838926175"/>
    <s v="x"/>
    <s v=""/>
    <x v="0"/>
    <s v="x"/>
    <s v="x"/>
    <m/>
  </r>
  <r>
    <s v="Sudan"/>
    <x v="2"/>
    <s v="P098837"/>
    <s v="C1"/>
    <s v=""/>
    <s v="P098837C1"/>
    <x v="1"/>
    <n v="2013"/>
    <x v="1"/>
    <s v=""/>
    <n v="131"/>
    <n v="101.91"/>
    <s v="USD"/>
    <n v="101.91"/>
    <n v="0.77793893129770986"/>
    <s v="x"/>
    <s v=""/>
    <x v="0"/>
    <s v="x"/>
    <s v="x"/>
    <m/>
  </r>
  <r>
    <s v="Sudan"/>
    <x v="2"/>
    <s v="P098837"/>
    <s v="C1"/>
    <s v=""/>
    <s v="P098837C1"/>
    <x v="2"/>
    <s v="2003 / 2008"/>
    <x v="1"/>
    <s v=""/>
    <n v="0.43959731543624159"/>
    <n v="1.1415929203539823"/>
    <m/>
    <n v="1.1415929203539823"/>
    <n v="2.596906032560967"/>
    <s v="x"/>
    <s v=""/>
    <x v="0"/>
    <s v="x"/>
    <s v="x"/>
    <s v="Change of project scope; Political events; Capacity of Counterpart"/>
  </r>
  <r>
    <s v="Swaziland"/>
    <x v="2"/>
    <s v="Loan numbers: ADB loan: B/SWA/ROD/89/15 and ADF loan: F/SWA/ROD/89/6"/>
    <s v="C1"/>
    <s v=""/>
    <s v="Loan numbers: ADB loan: B/SWA/ROD/89/15 and ADF loan: F/SWA/ROD/89/6C1"/>
    <x v="0"/>
    <n v="1988"/>
    <x v="0"/>
    <n v="24"/>
    <n v="106"/>
    <n v="19.077894899999997"/>
    <s v="SZL"/>
    <n v="8.3932665640123165"/>
    <n v="7.9181760037852045E-2"/>
    <s v="x"/>
    <s v=""/>
    <x v="1"/>
    <m/>
    <m/>
    <m/>
  </r>
  <r>
    <s v="Swaziland"/>
    <x v="2"/>
    <s v="Loan numbers: ADB loan: B/SWA/ROD/89/15 and ADF loan: F/SWA/ROD/89/6"/>
    <s v="C1"/>
    <s v=""/>
    <s v="Loan numbers: ADB loan: B/SWA/ROD/89/15 and ADF loan: F/SWA/ROD/89/6C1"/>
    <x v="1"/>
    <n v="1994"/>
    <x v="0"/>
    <n v="24"/>
    <n v="106"/>
    <n v="115.27977919999999"/>
    <s v="SZL"/>
    <n v="32.473177239436616"/>
    <n v="0.30635072867393032"/>
    <s v="x"/>
    <s v=""/>
    <x v="1"/>
    <m/>
    <m/>
    <m/>
  </r>
  <r>
    <s v="Swaziland"/>
    <x v="2"/>
    <s v="Loan numbers: ADB loan: B/SWA/ROD/89/15 and ADF loan: F/SWA/ROD/89/6"/>
    <s v="C1"/>
    <s v=""/>
    <s v="Loan numbers: ADB loan: B/SWA/ROD/89/15 and ADF loan: F/SWA/ROD/89/6C1"/>
    <x v="2"/>
    <s v="2003 / 2008"/>
    <x v="0"/>
    <n v="1"/>
    <n v="1"/>
    <n v="6.0425838282608426"/>
    <m/>
    <n v="3.8689557863765907"/>
    <n v="3.8689557863765902"/>
    <s v="x"/>
    <s v=""/>
    <x v="1"/>
    <s v="Change of project scope; Capacity of Counterpart"/>
    <s v="Major delay occurred during the precontract services, which was mainly attributable to: i) design review leading to substantial modifications in the original design, and ii) lack of familiarity of Bank procurement rules. As a result of the design review, the original project designs, especially the pavement and bridge structures, were significantly modified to accommodate the prevailing traffic loading."/>
    <s v="; ; Change of project scope; Capacity of Counterpart"/>
  </r>
  <r>
    <s v="Tanzania"/>
    <x v="2"/>
    <s v="P078387"/>
    <s v="C1"/>
    <s v="S1"/>
    <s v="P078387C1S1"/>
    <x v="0"/>
    <n v="2004"/>
    <x v="1"/>
    <s v=""/>
    <n v="110"/>
    <n v="55.73"/>
    <s v="USD"/>
    <n v="55.73"/>
    <n v="0.50663636363636366"/>
    <s v=""/>
    <s v=""/>
    <x v="0"/>
    <s v=""/>
    <s v=""/>
    <m/>
  </r>
  <r>
    <s v="Tanzania"/>
    <x v="2"/>
    <s v="P078387"/>
    <s v="C1"/>
    <s v="S1"/>
    <s v="P078387C1S1"/>
    <x v="1"/>
    <n v="2010"/>
    <x v="1"/>
    <s v=""/>
    <n v="115.4"/>
    <n v="55.01"/>
    <s v="USD"/>
    <n v="55.01"/>
    <n v="0.47668977469670709"/>
    <s v=""/>
    <s v=""/>
    <x v="0"/>
    <s v=""/>
    <s v=""/>
    <m/>
  </r>
  <r>
    <s v="Tanzania"/>
    <x v="2"/>
    <s v="P078387"/>
    <s v="C1"/>
    <s v=""/>
    <s v="P078387C1S1"/>
    <x v="2"/>
    <s v="2003 / 2008"/>
    <x v="1"/>
    <s v=""/>
    <n v="1.0490909090909091"/>
    <n v="0.9870805670195586"/>
    <m/>
    <n v="0.9870805670195586"/>
    <n v="0.94089135504463983"/>
    <s v=""/>
    <s v=""/>
    <x v="0"/>
    <s v=""/>
    <s v=""/>
    <s v=""/>
  </r>
  <r>
    <s v="Tanzania"/>
    <x v="2"/>
    <s v="P078387"/>
    <s v="C1"/>
    <s v="S2"/>
    <s v="P078387C1S2"/>
    <x v="0"/>
    <n v="2004"/>
    <x v="1"/>
    <n v="18"/>
    <n v="57"/>
    <n v="14.3"/>
    <s v="USD"/>
    <n v="14.3"/>
    <n v="0.25087719298245614"/>
    <s v=""/>
    <s v=""/>
    <x v="0"/>
    <s v=""/>
    <s v=""/>
    <m/>
  </r>
  <r>
    <s v="Tanzania"/>
    <x v="2"/>
    <s v="P078387"/>
    <s v="C1"/>
    <s v="S2"/>
    <s v="P078387C1S2"/>
    <x v="1"/>
    <n v="2010"/>
    <x v="1"/>
    <n v="36"/>
    <n v="56"/>
    <n v="16.28"/>
    <s v="USD"/>
    <n v="16.28"/>
    <n v="0.29071428571428576"/>
    <s v=""/>
    <s v=""/>
    <x v="0"/>
    <s v=""/>
    <s v=""/>
    <m/>
  </r>
  <r>
    <s v="Tanzania"/>
    <x v="2"/>
    <s v="P078387"/>
    <s v="C1"/>
    <s v=""/>
    <s v="P078387C1S2"/>
    <x v="2"/>
    <s v="2003 / 2008"/>
    <x v="1"/>
    <n v="2"/>
    <n v="0.98245614035087714"/>
    <n v="1.1384615384615384"/>
    <m/>
    <n v="1.1384615384615384"/>
    <n v="1.1587912087912089"/>
    <s v=""/>
    <s v=""/>
    <x v="0"/>
    <s v=""/>
    <s v=""/>
    <s v=""/>
  </r>
  <r>
    <s v="Thailand"/>
    <x v="4"/>
    <s v="P075173"/>
    <s v="C2"/>
    <s v=""/>
    <s v="P075173C2"/>
    <x v="0"/>
    <n v="2003"/>
    <x v="9"/>
    <n v="24"/>
    <n v="73"/>
    <n v="50.32"/>
    <s v="USD"/>
    <n v="50.32"/>
    <n v="0.68931506849315072"/>
    <s v=""/>
    <s v=""/>
    <x v="0"/>
    <s v=""/>
    <s v=""/>
    <m/>
  </r>
  <r>
    <s v="Thailand"/>
    <x v="4"/>
    <s v="P075173"/>
    <s v="C2"/>
    <s v=""/>
    <s v="P075173C2"/>
    <x v="1"/>
    <n v="2013"/>
    <x v="9"/>
    <n v="24"/>
    <n v="86.27"/>
    <n v="40.54"/>
    <s v="USD"/>
    <n v="40.54"/>
    <n v="0.46992001854642401"/>
    <s v=""/>
    <s v=""/>
    <x v="0"/>
    <s v=""/>
    <s v=""/>
    <m/>
  </r>
  <r>
    <s v="Thailand"/>
    <x v="4"/>
    <s v="P075173"/>
    <s v="C1"/>
    <s v=""/>
    <s v="P075173C2"/>
    <x v="2"/>
    <s v="2003 / 2008"/>
    <x v="9"/>
    <n v="1"/>
    <n v="1.1817808219178081"/>
    <n v="0.80564387917329094"/>
    <m/>
    <n v="0.80564387917329094"/>
    <n v="0.68172021768459756"/>
    <s v=""/>
    <s v=""/>
    <x v="0"/>
    <s v=""/>
    <s v=""/>
    <s v=""/>
  </r>
  <r>
    <s v="Uganda"/>
    <x v="2"/>
    <s v="P074079"/>
    <s v="C1"/>
    <s v="S1"/>
    <s v="P074079C1S1"/>
    <x v="0"/>
    <n v="2004"/>
    <x v="1"/>
    <s v=""/>
    <n v="125"/>
    <n v="47"/>
    <s v="USD"/>
    <n v="47"/>
    <n v="0.376"/>
    <s v=""/>
    <s v=""/>
    <x v="0"/>
    <s v="x"/>
    <s v="x"/>
    <m/>
  </r>
  <r>
    <s v="Uganda"/>
    <x v="2"/>
    <s v="P074079"/>
    <s v="C1"/>
    <s v="S1"/>
    <s v="P074079C1S1"/>
    <x v="1"/>
    <n v="2012"/>
    <x v="1"/>
    <n v="34"/>
    <n v="123"/>
    <n v="103.51"/>
    <s v="USD"/>
    <n v="103.51"/>
    <n v="0.84154471544715448"/>
    <s v=""/>
    <s v=""/>
    <x v="0"/>
    <s v="x"/>
    <s v="x"/>
    <m/>
  </r>
  <r>
    <s v="Uganda"/>
    <x v="2"/>
    <s v="P074079"/>
    <s v="C1"/>
    <s v=""/>
    <s v="P074079C1S1"/>
    <x v="2"/>
    <s v="2003 / 2008"/>
    <x v="1"/>
    <s v=""/>
    <n v="0.98399999999999999"/>
    <n v="2.202340425531915"/>
    <m/>
    <n v="2.202340425531915"/>
    <n v="2.2381508389551983"/>
    <s v=""/>
    <s v=""/>
    <x v="0"/>
    <s v="x"/>
    <s v="x"/>
    <s v="Macroeconomic conditions; Political events  ; Quality of estimates "/>
  </r>
  <r>
    <s v="Uganda"/>
    <x v="2"/>
    <s v="P074079"/>
    <s v="C1"/>
    <s v="S2"/>
    <s v="P074079C1S2"/>
    <x v="0"/>
    <n v="2004"/>
    <x v="1"/>
    <s v=""/>
    <n v="68"/>
    <n v="31.18"/>
    <s v="USD"/>
    <n v="31.18"/>
    <n v="0.45852941176470585"/>
    <s v="x"/>
    <s v=""/>
    <x v="0"/>
    <s v="x"/>
    <s v="x"/>
    <m/>
  </r>
  <r>
    <s v="Uganda"/>
    <x v="2"/>
    <s v="P074079"/>
    <s v="C1"/>
    <s v="S2"/>
    <s v="P074079C1S2"/>
    <x v="1"/>
    <n v="2012"/>
    <x v="1"/>
    <n v="39"/>
    <n v="15"/>
    <n v="57.72"/>
    <s v="USD"/>
    <n v="57.72"/>
    <n v="3.8479999999999999"/>
    <s v="x"/>
    <s v=""/>
    <x v="0"/>
    <s v="x"/>
    <s v="x"/>
    <m/>
  </r>
  <r>
    <s v="Uganda"/>
    <x v="2"/>
    <s v="P074079"/>
    <s v="C1"/>
    <s v=""/>
    <s v="P074079C1S2"/>
    <x v="2"/>
    <s v="2003 / 2008"/>
    <x v="1"/>
    <s v=""/>
    <n v="0.22058823529411764"/>
    <n v="1.8511866581141758"/>
    <m/>
    <n v="1.8511866581141758"/>
    <n v="8.3920461834509297"/>
    <s v="x"/>
    <s v=""/>
    <x v="0"/>
    <s v="x"/>
    <s v="x"/>
    <s v="Macroeconomic conditions; Political events  ; Quality of estimates "/>
  </r>
  <r>
    <s v="Uganda"/>
    <x v="2"/>
    <s v="P065436"/>
    <s v="C1"/>
    <s v=""/>
    <s v="P065436C1"/>
    <x v="0"/>
    <n v="2001"/>
    <x v="0"/>
    <s v=""/>
    <n v="271"/>
    <n v="72.47"/>
    <s v="USD"/>
    <n v="72.47"/>
    <n v="0.26741697416974169"/>
    <s v=""/>
    <s v=""/>
    <x v="0"/>
    <s v=""/>
    <s v=""/>
    <m/>
  </r>
  <r>
    <s v="Uganda"/>
    <x v="2"/>
    <s v="P065436"/>
    <s v="C1"/>
    <s v=""/>
    <s v="P065436C1"/>
    <x v="1"/>
    <n v="2009"/>
    <x v="0"/>
    <s v=""/>
    <n v="271"/>
    <n v="84.63"/>
    <s v="USD"/>
    <n v="84.63"/>
    <n v="0.31228782287822876"/>
    <s v=""/>
    <s v=""/>
    <x v="0"/>
    <s v=""/>
    <s v=""/>
    <m/>
  </r>
  <r>
    <s v="Uganda"/>
    <x v="2"/>
    <s v="P065436"/>
    <s v="C1"/>
    <s v=""/>
    <s v="P065436C1"/>
    <x v="2"/>
    <s v="2003 / 2008"/>
    <x v="0"/>
    <s v=""/>
    <n v="1"/>
    <n v="1.1677935697530013"/>
    <m/>
    <n v="1.1677935697530013"/>
    <n v="1.1677935697530011"/>
    <s v=""/>
    <s v=""/>
    <x v="0"/>
    <s v=""/>
    <s v=""/>
    <s v=""/>
  </r>
  <r>
    <s v="Uganda"/>
    <x v="2"/>
    <s v="P065436"/>
    <s v="C1"/>
    <s v="S1"/>
    <s v="P065436C1S1"/>
    <x v="0"/>
    <n v="2001"/>
    <x v="1"/>
    <n v="36"/>
    <n v="62.5"/>
    <n v="14.2"/>
    <s v="USD"/>
    <n v="14.2"/>
    <n v="0.22719999999999999"/>
    <s v=""/>
    <s v=""/>
    <x v="0"/>
    <s v=""/>
    <s v=""/>
    <m/>
  </r>
  <r>
    <s v="Uganda"/>
    <x v="2"/>
    <s v="P065436"/>
    <s v="C1"/>
    <s v="S1"/>
    <s v="P065436C1S1"/>
    <x v="1"/>
    <n v="2009"/>
    <x v="1"/>
    <n v="40"/>
    <n v="62.5"/>
    <n v="17.53"/>
    <s v="USD"/>
    <n v="17.53"/>
    <n v="0.28048000000000001"/>
    <s v=""/>
    <s v=""/>
    <x v="0"/>
    <s v=""/>
    <s v=""/>
    <m/>
  </r>
  <r>
    <s v="Uganda"/>
    <x v="2"/>
    <s v="P065436"/>
    <s v="C1"/>
    <s v=""/>
    <s v="P065436C1S1"/>
    <x v="2"/>
    <s v="2003 / 2008"/>
    <x v="1"/>
    <n v="1.1111111111111112"/>
    <n v="1"/>
    <n v="1.2345070422535214"/>
    <m/>
    <n v="1.2345070422535214"/>
    <n v="1.2345070422535211"/>
    <s v=""/>
    <s v=""/>
    <x v="0"/>
    <s v=""/>
    <s v=""/>
    <s v=""/>
  </r>
  <r>
    <s v="Uganda"/>
    <x v="2"/>
    <s v="P065436"/>
    <s v="C1"/>
    <s v="S2"/>
    <s v="P065436C1S2"/>
    <x v="0"/>
    <n v="2001"/>
    <x v="1"/>
    <n v="36"/>
    <n v="45.55"/>
    <n v="16.73"/>
    <s v="USD"/>
    <n v="16.73"/>
    <n v="0.36728869374313944"/>
    <s v=""/>
    <s v=""/>
    <x v="0"/>
    <s v=""/>
    <s v=""/>
    <m/>
  </r>
  <r>
    <s v="Uganda"/>
    <x v="2"/>
    <s v="P065436"/>
    <s v="C1"/>
    <s v="S2"/>
    <s v="P065436C1S2"/>
    <x v="1"/>
    <n v="2009"/>
    <x v="1"/>
    <n v="32"/>
    <n v="45.55"/>
    <n v="18.48"/>
    <s v="USD"/>
    <n v="18.48"/>
    <n v="0.40570801317233812"/>
    <s v=""/>
    <s v=""/>
    <x v="0"/>
    <s v=""/>
    <s v=""/>
    <m/>
  </r>
  <r>
    <s v="Uganda"/>
    <x v="2"/>
    <s v="P065436"/>
    <s v="C1"/>
    <s v=""/>
    <s v="P065436C1S2"/>
    <x v="2"/>
    <s v="2003 / 2008"/>
    <x v="1"/>
    <n v="0.88888888888888884"/>
    <n v="1"/>
    <n v="1.104602510460251"/>
    <m/>
    <n v="1.104602510460251"/>
    <n v="1.104602510460251"/>
    <s v=""/>
    <s v=""/>
    <x v="0"/>
    <s v=""/>
    <s v=""/>
    <s v=""/>
  </r>
  <r>
    <s v="Uganda"/>
    <x v="2"/>
    <s v="P065436"/>
    <s v="C1"/>
    <s v="S3"/>
    <s v="P065436C1S3"/>
    <x v="0"/>
    <n v="2001"/>
    <x v="0"/>
    <n v="24"/>
    <n v="55.2"/>
    <n v="13.14"/>
    <s v="USD"/>
    <n v="13.14"/>
    <n v="0.23804347826086955"/>
    <s v=""/>
    <s v=""/>
    <x v="0"/>
    <s v=""/>
    <s v=""/>
    <m/>
  </r>
  <r>
    <s v="Uganda"/>
    <x v="2"/>
    <s v="P065436"/>
    <s v="C1"/>
    <s v="S3"/>
    <s v="P065436C1S3"/>
    <x v="1"/>
    <n v="2009"/>
    <x v="0"/>
    <n v="48"/>
    <n v="55.2"/>
    <n v="15.84"/>
    <s v="USD"/>
    <n v="15.84"/>
    <n v="0.28695652173913044"/>
    <s v=""/>
    <s v=""/>
    <x v="0"/>
    <s v=""/>
    <s v=""/>
    <m/>
  </r>
  <r>
    <s v="Uganda"/>
    <x v="2"/>
    <s v="P065436"/>
    <s v="C1"/>
    <s v=""/>
    <s v="P065436C1S3"/>
    <x v="2"/>
    <s v="2003 / 2008"/>
    <x v="0"/>
    <n v="2"/>
    <n v="1"/>
    <n v="1.2054794520547945"/>
    <m/>
    <n v="1.2054794520547945"/>
    <n v="1.2054794520547947"/>
    <s v=""/>
    <s v=""/>
    <x v="0"/>
    <s v=""/>
    <s v=""/>
    <s v=""/>
  </r>
  <r>
    <s v="Uganda"/>
    <x v="2"/>
    <s v="P065436"/>
    <s v="C1"/>
    <s v="S4"/>
    <s v="P065436C1S4"/>
    <x v="0"/>
    <n v="2001"/>
    <x v="0"/>
    <n v="24"/>
    <n v="53"/>
    <n v="13.15"/>
    <s v="USD"/>
    <n v="13.15"/>
    <n v="0.24811320754716981"/>
    <s v=""/>
    <s v=""/>
    <x v="0"/>
    <s v=""/>
    <s v=""/>
    <m/>
  </r>
  <r>
    <s v="Uganda"/>
    <x v="2"/>
    <s v="P065436"/>
    <s v="C1"/>
    <s v="S4"/>
    <s v="P065436C1S4"/>
    <x v="1"/>
    <n v="2009"/>
    <x v="0"/>
    <n v="33"/>
    <n v="53"/>
    <n v="16.86"/>
    <s v="USD"/>
    <n v="16.86"/>
    <n v="0.31811320754716982"/>
    <s v=""/>
    <s v=""/>
    <x v="0"/>
    <s v=""/>
    <s v=""/>
    <m/>
  </r>
  <r>
    <s v="Uganda"/>
    <x v="2"/>
    <s v="P065436"/>
    <s v="C1"/>
    <s v=""/>
    <s v="P065436C1S4"/>
    <x v="2"/>
    <s v="2003 / 2008"/>
    <x v="0"/>
    <n v="1.375"/>
    <n v="1"/>
    <n v="1.2821292775665398"/>
    <m/>
    <n v="1.2821292775665398"/>
    <n v="1.28212927756654"/>
    <s v=""/>
    <s v=""/>
    <x v="0"/>
    <s v=""/>
    <s v=""/>
    <s v=""/>
  </r>
  <r>
    <s v="Ukraine "/>
    <x v="1"/>
    <s v="P100580"/>
    <s v="C1"/>
    <s v=""/>
    <s v="P100580C1"/>
    <x v="0"/>
    <n v="2009"/>
    <x v="2"/>
    <n v="25"/>
    <n v="120"/>
    <n v="1728.32"/>
    <s v="UAH"/>
    <n v="224.45714285714286"/>
    <n v="1.8704761904761904"/>
    <s v=""/>
    <s v=""/>
    <x v="0"/>
    <s v=""/>
    <s v=""/>
    <m/>
  </r>
  <r>
    <s v="Ukraine "/>
    <x v="1"/>
    <s v="P100580"/>
    <s v="C1"/>
    <s v=""/>
    <s v="P100580C1"/>
    <x v="1"/>
    <n v="2015"/>
    <x v="2"/>
    <n v="31"/>
    <n v="150.6"/>
    <n v="2579"/>
    <s v="UAH"/>
    <n v="171.24833997343956"/>
    <n v="1.1371071711383769"/>
    <s v=""/>
    <s v=""/>
    <x v="0"/>
    <s v=""/>
    <s v=""/>
    <m/>
  </r>
  <r>
    <s v="Ukraine "/>
    <x v="1"/>
    <s v="P100580"/>
    <s v="C1"/>
    <s v=""/>
    <s v="P100580C1"/>
    <x v="2"/>
    <s v="2003 / 2008"/>
    <x v="2"/>
    <n v="1.24"/>
    <n v="1.2549999999999999"/>
    <n v="1.4922005184225144"/>
    <m/>
    <n v="0.76294448817087379"/>
    <n v="0.6079238949568716"/>
    <s v=""/>
    <s v=""/>
    <x v="0"/>
    <s v=""/>
    <s v=""/>
    <s v=""/>
  </r>
  <r>
    <s v="Uruguay"/>
    <x v="3"/>
    <s v="P057481"/>
    <s v=""/>
    <s v=""/>
    <s v="P057481"/>
    <x v="0"/>
    <n v="2005"/>
    <x v="4"/>
    <n v="24"/>
    <n v="9000"/>
    <n v="20"/>
    <s v="USD"/>
    <n v="20"/>
    <n v="2.2222222222222222E-3"/>
    <s v=""/>
    <s v=""/>
    <x v="0"/>
    <s v=""/>
    <s v=""/>
    <m/>
  </r>
  <r>
    <s v="Uruguay"/>
    <x v="3"/>
    <s v="P057481"/>
    <s v=""/>
    <s v=""/>
    <s v="P057481"/>
    <x v="1"/>
    <n v="2012"/>
    <x v="4"/>
    <n v="24"/>
    <n v="9000"/>
    <n v="26.914285714285715"/>
    <s v="USD"/>
    <n v="26.914285714285715"/>
    <n v="2.9904761904761905E-3"/>
    <s v=""/>
    <s v=""/>
    <x v="0"/>
    <s v=""/>
    <s v=""/>
    <m/>
  </r>
  <r>
    <s v="Uruguay"/>
    <x v="3"/>
    <s v="P057481"/>
    <s v="C1"/>
    <s v=""/>
    <s v="P057481"/>
    <x v="2"/>
    <s v="2003 / 2008"/>
    <x v="4"/>
    <n v="1"/>
    <n v="1"/>
    <n v="1.3457142857142856"/>
    <m/>
    <n v="1.3457142857142856"/>
    <n v="1.3457142857142856"/>
    <s v=""/>
    <s v=""/>
    <x v="0"/>
    <s v=""/>
    <s v=""/>
    <s v=""/>
  </r>
  <r>
    <s v="Uruguay"/>
    <x v="3"/>
    <s v="P057481"/>
    <s v="C1"/>
    <s v="S1"/>
    <s v="P057481C1S1"/>
    <x v="0"/>
    <n v="2007"/>
    <x v="2"/>
    <s v=""/>
    <n v="15"/>
    <n v="3.5920000000000001"/>
    <s v="USD"/>
    <n v="3.5920000000000001"/>
    <n v="0.23946666666666666"/>
    <s v=""/>
    <s v=""/>
    <x v="0"/>
    <s v="x"/>
    <s v="x"/>
    <m/>
  </r>
  <r>
    <s v="Uruguay"/>
    <x v="3"/>
    <s v="P057481"/>
    <s v="C1"/>
    <s v="S1"/>
    <s v="P057481C1S1"/>
    <x v="1"/>
    <n v="2012"/>
    <x v="2"/>
    <s v=""/>
    <n v="15"/>
    <n v="5.69"/>
    <s v="USD"/>
    <n v="5.69"/>
    <n v="0.37933333333333336"/>
    <s v=""/>
    <s v=""/>
    <x v="0"/>
    <s v="x"/>
    <s v="x"/>
    <m/>
  </r>
  <r>
    <s v="Uruguay"/>
    <x v="3"/>
    <s v="P057481"/>
    <s v="C1"/>
    <s v=""/>
    <s v="P057481C1S1"/>
    <x v="2"/>
    <s v="2003 / 2008"/>
    <x v="2"/>
    <s v=""/>
    <n v="1"/>
    <n v="1.584075723830735"/>
    <m/>
    <n v="1.584075723830735"/>
    <n v="1.584075723830735"/>
    <s v=""/>
    <s v=""/>
    <x v="0"/>
    <s v="x"/>
    <s v="x"/>
    <s v="Quality of estimates; ; "/>
  </r>
  <r>
    <s v="Uruguay"/>
    <x v="3"/>
    <s v="P057481"/>
    <s v="C1"/>
    <s v="S2"/>
    <s v="P057481C1S2"/>
    <x v="0"/>
    <n v="2007"/>
    <x v="2"/>
    <s v=""/>
    <n v="12.5"/>
    <n v="2.4"/>
    <s v="USD"/>
    <n v="2.4"/>
    <n v="0.192"/>
    <s v=""/>
    <s v=""/>
    <x v="0"/>
    <s v=""/>
    <s v=""/>
    <m/>
  </r>
  <r>
    <s v="Uruguay"/>
    <x v="3"/>
    <s v="P057481"/>
    <s v="C1"/>
    <s v="S2"/>
    <s v="P057481C1S2"/>
    <x v="1"/>
    <n v="2012"/>
    <x v="2"/>
    <s v=""/>
    <n v="12.5"/>
    <n v="3.5"/>
    <s v="USD"/>
    <n v="3.5"/>
    <n v="0.28000000000000003"/>
    <s v=""/>
    <s v=""/>
    <x v="0"/>
    <s v=""/>
    <s v=""/>
    <m/>
  </r>
  <r>
    <s v="Uruguay"/>
    <x v="3"/>
    <s v="P057481"/>
    <s v="C1"/>
    <s v=""/>
    <s v="P057481C1S2"/>
    <x v="2"/>
    <s v="2003 / 2008"/>
    <x v="2"/>
    <s v=""/>
    <n v="1"/>
    <n v="1.4583333333333335"/>
    <m/>
    <n v="1.4583333333333335"/>
    <n v="1.4583333333333335"/>
    <s v=""/>
    <s v=""/>
    <x v="0"/>
    <s v=""/>
    <s v=""/>
    <s v=""/>
  </r>
  <r>
    <s v="Uruguay"/>
    <x v="3"/>
    <s v="P057481"/>
    <s v="C1"/>
    <s v="S3"/>
    <s v="P057481C1S3"/>
    <x v="0"/>
    <n v="2007"/>
    <x v="2"/>
    <s v=""/>
    <n v="22"/>
    <n v="3.74"/>
    <s v="USD"/>
    <n v="3.74"/>
    <n v="0.17"/>
    <s v=""/>
    <s v=""/>
    <x v="0"/>
    <s v="x"/>
    <s v="x"/>
    <m/>
  </r>
  <r>
    <s v="Uruguay"/>
    <x v="3"/>
    <s v="P057481"/>
    <s v="C1"/>
    <s v="S3"/>
    <s v="P057481C1S3"/>
    <x v="1"/>
    <n v="2012"/>
    <x v="2"/>
    <s v=""/>
    <n v="22"/>
    <n v="13.257"/>
    <s v="USD"/>
    <n v="13.257"/>
    <n v="0.60259090909090907"/>
    <s v=""/>
    <s v=""/>
    <x v="0"/>
    <s v="x"/>
    <s v="x"/>
    <m/>
  </r>
  <r>
    <s v="Uruguay"/>
    <x v="3"/>
    <s v="P057481"/>
    <s v="C1"/>
    <s v=""/>
    <s v="P057481C1S3"/>
    <x v="2"/>
    <s v="2003 / 2008"/>
    <x v="2"/>
    <s v=""/>
    <n v="1"/>
    <n v="3.5446524064171121"/>
    <m/>
    <n v="3.5446524064171121"/>
    <n v="3.5446524064171121"/>
    <s v=""/>
    <s v=""/>
    <x v="0"/>
    <s v="x"/>
    <s v="x"/>
    <s v="Change of project scope; Quality of estimates; "/>
  </r>
  <r>
    <s v="Vietnam"/>
    <x v="4"/>
    <s v="P042927"/>
    <s v="C1"/>
    <s v=""/>
    <s v="P042927C1"/>
    <x v="0"/>
    <n v="2000"/>
    <x v="9"/>
    <n v="52"/>
    <n v="180"/>
    <n v="76.209999999999994"/>
    <s v="USD"/>
    <n v="76.209999999999994"/>
    <n v="0.42338888888888887"/>
    <s v=""/>
    <s v=""/>
    <x v="0"/>
    <s v="x"/>
    <s v="x"/>
    <m/>
  </r>
  <r>
    <s v="Vietnam"/>
    <x v="4"/>
    <s v="P042927"/>
    <s v="C1"/>
    <s v=""/>
    <s v="P042927C1"/>
    <x v="1"/>
    <n v="2011"/>
    <x v="9"/>
    <n v="60"/>
    <n v="180"/>
    <n v="130.93"/>
    <s v="USD"/>
    <n v="130.93"/>
    <n v="0.72738888888888897"/>
    <s v=""/>
    <s v=""/>
    <x v="0"/>
    <s v="x"/>
    <s v="x"/>
    <m/>
  </r>
  <r>
    <s v="Vietnam"/>
    <x v="4"/>
    <s v="P042927"/>
    <s v="C1"/>
    <s v=""/>
    <s v="P042927C1"/>
    <x v="2"/>
    <s v="2003 / 2008"/>
    <x v="9"/>
    <n v="1.1538461538461537"/>
    <n v="1"/>
    <n v="1.7180160083978482"/>
    <m/>
    <n v="1.7180160083978482"/>
    <n v="1.7180160083978484"/>
    <s v=""/>
    <s v=""/>
    <x v="0"/>
    <s v="x"/>
    <s v="x"/>
    <s v="Capacity of counterpart; Macroeconomic conditions  ; "/>
  </r>
  <r>
    <s v="Vietnam"/>
    <x v="4"/>
    <s v="P075407"/>
    <s v="C1"/>
    <s v=""/>
    <s v="P075407C1"/>
    <x v="0"/>
    <n v="2006"/>
    <x v="6"/>
    <s v=""/>
    <n v="3150"/>
    <n v="127.47"/>
    <s v="USD"/>
    <n v="127.47"/>
    <n v="4.0466666666666665E-2"/>
    <s v=""/>
    <s v=""/>
    <x v="0"/>
    <s v="x"/>
    <s v="x"/>
    <m/>
  </r>
  <r>
    <s v="Vietnam"/>
    <x v="4"/>
    <s v="P075407"/>
    <s v="C1"/>
    <s v=""/>
    <s v="P075407C1"/>
    <x v="1"/>
    <n v="2014"/>
    <x v="6"/>
    <s v=""/>
    <n v="3283"/>
    <n v="244.07"/>
    <s v="USD"/>
    <n v="244.07"/>
    <n v="7.434358818154127E-2"/>
    <s v=""/>
    <s v=""/>
    <x v="0"/>
    <s v="x"/>
    <s v="x"/>
    <m/>
  </r>
  <r>
    <s v="Vietnam"/>
    <x v="4"/>
    <s v="P075407"/>
    <s v="C1"/>
    <s v=""/>
    <s v="P075407C1"/>
    <x v="2"/>
    <s v="2003 / 2008"/>
    <x v="6"/>
    <s v=""/>
    <n v="1.0422222222222222"/>
    <n v="1.9147250333411783"/>
    <m/>
    <n v="1.9147250333411783"/>
    <n v="1.8371562153593395"/>
    <s v=""/>
    <s v=""/>
    <x v="0"/>
    <s v="x"/>
    <s v="x"/>
    <s v="Macroeconomic conditions ; Change of project scope ; Quality of estimates "/>
  </r>
  <r>
    <s v="Vietnam"/>
    <x v="4"/>
    <s v="P075407"/>
    <s v="C2"/>
    <s v=""/>
    <s v="P075407C2"/>
    <x v="0"/>
    <n v="2006"/>
    <x v="4"/>
    <n v="30"/>
    <n v="12000"/>
    <n v="12.38"/>
    <s v="USD"/>
    <n v="12.38"/>
    <n v="1.0316666666666666E-3"/>
    <s v=""/>
    <s v="x"/>
    <x v="0"/>
    <s v="x"/>
    <s v="x"/>
    <m/>
  </r>
  <r>
    <s v="Vietnam"/>
    <x v="4"/>
    <s v="P075407"/>
    <s v="C2"/>
    <s v=""/>
    <s v="P075407C2"/>
    <x v="1"/>
    <n v="2014"/>
    <x v="4"/>
    <n v="30"/>
    <n v="19902"/>
    <n v="39.39"/>
    <s v="USD"/>
    <n v="39.39"/>
    <n v="1.9791980705456736E-3"/>
    <s v=""/>
    <s v="x"/>
    <x v="0"/>
    <s v="x"/>
    <s v="x"/>
    <m/>
  </r>
  <r>
    <s v="Vietnam"/>
    <x v="4"/>
    <s v="P075407"/>
    <s v="C1"/>
    <s v=""/>
    <s v="P075407C2"/>
    <x v="2"/>
    <s v="2003 / 2008"/>
    <x v="4"/>
    <n v="1"/>
    <n v="1.6585000000000001"/>
    <n v="3.1817447495961226"/>
    <m/>
    <n v="3.1817447495961226"/>
    <n v="1.9184472412397484"/>
    <s v=""/>
    <s v="x"/>
    <x v="0"/>
    <s v="x"/>
    <s v="x"/>
    <s v="Macroeconomic conditions ; Change of project scope; Quality of estimates"/>
  </r>
  <r>
    <s v="Vietnam"/>
    <x v="4"/>
    <s v="P083588 "/>
    <s v="C1"/>
    <s v=""/>
    <s v="P083588 C1"/>
    <x v="0"/>
    <n v="2007"/>
    <x v="11"/>
    <n v="36"/>
    <n v="98"/>
    <n v="74.58"/>
    <s v="USD"/>
    <n v="74.58"/>
    <n v="0.76102040816326533"/>
    <s v=""/>
    <s v=""/>
    <x v="0"/>
    <s v="x"/>
    <s v="x"/>
    <m/>
  </r>
  <r>
    <s v="Vietnam"/>
    <x v="4"/>
    <s v="P083588 "/>
    <s v="C1"/>
    <s v=""/>
    <s v="P083588 C1"/>
    <x v="1"/>
    <n v="2017"/>
    <x v="11"/>
    <n v="79"/>
    <n v="61"/>
    <n v="75.5"/>
    <s v="USD"/>
    <n v="75.5"/>
    <n v="1.2377049180327868"/>
    <s v=""/>
    <s v=""/>
    <x v="0"/>
    <s v="x"/>
    <s v="x"/>
    <m/>
  </r>
  <r>
    <s v="Vietnam"/>
    <x v="4"/>
    <s v="P083588 "/>
    <s v="C1"/>
    <s v=""/>
    <s v="P083588 C1"/>
    <x v="2"/>
    <s v="2003 / 2008"/>
    <x v="11"/>
    <n v="2.1944444444444446"/>
    <n v="0.62244897959183676"/>
    <n v="1.0123357468490213"/>
    <m/>
    <n v="1.0123357468490213"/>
    <n v="1.6263754621508864"/>
    <s v=""/>
    <s v=""/>
    <x v="0"/>
    <s v="x"/>
    <s v="x"/>
    <s v="Macroeconomic conditions; Capacity of Counterpart ; "/>
  </r>
  <r>
    <s v="Vietnam"/>
    <x v="4"/>
    <s v="P059663"/>
    <s v="C1"/>
    <s v="S1"/>
    <s v="P059663C1S1"/>
    <x v="0"/>
    <n v="2003"/>
    <x v="5"/>
    <n v="28"/>
    <n v="1100"/>
    <n v="97.2"/>
    <s v="USD"/>
    <n v="97.2"/>
    <n v="8.8363636363636366E-2"/>
    <s v=""/>
    <s v=""/>
    <x v="0"/>
    <s v=""/>
    <s v=""/>
    <m/>
  </r>
  <r>
    <s v="Vietnam"/>
    <x v="4"/>
    <s v="P059663"/>
    <s v="C1"/>
    <s v="S1"/>
    <s v="P059663C1S1"/>
    <x v="1"/>
    <n v="2012"/>
    <x v="5"/>
    <n v="36.4"/>
    <n v="842"/>
    <n v="90.48"/>
    <s v="USD"/>
    <n v="90.48"/>
    <n v="0.10745843230403801"/>
    <s v=""/>
    <s v=""/>
    <x v="0"/>
    <s v=""/>
    <s v=""/>
    <m/>
  </r>
  <r>
    <s v="Vietnam"/>
    <x v="4"/>
    <s v="P059663"/>
    <s v="C1"/>
    <s v=""/>
    <s v="P059663C1S1"/>
    <x v="2"/>
    <s v="2003 / 2008"/>
    <x v="5"/>
    <n v="1.3"/>
    <n v="0.7654545454545455"/>
    <n v="0.93086419753086425"/>
    <m/>
    <n v="0.93086419753086425"/>
    <n v="1.2160933696959033"/>
    <s v=""/>
    <s v=""/>
    <x v="0"/>
    <s v=""/>
    <s v=""/>
    <s v=""/>
  </r>
  <r>
    <s v="Vietnam"/>
    <x v="4"/>
    <s v="P059663"/>
    <s v="C1"/>
    <s v="S2"/>
    <s v="P059663C1S2"/>
    <x v="0"/>
    <n v="2003"/>
    <x v="5"/>
    <n v="16"/>
    <n v="430"/>
    <n v="7"/>
    <s v="USD"/>
    <n v="7"/>
    <n v="1.627906976744186E-2"/>
    <s v=""/>
    <s v=""/>
    <x v="0"/>
    <s v="x"/>
    <s v="x"/>
    <m/>
  </r>
  <r>
    <s v="Vietnam"/>
    <x v="4"/>
    <s v="P059663"/>
    <s v="C1"/>
    <s v="S2"/>
    <s v="P059663C1S2"/>
    <x v="1"/>
    <n v="2012"/>
    <x v="5"/>
    <n v="36"/>
    <n v="302"/>
    <n v="23.55"/>
    <s v="USD"/>
    <n v="23.55"/>
    <n v="7.7980132450331127E-2"/>
    <s v=""/>
    <s v=""/>
    <x v="0"/>
    <s v="x"/>
    <s v="x"/>
    <m/>
  </r>
  <r>
    <s v="Vietnam"/>
    <x v="4"/>
    <s v="P059663"/>
    <s v="C1"/>
    <s v=""/>
    <s v="P059663C1S2"/>
    <x v="2"/>
    <s v="2003 / 2008"/>
    <x v="5"/>
    <n v="2.25"/>
    <n v="0.70232558139534884"/>
    <n v="3.3642857142857143"/>
    <m/>
    <n v="3.3642857142857143"/>
    <n v="4.790208136234626"/>
    <s v=""/>
    <s v=""/>
    <x v="0"/>
    <s v="x"/>
    <s v="x"/>
    <s v="Macroeconomic conditions; Procurement system; "/>
  </r>
  <r>
    <s v="Vietnam"/>
    <x v="4"/>
    <s v="P059663"/>
    <s v="C2"/>
    <s v=""/>
    <s v="P059663C2"/>
    <x v="0"/>
    <n v="2003"/>
    <x v="11"/>
    <n v="40"/>
    <n v="600"/>
    <n v="144.93"/>
    <s v="USD"/>
    <n v="144.93"/>
    <n v="0.24155000000000001"/>
    <s v="x"/>
    <s v=""/>
    <x v="0"/>
    <s v="x"/>
    <s v="x"/>
    <m/>
  </r>
  <r>
    <s v="Vietnam"/>
    <x v="4"/>
    <s v="P059663"/>
    <s v="C2"/>
    <s v=""/>
    <s v="P059663C2"/>
    <x v="1"/>
    <n v="2012"/>
    <x v="11"/>
    <n v="64"/>
    <n v="265"/>
    <n v="212.74"/>
    <s v="USD"/>
    <n v="212.74"/>
    <n v="0.80279245283018874"/>
    <s v="x"/>
    <s v=""/>
    <x v="0"/>
    <s v="x"/>
    <s v="x"/>
    <m/>
  </r>
  <r>
    <s v="Vietnam"/>
    <x v="4"/>
    <s v="P059663"/>
    <s v="C1"/>
    <s v=""/>
    <s v="P059663C2"/>
    <x v="2"/>
    <s v="2003 / 2008"/>
    <x v="11"/>
    <n v="1.6"/>
    <n v="0.44166666666666665"/>
    <n v="1.4678810460222176"/>
    <m/>
    <n v="1.4678810460222176"/>
    <n v="3.3235042551446439"/>
    <s v="x"/>
    <s v=""/>
    <x v="0"/>
    <s v="x"/>
    <s v="x"/>
    <s v="Macroeconomic conditions; Quality of estimates; Procurement system"/>
  </r>
  <r>
    <s v="Vietnam"/>
    <x v="4"/>
    <s v="P059864"/>
    <s v="C1"/>
    <s v=""/>
    <s v="P059864C1"/>
    <x v="0"/>
    <n v="1999"/>
    <x v="14"/>
    <n v="60"/>
    <n v="10000"/>
    <n v="129.19999999999999"/>
    <s v="USD"/>
    <n v="129.19999999999999"/>
    <n v="1.2919999999999999E-2"/>
    <s v=""/>
    <s v=""/>
    <x v="0"/>
    <s v=""/>
    <s v=""/>
    <m/>
  </r>
  <r>
    <s v="Vietnam"/>
    <x v="4"/>
    <s v="P059864"/>
    <s v="C1"/>
    <s v=""/>
    <s v="P059864C1"/>
    <x v="1"/>
    <n v="2007"/>
    <x v="14"/>
    <n v="60"/>
    <n v="7599"/>
    <n v="139.38"/>
    <s v="USD"/>
    <n v="139.38"/>
    <n v="1.8341887090406631E-2"/>
    <s v=""/>
    <s v=""/>
    <x v="0"/>
    <s v=""/>
    <s v=""/>
    <m/>
  </r>
  <r>
    <s v="Vietnam"/>
    <x v="4"/>
    <s v="P059864"/>
    <s v="C1"/>
    <s v=""/>
    <s v="P059864C1"/>
    <x v="2"/>
    <s v="2003 / 2008"/>
    <x v="14"/>
    <n v="1"/>
    <n v="0.75990000000000002"/>
    <n v="1.0787925696594427"/>
    <m/>
    <n v="1.0787925696594427"/>
    <n v="1.4196507035918446"/>
    <s v=""/>
    <s v=""/>
    <x v="0"/>
    <s v=""/>
    <s v=""/>
    <s v=""/>
  </r>
  <r>
    <s v="Yemen, Rep."/>
    <x v="4"/>
    <s v="P070391"/>
    <s v="C1"/>
    <s v=""/>
    <s v="P070391C1"/>
    <x v="0"/>
    <n v="2001"/>
    <x v="2"/>
    <s v=""/>
    <n v="114"/>
    <n v="12.24"/>
    <s v="USD"/>
    <n v="12.24"/>
    <n v="0.10736842105263159"/>
    <s v=""/>
    <s v="x"/>
    <x v="1"/>
    <s v=""/>
    <s v="x"/>
    <m/>
  </r>
  <r>
    <s v="Yemen, Rep."/>
    <x v="4"/>
    <s v="P070391"/>
    <s v="C1"/>
    <s v=""/>
    <s v="P070391C1"/>
    <x v="1"/>
    <n v="2007"/>
    <x v="2"/>
    <s v=""/>
    <n v="229"/>
    <n v="10.55"/>
    <s v="USD"/>
    <n v="10.55"/>
    <n v="4.6069868995633194E-2"/>
    <s v=""/>
    <s v="x"/>
    <x v="1"/>
    <s v=""/>
    <s v="x"/>
    <m/>
  </r>
  <r>
    <s v="Yemen, Rep."/>
    <x v="4"/>
    <s v="P070391"/>
    <s v="C1"/>
    <s v=""/>
    <s v="P070391C1"/>
    <x v="2"/>
    <s v="2003 / 2008"/>
    <x v="2"/>
    <s v=""/>
    <n v="2.0087719298245612"/>
    <n v="0.86192810457516345"/>
    <m/>
    <n v="0.86192810457516345"/>
    <n v="0.42908211319462286"/>
    <s v=""/>
    <s v="x"/>
    <x v="1"/>
    <s v=""/>
    <s v="x"/>
    <s v="Macroeconomic conditions  ; Quality of estimates ; Change of project scope "/>
  </r>
  <r>
    <s v="Yemen, Rep."/>
    <x v="4"/>
    <s v="P070391"/>
    <s v="C2"/>
    <s v=""/>
    <s v="P070391C2"/>
    <x v="0"/>
    <n v="2001"/>
    <x v="1"/>
    <s v=""/>
    <n v="244"/>
    <n v="31.6"/>
    <s v="USD"/>
    <n v="31.6"/>
    <n v="0.12950819672131147"/>
    <s v=""/>
    <s v="x"/>
    <x v="0"/>
    <s v=""/>
    <s v="x"/>
    <m/>
  </r>
  <r>
    <s v="Yemen, Rep."/>
    <x v="4"/>
    <s v="P070391"/>
    <s v="C2"/>
    <s v=""/>
    <s v="P070391C2"/>
    <x v="1"/>
    <n v="2007"/>
    <x v="1"/>
    <s v=""/>
    <n v="397"/>
    <n v="43.68"/>
    <s v="USD"/>
    <n v="43.68"/>
    <n v="0.11002518891687657"/>
    <s v=""/>
    <s v="x"/>
    <x v="0"/>
    <s v=""/>
    <s v="x"/>
    <m/>
  </r>
  <r>
    <s v="Yemen, Rep."/>
    <x v="4"/>
    <s v="P070391"/>
    <s v="C1"/>
    <s v=""/>
    <s v="P070391C2"/>
    <x v="2"/>
    <s v="2003 / 2008"/>
    <x v="1"/>
    <s v=""/>
    <n v="1.6270491803278688"/>
    <n v="1.3822784810126583"/>
    <m/>
    <n v="1.3822784810126583"/>
    <n v="0.8495615853075279"/>
    <s v=""/>
    <s v="x"/>
    <x v="0"/>
    <s v=""/>
    <s v="x"/>
    <s v="Macroeconomic conditions ; Quality of estimates ; "/>
  </r>
  <r>
    <s v="Yugoslavia, FR (Serbia/Montenegro)"/>
    <x v="1"/>
    <s v="P075207"/>
    <s v="C1"/>
    <s v="S1"/>
    <s v="P075207C1S1"/>
    <x v="0"/>
    <n v="2004"/>
    <x v="2"/>
    <n v="11"/>
    <n v="20.9"/>
    <n v="2.2000000000000002"/>
    <s v="USD"/>
    <n v="2.2000000000000002"/>
    <n v="0.10526315789473686"/>
    <s v=""/>
    <s v=""/>
    <x v="0"/>
    <s v="x"/>
    <s v="x"/>
    <m/>
  </r>
  <r>
    <s v="Yugoslavia, FR (Serbia/Montenegro)"/>
    <x v="1"/>
    <s v="P075207"/>
    <s v="C1"/>
    <s v="S1"/>
    <s v="P075207C1S1"/>
    <x v="1"/>
    <n v="2013"/>
    <x v="2"/>
    <s v=""/>
    <n v="20.9"/>
    <n v="4.17"/>
    <s v="USD"/>
    <n v="4.17"/>
    <n v="0.19952153110047849"/>
    <s v=""/>
    <s v=""/>
    <x v="0"/>
    <s v="x"/>
    <s v="x"/>
    <m/>
  </r>
  <r>
    <s v="Yugoslavia, FR (Serbia/Montenegro)"/>
    <x v="1"/>
    <s v="P075207"/>
    <s v="C1"/>
    <s v=""/>
    <s v="P075207C1S1"/>
    <x v="2"/>
    <s v="2003 / 2008"/>
    <x v="2"/>
    <s v=""/>
    <n v="1"/>
    <n v="1.8954545454545453"/>
    <m/>
    <n v="1.8954545454545453"/>
    <n v="1.8954545454545453"/>
    <s v=""/>
    <s v=""/>
    <x v="0"/>
    <s v="x"/>
    <s v="x"/>
    <s v="Quality of estimates; Capacity of counterpart; "/>
  </r>
  <r>
    <s v="Yugoslavia, FR (Serbia/Montenegro)"/>
    <x v="1"/>
    <s v="P075207"/>
    <s v="C1"/>
    <s v="S2"/>
    <s v="P075207C1S2"/>
    <x v="0"/>
    <n v="2004"/>
    <x v="2"/>
    <n v="11"/>
    <n v="18.8"/>
    <n v="1.9"/>
    <s v="USD"/>
    <n v="1.9"/>
    <n v="0.10106382978723404"/>
    <s v=""/>
    <s v=""/>
    <x v="0"/>
    <s v="x"/>
    <s v="x"/>
    <m/>
  </r>
  <r>
    <s v="Yugoslavia, FR (Serbia/Montenegro)"/>
    <x v="1"/>
    <s v="P075207"/>
    <s v="C1"/>
    <s v="S2"/>
    <s v="P075207C1S2"/>
    <x v="1"/>
    <n v="2013"/>
    <x v="2"/>
    <s v=""/>
    <n v="18.8"/>
    <n v="3.43"/>
    <s v="USD"/>
    <n v="3.43"/>
    <n v="0.1824468085106383"/>
    <s v=""/>
    <s v=""/>
    <x v="0"/>
    <s v="x"/>
    <s v="x"/>
    <m/>
  </r>
  <r>
    <s v="Yugoslavia, FR (Serbia/Montenegro)"/>
    <x v="1"/>
    <s v="P075207"/>
    <s v="C1"/>
    <s v=""/>
    <s v="P075207C1S2"/>
    <x v="2"/>
    <s v="2003 / 2008"/>
    <x v="2"/>
    <s v=""/>
    <n v="1"/>
    <n v="1.8052631578947369"/>
    <m/>
    <n v="1.8052631578947369"/>
    <n v="1.8052631578947369"/>
    <s v=""/>
    <s v=""/>
    <x v="0"/>
    <s v="x"/>
    <s v="x"/>
    <s v="Quality of estimates; Capacity of counterpart; "/>
  </r>
  <r>
    <s v="Yugoslavia, FR (Serbia/Montenegro)"/>
    <x v="1"/>
    <s v="P075207"/>
    <s v="C1"/>
    <s v="S3"/>
    <s v="P075207C1S3"/>
    <x v="0"/>
    <n v="2004"/>
    <x v="2"/>
    <n v="11"/>
    <n v="10.3"/>
    <n v="2.6"/>
    <s v="USD"/>
    <n v="2.6"/>
    <n v="0.25242718446601942"/>
    <s v=""/>
    <s v=""/>
    <x v="0"/>
    <s v=""/>
    <s v=""/>
    <m/>
  </r>
  <r>
    <s v="Yugoslavia, FR (Serbia/Montenegro)"/>
    <x v="1"/>
    <s v="P075207"/>
    <s v="C1"/>
    <s v="S3"/>
    <s v="P075207C1S3"/>
    <x v="1"/>
    <n v="2013"/>
    <x v="2"/>
    <s v=""/>
    <n v="10.3"/>
    <n v="3.72"/>
    <s v="USD"/>
    <n v="3.72"/>
    <n v="0.3611650485436893"/>
    <s v=""/>
    <s v=""/>
    <x v="0"/>
    <s v=""/>
    <s v=""/>
    <m/>
  </r>
  <r>
    <s v="Yugoslavia, FR (Serbia/Montenegro)"/>
    <x v="1"/>
    <s v="P075207"/>
    <s v="C1"/>
    <s v=""/>
    <s v="P075207C1S3"/>
    <x v="2"/>
    <s v="2003 / 2008"/>
    <x v="2"/>
    <s v=""/>
    <n v="1"/>
    <n v="1.4307692307692308"/>
    <m/>
    <n v="1.4307692307692308"/>
    <n v="1.4307692307692308"/>
    <s v=""/>
    <s v=""/>
    <x v="0"/>
    <s v=""/>
    <s v=""/>
    <s v=""/>
  </r>
  <r>
    <s v="Yugoslavia, FR (Serbia/Montenegro)"/>
    <x v="1"/>
    <s v="P075207"/>
    <s v="C1"/>
    <s v="S4"/>
    <s v="P075207C1S4"/>
    <x v="0"/>
    <n v="2004"/>
    <x v="2"/>
    <n v="18"/>
    <n v="33.9"/>
    <n v="6"/>
    <s v="USD"/>
    <n v="6"/>
    <n v="0.17699115044247787"/>
    <s v=""/>
    <s v=""/>
    <x v="0"/>
    <s v=""/>
    <s v=""/>
    <m/>
  </r>
  <r>
    <s v="Yugoslavia, FR (Serbia/Montenegro)"/>
    <x v="1"/>
    <s v="P075207"/>
    <s v="C1"/>
    <s v="S4"/>
    <s v="P075207C1S4"/>
    <x v="1"/>
    <n v="2013"/>
    <x v="2"/>
    <s v=""/>
    <n v="33.9"/>
    <n v="4.5"/>
    <s v="USD"/>
    <n v="4.5"/>
    <n v="0.13274336283185842"/>
    <s v=""/>
    <s v=""/>
    <x v="0"/>
    <s v=""/>
    <s v=""/>
    <m/>
  </r>
  <r>
    <s v="Yugoslavia, FR (Serbia/Montenegro)"/>
    <x v="1"/>
    <s v="P075207"/>
    <s v="C1"/>
    <s v=""/>
    <s v="P075207C1S4"/>
    <x v="2"/>
    <s v="2003 / 2008"/>
    <x v="2"/>
    <s v=""/>
    <n v="1"/>
    <n v="0.75"/>
    <m/>
    <n v="0.75"/>
    <n v="0.75000000000000011"/>
    <s v=""/>
    <s v=""/>
    <x v="0"/>
    <s v=""/>
    <s v=""/>
    <s v=""/>
  </r>
  <r>
    <s v="Zambia"/>
    <x v="2"/>
    <s v="P071985"/>
    <s v="C1"/>
    <s v="S1"/>
    <s v="P071985C1S1"/>
    <x v="0"/>
    <n v="2004"/>
    <x v="5"/>
    <n v="37"/>
    <n v="40"/>
    <n v="12.1"/>
    <s v="USD"/>
    <n v="12.1"/>
    <n v="0.30249999999999999"/>
    <s v=""/>
    <s v=""/>
    <x v="0"/>
    <s v=""/>
    <s v=""/>
    <m/>
  </r>
  <r>
    <s v="Zambia"/>
    <x v="2"/>
    <s v="P071985"/>
    <s v="C1"/>
    <s v="S1"/>
    <s v="P071985C1S1"/>
    <x v="1"/>
    <n v="2015"/>
    <x v="5"/>
    <n v="33"/>
    <n v="40"/>
    <n v="10.29"/>
    <s v="USD"/>
    <n v="10.29"/>
    <n v="0.25724999999999998"/>
    <s v=""/>
    <s v=""/>
    <x v="0"/>
    <s v=""/>
    <s v=""/>
    <m/>
  </r>
  <r>
    <s v="Zambia"/>
    <x v="2"/>
    <s v="P071985"/>
    <s v="C1"/>
    <s v=""/>
    <s v="P071985C1S1"/>
    <x v="2"/>
    <s v="2003 / 2008"/>
    <x v="5"/>
    <n v="0.89189189189189189"/>
    <n v="1"/>
    <n v="0.85041322314049583"/>
    <m/>
    <n v="0.85041322314049583"/>
    <n v="0.85041322314049583"/>
    <s v=""/>
    <s v=""/>
    <x v="0"/>
    <s v=""/>
    <s v=""/>
    <s v=""/>
  </r>
  <r>
    <s v="Zambia"/>
    <x v="2"/>
    <s v="P071985"/>
    <s v="C1"/>
    <s v="S2"/>
    <s v="P071985C1S2"/>
    <x v="0"/>
    <n v="2004"/>
    <x v="5"/>
    <n v="18"/>
    <n v="45"/>
    <n v="9.1"/>
    <s v="USD"/>
    <n v="9.1"/>
    <n v="0.20222222222222222"/>
    <s v=""/>
    <s v=""/>
    <x v="0"/>
    <s v=""/>
    <s v=""/>
    <m/>
  </r>
  <r>
    <s v="Zambia"/>
    <x v="2"/>
    <s v="P071985"/>
    <s v="C1"/>
    <s v="S2"/>
    <s v="P071985C1S2"/>
    <x v="1"/>
    <n v="2015"/>
    <x v="5"/>
    <n v="18"/>
    <n v="45"/>
    <n v="7.3"/>
    <s v="USD"/>
    <n v="7.3"/>
    <n v="0.16222222222222221"/>
    <s v=""/>
    <s v=""/>
    <x v="0"/>
    <s v=""/>
    <s v=""/>
    <m/>
  </r>
  <r>
    <s v="Zambia"/>
    <x v="2"/>
    <s v="P071985"/>
    <s v="C1"/>
    <s v=""/>
    <s v="P071985C1S2"/>
    <x v="2"/>
    <s v="2003 / 2008"/>
    <x v="5"/>
    <n v="1"/>
    <n v="1"/>
    <n v="0.80219780219780223"/>
    <m/>
    <n v="0.80219780219780223"/>
    <n v="0.80219780219780212"/>
    <s v=""/>
    <s v=""/>
    <x v="0"/>
    <s v=""/>
    <s v=""/>
    <s v=""/>
  </r>
  <r>
    <s v="Zambia"/>
    <x v="2"/>
    <s v="P071985"/>
    <s v="C1"/>
    <s v="S3"/>
    <s v="P071985C1S3"/>
    <x v="0"/>
    <n v="2004"/>
    <x v="5"/>
    <n v="23"/>
    <n v="34"/>
    <n v="17.5"/>
    <s v="USD"/>
    <n v="17.5"/>
    <n v="0.51470588235294112"/>
    <s v=""/>
    <s v=""/>
    <x v="1"/>
    <s v=""/>
    <s v="x"/>
    <m/>
  </r>
  <r>
    <s v="Zambia"/>
    <x v="2"/>
    <s v="P071985"/>
    <s v="C1"/>
    <s v="S3"/>
    <s v="P071985C1S3"/>
    <x v="1"/>
    <n v="2015"/>
    <x v="5"/>
    <n v="27"/>
    <n v="34"/>
    <n v="8.0299999999999994"/>
    <s v="USD"/>
    <n v="8.0299999999999994"/>
    <n v="0.23617647058823527"/>
    <s v=""/>
    <s v=""/>
    <x v="1"/>
    <s v=""/>
    <s v="x"/>
    <m/>
  </r>
  <r>
    <s v="Zambia"/>
    <x v="2"/>
    <s v="P071985"/>
    <s v="C1"/>
    <s v=""/>
    <s v="P071985C1S3"/>
    <x v="2"/>
    <s v="2003 / 2008"/>
    <x v="5"/>
    <n v="1.173913043478261"/>
    <n v="1"/>
    <n v="0.4588571428571428"/>
    <m/>
    <n v="0.4588571428571428"/>
    <n v="0.45885714285714285"/>
    <s v=""/>
    <s v=""/>
    <x v="1"/>
    <s v=""/>
    <s v="x"/>
    <s v="Quality of estimates; ; "/>
  </r>
  <r>
    <s v="Zambia"/>
    <x v="2"/>
    <s v="P071985"/>
    <s v="C1"/>
    <s v="S4"/>
    <s v="P071985C1S4"/>
    <x v="0"/>
    <n v="2004"/>
    <x v="5"/>
    <s v=""/>
    <n v="20"/>
    <n v="17.2"/>
    <s v="USD"/>
    <n v="17.2"/>
    <n v="0.86"/>
    <s v=""/>
    <s v=""/>
    <x v="0"/>
    <s v=""/>
    <m/>
    <m/>
  </r>
  <r>
    <s v="Zambia"/>
    <x v="2"/>
    <s v="P071985"/>
    <s v="C1"/>
    <s v="S4"/>
    <s v="P071985C1S4"/>
    <x v="1"/>
    <n v="2015"/>
    <x v="5"/>
    <s v=""/>
    <n v="20"/>
    <n v="10.7"/>
    <s v="USD"/>
    <n v="10.7"/>
    <n v="0.53499999999999992"/>
    <s v=""/>
    <s v=""/>
    <x v="0"/>
    <s v=""/>
    <m/>
    <m/>
  </r>
  <r>
    <s v="Zambia"/>
    <x v="2"/>
    <s v="P071985"/>
    <s v="C1"/>
    <s v=""/>
    <s v="P071985C1S4"/>
    <x v="2"/>
    <s v="2003 / 2008"/>
    <x v="5"/>
    <s v=""/>
    <n v="1"/>
    <n v="0.62209302325581395"/>
    <m/>
    <n v="0.62209302325581395"/>
    <n v="0.62209302325581384"/>
    <s v=""/>
    <s v=""/>
    <x v="0"/>
    <s v=""/>
    <m/>
    <s v=""/>
  </r>
  <r>
    <s v="Zambia"/>
    <x v="2"/>
    <s v="AfDB project - P –Z1-DB0 -063 "/>
    <s v="C1"/>
    <s v=""/>
    <s v="AfDB project - P –Z1-DB0 -063 C1"/>
    <x v="0"/>
    <n v="2010"/>
    <x v="2"/>
    <n v="24"/>
    <n v="114.7"/>
    <n v="79.372399999999999"/>
    <s v="USD"/>
    <n v="79.372399999999999"/>
    <n v="0.69199999999999995"/>
    <s v=""/>
    <s v=""/>
    <x v="0"/>
    <m/>
    <m/>
    <m/>
  </r>
  <r>
    <s v="Zambia"/>
    <x v="2"/>
    <s v="AfDB project - P –Z1-DB0 -063 "/>
    <s v="C1"/>
    <s v=""/>
    <s v="AfDB project - P –Z1-DB0 -063 C1"/>
    <x v="1"/>
    <n v="2017"/>
    <x v="2"/>
    <n v="26"/>
    <n v="114.7"/>
    <n v="74.555000000000007"/>
    <s v="USD"/>
    <n v="74.555000000000007"/>
    <n v="0.65"/>
    <s v=""/>
    <s v=""/>
    <x v="0"/>
    <m/>
    <m/>
    <m/>
  </r>
  <r>
    <s v="Zambia"/>
    <x v="2"/>
    <s v="AfDB project - P –Z1-DB0 -063 "/>
    <s v="C1"/>
    <s v=""/>
    <s v="AfDB project - P –Z1-DB0 -063 C1"/>
    <x v="2"/>
    <s v="2003 / 2008"/>
    <x v="2"/>
    <n v="1.0833333333333333"/>
    <n v="1"/>
    <n v="0.939306358381503"/>
    <m/>
    <n v="0.939306358381503"/>
    <n v="0.939306358381503"/>
    <s v=""/>
    <s v=""/>
    <x v="0"/>
    <m/>
    <m/>
    <s v=""/>
  </r>
  <r>
    <m/>
    <x v="6"/>
    <m/>
    <m/>
    <m/>
    <m/>
    <x v="3"/>
    <m/>
    <x v="17"/>
    <m/>
    <m/>
    <m/>
    <m/>
    <m/>
    <m/>
    <m/>
    <m/>
    <x v="2"/>
    <m/>
    <m/>
    <m/>
  </r>
  <r>
    <m/>
    <x v="6"/>
    <m/>
    <m/>
    <m/>
    <m/>
    <x v="3"/>
    <m/>
    <x v="17"/>
    <m/>
    <m/>
    <m/>
    <m/>
    <m/>
    <m/>
    <m/>
    <m/>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C10" firstHeaderRow="0" firstDataRow="1" firstDataCol="1"/>
  <pivotFields count="20">
    <pivotField subtotalTop="0" showAll="0"/>
    <pivotField axis="axisRow" subtotalTop="0" showAll="0" sortType="ascending">
      <items count="8">
        <item m="1" x="6"/>
        <item x="2"/>
        <item x="1"/>
        <item x="4"/>
        <item x="5"/>
        <item x="3"/>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subtotalTop="0" showAll="0"/>
    <pivotField subtotalTop="0" showAll="0"/>
    <pivotField subtotalTop="0" showAll="0"/>
    <pivotField dataField="1" subtotalTop="0" showAll="0"/>
    <pivotField subtotalTop="0" showAll="0"/>
    <pivotField numFmtId="2" subtotalTop="0" showAll="0"/>
    <pivotField numFmtId="2" subtotalTop="0" showAll="0"/>
    <pivotField numFmtId="2" subtotalTop="0" showAll="0"/>
    <pivotField numFmtId="2" subtotalTop="0" showAll="0"/>
  </pivotFields>
  <rowFields count="1">
    <field x="1"/>
  </rowFields>
  <rowItems count="7">
    <i>
      <x v="1"/>
    </i>
    <i>
      <x v="2"/>
    </i>
    <i>
      <x v="3"/>
    </i>
    <i>
      <x v="4"/>
    </i>
    <i>
      <x v="5"/>
    </i>
    <i>
      <x v="6"/>
    </i>
    <i t="grand">
      <x/>
    </i>
  </rowItems>
  <colFields count="1">
    <field x="-2"/>
  </colFields>
  <colItems count="2">
    <i>
      <x/>
    </i>
    <i i="1">
      <x v="1"/>
    </i>
  </colItems>
  <dataFields count="2">
    <dataField name="Ratio length (km)" fld="10" subtotal="average" baseField="1" baseItem="0"/>
    <dataField name="Ratio unit cost" fld="14" subtotal="average" baseField="1" baseItem="0"/>
  </dataFields>
  <formats count="9">
    <format dxfId="321">
      <pivotArea outline="0" collapsedLevelsAreSubtotals="1" fieldPosition="0"/>
    </format>
    <format dxfId="320">
      <pivotArea type="all" dataOnly="0" outline="0" fieldPosition="0"/>
    </format>
    <format dxfId="319">
      <pivotArea outline="0" collapsedLevelsAreSubtotals="1" fieldPosition="0"/>
    </format>
    <format dxfId="318">
      <pivotArea field="1" type="button" dataOnly="0" labelOnly="1" outline="0" axis="axisRow" fieldPosition="0"/>
    </format>
    <format dxfId="317">
      <pivotArea dataOnly="0" labelOnly="1" fieldPosition="0">
        <references count="1">
          <reference field="1" count="0"/>
        </references>
      </pivotArea>
    </format>
    <format dxfId="316">
      <pivotArea dataOnly="0" labelOnly="1" grandRow="1" outline="0" fieldPosition="0"/>
    </format>
    <format dxfId="315">
      <pivotArea dataOnly="0" labelOnly="1" outline="0" fieldPosition="0">
        <references count="1">
          <reference field="4294967294" count="2">
            <x v="0"/>
            <x v="1"/>
          </reference>
        </references>
      </pivotArea>
    </format>
    <format dxfId="314">
      <pivotArea field="1" type="button" dataOnly="0" labelOnly="1" outline="0" axis="axisRow" fieldPosition="0"/>
    </format>
    <format dxfId="3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8"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6:C23" firstHeaderRow="0" firstDataRow="1" firstDataCol="1"/>
  <pivotFields count="20">
    <pivotField subtotalTop="0" showAll="0"/>
    <pivotField axis="axisRow" subtotalTop="0" showAll="0">
      <items count="8">
        <item x="2"/>
        <item x="1"/>
        <item x="4"/>
        <item x="5"/>
        <item x="3"/>
        <item x="0"/>
        <item m="1" x="6"/>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s>
  <rowFields count="1">
    <field x="1"/>
  </rowFields>
  <rowItems count="7">
    <i>
      <x/>
    </i>
    <i>
      <x v="1"/>
    </i>
    <i>
      <x v="2"/>
    </i>
    <i>
      <x v="3"/>
    </i>
    <i>
      <x v="4"/>
    </i>
    <i>
      <x v="5"/>
    </i>
    <i t="grand">
      <x/>
    </i>
  </rowItems>
  <colFields count="1">
    <field x="-2"/>
  </colFields>
  <colItems count="2">
    <i>
      <x/>
    </i>
    <i i="1">
      <x v="1"/>
    </i>
  </colItems>
  <dataFields count="2">
    <dataField name="Average of cost_outlier_over" fld="18" subtotal="average" baseField="1" baseItem="0"/>
    <dataField name="Average of cost_outlier_under" fld="19" subtotal="average" baseField="1" baseItem="0"/>
  </dataFields>
  <formats count="13">
    <format dxfId="294">
      <pivotArea collapsedLevelsAreSubtotals="1" fieldPosition="0">
        <references count="1">
          <reference field="1" count="0"/>
        </references>
      </pivotArea>
    </format>
    <format dxfId="293">
      <pivotArea collapsedLevelsAreSubtotals="1" fieldPosition="0">
        <references count="1">
          <reference field="1" count="0"/>
        </references>
      </pivotArea>
    </format>
    <format dxfId="292">
      <pivotArea grandRow="1" outline="0" collapsedLevelsAreSubtotals="1" fieldPosition="0"/>
    </format>
    <format dxfId="291">
      <pivotArea type="all" dataOnly="0" outline="0" fieldPosition="0"/>
    </format>
    <format dxfId="290">
      <pivotArea outline="0" collapsedLevelsAreSubtotals="1" fieldPosition="0"/>
    </format>
    <format dxfId="289">
      <pivotArea field="1" type="button" dataOnly="0" labelOnly="1" outline="0" axis="axisRow" fieldPosition="0"/>
    </format>
    <format dxfId="288">
      <pivotArea dataOnly="0" labelOnly="1" fieldPosition="0">
        <references count="1">
          <reference field="1" count="0"/>
        </references>
      </pivotArea>
    </format>
    <format dxfId="287">
      <pivotArea dataOnly="0" labelOnly="1" grandRow="1" outline="0" fieldPosition="0"/>
    </format>
    <format dxfId="286">
      <pivotArea dataOnly="0" labelOnly="1" outline="0" fieldPosition="0">
        <references count="1">
          <reference field="4294967294" count="2">
            <x v="0"/>
            <x v="1"/>
          </reference>
        </references>
      </pivotArea>
    </format>
    <format dxfId="285">
      <pivotArea field="1" type="button" dataOnly="0" labelOnly="1" outline="0" axis="axisRow" fieldPosition="0"/>
    </format>
    <format dxfId="284">
      <pivotArea dataOnly="0" labelOnly="1" outline="0" fieldPosition="0">
        <references count="1">
          <reference field="4294967294" count="2">
            <x v="0"/>
            <x v="1"/>
          </reference>
        </references>
      </pivotArea>
    </format>
    <format dxfId="283">
      <pivotArea field="1" type="button" dataOnly="0" labelOnly="1" outline="0" axis="axisRow" fieldPosition="0"/>
    </format>
    <format dxfId="28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C11" firstHeaderRow="0" firstDataRow="1" firstDataCol="1"/>
  <pivotFields count="20">
    <pivotField subtotalTop="0" showAll="0"/>
    <pivotField axis="axisRow" subtotalTop="0" showAll="0">
      <items count="8">
        <item x="2"/>
        <item x="1"/>
        <item x="4"/>
        <item x="5"/>
        <item x="3"/>
        <item x="0"/>
        <item m="1" x="6"/>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subtotalTop="0" showAll="0"/>
    <pivotField subtotalTop="0" showAll="0"/>
  </pivotFields>
  <rowFields count="1">
    <field x="1"/>
  </rowFields>
  <rowItems count="7">
    <i>
      <x/>
    </i>
    <i>
      <x v="1"/>
    </i>
    <i>
      <x v="2"/>
    </i>
    <i>
      <x v="3"/>
    </i>
    <i>
      <x v="4"/>
    </i>
    <i>
      <x v="5"/>
    </i>
    <i t="grand">
      <x/>
    </i>
  </rowItems>
  <colFields count="1">
    <field x="-2"/>
  </colFields>
  <colItems count="2">
    <i>
      <x/>
    </i>
    <i i="1">
      <x v="1"/>
    </i>
  </colItems>
  <dataFields count="2">
    <dataField name="Average of Length_outlier_over" fld="16" subtotal="average" baseField="1" baseItem="0"/>
    <dataField name="Average of Length_outlier_under" fld="17" subtotal="average" baseField="1" baseItem="0"/>
  </dataFields>
  <formats count="18">
    <format dxfId="312">
      <pivotArea collapsedLevelsAreSubtotals="1" fieldPosition="0">
        <references count="1">
          <reference field="1" count="0"/>
        </references>
      </pivotArea>
    </format>
    <format dxfId="311">
      <pivotArea collapsedLevelsAreSubtotals="1" fieldPosition="0">
        <references count="1">
          <reference field="1" count="0"/>
        </references>
      </pivotArea>
    </format>
    <format dxfId="310">
      <pivotArea grandRow="1" outline="0" collapsedLevelsAreSubtotals="1" fieldPosition="0"/>
    </format>
    <format dxfId="309">
      <pivotArea type="all" dataOnly="0" outline="0" fieldPosition="0"/>
    </format>
    <format dxfId="308">
      <pivotArea outline="0" collapsedLevelsAreSubtotals="1" fieldPosition="0"/>
    </format>
    <format dxfId="307">
      <pivotArea field="1" type="button" dataOnly="0" labelOnly="1" outline="0" axis="axisRow" fieldPosition="0"/>
    </format>
    <format dxfId="306">
      <pivotArea dataOnly="0" labelOnly="1" fieldPosition="0">
        <references count="1">
          <reference field="1" count="0"/>
        </references>
      </pivotArea>
    </format>
    <format dxfId="305">
      <pivotArea dataOnly="0" labelOnly="1" grandRow="1" outline="0" fieldPosition="0"/>
    </format>
    <format dxfId="304">
      <pivotArea dataOnly="0" labelOnly="1" outline="0" fieldPosition="0">
        <references count="1">
          <reference field="4294967294" count="2">
            <x v="0"/>
            <x v="1"/>
          </reference>
        </references>
      </pivotArea>
    </format>
    <format dxfId="303">
      <pivotArea field="1" type="button" dataOnly="0" labelOnly="1" outline="0" axis="axisRow" fieldPosition="0"/>
    </format>
    <format dxfId="302">
      <pivotArea dataOnly="0" labelOnly="1" outline="0" fieldPosition="0">
        <references count="1">
          <reference field="4294967294" count="2">
            <x v="0"/>
            <x v="1"/>
          </reference>
        </references>
      </pivotArea>
    </format>
    <format dxfId="301">
      <pivotArea field="1" type="button" dataOnly="0" labelOnly="1" outline="0" axis="axisRow" fieldPosition="0"/>
    </format>
    <format dxfId="300">
      <pivotArea dataOnly="0" labelOnly="1" outline="0" fieldPosition="0">
        <references count="1">
          <reference field="4294967294" count="2">
            <x v="0"/>
            <x v="1"/>
          </reference>
        </references>
      </pivotArea>
    </format>
    <format dxfId="299">
      <pivotArea field="1" type="button" dataOnly="0" labelOnly="1" outline="0" axis="axisRow" fieldPosition="0"/>
    </format>
    <format dxfId="298">
      <pivotArea dataOnly="0" labelOnly="1" outline="0" fieldPosition="0">
        <references count="1">
          <reference field="4294967294" count="2">
            <x v="0"/>
            <x v="1"/>
          </reference>
        </references>
      </pivotArea>
    </format>
    <format dxfId="297">
      <pivotArea field="1" type="button" dataOnly="0" labelOnly="1" outline="0" axis="axisRow" fieldPosition="0"/>
    </format>
    <format dxfId="296">
      <pivotArea dataOnly="0" labelOnly="1" outline="0" fieldPosition="0">
        <references count="1">
          <reference field="4294967294" count="2">
            <x v="0"/>
            <x v="1"/>
          </reference>
        </references>
      </pivotArea>
    </format>
    <format dxfId="295">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8:L29" firstHeaderRow="0" firstDataRow="1" firstDataCol="0" rowPageCount="1" colPageCount="1"/>
  <pivotFields count="3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pivotField subtotalTop="0" multipleItemSelectionAllowed="1" showAll="0"/>
    <pivotField subtotalTop="0" showAll="0"/>
    <pivotField subtotalTop="0" showAll="0"/>
    <pivotField axis="axisPage" subtotalTop="0" multipleItemSelectionAllowed="1" showAll="0">
      <items count="4">
        <item h="1" x="0"/>
        <item x="1"/>
        <item h="1" x="2"/>
        <item t="default"/>
      </items>
    </pivotField>
    <pivotField dataField="1" subtotalTop="0" showAll="0" sumSubtotal="1"/>
    <pivotField dataField="1" subtotalTop="0" showAll="0" sumSubtotal="1"/>
    <pivotField dataField="1" subtotalTop="0" showAll="0" sumSubtotal="1"/>
    <pivotField dataField="1" subtotalTop="0" showAll="0"/>
    <pivotField dataField="1" subtotalTop="0" showAll="0"/>
    <pivotField dataField="1" subtotalTop="0" showAll="0"/>
    <pivotField dataField="1" subtotalTop="0" showAll="0"/>
    <pivotField dataField="1" subtotalTop="0" showAll="0"/>
    <pivotField dataField="1" subtotalTop="0" showAll="0"/>
    <pivotField dataField="1" subtotalTop="0" showAll="0"/>
  </pivotFields>
  <rowItems count="1">
    <i/>
  </rowItems>
  <colFields count="1">
    <field x="-2"/>
  </colFields>
  <colItems count="11">
    <i>
      <x/>
    </i>
    <i i="1">
      <x v="1"/>
    </i>
    <i i="2">
      <x v="2"/>
    </i>
    <i i="3">
      <x v="3"/>
    </i>
    <i i="4">
      <x v="4"/>
    </i>
    <i i="5">
      <x v="5"/>
    </i>
    <i i="6">
      <x v="6"/>
    </i>
    <i i="7">
      <x v="7"/>
    </i>
    <i i="8">
      <x v="8"/>
    </i>
    <i i="9">
      <x v="9"/>
    </i>
    <i i="10">
      <x v="10"/>
    </i>
  </colItems>
  <pageFields count="1">
    <pageField fld="19" hier="-1"/>
  </pageFields>
  <dataFields count="11">
    <dataField name="Sum of Political events" fld="21" baseField="0" baseItem="1"/>
    <dataField name="Sum of Macroeconomic conditions" fld="20" baseField="0" baseItem="1"/>
    <dataField name="Sum of Weather shocks" fld="22" baseField="0" baseItem="1"/>
    <dataField name="Sum of Procurement system" fld="23" baseField="0" baseItem="1"/>
    <dataField name="Sum of Administrative processes" fld="24" baseField="0" baseItem="1"/>
    <dataField name="Sum of Capacity of counterpart" fld="25" baseField="0" baseItem="1"/>
    <dataField name="Sum of Capacity of contractors" fld="26" baseField="0" baseItem="1"/>
    <dataField name="Sum of Competition" fld="27" baseField="0" baseItem="1"/>
    <dataField name="Sum of Quality of estimates" fld="28" baseField="0" baseItem="1"/>
    <dataField name="Sum of Change of project scope" fld="29" baseField="0" baseItem="1"/>
    <dataField name="Count of Project ID" fld="2" subtotal="count" baseField="0" baseItem="0"/>
  </dataFields>
  <formats count="18">
    <format dxfId="227">
      <pivotArea dataOnly="0" labelOnly="1" outline="0" fieldPosition="0">
        <references count="1">
          <reference field="4294967294" count="9">
            <x v="0"/>
            <x v="2"/>
            <x v="3"/>
            <x v="4"/>
            <x v="5"/>
            <x v="6"/>
            <x v="7"/>
            <x v="8"/>
            <x v="9"/>
          </reference>
        </references>
      </pivotArea>
    </format>
    <format dxfId="226">
      <pivotArea dataOnly="0" labelOnly="1" outline="0" fieldPosition="0">
        <references count="1">
          <reference field="4294967294" count="9">
            <x v="0"/>
            <x v="2"/>
            <x v="3"/>
            <x v="4"/>
            <x v="5"/>
            <x v="6"/>
            <x v="7"/>
            <x v="8"/>
            <x v="9"/>
          </reference>
        </references>
      </pivotArea>
    </format>
    <format dxfId="225">
      <pivotArea dataOnly="0" labelOnly="1" outline="0" fieldPosition="0">
        <references count="1">
          <reference field="4294967294" count="9">
            <x v="0"/>
            <x v="2"/>
            <x v="3"/>
            <x v="4"/>
            <x v="5"/>
            <x v="6"/>
            <x v="7"/>
            <x v="8"/>
            <x v="9"/>
          </reference>
        </references>
      </pivotArea>
    </format>
    <format dxfId="224">
      <pivotArea type="all" dataOnly="0" outline="0" fieldPosition="0"/>
    </format>
    <format dxfId="223">
      <pivotArea outline="0" collapsedLevelsAreSubtotals="1" fieldPosition="0"/>
    </format>
    <format dxfId="222">
      <pivotArea dataOnly="0" labelOnly="1" outline="0" fieldPosition="0">
        <references count="1">
          <reference field="4294967294" count="9">
            <x v="0"/>
            <x v="2"/>
            <x v="3"/>
            <x v="4"/>
            <x v="5"/>
            <x v="6"/>
            <x v="7"/>
            <x v="8"/>
            <x v="9"/>
          </reference>
        </references>
      </pivotArea>
    </format>
    <format dxfId="221">
      <pivotArea dataOnly="0" labelOnly="1" outline="0" fieldPosition="0">
        <references count="1">
          <reference field="4294967294" count="9">
            <x v="0"/>
            <x v="2"/>
            <x v="3"/>
            <x v="4"/>
            <x v="5"/>
            <x v="6"/>
            <x v="7"/>
            <x v="8"/>
            <x v="9"/>
          </reference>
        </references>
      </pivotArea>
    </format>
    <format dxfId="220">
      <pivotArea dataOnly="0" labelOnly="1" outline="0" fieldPosition="0">
        <references count="1">
          <reference field="4294967294" count="9">
            <x v="0"/>
            <x v="2"/>
            <x v="3"/>
            <x v="4"/>
            <x v="5"/>
            <x v="6"/>
            <x v="7"/>
            <x v="8"/>
            <x v="9"/>
          </reference>
        </references>
      </pivotArea>
    </format>
    <format dxfId="219">
      <pivotArea dataOnly="0" labelOnly="1" outline="0" fieldPosition="0">
        <references count="1">
          <reference field="4294967294" count="9">
            <x v="0"/>
            <x v="2"/>
            <x v="3"/>
            <x v="4"/>
            <x v="5"/>
            <x v="6"/>
            <x v="7"/>
            <x v="8"/>
            <x v="9"/>
          </reference>
        </references>
      </pivotArea>
    </format>
    <format dxfId="218">
      <pivotArea outline="0" collapsedLevelsAreSubtotals="1" fieldPosition="0"/>
    </format>
    <format dxfId="217">
      <pivotArea field="19" type="button" dataOnly="0" labelOnly="1" outline="0" axis="axisPage" fieldPosition="0"/>
    </format>
    <format dxfId="216">
      <pivotArea field="19" type="button" dataOnly="0" labelOnly="1" outline="0" axis="axisPage" fieldPosition="0"/>
    </format>
    <format dxfId="215">
      <pivotArea dataOnly="0" labelOnly="1" outline="0" fieldPosition="0">
        <references count="1">
          <reference field="4294967294" count="1">
            <x v="10"/>
          </reference>
        </references>
      </pivotArea>
    </format>
    <format dxfId="214">
      <pivotArea dataOnly="0" labelOnly="1" outline="0" fieldPosition="0">
        <references count="1">
          <reference field="4294967294" count="1">
            <x v="10"/>
          </reference>
        </references>
      </pivotArea>
    </format>
    <format dxfId="213">
      <pivotArea dataOnly="0" labelOnly="1" outline="0" fieldPosition="0">
        <references count="1">
          <reference field="4294967294" count="1">
            <x v="10"/>
          </reference>
        </references>
      </pivotArea>
    </format>
    <format dxfId="212">
      <pivotArea dataOnly="0" labelOnly="1" outline="0" fieldPosition="0">
        <references count="1">
          <reference field="4294967294" count="1">
            <x v="10"/>
          </reference>
        </references>
      </pivotArea>
    </format>
    <format dxfId="211">
      <pivotArea dataOnly="0" labelOnly="1" outline="0" fieldPosition="0">
        <references count="1">
          <reference field="4294967294" count="1">
            <x v="1"/>
          </reference>
        </references>
      </pivotArea>
    </format>
    <format dxfId="21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7:Y8" firstHeaderRow="0" firstDataRow="1" firstDataCol="0" rowPageCount="1" colPageCount="1"/>
  <pivotFields count="3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pivotField subtotalTop="0" multipleItemSelectionAllowed="1" showAll="0"/>
    <pivotField axis="axisPage" subtotalTop="0" multipleItemSelectionAllowed="1" showAll="0">
      <items count="3">
        <item h="1" x="0"/>
        <item x="1"/>
        <item t="default"/>
      </items>
    </pivotField>
    <pivotField subtotalTop="0" showAll="0"/>
    <pivotField subtotalTop="0" showAll="0"/>
    <pivotField dataField="1" subtotalTop="0" showAll="0" sumSubtotal="1"/>
    <pivotField dataField="1" subtotalTop="0" showAll="0" sumSubtotal="1"/>
    <pivotField dataField="1" subtotalTop="0" showAll="0" sumSubtotal="1"/>
    <pivotField dataField="1" subtotalTop="0" showAll="0"/>
    <pivotField dataField="1" subtotalTop="0" showAll="0"/>
    <pivotField dataField="1" subtotalTop="0" showAll="0"/>
    <pivotField dataField="1" subtotalTop="0" showAll="0"/>
    <pivotField dataField="1" subtotalTop="0" showAll="0"/>
    <pivotField dataField="1" subtotalTop="0" showAll="0"/>
    <pivotField dataField="1" subtotalTop="0" showAll="0"/>
  </pivotFields>
  <rowItems count="1">
    <i/>
  </rowItems>
  <colFields count="1">
    <field x="-2"/>
  </colFields>
  <colItems count="11">
    <i>
      <x/>
    </i>
    <i i="1">
      <x v="1"/>
    </i>
    <i i="2">
      <x v="2"/>
    </i>
    <i i="3">
      <x v="3"/>
    </i>
    <i i="4">
      <x v="4"/>
    </i>
    <i i="5">
      <x v="5"/>
    </i>
    <i i="6">
      <x v="6"/>
    </i>
    <i i="7">
      <x v="7"/>
    </i>
    <i i="8">
      <x v="8"/>
    </i>
    <i i="9">
      <x v="9"/>
    </i>
    <i i="10">
      <x v="10"/>
    </i>
  </colItems>
  <pageFields count="1">
    <pageField fld="17" hier="-1"/>
  </pageFields>
  <dataFields count="11">
    <dataField name="Sum of Political events" fld="21" baseField="0" baseItem="1"/>
    <dataField name="Sum of Macroeconomic conditions" fld="20" baseField="0" baseItem="5"/>
    <dataField name="Sum of Weather shocks" fld="22" baseField="0" baseItem="1"/>
    <dataField name="Sum of Procurement system" fld="23" baseField="0" baseItem="1"/>
    <dataField name="Sum of Administrative processes" fld="24" baseField="0" baseItem="1"/>
    <dataField name="Sum of Capacity of counterpart" fld="25" baseField="0" baseItem="1"/>
    <dataField name="Sum of Capacity of contractors" fld="26" baseField="0" baseItem="1"/>
    <dataField name="Sum of Competition" fld="27" baseField="0" baseItem="1"/>
    <dataField name="Sum of Quality of estimates" fld="28" baseField="0" baseItem="1"/>
    <dataField name="Sum of Change of project scope" fld="29" baseField="0" baseItem="1"/>
    <dataField name="Count of Project ID" fld="2" subtotal="count" baseField="0" baseItem="0"/>
  </dataFields>
  <formats count="17">
    <format dxfId="244">
      <pivotArea dataOnly="0" labelOnly="1" outline="0" fieldPosition="0">
        <references count="1">
          <reference field="4294967294" count="9">
            <x v="0"/>
            <x v="2"/>
            <x v="3"/>
            <x v="4"/>
            <x v="5"/>
            <x v="6"/>
            <x v="7"/>
            <x v="8"/>
            <x v="9"/>
          </reference>
        </references>
      </pivotArea>
    </format>
    <format dxfId="243">
      <pivotArea dataOnly="0" labelOnly="1" outline="0" fieldPosition="0">
        <references count="1">
          <reference field="4294967294" count="9">
            <x v="0"/>
            <x v="2"/>
            <x v="3"/>
            <x v="4"/>
            <x v="5"/>
            <x v="6"/>
            <x v="7"/>
            <x v="8"/>
            <x v="9"/>
          </reference>
        </references>
      </pivotArea>
    </format>
    <format dxfId="242">
      <pivotArea dataOnly="0" labelOnly="1" outline="0" fieldPosition="0">
        <references count="1">
          <reference field="4294967294" count="9">
            <x v="0"/>
            <x v="2"/>
            <x v="3"/>
            <x v="4"/>
            <x v="5"/>
            <x v="6"/>
            <x v="7"/>
            <x v="8"/>
            <x v="9"/>
          </reference>
        </references>
      </pivotArea>
    </format>
    <format dxfId="241">
      <pivotArea type="all" dataOnly="0" outline="0" fieldPosition="0"/>
    </format>
    <format dxfId="240">
      <pivotArea outline="0" collapsedLevelsAreSubtotals="1" fieldPosition="0"/>
    </format>
    <format dxfId="239">
      <pivotArea dataOnly="0" labelOnly="1" outline="0" fieldPosition="0">
        <references count="1">
          <reference field="4294967294" count="9">
            <x v="0"/>
            <x v="2"/>
            <x v="3"/>
            <x v="4"/>
            <x v="5"/>
            <x v="6"/>
            <x v="7"/>
            <x v="8"/>
            <x v="9"/>
          </reference>
        </references>
      </pivotArea>
    </format>
    <format dxfId="238">
      <pivotArea dataOnly="0" labelOnly="1" outline="0" fieldPosition="0">
        <references count="1">
          <reference field="4294967294" count="9">
            <x v="0"/>
            <x v="2"/>
            <x v="3"/>
            <x v="4"/>
            <x v="5"/>
            <x v="6"/>
            <x v="7"/>
            <x v="8"/>
            <x v="9"/>
          </reference>
        </references>
      </pivotArea>
    </format>
    <format dxfId="237">
      <pivotArea dataOnly="0" labelOnly="1" outline="0" fieldPosition="0">
        <references count="1">
          <reference field="4294967294" count="9">
            <x v="0"/>
            <x v="2"/>
            <x v="3"/>
            <x v="4"/>
            <x v="5"/>
            <x v="6"/>
            <x v="7"/>
            <x v="8"/>
            <x v="9"/>
          </reference>
        </references>
      </pivotArea>
    </format>
    <format dxfId="236">
      <pivotArea dataOnly="0" labelOnly="1" outline="0" fieldPosition="0">
        <references count="1">
          <reference field="4294967294" count="9">
            <x v="0"/>
            <x v="2"/>
            <x v="3"/>
            <x v="4"/>
            <x v="5"/>
            <x v="6"/>
            <x v="7"/>
            <x v="8"/>
            <x v="9"/>
          </reference>
        </references>
      </pivotArea>
    </format>
    <format dxfId="235">
      <pivotArea outline="0" collapsedLevelsAreSubtotals="1" fieldPosition="0"/>
    </format>
    <format dxfId="234">
      <pivotArea field="17" type="button" dataOnly="0" labelOnly="1" outline="0" axis="axisPage" fieldPosition="0"/>
    </format>
    <format dxfId="233">
      <pivotArea dataOnly="0" labelOnly="1" outline="0" fieldPosition="0">
        <references count="1">
          <reference field="4294967294" count="1">
            <x v="10"/>
          </reference>
        </references>
      </pivotArea>
    </format>
    <format dxfId="232">
      <pivotArea dataOnly="0" labelOnly="1" outline="0" fieldPosition="0">
        <references count="1">
          <reference field="4294967294" count="1">
            <x v="10"/>
          </reference>
        </references>
      </pivotArea>
    </format>
    <format dxfId="231">
      <pivotArea dataOnly="0" labelOnly="1" outline="0" fieldPosition="0">
        <references count="1">
          <reference field="4294967294" count="1">
            <x v="10"/>
          </reference>
        </references>
      </pivotArea>
    </format>
    <format dxfId="230">
      <pivotArea dataOnly="0" labelOnly="1" outline="0" fieldPosition="0">
        <references count="1">
          <reference field="4294967294" count="1">
            <x v="10"/>
          </reference>
        </references>
      </pivotArea>
    </format>
    <format dxfId="229">
      <pivotArea dataOnly="0" labelOnly="1" outline="0" fieldPosition="0">
        <references count="1">
          <reference field="4294967294" count="1">
            <x v="1"/>
          </reference>
        </references>
      </pivotArea>
    </format>
    <format dxfId="22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7:L8" firstHeaderRow="0" firstDataRow="1" firstDataCol="0" rowPageCount="1" colPageCount="1"/>
  <pivotFields count="3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pivotField axis="axisPage" subtotalTop="0" multipleItemSelectionAllowed="1" showAll="0">
      <items count="3">
        <item h="1" x="0"/>
        <item x="1"/>
        <item t="default"/>
      </items>
    </pivotField>
    <pivotField subtotalTop="0" showAll="0"/>
    <pivotField subtotalTop="0" showAll="0"/>
    <pivotField subtotalTop="0" showAll="0"/>
    <pivotField dataField="1" subtotalTop="0" showAll="0" sumSubtotal="1"/>
    <pivotField dataField="1" subtotalTop="0" showAll="0" sumSubtotal="1"/>
    <pivotField dataField="1" subtotalTop="0" showAll="0" sumSubtotal="1"/>
    <pivotField dataField="1" subtotalTop="0" showAll="0"/>
    <pivotField dataField="1" subtotalTop="0" showAll="0"/>
    <pivotField dataField="1" subtotalTop="0" showAll="0"/>
    <pivotField dataField="1" subtotalTop="0" showAll="0"/>
    <pivotField dataField="1" subtotalTop="0" showAll="0"/>
    <pivotField dataField="1" subtotalTop="0" showAll="0"/>
    <pivotField dataField="1" subtotalTop="0" showAll="0"/>
  </pivotFields>
  <rowItems count="1">
    <i/>
  </rowItems>
  <colFields count="1">
    <field x="-2"/>
  </colFields>
  <colItems count="11">
    <i>
      <x/>
    </i>
    <i i="1">
      <x v="1"/>
    </i>
    <i i="2">
      <x v="2"/>
    </i>
    <i i="3">
      <x v="3"/>
    </i>
    <i i="4">
      <x v="4"/>
    </i>
    <i i="5">
      <x v="5"/>
    </i>
    <i i="6">
      <x v="6"/>
    </i>
    <i i="7">
      <x v="7"/>
    </i>
    <i i="8">
      <x v="8"/>
    </i>
    <i i="9">
      <x v="9"/>
    </i>
    <i i="10">
      <x v="10"/>
    </i>
  </colItems>
  <pageFields count="1">
    <pageField fld="16" hier="-1"/>
  </pageFields>
  <dataFields count="11">
    <dataField name="Sum of Political events" fld="21" baseField="0" baseItem="1"/>
    <dataField name="Sum of Macroeconomic conditions" fld="20" baseField="0" baseItem="1"/>
    <dataField name="Sum of Weather shocks" fld="22" baseField="0" baseItem="1"/>
    <dataField name="Sum of Procurement system" fld="23" baseField="0" baseItem="1"/>
    <dataField name="Sum of Administrative processes" fld="24" baseField="0" baseItem="1"/>
    <dataField name="Sum of Capacity of counterpart" fld="25" baseField="0" baseItem="1"/>
    <dataField name="Sum of Capacity of contractors" fld="26" baseField="0" baseItem="1"/>
    <dataField name="Sum of Competition" fld="27" baseField="0" baseItem="1"/>
    <dataField name="Sum of Quality of estimates" fld="28" baseField="0" baseItem="1"/>
    <dataField name="Sum of Change of project scope" fld="29" baseField="0" baseItem="1"/>
    <dataField name="Count of Project ID" fld="2" subtotal="count" baseField="0" baseItem="10"/>
  </dataFields>
  <formats count="19">
    <format dxfId="263">
      <pivotArea dataOnly="0" labelOnly="1" outline="0" fieldPosition="0">
        <references count="1">
          <reference field="4294967294" count="9">
            <x v="0"/>
            <x v="2"/>
            <x v="3"/>
            <x v="4"/>
            <x v="5"/>
            <x v="6"/>
            <x v="7"/>
            <x v="8"/>
            <x v="9"/>
          </reference>
        </references>
      </pivotArea>
    </format>
    <format dxfId="262">
      <pivotArea dataOnly="0" labelOnly="1" outline="0" fieldPosition="0">
        <references count="1">
          <reference field="4294967294" count="9">
            <x v="0"/>
            <x v="2"/>
            <x v="3"/>
            <x v="4"/>
            <x v="5"/>
            <x v="6"/>
            <x v="7"/>
            <x v="8"/>
            <x v="9"/>
          </reference>
        </references>
      </pivotArea>
    </format>
    <format dxfId="261">
      <pivotArea dataOnly="0" labelOnly="1" outline="0" fieldPosition="0">
        <references count="1">
          <reference field="4294967294" count="9">
            <x v="0"/>
            <x v="2"/>
            <x v="3"/>
            <x v="4"/>
            <x v="5"/>
            <x v="6"/>
            <x v="7"/>
            <x v="8"/>
            <x v="9"/>
          </reference>
        </references>
      </pivotArea>
    </format>
    <format dxfId="260">
      <pivotArea type="all" dataOnly="0" outline="0" fieldPosition="0"/>
    </format>
    <format dxfId="259">
      <pivotArea outline="0" collapsedLevelsAreSubtotals="1" fieldPosition="0"/>
    </format>
    <format dxfId="258">
      <pivotArea dataOnly="0" labelOnly="1" outline="0" fieldPosition="0">
        <references count="1">
          <reference field="4294967294" count="9">
            <x v="0"/>
            <x v="2"/>
            <x v="3"/>
            <x v="4"/>
            <x v="5"/>
            <x v="6"/>
            <x v="7"/>
            <x v="8"/>
            <x v="9"/>
          </reference>
        </references>
      </pivotArea>
    </format>
    <format dxfId="257">
      <pivotArea dataOnly="0" labelOnly="1" outline="0" fieldPosition="0">
        <references count="1">
          <reference field="4294967294" count="9">
            <x v="0"/>
            <x v="2"/>
            <x v="3"/>
            <x v="4"/>
            <x v="5"/>
            <x v="6"/>
            <x v="7"/>
            <x v="8"/>
            <x v="9"/>
          </reference>
        </references>
      </pivotArea>
    </format>
    <format dxfId="256">
      <pivotArea dataOnly="0" labelOnly="1" outline="0" fieldPosition="0">
        <references count="1">
          <reference field="4294967294" count="9">
            <x v="0"/>
            <x v="2"/>
            <x v="3"/>
            <x v="4"/>
            <x v="5"/>
            <x v="6"/>
            <x v="7"/>
            <x v="8"/>
            <x v="9"/>
          </reference>
        </references>
      </pivotArea>
    </format>
    <format dxfId="255">
      <pivotArea dataOnly="0" labelOnly="1" outline="0" fieldPosition="0">
        <references count="1">
          <reference field="4294967294" count="9">
            <x v="0"/>
            <x v="2"/>
            <x v="3"/>
            <x v="4"/>
            <x v="5"/>
            <x v="6"/>
            <x v="7"/>
            <x v="8"/>
            <x v="9"/>
          </reference>
        </references>
      </pivotArea>
    </format>
    <format dxfId="254">
      <pivotArea outline="0" collapsedLevelsAreSubtotals="1" fieldPosition="0"/>
    </format>
    <format dxfId="253">
      <pivotArea outline="0" collapsedLevelsAreSubtotals="1" fieldPosition="0">
        <references count="1">
          <reference field="4294967294" count="1" selected="0">
            <x v="10"/>
          </reference>
        </references>
      </pivotArea>
    </format>
    <format dxfId="252">
      <pivotArea dataOnly="0" labelOnly="1" outline="0" fieldPosition="0">
        <references count="1">
          <reference field="4294967294" count="1">
            <x v="10"/>
          </reference>
        </references>
      </pivotArea>
    </format>
    <format dxfId="251">
      <pivotArea dataOnly="0" labelOnly="1" outline="0" fieldPosition="0">
        <references count="1">
          <reference field="4294967294" count="1">
            <x v="10"/>
          </reference>
        </references>
      </pivotArea>
    </format>
    <format dxfId="250">
      <pivotArea dataOnly="0" outline="0" fieldPosition="0">
        <references count="1">
          <reference field="4294967294" count="1">
            <x v="10"/>
          </reference>
        </references>
      </pivotArea>
    </format>
    <format dxfId="249">
      <pivotArea dataOnly="0" outline="0" fieldPosition="0">
        <references count="1">
          <reference field="4294967294" count="1">
            <x v="10"/>
          </reference>
        </references>
      </pivotArea>
    </format>
    <format dxfId="248">
      <pivotArea outline="0" collapsedLevelsAreSubtotals="1" fieldPosition="0">
        <references count="1">
          <reference field="4294967294" count="1" selected="0">
            <x v="10"/>
          </reference>
        </references>
      </pivotArea>
    </format>
    <format dxfId="247">
      <pivotArea outline="0" collapsedLevelsAreSubtotals="1" fieldPosition="0">
        <references count="1">
          <reference field="4294967294" count="1" selected="0">
            <x v="10"/>
          </reference>
        </references>
      </pivotArea>
    </format>
    <format dxfId="246">
      <pivotArea dataOnly="0" labelOnly="1" outline="0" fieldPosition="0">
        <references count="1">
          <reference field="4294967294" count="1">
            <x v="1"/>
          </reference>
        </references>
      </pivotArea>
    </format>
    <format dxfId="245">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4"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28:Y29" firstHeaderRow="0" firstDataRow="1" firstDataCol="0" rowPageCount="1" colPageCount="1"/>
  <pivotFields count="30">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pivotField subtotalTop="0" multipleItemSelectionAllowed="1" showAll="0"/>
    <pivotField subtotalTop="0" showAll="0"/>
    <pivotField axis="axisPage" subtotalTop="0" multipleItemSelectionAllowed="1" showAll="0">
      <items count="4">
        <item h="1" x="1"/>
        <item x="0"/>
        <item h="1" x="2"/>
        <item t="default"/>
      </items>
    </pivotField>
    <pivotField subtotalTop="0" multipleItemSelectionAllowed="1" showAll="0">
      <items count="4">
        <item h="1" x="0"/>
        <item x="1"/>
        <item h="1" x="2"/>
        <item t="default"/>
      </items>
    </pivotField>
    <pivotField dataField="1" subtotalTop="0" showAll="0" sumSubtotal="1"/>
    <pivotField dataField="1" subtotalTop="0" showAll="0" sumSubtotal="1"/>
    <pivotField dataField="1" subtotalTop="0" showAll="0" sumSubtotal="1"/>
    <pivotField dataField="1" subtotalTop="0" showAll="0"/>
    <pivotField dataField="1" subtotalTop="0" showAll="0"/>
    <pivotField dataField="1" subtotalTop="0" showAll="0"/>
    <pivotField dataField="1" subtotalTop="0" showAll="0"/>
    <pivotField dataField="1" subtotalTop="0" showAll="0"/>
    <pivotField dataField="1" subtotalTop="0" showAll="0"/>
    <pivotField dataField="1" subtotalTop="0" showAll="0"/>
  </pivotFields>
  <rowItems count="1">
    <i/>
  </rowItems>
  <colFields count="1">
    <field x="-2"/>
  </colFields>
  <colItems count="11">
    <i>
      <x/>
    </i>
    <i i="1">
      <x v="1"/>
    </i>
    <i i="2">
      <x v="2"/>
    </i>
    <i i="3">
      <x v="3"/>
    </i>
    <i i="4">
      <x v="4"/>
    </i>
    <i i="5">
      <x v="5"/>
    </i>
    <i i="6">
      <x v="6"/>
    </i>
    <i i="7">
      <x v="7"/>
    </i>
    <i i="8">
      <x v="8"/>
    </i>
    <i i="9">
      <x v="9"/>
    </i>
    <i i="10">
      <x v="10"/>
    </i>
  </colItems>
  <pageFields count="1">
    <pageField fld="18" hier="-1"/>
  </pageFields>
  <dataFields count="11">
    <dataField name="Sum of Political events" fld="21" baseField="0" baseItem="1"/>
    <dataField name="Sum of Macroeconomic conditions" fld="20" baseField="0" baseItem="2"/>
    <dataField name="Sum of Weather shocks" fld="22" baseField="0" baseItem="1"/>
    <dataField name="Sum of Procurement system" fld="23" baseField="0" baseItem="1"/>
    <dataField name="Sum of Administrative processes" fld="24" baseField="0" baseItem="1"/>
    <dataField name="Sum of Capacity of counterpart" fld="25" baseField="0" baseItem="1"/>
    <dataField name="Sum of Capacity of contractors" fld="26" baseField="0" baseItem="1"/>
    <dataField name="Sum of Competition" fld="27" baseField="0" baseItem="1"/>
    <dataField name="Sum of Quality of estimates" fld="28" baseField="0" baseItem="1"/>
    <dataField name="Sum of Change of project scope" fld="29" baseField="0" baseItem="1"/>
    <dataField name="Count of Project ID" fld="2" subtotal="count" baseField="0" baseItem="0"/>
  </dataFields>
  <formats count="18">
    <format dxfId="281">
      <pivotArea dataOnly="0" labelOnly="1" outline="0" fieldPosition="0">
        <references count="1">
          <reference field="4294967294" count="9">
            <x v="0"/>
            <x v="2"/>
            <x v="3"/>
            <x v="4"/>
            <x v="5"/>
            <x v="6"/>
            <x v="7"/>
            <x v="8"/>
            <x v="9"/>
          </reference>
        </references>
      </pivotArea>
    </format>
    <format dxfId="280">
      <pivotArea dataOnly="0" labelOnly="1" outline="0" fieldPosition="0">
        <references count="1">
          <reference field="4294967294" count="9">
            <x v="0"/>
            <x v="2"/>
            <x v="3"/>
            <x v="4"/>
            <x v="5"/>
            <x v="6"/>
            <x v="7"/>
            <x v="8"/>
            <x v="9"/>
          </reference>
        </references>
      </pivotArea>
    </format>
    <format dxfId="279">
      <pivotArea dataOnly="0" labelOnly="1" outline="0" fieldPosition="0">
        <references count="1">
          <reference field="4294967294" count="9">
            <x v="0"/>
            <x v="2"/>
            <x v="3"/>
            <x v="4"/>
            <x v="5"/>
            <x v="6"/>
            <x v="7"/>
            <x v="8"/>
            <x v="9"/>
          </reference>
        </references>
      </pivotArea>
    </format>
    <format dxfId="278">
      <pivotArea type="all" dataOnly="0" outline="0" fieldPosition="0"/>
    </format>
    <format dxfId="277">
      <pivotArea outline="0" collapsedLevelsAreSubtotals="1" fieldPosition="0"/>
    </format>
    <format dxfId="276">
      <pivotArea dataOnly="0" labelOnly="1" outline="0" fieldPosition="0">
        <references count="1">
          <reference field="4294967294" count="9">
            <x v="0"/>
            <x v="2"/>
            <x v="3"/>
            <x v="4"/>
            <x v="5"/>
            <x v="6"/>
            <x v="7"/>
            <x v="8"/>
            <x v="9"/>
          </reference>
        </references>
      </pivotArea>
    </format>
    <format dxfId="275">
      <pivotArea dataOnly="0" labelOnly="1" outline="0" fieldPosition="0">
        <references count="1">
          <reference field="4294967294" count="9">
            <x v="0"/>
            <x v="2"/>
            <x v="3"/>
            <x v="4"/>
            <x v="5"/>
            <x v="6"/>
            <x v="7"/>
            <x v="8"/>
            <x v="9"/>
          </reference>
        </references>
      </pivotArea>
    </format>
    <format dxfId="274">
      <pivotArea dataOnly="0" labelOnly="1" outline="0" fieldPosition="0">
        <references count="1">
          <reference field="4294967294" count="9">
            <x v="0"/>
            <x v="2"/>
            <x v="3"/>
            <x v="4"/>
            <x v="5"/>
            <x v="6"/>
            <x v="7"/>
            <x v="8"/>
            <x v="9"/>
          </reference>
        </references>
      </pivotArea>
    </format>
    <format dxfId="273">
      <pivotArea dataOnly="0" labelOnly="1" outline="0" fieldPosition="0">
        <references count="1">
          <reference field="4294967294" count="9">
            <x v="0"/>
            <x v="2"/>
            <x v="3"/>
            <x v="4"/>
            <x v="5"/>
            <x v="6"/>
            <x v="7"/>
            <x v="8"/>
            <x v="9"/>
          </reference>
        </references>
      </pivotArea>
    </format>
    <format dxfId="272">
      <pivotArea outline="0" collapsedLevelsAreSubtotals="1" fieldPosition="0"/>
    </format>
    <format dxfId="271">
      <pivotArea field="19" type="button" dataOnly="0" labelOnly="1" outline="0"/>
    </format>
    <format dxfId="270">
      <pivotArea field="19" type="button" dataOnly="0" labelOnly="1" outline="0"/>
    </format>
    <format dxfId="269">
      <pivotArea dataOnly="0" labelOnly="1" outline="0" fieldPosition="0">
        <references count="1">
          <reference field="4294967294" count="1">
            <x v="10"/>
          </reference>
        </references>
      </pivotArea>
    </format>
    <format dxfId="268">
      <pivotArea dataOnly="0" labelOnly="1" outline="0" fieldPosition="0">
        <references count="1">
          <reference field="4294967294" count="1">
            <x v="10"/>
          </reference>
        </references>
      </pivotArea>
    </format>
    <format dxfId="267">
      <pivotArea dataOnly="0" labelOnly="1" outline="0" fieldPosition="0">
        <references count="1">
          <reference field="4294967294" count="1">
            <x v="10"/>
          </reference>
        </references>
      </pivotArea>
    </format>
    <format dxfId="266">
      <pivotArea dataOnly="0" labelOnly="1" outline="0" fieldPosition="0">
        <references count="1">
          <reference field="4294967294" count="1">
            <x v="10"/>
          </reference>
        </references>
      </pivotArea>
    </format>
    <format dxfId="265">
      <pivotArea dataOnly="0" labelOnly="1" outline="0" fieldPosition="0">
        <references count="1">
          <reference field="4294967294" count="1">
            <x v="1"/>
          </reference>
        </references>
      </pivotArea>
    </format>
    <format dxfId="26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8" cacheId="3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F74" firstHeaderRow="0" firstDataRow="1" firstDataCol="1" rowPageCount="1" colPageCount="1"/>
  <pivotFields count="21">
    <pivotField showAll="0"/>
    <pivotField axis="axisRow" showAll="0">
      <items count="9">
        <item x="4"/>
        <item x="1"/>
        <item x="3"/>
        <item x="5"/>
        <item x="0"/>
        <item x="2"/>
        <item m="1" x="7"/>
        <item x="6"/>
        <item t="default"/>
      </items>
    </pivotField>
    <pivotField showAll="0"/>
    <pivotField showAll="0"/>
    <pivotField showAll="0"/>
    <pivotField showAll="0"/>
    <pivotField axis="axisRow" dataField="1" multipleItemSelectionAllowed="1" showAll="0">
      <items count="5">
        <item x="1"/>
        <item x="0"/>
        <item h="1" x="2"/>
        <item h="1" x="3"/>
        <item t="default"/>
      </items>
    </pivotField>
    <pivotField showAll="0"/>
    <pivotField axis="axisRow" showAll="0">
      <items count="21">
        <item x="5"/>
        <item sd="0" x="3"/>
        <item sd="0" x="16"/>
        <item sd="0" x="14"/>
        <item sd="0" x="13"/>
        <item sd="0" x="7"/>
        <item sd="0" x="8"/>
        <item sd="0" m="1" x="18"/>
        <item sd="0" x="15"/>
        <item sd="0" x="10"/>
        <item sd="0" x="12"/>
        <item x="2"/>
        <item sd="0" m="1" x="19"/>
        <item sd="0" x="4"/>
        <item sd="0" x="0"/>
        <item sd="0" x="6"/>
        <item x="1"/>
        <item sd="0" x="9"/>
        <item sd="0" x="11"/>
        <item x="17"/>
        <item t="default"/>
      </items>
    </pivotField>
    <pivotField showAll="0"/>
    <pivotField dataField="1" showAll="0"/>
    <pivotField showAll="0"/>
    <pivotField showAll="0"/>
    <pivotField dataField="1" showAll="0"/>
    <pivotField dataField="1" showAll="0"/>
    <pivotField showAll="0"/>
    <pivotField showAll="0"/>
    <pivotField axis="axisPage" multipleItemSelectionAllowed="1" showAll="0">
      <items count="4">
        <item x="0"/>
        <item x="1"/>
        <item x="2"/>
        <item t="default"/>
      </items>
    </pivotField>
    <pivotField subtotalTop="0" showAll="0"/>
    <pivotField showAll="0"/>
    <pivotField showAll="0"/>
  </pivotFields>
  <rowFields count="3">
    <field x="8"/>
    <field x="1"/>
    <field x="6"/>
  </rowFields>
  <rowItems count="69">
    <i>
      <x/>
    </i>
    <i r="1">
      <x/>
    </i>
    <i r="2">
      <x/>
    </i>
    <i r="2">
      <x v="1"/>
    </i>
    <i r="1">
      <x v="1"/>
    </i>
    <i r="2">
      <x/>
    </i>
    <i r="2">
      <x v="1"/>
    </i>
    <i r="1">
      <x v="2"/>
    </i>
    <i r="2">
      <x/>
    </i>
    <i r="2">
      <x v="1"/>
    </i>
    <i r="1">
      <x v="3"/>
    </i>
    <i r="2">
      <x/>
    </i>
    <i r="2">
      <x v="1"/>
    </i>
    <i r="1">
      <x v="4"/>
    </i>
    <i r="2">
      <x/>
    </i>
    <i r="2">
      <x v="1"/>
    </i>
    <i r="1">
      <x v="5"/>
    </i>
    <i r="2">
      <x/>
    </i>
    <i r="2">
      <x v="1"/>
    </i>
    <i>
      <x v="1"/>
    </i>
    <i>
      <x v="2"/>
    </i>
    <i>
      <x v="3"/>
    </i>
    <i>
      <x v="4"/>
    </i>
    <i>
      <x v="5"/>
    </i>
    <i>
      <x v="6"/>
    </i>
    <i>
      <x v="8"/>
    </i>
    <i>
      <x v="9"/>
    </i>
    <i>
      <x v="10"/>
    </i>
    <i>
      <x v="11"/>
    </i>
    <i r="1">
      <x/>
    </i>
    <i r="2">
      <x/>
    </i>
    <i r="2">
      <x v="1"/>
    </i>
    <i r="1">
      <x v="1"/>
    </i>
    <i r="2">
      <x/>
    </i>
    <i r="2">
      <x v="1"/>
    </i>
    <i r="1">
      <x v="2"/>
    </i>
    <i r="2">
      <x/>
    </i>
    <i r="2">
      <x v="1"/>
    </i>
    <i r="1">
      <x v="3"/>
    </i>
    <i r="2">
      <x/>
    </i>
    <i r="2">
      <x v="1"/>
    </i>
    <i r="1">
      <x v="4"/>
    </i>
    <i r="2">
      <x/>
    </i>
    <i r="2">
      <x v="1"/>
    </i>
    <i r="1">
      <x v="5"/>
    </i>
    <i r="2">
      <x/>
    </i>
    <i r="2">
      <x v="1"/>
    </i>
    <i>
      <x v="13"/>
    </i>
    <i>
      <x v="14"/>
    </i>
    <i>
      <x v="15"/>
    </i>
    <i>
      <x v="16"/>
    </i>
    <i r="1">
      <x/>
    </i>
    <i r="2">
      <x/>
    </i>
    <i r="2">
      <x v="1"/>
    </i>
    <i r="1">
      <x v="1"/>
    </i>
    <i r="2">
      <x/>
    </i>
    <i r="2">
      <x v="1"/>
    </i>
    <i r="1">
      <x v="2"/>
    </i>
    <i r="2">
      <x/>
    </i>
    <i r="2">
      <x v="1"/>
    </i>
    <i r="1">
      <x v="4"/>
    </i>
    <i r="2">
      <x/>
    </i>
    <i r="2">
      <x v="1"/>
    </i>
    <i r="1">
      <x v="5"/>
    </i>
    <i r="2">
      <x/>
    </i>
    <i r="2">
      <x v="1"/>
    </i>
    <i>
      <x v="17"/>
    </i>
    <i>
      <x v="18"/>
    </i>
    <i t="grand">
      <x/>
    </i>
  </rowItems>
  <colFields count="1">
    <field x="-2"/>
  </colFields>
  <colItems count="5">
    <i>
      <x/>
    </i>
    <i i="1">
      <x v="1"/>
    </i>
    <i i="2">
      <x v="2"/>
    </i>
    <i i="3">
      <x v="3"/>
    </i>
    <i i="4">
      <x v="4"/>
    </i>
  </colItems>
  <pageFields count="1">
    <pageField fld="17" hier="-1"/>
  </pageFields>
  <dataFields count="5">
    <dataField name="Count of Cost Type" fld="6" subtotal="count" baseField="0" baseItem="0"/>
    <dataField name="Count of Unit costs" fld="14" subtotal="count" baseField="0" baseItem="0"/>
    <dataField name="Average of Length (km)" fld="10" subtotal="average" baseField="1" baseItem="5" numFmtId="4"/>
    <dataField name="Average of Unit costs" fld="14" subtotal="average" baseField="8" baseItem="0" numFmtId="4"/>
    <dataField name="Average of Cost " fld="13" subtotal="average" baseField="8" baseItem="0" numFmtId="4"/>
  </dataFields>
  <formats count="122">
    <format dxfId="209">
      <pivotArea collapsedLevelsAreSubtotals="1" fieldPosition="0">
        <references count="1">
          <reference field="8" count="1">
            <x v="11"/>
          </reference>
        </references>
      </pivotArea>
    </format>
    <format dxfId="208">
      <pivotArea dataOnly="0" labelOnly="1" fieldPosition="0">
        <references count="1">
          <reference field="8" count="1">
            <x v="11"/>
          </reference>
        </references>
      </pivotArea>
    </format>
    <format dxfId="207">
      <pivotArea collapsedLevelsAreSubtotals="1" fieldPosition="0">
        <references count="1">
          <reference field="8" count="1">
            <x v="0"/>
          </reference>
        </references>
      </pivotArea>
    </format>
    <format dxfId="206">
      <pivotArea dataOnly="0" labelOnly="1" fieldPosition="0">
        <references count="1">
          <reference field="8" count="1">
            <x v="0"/>
          </reference>
        </references>
      </pivotArea>
    </format>
    <format dxfId="205">
      <pivotArea collapsedLevelsAreSubtotals="1" fieldPosition="0">
        <references count="1">
          <reference field="8" count="1">
            <x v="16"/>
          </reference>
        </references>
      </pivotArea>
    </format>
    <format dxfId="204">
      <pivotArea dataOnly="0" labelOnly="1" fieldPosition="0">
        <references count="1">
          <reference field="8" count="1">
            <x v="16"/>
          </reference>
        </references>
      </pivotArea>
    </format>
    <format dxfId="203">
      <pivotArea collapsedLevelsAreSubtotals="1" fieldPosition="0">
        <references count="3">
          <reference field="4294967294" count="2" selected="0">
            <x v="3"/>
            <x v="4"/>
          </reference>
          <reference field="1" count="5">
            <x v="0"/>
            <x v="1"/>
            <x v="2"/>
            <x v="4"/>
            <x v="5"/>
          </reference>
          <reference field="8" count="1" selected="0">
            <x v="0"/>
          </reference>
        </references>
      </pivotArea>
    </format>
    <format dxfId="202">
      <pivotArea collapsedLevelsAreSubtotals="1" fieldPosition="0">
        <references count="2">
          <reference field="4294967294" count="2" selected="0">
            <x v="3"/>
            <x v="4"/>
          </reference>
          <reference field="8" count="1">
            <x v="3"/>
          </reference>
        </references>
      </pivotArea>
    </format>
    <format dxfId="201">
      <pivotArea collapsedLevelsAreSubtotals="1" fieldPosition="0">
        <references count="2">
          <reference field="4294967294" count="2" selected="0">
            <x v="3"/>
            <x v="4"/>
          </reference>
          <reference field="8" count="1">
            <x v="5"/>
          </reference>
        </references>
      </pivotArea>
    </format>
    <format dxfId="200">
      <pivotArea collapsedLevelsAreSubtotals="1" fieldPosition="0">
        <references count="2">
          <reference field="4294967294" count="2" selected="0">
            <x v="3"/>
            <x v="4"/>
          </reference>
          <reference field="8" count="1">
            <x v="6"/>
          </reference>
        </references>
      </pivotArea>
    </format>
    <format dxfId="199">
      <pivotArea collapsedLevelsAreSubtotals="1" fieldPosition="0">
        <references count="2">
          <reference field="4294967294" count="2" selected="0">
            <x v="3"/>
            <x v="4"/>
          </reference>
          <reference field="8" count="1">
            <x v="7"/>
          </reference>
        </references>
      </pivotArea>
    </format>
    <format dxfId="198">
      <pivotArea collapsedLevelsAreSubtotals="1" fieldPosition="0">
        <references count="2">
          <reference field="4294967294" count="2" selected="0">
            <x v="3"/>
            <x v="4"/>
          </reference>
          <reference field="8" count="1">
            <x v="8"/>
          </reference>
        </references>
      </pivotArea>
    </format>
    <format dxfId="197">
      <pivotArea collapsedLevelsAreSubtotals="1" fieldPosition="0">
        <references count="2">
          <reference field="4294967294" count="2" selected="0">
            <x v="3"/>
            <x v="4"/>
          </reference>
          <reference field="8" count="1">
            <x v="10"/>
          </reference>
        </references>
      </pivotArea>
    </format>
    <format dxfId="196">
      <pivotArea collapsedLevelsAreSubtotals="1" fieldPosition="0">
        <references count="2">
          <reference field="4294967294" count="2" selected="0">
            <x v="3"/>
            <x v="4"/>
          </reference>
          <reference field="8" count="1">
            <x v="11"/>
          </reference>
        </references>
      </pivotArea>
    </format>
    <format dxfId="195">
      <pivotArea collapsedLevelsAreSubtotals="1" fieldPosition="0">
        <references count="3">
          <reference field="4294967294" count="2" selected="0">
            <x v="3"/>
            <x v="4"/>
          </reference>
          <reference field="1" count="5">
            <x v="0"/>
            <x v="1"/>
            <x v="2"/>
            <x v="3"/>
            <x v="5"/>
          </reference>
          <reference field="8" count="1" selected="0">
            <x v="11"/>
          </reference>
        </references>
      </pivotArea>
    </format>
    <format dxfId="194">
      <pivotArea collapsedLevelsAreSubtotals="1" fieldPosition="0">
        <references count="2">
          <reference field="4294967294" count="2" selected="0">
            <x v="3"/>
            <x v="4"/>
          </reference>
          <reference field="8" count="1">
            <x v="13"/>
          </reference>
        </references>
      </pivotArea>
    </format>
    <format dxfId="193">
      <pivotArea collapsedLevelsAreSubtotals="1" fieldPosition="0">
        <references count="2">
          <reference field="4294967294" count="2" selected="0">
            <x v="3"/>
            <x v="4"/>
          </reference>
          <reference field="8" count="1">
            <x v="14"/>
          </reference>
        </references>
      </pivotArea>
    </format>
    <format dxfId="192">
      <pivotArea collapsedLevelsAreSubtotals="1" fieldPosition="0">
        <references count="2">
          <reference field="4294967294" count="2" selected="0">
            <x v="3"/>
            <x v="4"/>
          </reference>
          <reference field="8" count="1">
            <x v="15"/>
          </reference>
        </references>
      </pivotArea>
    </format>
    <format dxfId="191">
      <pivotArea collapsedLevelsAreSubtotals="1" fieldPosition="0">
        <references count="2">
          <reference field="4294967294" count="2" selected="0">
            <x v="3"/>
            <x v="4"/>
          </reference>
          <reference field="8" count="1">
            <x v="16"/>
          </reference>
        </references>
      </pivotArea>
    </format>
    <format dxfId="190">
      <pivotArea collapsedLevelsAreSubtotals="1" fieldPosition="0">
        <references count="3">
          <reference field="4294967294" count="2" selected="0">
            <x v="3"/>
            <x v="4"/>
          </reference>
          <reference field="1" count="4">
            <x v="0"/>
            <x v="2"/>
            <x v="4"/>
            <x v="5"/>
          </reference>
          <reference field="8" count="1" selected="0">
            <x v="16"/>
          </reference>
        </references>
      </pivotArea>
    </format>
    <format dxfId="189">
      <pivotArea collapsedLevelsAreSubtotals="1" fieldPosition="0">
        <references count="2">
          <reference field="4294967294" count="2" selected="0">
            <x v="3"/>
            <x v="4"/>
          </reference>
          <reference field="8" count="1">
            <x v="17"/>
          </reference>
        </references>
      </pivotArea>
    </format>
    <format dxfId="188">
      <pivotArea collapsedLevelsAreSubtotals="1" fieldPosition="0">
        <references count="2">
          <reference field="4294967294" count="2" selected="0">
            <x v="3"/>
            <x v="4"/>
          </reference>
          <reference field="8" count="1">
            <x v="18"/>
          </reference>
        </references>
      </pivotArea>
    </format>
    <format dxfId="187">
      <pivotArea field="8" grandRow="1" outline="0" collapsedLevelsAreSubtotals="1" axis="axisRow" fieldPosition="0">
        <references count="1">
          <reference field="4294967294" count="2" selected="0">
            <x v="3"/>
            <x v="4"/>
          </reference>
        </references>
      </pivotArea>
    </format>
    <format dxfId="186">
      <pivotArea outline="0" collapsedLevelsAreSubtotals="1" fieldPosition="0">
        <references count="1">
          <reference field="4294967294" count="1" selected="0">
            <x v="2"/>
          </reference>
        </references>
      </pivotArea>
    </format>
    <format dxfId="185">
      <pivotArea outline="0" collapsedLevelsAreSubtotals="1" fieldPosition="0">
        <references count="1">
          <reference field="4294967294" count="1" selected="0">
            <x v="2"/>
          </reference>
        </references>
      </pivotArea>
    </format>
    <format dxfId="184">
      <pivotArea outline="0" collapsedLevelsAreSubtotals="1" fieldPosition="0">
        <references count="1">
          <reference field="4294967294" count="3" selected="0">
            <x v="2"/>
            <x v="3"/>
            <x v="4"/>
          </reference>
        </references>
      </pivotArea>
    </format>
    <format dxfId="183">
      <pivotArea type="all" dataOnly="0" outline="0" fieldPosition="0"/>
    </format>
    <format dxfId="182">
      <pivotArea outline="0" collapsedLevelsAreSubtotals="1" fieldPosition="0"/>
    </format>
    <format dxfId="181">
      <pivotArea field="8" type="button" dataOnly="0" labelOnly="1" outline="0" axis="axisRow" fieldPosition="0"/>
    </format>
    <format dxfId="180">
      <pivotArea dataOnly="0" labelOnly="1" fieldPosition="0">
        <references count="1">
          <reference field="8" count="18">
            <x v="0"/>
            <x v="1"/>
            <x v="2"/>
            <x v="3"/>
            <x v="4"/>
            <x v="5"/>
            <x v="6"/>
            <x v="7"/>
            <x v="8"/>
            <x v="9"/>
            <x v="10"/>
            <x v="11"/>
            <x v="13"/>
            <x v="14"/>
            <x v="15"/>
            <x v="16"/>
            <x v="17"/>
            <x v="18"/>
          </reference>
        </references>
      </pivotArea>
    </format>
    <format dxfId="179">
      <pivotArea dataOnly="0" labelOnly="1" grandRow="1" outline="0" fieldPosition="0"/>
    </format>
    <format dxfId="178">
      <pivotArea dataOnly="0" labelOnly="1" fieldPosition="0">
        <references count="2">
          <reference field="1" count="6">
            <x v="0"/>
            <x v="1"/>
            <x v="2"/>
            <x v="3"/>
            <x v="4"/>
            <x v="5"/>
          </reference>
          <reference field="8" count="1" selected="0">
            <x v="0"/>
          </reference>
        </references>
      </pivotArea>
    </format>
    <format dxfId="177">
      <pivotArea dataOnly="0" labelOnly="1" fieldPosition="0">
        <references count="2">
          <reference field="1" count="6">
            <x v="0"/>
            <x v="1"/>
            <x v="2"/>
            <x v="3"/>
            <x v="4"/>
            <x v="5"/>
          </reference>
          <reference field="8" count="1" selected="0">
            <x v="11"/>
          </reference>
        </references>
      </pivotArea>
    </format>
    <format dxfId="176">
      <pivotArea dataOnly="0" labelOnly="1" fieldPosition="0">
        <references count="2">
          <reference field="1" count="5">
            <x v="0"/>
            <x v="1"/>
            <x v="2"/>
            <x v="4"/>
            <x v="5"/>
          </reference>
          <reference field="8" count="1" selected="0">
            <x v="16"/>
          </reference>
        </references>
      </pivotArea>
    </format>
    <format dxfId="175">
      <pivotArea dataOnly="0" labelOnly="1" outline="0" fieldPosition="0">
        <references count="1">
          <reference field="4294967294" count="4">
            <x v="1"/>
            <x v="2"/>
            <x v="3"/>
            <x v="4"/>
          </reference>
        </references>
      </pivotArea>
    </format>
    <format dxfId="174">
      <pivotArea field="8" type="button" dataOnly="0" labelOnly="1" outline="0" axis="axisRow" fieldPosition="0"/>
    </format>
    <format dxfId="173">
      <pivotArea dataOnly="0" labelOnly="1" outline="0" fieldPosition="0">
        <references count="1">
          <reference field="4294967294" count="4">
            <x v="1"/>
            <x v="2"/>
            <x v="3"/>
            <x v="4"/>
          </reference>
        </references>
      </pivotArea>
    </format>
    <format dxfId="172">
      <pivotArea collapsedLevelsAreSubtotals="1" fieldPosition="0">
        <references count="1">
          <reference field="8" count="1">
            <x v="16"/>
          </reference>
        </references>
      </pivotArea>
    </format>
    <format dxfId="171">
      <pivotArea dataOnly="0" labelOnly="1" fieldPosition="0">
        <references count="1">
          <reference field="8" count="1">
            <x v="16"/>
          </reference>
        </references>
      </pivotArea>
    </format>
    <format dxfId="170">
      <pivotArea dataOnly="0" labelOnly="1" fieldPosition="0">
        <references count="1">
          <reference field="8" count="1">
            <x v="11"/>
          </reference>
        </references>
      </pivotArea>
    </format>
    <format dxfId="169">
      <pivotArea dataOnly="0" labelOnly="1" fieldPosition="0">
        <references count="1">
          <reference field="8" count="1">
            <x v="0"/>
          </reference>
        </references>
      </pivotArea>
    </format>
    <format dxfId="168">
      <pivotArea dataOnly="0" labelOnly="1" outline="0" fieldPosition="0">
        <references count="1">
          <reference field="4294967294" count="4">
            <x v="1"/>
            <x v="2"/>
            <x v="3"/>
            <x v="4"/>
          </reference>
        </references>
      </pivotArea>
    </format>
    <format dxfId="167">
      <pivotArea dataOnly="0" labelOnly="1" outline="0" fieldPosition="0">
        <references count="1">
          <reference field="4294967294" count="4">
            <x v="1"/>
            <x v="2"/>
            <x v="3"/>
            <x v="4"/>
          </reference>
        </references>
      </pivotArea>
    </format>
    <format dxfId="166">
      <pivotArea dataOnly="0" labelOnly="1" outline="0" fieldPosition="0">
        <references count="1">
          <reference field="4294967294" count="1">
            <x v="0"/>
          </reference>
        </references>
      </pivotArea>
    </format>
    <format dxfId="165">
      <pivotArea collapsedLevelsAreSubtotals="1" fieldPosition="0">
        <references count="1">
          <reference field="8" count="1">
            <x v="0"/>
          </reference>
        </references>
      </pivotArea>
    </format>
    <format dxfId="164">
      <pivotArea dataOnly="0" labelOnly="1" fieldPosition="0">
        <references count="1">
          <reference field="8" count="1">
            <x v="0"/>
          </reference>
        </references>
      </pivotArea>
    </format>
    <format dxfId="163">
      <pivotArea collapsedLevelsAreSubtotals="1" fieldPosition="0">
        <references count="1">
          <reference field="8" count="1">
            <x v="11"/>
          </reference>
        </references>
      </pivotArea>
    </format>
    <format dxfId="162">
      <pivotArea dataOnly="0" labelOnly="1" fieldPosition="0">
        <references count="1">
          <reference field="8" count="1">
            <x v="11"/>
          </reference>
        </references>
      </pivotArea>
    </format>
    <format dxfId="161">
      <pivotArea dataOnly="0" labelOnly="1" outline="0" fieldPosition="0">
        <references count="1">
          <reference field="4294967294" count="1">
            <x v="0"/>
          </reference>
        </references>
      </pivotArea>
    </format>
    <format dxfId="160">
      <pivotArea collapsedLevelsAreSubtotals="1" fieldPosition="0">
        <references count="2">
          <reference field="1" count="1">
            <x v="0"/>
          </reference>
          <reference field="8" count="1" selected="0">
            <x v="16"/>
          </reference>
        </references>
      </pivotArea>
    </format>
    <format dxfId="159">
      <pivotArea collapsedLevelsAreSubtotals="1" fieldPosition="0">
        <references count="3">
          <reference field="1" count="1" selected="0">
            <x v="0"/>
          </reference>
          <reference field="6" count="0"/>
          <reference field="8" count="1" selected="0">
            <x v="16"/>
          </reference>
        </references>
      </pivotArea>
    </format>
    <format dxfId="158">
      <pivotArea collapsedLevelsAreSubtotals="1" fieldPosition="0">
        <references count="2">
          <reference field="1" count="1">
            <x v="1"/>
          </reference>
          <reference field="8" count="1" selected="0">
            <x v="16"/>
          </reference>
        </references>
      </pivotArea>
    </format>
    <format dxfId="157">
      <pivotArea collapsedLevelsAreSubtotals="1" fieldPosition="0">
        <references count="3">
          <reference field="1" count="1" selected="0">
            <x v="1"/>
          </reference>
          <reference field="6" count="0"/>
          <reference field="8" count="1" selected="0">
            <x v="16"/>
          </reference>
        </references>
      </pivotArea>
    </format>
    <format dxfId="156">
      <pivotArea collapsedLevelsAreSubtotals="1" fieldPosition="0">
        <references count="2">
          <reference field="1" count="1">
            <x v="2"/>
          </reference>
          <reference field="8" count="1" selected="0">
            <x v="16"/>
          </reference>
        </references>
      </pivotArea>
    </format>
    <format dxfId="155">
      <pivotArea collapsedLevelsAreSubtotals="1" fieldPosition="0">
        <references count="3">
          <reference field="1" count="1" selected="0">
            <x v="2"/>
          </reference>
          <reference field="6" count="0"/>
          <reference field="8" count="1" selected="0">
            <x v="16"/>
          </reference>
        </references>
      </pivotArea>
    </format>
    <format dxfId="154">
      <pivotArea collapsedLevelsAreSubtotals="1" fieldPosition="0">
        <references count="2">
          <reference field="1" count="1">
            <x v="4"/>
          </reference>
          <reference field="8" count="1" selected="0">
            <x v="16"/>
          </reference>
        </references>
      </pivotArea>
    </format>
    <format dxfId="153">
      <pivotArea collapsedLevelsAreSubtotals="1" fieldPosition="0">
        <references count="3">
          <reference field="1" count="1" selected="0">
            <x v="4"/>
          </reference>
          <reference field="6" count="0"/>
          <reference field="8" count="1" selected="0">
            <x v="16"/>
          </reference>
        </references>
      </pivotArea>
    </format>
    <format dxfId="152">
      <pivotArea collapsedLevelsAreSubtotals="1" fieldPosition="0">
        <references count="2">
          <reference field="1" count="1">
            <x v="5"/>
          </reference>
          <reference field="8" count="1" selected="0">
            <x v="16"/>
          </reference>
        </references>
      </pivotArea>
    </format>
    <format dxfId="151">
      <pivotArea collapsedLevelsAreSubtotals="1" fieldPosition="0">
        <references count="3">
          <reference field="1" count="1" selected="0">
            <x v="5"/>
          </reference>
          <reference field="6" count="0"/>
          <reference field="8" count="1" selected="0">
            <x v="16"/>
          </reference>
        </references>
      </pivotArea>
    </format>
    <format dxfId="150">
      <pivotArea dataOnly="0" labelOnly="1" fieldPosition="0">
        <references count="2">
          <reference field="1" count="5">
            <x v="0"/>
            <x v="1"/>
            <x v="2"/>
            <x v="4"/>
            <x v="5"/>
          </reference>
          <reference field="8" count="1" selected="0">
            <x v="16"/>
          </reference>
        </references>
      </pivotArea>
    </format>
    <format dxfId="149">
      <pivotArea dataOnly="0" labelOnly="1" fieldPosition="0">
        <references count="3">
          <reference field="1" count="1" selected="0">
            <x v="0"/>
          </reference>
          <reference field="6" count="0"/>
          <reference field="8" count="1" selected="0">
            <x v="16"/>
          </reference>
        </references>
      </pivotArea>
    </format>
    <format dxfId="148">
      <pivotArea dataOnly="0" labelOnly="1" fieldPosition="0">
        <references count="3">
          <reference field="1" count="1" selected="0">
            <x v="1"/>
          </reference>
          <reference field="6" count="0"/>
          <reference field="8" count="1" selected="0">
            <x v="16"/>
          </reference>
        </references>
      </pivotArea>
    </format>
    <format dxfId="147">
      <pivotArea dataOnly="0" labelOnly="1" fieldPosition="0">
        <references count="3">
          <reference field="1" count="1" selected="0">
            <x v="2"/>
          </reference>
          <reference field="6" count="0"/>
          <reference field="8" count="1" selected="0">
            <x v="16"/>
          </reference>
        </references>
      </pivotArea>
    </format>
    <format dxfId="146">
      <pivotArea dataOnly="0" labelOnly="1" fieldPosition="0">
        <references count="3">
          <reference field="1" count="1" selected="0">
            <x v="4"/>
          </reference>
          <reference field="6" count="0"/>
          <reference field="8" count="1" selected="0">
            <x v="16"/>
          </reference>
        </references>
      </pivotArea>
    </format>
    <format dxfId="145">
      <pivotArea dataOnly="0" labelOnly="1" fieldPosition="0">
        <references count="3">
          <reference field="1" count="1" selected="0">
            <x v="5"/>
          </reference>
          <reference field="6" count="0"/>
          <reference field="8" count="1" selected="0">
            <x v="16"/>
          </reference>
        </references>
      </pivotArea>
    </format>
    <format dxfId="144">
      <pivotArea dataOnly="0" labelOnly="1" fieldPosition="0">
        <references count="2">
          <reference field="1" count="1">
            <x v="0"/>
          </reference>
          <reference field="8" count="1" selected="0">
            <x v="11"/>
          </reference>
        </references>
      </pivotArea>
    </format>
    <format dxfId="143">
      <pivotArea dataOnly="0" labelOnly="1" fieldPosition="0">
        <references count="2">
          <reference field="1" count="1">
            <x v="5"/>
          </reference>
          <reference field="8" count="1" selected="0">
            <x v="11"/>
          </reference>
        </references>
      </pivotArea>
    </format>
    <format dxfId="142">
      <pivotArea dataOnly="0" labelOnly="1" fieldPosition="0">
        <references count="2">
          <reference field="1" count="1">
            <x v="0"/>
          </reference>
          <reference field="8" count="1" selected="0">
            <x v="0"/>
          </reference>
        </references>
      </pivotArea>
    </format>
    <format dxfId="141">
      <pivotArea collapsedLevelsAreSubtotals="1" fieldPosition="0">
        <references count="2">
          <reference field="1" count="1">
            <x v="0"/>
          </reference>
          <reference field="8" count="1" selected="0">
            <x v="11"/>
          </reference>
        </references>
      </pivotArea>
    </format>
    <format dxfId="140">
      <pivotArea collapsedLevelsAreSubtotals="1" fieldPosition="0">
        <references count="3">
          <reference field="1" count="1" selected="0">
            <x v="0"/>
          </reference>
          <reference field="6" count="0"/>
          <reference field="8" count="1" selected="0">
            <x v="11"/>
          </reference>
        </references>
      </pivotArea>
    </format>
    <format dxfId="139">
      <pivotArea collapsedLevelsAreSubtotals="1" fieldPosition="0">
        <references count="2">
          <reference field="1" count="1">
            <x v="1"/>
          </reference>
          <reference field="8" count="1" selected="0">
            <x v="11"/>
          </reference>
        </references>
      </pivotArea>
    </format>
    <format dxfId="138">
      <pivotArea collapsedLevelsAreSubtotals="1" fieldPosition="0">
        <references count="3">
          <reference field="1" count="1" selected="0">
            <x v="1"/>
          </reference>
          <reference field="6" count="0"/>
          <reference field="8" count="1" selected="0">
            <x v="11"/>
          </reference>
        </references>
      </pivotArea>
    </format>
    <format dxfId="137">
      <pivotArea collapsedLevelsAreSubtotals="1" fieldPosition="0">
        <references count="2">
          <reference field="1" count="1">
            <x v="2"/>
          </reference>
          <reference field="8" count="1" selected="0">
            <x v="11"/>
          </reference>
        </references>
      </pivotArea>
    </format>
    <format dxfId="136">
      <pivotArea collapsedLevelsAreSubtotals="1" fieldPosition="0">
        <references count="3">
          <reference field="1" count="1" selected="0">
            <x v="2"/>
          </reference>
          <reference field="6" count="0"/>
          <reference field="8" count="1" selected="0">
            <x v="11"/>
          </reference>
        </references>
      </pivotArea>
    </format>
    <format dxfId="135">
      <pivotArea collapsedLevelsAreSubtotals="1" fieldPosition="0">
        <references count="2">
          <reference field="1" count="1">
            <x v="3"/>
          </reference>
          <reference field="8" count="1" selected="0">
            <x v="11"/>
          </reference>
        </references>
      </pivotArea>
    </format>
    <format dxfId="134">
      <pivotArea collapsedLevelsAreSubtotals="1" fieldPosition="0">
        <references count="3">
          <reference field="1" count="1" selected="0">
            <x v="3"/>
          </reference>
          <reference field="6" count="0"/>
          <reference field="8" count="1" selected="0">
            <x v="11"/>
          </reference>
        </references>
      </pivotArea>
    </format>
    <format dxfId="133">
      <pivotArea collapsedLevelsAreSubtotals="1" fieldPosition="0">
        <references count="2">
          <reference field="1" count="1">
            <x v="4"/>
          </reference>
          <reference field="8" count="1" selected="0">
            <x v="11"/>
          </reference>
        </references>
      </pivotArea>
    </format>
    <format dxfId="132">
      <pivotArea collapsedLevelsAreSubtotals="1" fieldPosition="0">
        <references count="3">
          <reference field="1" count="1" selected="0">
            <x v="4"/>
          </reference>
          <reference field="6" count="0"/>
          <reference field="8" count="1" selected="0">
            <x v="11"/>
          </reference>
        </references>
      </pivotArea>
    </format>
    <format dxfId="131">
      <pivotArea collapsedLevelsAreSubtotals="1" fieldPosition="0">
        <references count="2">
          <reference field="1" count="1">
            <x v="5"/>
          </reference>
          <reference field="8" count="1" selected="0">
            <x v="11"/>
          </reference>
        </references>
      </pivotArea>
    </format>
    <format dxfId="130">
      <pivotArea collapsedLevelsAreSubtotals="1" fieldPosition="0">
        <references count="3">
          <reference field="1" count="1" selected="0">
            <x v="5"/>
          </reference>
          <reference field="6" count="0"/>
          <reference field="8" count="1" selected="0">
            <x v="11"/>
          </reference>
        </references>
      </pivotArea>
    </format>
    <format dxfId="129">
      <pivotArea dataOnly="0" labelOnly="1" fieldPosition="0">
        <references count="2">
          <reference field="1" count="6">
            <x v="0"/>
            <x v="1"/>
            <x v="2"/>
            <x v="3"/>
            <x v="4"/>
            <x v="5"/>
          </reference>
          <reference field="8" count="1" selected="0">
            <x v="11"/>
          </reference>
        </references>
      </pivotArea>
    </format>
    <format dxfId="128">
      <pivotArea dataOnly="0" labelOnly="1" fieldPosition="0">
        <references count="3">
          <reference field="1" count="1" selected="0">
            <x v="0"/>
          </reference>
          <reference field="6" count="0"/>
          <reference field="8" count="1" selected="0">
            <x v="11"/>
          </reference>
        </references>
      </pivotArea>
    </format>
    <format dxfId="127">
      <pivotArea dataOnly="0" labelOnly="1" fieldPosition="0">
        <references count="3">
          <reference field="1" count="1" selected="0">
            <x v="1"/>
          </reference>
          <reference field="6" count="0"/>
          <reference field="8" count="1" selected="0">
            <x v="11"/>
          </reference>
        </references>
      </pivotArea>
    </format>
    <format dxfId="126">
      <pivotArea dataOnly="0" labelOnly="1" fieldPosition="0">
        <references count="3">
          <reference field="1" count="1" selected="0">
            <x v="2"/>
          </reference>
          <reference field="6" count="0"/>
          <reference field="8" count="1" selected="0">
            <x v="11"/>
          </reference>
        </references>
      </pivotArea>
    </format>
    <format dxfId="125">
      <pivotArea dataOnly="0" labelOnly="1" fieldPosition="0">
        <references count="3">
          <reference field="1" count="1" selected="0">
            <x v="3"/>
          </reference>
          <reference field="6" count="0"/>
          <reference field="8" count="1" selected="0">
            <x v="11"/>
          </reference>
        </references>
      </pivotArea>
    </format>
    <format dxfId="124">
      <pivotArea dataOnly="0" labelOnly="1" fieldPosition="0">
        <references count="3">
          <reference field="1" count="1" selected="0">
            <x v="4"/>
          </reference>
          <reference field="6" count="0"/>
          <reference field="8" count="1" selected="0">
            <x v="11"/>
          </reference>
        </references>
      </pivotArea>
    </format>
    <format dxfId="123">
      <pivotArea dataOnly="0" labelOnly="1" fieldPosition="0">
        <references count="3">
          <reference field="1" count="1" selected="0">
            <x v="5"/>
          </reference>
          <reference field="6" count="0"/>
          <reference field="8" count="1" selected="0">
            <x v="11"/>
          </reference>
        </references>
      </pivotArea>
    </format>
    <format dxfId="122">
      <pivotArea collapsedLevelsAreSubtotals="1" fieldPosition="0">
        <references count="2">
          <reference field="1" count="1">
            <x v="0"/>
          </reference>
          <reference field="8" count="1" selected="0">
            <x v="16"/>
          </reference>
        </references>
      </pivotArea>
    </format>
    <format dxfId="121">
      <pivotArea collapsedLevelsAreSubtotals="1" fieldPosition="0">
        <references count="3">
          <reference field="1" count="1" selected="0">
            <x v="0"/>
          </reference>
          <reference field="6" count="0"/>
          <reference field="8" count="1" selected="0">
            <x v="16"/>
          </reference>
        </references>
      </pivotArea>
    </format>
    <format dxfId="120">
      <pivotArea collapsedLevelsAreSubtotals="1" fieldPosition="0">
        <references count="2">
          <reference field="1" count="1">
            <x v="1"/>
          </reference>
          <reference field="8" count="1" selected="0">
            <x v="16"/>
          </reference>
        </references>
      </pivotArea>
    </format>
    <format dxfId="119">
      <pivotArea collapsedLevelsAreSubtotals="1" fieldPosition="0">
        <references count="3">
          <reference field="1" count="1" selected="0">
            <x v="1"/>
          </reference>
          <reference field="6" count="0"/>
          <reference field="8" count="1" selected="0">
            <x v="16"/>
          </reference>
        </references>
      </pivotArea>
    </format>
    <format dxfId="118">
      <pivotArea collapsedLevelsAreSubtotals="1" fieldPosition="0">
        <references count="2">
          <reference field="1" count="1">
            <x v="2"/>
          </reference>
          <reference field="8" count="1" selected="0">
            <x v="16"/>
          </reference>
        </references>
      </pivotArea>
    </format>
    <format dxfId="117">
      <pivotArea collapsedLevelsAreSubtotals="1" fieldPosition="0">
        <references count="3">
          <reference field="1" count="1" selected="0">
            <x v="2"/>
          </reference>
          <reference field="6" count="0"/>
          <reference field="8" count="1" selected="0">
            <x v="16"/>
          </reference>
        </references>
      </pivotArea>
    </format>
    <format dxfId="116">
      <pivotArea collapsedLevelsAreSubtotals="1" fieldPosition="0">
        <references count="2">
          <reference field="1" count="1">
            <x v="4"/>
          </reference>
          <reference field="8" count="1" selected="0">
            <x v="16"/>
          </reference>
        </references>
      </pivotArea>
    </format>
    <format dxfId="115">
      <pivotArea collapsedLevelsAreSubtotals="1" fieldPosition="0">
        <references count="3">
          <reference field="1" count="1" selected="0">
            <x v="4"/>
          </reference>
          <reference field="6" count="0"/>
          <reference field="8" count="1" selected="0">
            <x v="16"/>
          </reference>
        </references>
      </pivotArea>
    </format>
    <format dxfId="114">
      <pivotArea collapsedLevelsAreSubtotals="1" fieldPosition="0">
        <references count="2">
          <reference field="1" count="1">
            <x v="5"/>
          </reference>
          <reference field="8" count="1" selected="0">
            <x v="16"/>
          </reference>
        </references>
      </pivotArea>
    </format>
    <format dxfId="113">
      <pivotArea collapsedLevelsAreSubtotals="1" fieldPosition="0">
        <references count="3">
          <reference field="1" count="1" selected="0">
            <x v="5"/>
          </reference>
          <reference field="6" count="0"/>
          <reference field="8" count="1" selected="0">
            <x v="16"/>
          </reference>
        </references>
      </pivotArea>
    </format>
    <format dxfId="112">
      <pivotArea dataOnly="0" labelOnly="1" fieldPosition="0">
        <references count="2">
          <reference field="1" count="5">
            <x v="0"/>
            <x v="1"/>
            <x v="2"/>
            <x v="4"/>
            <x v="5"/>
          </reference>
          <reference field="8" count="1" selected="0">
            <x v="16"/>
          </reference>
        </references>
      </pivotArea>
    </format>
    <format dxfId="111">
      <pivotArea dataOnly="0" labelOnly="1" fieldPosition="0">
        <references count="3">
          <reference field="1" count="1" selected="0">
            <x v="0"/>
          </reference>
          <reference field="6" count="0"/>
          <reference field="8" count="1" selected="0">
            <x v="16"/>
          </reference>
        </references>
      </pivotArea>
    </format>
    <format dxfId="110">
      <pivotArea dataOnly="0" labelOnly="1" fieldPosition="0">
        <references count="3">
          <reference field="1" count="1" selected="0">
            <x v="1"/>
          </reference>
          <reference field="6" count="0"/>
          <reference field="8" count="1" selected="0">
            <x v="16"/>
          </reference>
        </references>
      </pivotArea>
    </format>
    <format dxfId="109">
      <pivotArea dataOnly="0" labelOnly="1" fieldPosition="0">
        <references count="3">
          <reference field="1" count="1" selected="0">
            <x v="2"/>
          </reference>
          <reference field="6" count="0"/>
          <reference field="8" count="1" selected="0">
            <x v="16"/>
          </reference>
        </references>
      </pivotArea>
    </format>
    <format dxfId="108">
      <pivotArea dataOnly="0" labelOnly="1" fieldPosition="0">
        <references count="3">
          <reference field="1" count="1" selected="0">
            <x v="4"/>
          </reference>
          <reference field="6" count="0"/>
          <reference field="8" count="1" selected="0">
            <x v="16"/>
          </reference>
        </references>
      </pivotArea>
    </format>
    <format dxfId="107">
      <pivotArea dataOnly="0" labelOnly="1" fieldPosition="0">
        <references count="3">
          <reference field="1" count="1" selected="0">
            <x v="5"/>
          </reference>
          <reference field="6" count="0"/>
          <reference field="8" count="1" selected="0">
            <x v="16"/>
          </reference>
        </references>
      </pivotArea>
    </format>
    <format dxfId="106">
      <pivotArea collapsedLevelsAreSubtotals="1" fieldPosition="0">
        <references count="2">
          <reference field="1" count="1">
            <x v="0"/>
          </reference>
          <reference field="8" count="1" selected="0">
            <x v="0"/>
          </reference>
        </references>
      </pivotArea>
    </format>
    <format dxfId="105">
      <pivotArea collapsedLevelsAreSubtotals="1" fieldPosition="0">
        <references count="3">
          <reference field="1" count="1" selected="0">
            <x v="0"/>
          </reference>
          <reference field="6" count="0"/>
          <reference field="8" count="1" selected="0">
            <x v="0"/>
          </reference>
        </references>
      </pivotArea>
    </format>
    <format dxfId="104">
      <pivotArea collapsedLevelsAreSubtotals="1" fieldPosition="0">
        <references count="2">
          <reference field="1" count="1">
            <x v="1"/>
          </reference>
          <reference field="8" count="1" selected="0">
            <x v="0"/>
          </reference>
        </references>
      </pivotArea>
    </format>
    <format dxfId="103">
      <pivotArea collapsedLevelsAreSubtotals="1" fieldPosition="0">
        <references count="3">
          <reference field="1" count="1" selected="0">
            <x v="1"/>
          </reference>
          <reference field="6" count="0"/>
          <reference field="8" count="1" selected="0">
            <x v="0"/>
          </reference>
        </references>
      </pivotArea>
    </format>
    <format dxfId="102">
      <pivotArea collapsedLevelsAreSubtotals="1" fieldPosition="0">
        <references count="2">
          <reference field="1" count="1">
            <x v="2"/>
          </reference>
          <reference field="8" count="1" selected="0">
            <x v="0"/>
          </reference>
        </references>
      </pivotArea>
    </format>
    <format dxfId="101">
      <pivotArea collapsedLevelsAreSubtotals="1" fieldPosition="0">
        <references count="3">
          <reference field="1" count="1" selected="0">
            <x v="2"/>
          </reference>
          <reference field="6" count="0"/>
          <reference field="8" count="1" selected="0">
            <x v="0"/>
          </reference>
        </references>
      </pivotArea>
    </format>
    <format dxfId="100">
      <pivotArea collapsedLevelsAreSubtotals="1" fieldPosition="0">
        <references count="2">
          <reference field="1" count="1">
            <x v="3"/>
          </reference>
          <reference field="8" count="1" selected="0">
            <x v="0"/>
          </reference>
        </references>
      </pivotArea>
    </format>
    <format dxfId="99">
      <pivotArea collapsedLevelsAreSubtotals="1" fieldPosition="0">
        <references count="3">
          <reference field="1" count="1" selected="0">
            <x v="3"/>
          </reference>
          <reference field="6" count="0"/>
          <reference field="8" count="1" selected="0">
            <x v="0"/>
          </reference>
        </references>
      </pivotArea>
    </format>
    <format dxfId="98">
      <pivotArea collapsedLevelsAreSubtotals="1" fieldPosition="0">
        <references count="2">
          <reference field="1" count="1">
            <x v="4"/>
          </reference>
          <reference field="8" count="1" selected="0">
            <x v="0"/>
          </reference>
        </references>
      </pivotArea>
    </format>
    <format dxfId="97">
      <pivotArea collapsedLevelsAreSubtotals="1" fieldPosition="0">
        <references count="3">
          <reference field="1" count="1" selected="0">
            <x v="4"/>
          </reference>
          <reference field="6" count="0"/>
          <reference field="8" count="1" selected="0">
            <x v="0"/>
          </reference>
        </references>
      </pivotArea>
    </format>
    <format dxfId="96">
      <pivotArea collapsedLevelsAreSubtotals="1" fieldPosition="0">
        <references count="2">
          <reference field="1" count="1">
            <x v="5"/>
          </reference>
          <reference field="8" count="1" selected="0">
            <x v="0"/>
          </reference>
        </references>
      </pivotArea>
    </format>
    <format dxfId="95">
      <pivotArea collapsedLevelsAreSubtotals="1" fieldPosition="0">
        <references count="3">
          <reference field="1" count="1" selected="0">
            <x v="5"/>
          </reference>
          <reference field="6" count="0"/>
          <reference field="8" count="1" selected="0">
            <x v="0"/>
          </reference>
        </references>
      </pivotArea>
    </format>
    <format dxfId="94">
      <pivotArea dataOnly="0" labelOnly="1" fieldPosition="0">
        <references count="2">
          <reference field="1" count="6">
            <x v="0"/>
            <x v="1"/>
            <x v="2"/>
            <x v="3"/>
            <x v="4"/>
            <x v="5"/>
          </reference>
          <reference field="8" count="1" selected="0">
            <x v="0"/>
          </reference>
        </references>
      </pivotArea>
    </format>
    <format dxfId="93">
      <pivotArea dataOnly="0" labelOnly="1" fieldPosition="0">
        <references count="3">
          <reference field="1" count="1" selected="0">
            <x v="0"/>
          </reference>
          <reference field="6" count="0"/>
          <reference field="8" count="1" selected="0">
            <x v="0"/>
          </reference>
        </references>
      </pivotArea>
    </format>
    <format dxfId="92">
      <pivotArea dataOnly="0" labelOnly="1" fieldPosition="0">
        <references count="3">
          <reference field="1" count="1" selected="0">
            <x v="1"/>
          </reference>
          <reference field="6" count="0"/>
          <reference field="8" count="1" selected="0">
            <x v="0"/>
          </reference>
        </references>
      </pivotArea>
    </format>
    <format dxfId="91">
      <pivotArea dataOnly="0" labelOnly="1" fieldPosition="0">
        <references count="3">
          <reference field="1" count="1" selected="0">
            <x v="2"/>
          </reference>
          <reference field="6" count="0"/>
          <reference field="8" count="1" selected="0">
            <x v="0"/>
          </reference>
        </references>
      </pivotArea>
    </format>
    <format dxfId="90">
      <pivotArea dataOnly="0" labelOnly="1" fieldPosition="0">
        <references count="3">
          <reference field="1" count="1" selected="0">
            <x v="3"/>
          </reference>
          <reference field="6" count="0"/>
          <reference field="8" count="1" selected="0">
            <x v="0"/>
          </reference>
        </references>
      </pivotArea>
    </format>
    <format dxfId="89">
      <pivotArea dataOnly="0" labelOnly="1" fieldPosition="0">
        <references count="3">
          <reference field="1" count="1" selected="0">
            <x v="4"/>
          </reference>
          <reference field="6" count="0"/>
          <reference field="8" count="1" selected="0">
            <x v="0"/>
          </reference>
        </references>
      </pivotArea>
    </format>
    <format dxfId="88">
      <pivotArea dataOnly="0" labelOnly="1" fieldPosition="0">
        <references count="3">
          <reference field="1" count="1" selected="0">
            <x v="5"/>
          </reference>
          <reference field="6" count="0"/>
          <reference field="8"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1" cacheId="3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9:F57" firstHeaderRow="0" firstDataRow="1" firstDataCol="1" rowPageCount="1" colPageCount="1"/>
  <pivotFields count="21">
    <pivotField showAll="0"/>
    <pivotField showAll="0"/>
    <pivotField showAll="0"/>
    <pivotField showAll="0"/>
    <pivotField showAll="0"/>
    <pivotField showAll="0"/>
    <pivotField axis="axisPage" dataField="1" multipleItemSelectionAllowed="1" showAll="0">
      <items count="5">
        <item x="1"/>
        <item h="1" x="0"/>
        <item h="1" x="2"/>
        <item h="1" x="3"/>
        <item t="default"/>
      </items>
    </pivotField>
    <pivotField showAll="0"/>
    <pivotField axis="axisRow" showAll="0">
      <items count="19">
        <item x="5"/>
        <item sd="0" x="3"/>
        <item sd="0" x="16"/>
        <item sd="0" x="13"/>
        <item sd="0" x="12"/>
        <item sd="0" x="7"/>
        <item sd="0" x="8"/>
        <item sd="0" x="14"/>
        <item sd="0" x="10"/>
        <item sd="0" x="15"/>
        <item sd="0" x="2"/>
        <item sd="0" x="4"/>
        <item sd="0" x="0"/>
        <item sd="0" x="6"/>
        <item x="1"/>
        <item sd="0" x="9"/>
        <item sd="0" x="11"/>
        <item x="17"/>
        <item t="default"/>
      </items>
    </pivotField>
    <pivotField showAll="0"/>
    <pivotField dataField="1" showAll="0"/>
    <pivotField showAll="0"/>
    <pivotField showAll="0"/>
    <pivotField dataField="1" showAll="0"/>
    <pivotField dataField="1" showAll="0"/>
    <pivotField showAll="0"/>
    <pivotField showAll="0"/>
    <pivotField multipleItemSelectionAllowed="1" showAll="0"/>
    <pivotField subtotalTop="0"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1">
    <field x="-2"/>
  </colFields>
  <colItems count="5">
    <i>
      <x/>
    </i>
    <i i="1">
      <x v="1"/>
    </i>
    <i i="2">
      <x v="2"/>
    </i>
    <i i="3">
      <x v="3"/>
    </i>
    <i i="4">
      <x v="4"/>
    </i>
  </colItems>
  <pageFields count="1">
    <pageField fld="6" hier="-1"/>
  </pageFields>
  <dataFields count="5">
    <dataField name="Count of Cost Type" fld="6" subtotal="count" baseField="0" baseItem="0"/>
    <dataField name="Count of Unit costs" fld="14" subtotal="count" baseField="0" baseItem="0"/>
    <dataField name="Average of Length (km)" fld="10" subtotal="average" baseField="1" baseItem="5" numFmtId="4"/>
    <dataField name="Average of Unit costs" fld="14" subtotal="average" baseField="8" baseItem="0" numFmtId="4"/>
    <dataField name="Average of Cost " fld="13" subtotal="average" baseField="8" baseItem="0" numFmtId="4"/>
  </dataFields>
  <formats count="50">
    <format dxfId="49">
      <pivotArea collapsedLevelsAreSubtotals="1" fieldPosition="0">
        <references count="1">
          <reference field="8" count="1">
            <x v="10"/>
          </reference>
        </references>
      </pivotArea>
    </format>
    <format dxfId="48">
      <pivotArea dataOnly="0" labelOnly="1" fieldPosition="0">
        <references count="1">
          <reference field="8" count="1">
            <x v="10"/>
          </reference>
        </references>
      </pivotArea>
    </format>
    <format dxfId="47">
      <pivotArea collapsedLevelsAreSubtotals="1" fieldPosition="0">
        <references count="1">
          <reference field="8" count="1">
            <x v="0"/>
          </reference>
        </references>
      </pivotArea>
    </format>
    <format dxfId="46">
      <pivotArea dataOnly="0" labelOnly="1" fieldPosition="0">
        <references count="1">
          <reference field="8" count="1">
            <x v="0"/>
          </reference>
        </references>
      </pivotArea>
    </format>
    <format dxfId="45">
      <pivotArea collapsedLevelsAreSubtotals="1" fieldPosition="0">
        <references count="1">
          <reference field="8" count="1">
            <x v="14"/>
          </reference>
        </references>
      </pivotArea>
    </format>
    <format dxfId="44">
      <pivotArea dataOnly="0" labelOnly="1" fieldPosition="0">
        <references count="1">
          <reference field="8" count="1">
            <x v="14"/>
          </reference>
        </references>
      </pivotArea>
    </format>
    <format dxfId="43">
      <pivotArea collapsedLevelsAreSubtotals="1" fieldPosition="0">
        <references count="2">
          <reference field="4294967294" count="2" selected="0">
            <x v="3"/>
            <x v="4"/>
          </reference>
          <reference field="8" count="1">
            <x v="3"/>
          </reference>
        </references>
      </pivotArea>
    </format>
    <format dxfId="42">
      <pivotArea collapsedLevelsAreSubtotals="1" fieldPosition="0">
        <references count="2">
          <reference field="4294967294" count="2" selected="0">
            <x v="3"/>
            <x v="4"/>
          </reference>
          <reference field="8" count="1">
            <x v="5"/>
          </reference>
        </references>
      </pivotArea>
    </format>
    <format dxfId="41">
      <pivotArea collapsedLevelsAreSubtotals="1" fieldPosition="0">
        <references count="2">
          <reference field="4294967294" count="2" selected="0">
            <x v="3"/>
            <x v="4"/>
          </reference>
          <reference field="8" count="1">
            <x v="6"/>
          </reference>
        </references>
      </pivotArea>
    </format>
    <format dxfId="40">
      <pivotArea collapsedLevelsAreSubtotals="1" fieldPosition="0">
        <references count="2">
          <reference field="4294967294" count="2" selected="0">
            <x v="3"/>
            <x v="4"/>
          </reference>
          <reference field="8" count="1">
            <x v="7"/>
          </reference>
        </references>
      </pivotArea>
    </format>
    <format dxfId="39">
      <pivotArea collapsedLevelsAreSubtotals="1" fieldPosition="0">
        <references count="2">
          <reference field="4294967294" count="2" selected="0">
            <x v="3"/>
            <x v="4"/>
          </reference>
          <reference field="8" count="1">
            <x v="9"/>
          </reference>
        </references>
      </pivotArea>
    </format>
    <format dxfId="38">
      <pivotArea collapsedLevelsAreSubtotals="1" fieldPosition="0">
        <references count="2">
          <reference field="4294967294" count="2" selected="0">
            <x v="3"/>
            <x v="4"/>
          </reference>
          <reference field="8" count="1">
            <x v="10"/>
          </reference>
        </references>
      </pivotArea>
    </format>
    <format dxfId="37">
      <pivotArea collapsedLevelsAreSubtotals="1" fieldPosition="0">
        <references count="2">
          <reference field="4294967294" count="2" selected="0">
            <x v="3"/>
            <x v="4"/>
          </reference>
          <reference field="8" count="1">
            <x v="11"/>
          </reference>
        </references>
      </pivotArea>
    </format>
    <format dxfId="36">
      <pivotArea collapsedLevelsAreSubtotals="1" fieldPosition="0">
        <references count="2">
          <reference field="4294967294" count="2" selected="0">
            <x v="3"/>
            <x v="4"/>
          </reference>
          <reference field="8" count="1">
            <x v="12"/>
          </reference>
        </references>
      </pivotArea>
    </format>
    <format dxfId="35">
      <pivotArea collapsedLevelsAreSubtotals="1" fieldPosition="0">
        <references count="2">
          <reference field="4294967294" count="2" selected="0">
            <x v="3"/>
            <x v="4"/>
          </reference>
          <reference field="8" count="1">
            <x v="13"/>
          </reference>
        </references>
      </pivotArea>
    </format>
    <format dxfId="34">
      <pivotArea collapsedLevelsAreSubtotals="1" fieldPosition="0">
        <references count="2">
          <reference field="4294967294" count="2" selected="0">
            <x v="3"/>
            <x v="4"/>
          </reference>
          <reference field="8" count="1">
            <x v="14"/>
          </reference>
        </references>
      </pivotArea>
    </format>
    <format dxfId="33">
      <pivotArea collapsedLevelsAreSubtotals="1" fieldPosition="0">
        <references count="2">
          <reference field="4294967294" count="2" selected="0">
            <x v="3"/>
            <x v="4"/>
          </reference>
          <reference field="8" count="1">
            <x v="15"/>
          </reference>
        </references>
      </pivotArea>
    </format>
    <format dxfId="32">
      <pivotArea collapsedLevelsAreSubtotals="1" fieldPosition="0">
        <references count="2">
          <reference field="4294967294" count="2" selected="0">
            <x v="3"/>
            <x v="4"/>
          </reference>
          <reference field="8" count="1">
            <x v="16"/>
          </reference>
        </references>
      </pivotArea>
    </format>
    <format dxfId="31">
      <pivotArea field="8" grandRow="1" outline="0" collapsedLevelsAreSubtotals="1" axis="axisRow" fieldPosition="0">
        <references count="1">
          <reference field="4294967294" count="2" selected="0">
            <x v="3"/>
            <x v="4"/>
          </reference>
        </references>
      </pivotArea>
    </format>
    <format dxfId="30">
      <pivotArea outline="0" collapsedLevelsAreSubtotals="1" fieldPosition="0">
        <references count="1">
          <reference field="4294967294" count="1" selected="0">
            <x v="2"/>
          </reference>
        </references>
      </pivotArea>
    </format>
    <format dxfId="29">
      <pivotArea outline="0" collapsedLevelsAreSubtotals="1" fieldPosition="0">
        <references count="1">
          <reference field="4294967294" count="1" selected="0">
            <x v="2"/>
          </reference>
        </references>
      </pivotArea>
    </format>
    <format dxfId="28">
      <pivotArea outline="0" collapsedLevelsAreSubtotals="1" fieldPosition="0">
        <references count="1">
          <reference field="4294967294" count="3" selected="0">
            <x v="2"/>
            <x v="3"/>
            <x v="4"/>
          </reference>
        </references>
      </pivotArea>
    </format>
    <format dxfId="27">
      <pivotArea type="all" dataOnly="0" outline="0" fieldPosition="0"/>
    </format>
    <format dxfId="26">
      <pivotArea outline="0" collapsedLevelsAreSubtotals="1" fieldPosition="0"/>
    </format>
    <format dxfId="25">
      <pivotArea field="8" type="button" dataOnly="0" labelOnly="1" outline="0" axis="axisRow" fieldPosition="0"/>
    </format>
    <format dxfId="24">
      <pivotArea dataOnly="0" labelOnly="1" fieldPosition="0">
        <references count="1">
          <reference field="8" count="17">
            <x v="0"/>
            <x v="1"/>
            <x v="2"/>
            <x v="3"/>
            <x v="4"/>
            <x v="5"/>
            <x v="6"/>
            <x v="7"/>
            <x v="8"/>
            <x v="9"/>
            <x v="10"/>
            <x v="11"/>
            <x v="12"/>
            <x v="13"/>
            <x v="14"/>
            <x v="15"/>
            <x v="16"/>
          </reference>
        </references>
      </pivotArea>
    </format>
    <format dxfId="23">
      <pivotArea dataOnly="0" labelOnly="1" grandRow="1" outline="0" fieldPosition="0"/>
    </format>
    <format dxfId="22">
      <pivotArea dataOnly="0" labelOnly="1" outline="0" fieldPosition="0">
        <references count="1">
          <reference field="4294967294" count="4">
            <x v="1"/>
            <x v="2"/>
            <x v="3"/>
            <x v="4"/>
          </reference>
        </references>
      </pivotArea>
    </format>
    <format dxfId="21">
      <pivotArea field="8" type="button" dataOnly="0" labelOnly="1" outline="0" axis="axisRow" fieldPosition="0"/>
    </format>
    <format dxfId="20">
      <pivotArea dataOnly="0" labelOnly="1" outline="0" fieldPosition="0">
        <references count="1">
          <reference field="4294967294" count="4">
            <x v="1"/>
            <x v="2"/>
            <x v="3"/>
            <x v="4"/>
          </reference>
        </references>
      </pivotArea>
    </format>
    <format dxfId="19">
      <pivotArea collapsedLevelsAreSubtotals="1" fieldPosition="0">
        <references count="1">
          <reference field="8" count="1">
            <x v="14"/>
          </reference>
        </references>
      </pivotArea>
    </format>
    <format dxfId="18">
      <pivotArea dataOnly="0" labelOnly="1" fieldPosition="0">
        <references count="1">
          <reference field="8" count="1">
            <x v="14"/>
          </reference>
        </references>
      </pivotArea>
    </format>
    <format dxfId="17">
      <pivotArea dataOnly="0" labelOnly="1" fieldPosition="0">
        <references count="1">
          <reference field="8" count="1">
            <x v="10"/>
          </reference>
        </references>
      </pivotArea>
    </format>
    <format dxfId="16">
      <pivotArea dataOnly="0" labelOnly="1" fieldPosition="0">
        <references count="1">
          <reference field="8" count="1">
            <x v="0"/>
          </reference>
        </references>
      </pivotArea>
    </format>
    <format dxfId="15">
      <pivotArea dataOnly="0" labelOnly="1" outline="0" fieldPosition="0">
        <references count="1">
          <reference field="4294967294" count="4">
            <x v="1"/>
            <x v="2"/>
            <x v="3"/>
            <x v="4"/>
          </reference>
        </references>
      </pivotArea>
    </format>
    <format dxfId="14">
      <pivotArea dataOnly="0" labelOnly="1" outline="0" fieldPosition="0">
        <references count="1">
          <reference field="4294967294" count="4">
            <x v="1"/>
            <x v="2"/>
            <x v="3"/>
            <x v="4"/>
          </reference>
        </references>
      </pivotArea>
    </format>
    <format dxfId="13">
      <pivotArea dataOnly="0" labelOnly="1" outline="0" fieldPosition="0">
        <references count="1">
          <reference field="4294967294" count="1">
            <x v="0"/>
          </reference>
        </references>
      </pivotArea>
    </format>
    <format dxfId="12">
      <pivotArea collapsedLevelsAreSubtotals="1" fieldPosition="0">
        <references count="1">
          <reference field="8" count="1">
            <x v="0"/>
          </reference>
        </references>
      </pivotArea>
    </format>
    <format dxfId="11">
      <pivotArea dataOnly="0" labelOnly="1" fieldPosition="0">
        <references count="1">
          <reference field="8" count="1">
            <x v="0"/>
          </reference>
        </references>
      </pivotArea>
    </format>
    <format dxfId="10">
      <pivotArea collapsedLevelsAreSubtotals="1" fieldPosition="0">
        <references count="1">
          <reference field="8" count="1">
            <x v="10"/>
          </reference>
        </references>
      </pivotArea>
    </format>
    <format dxfId="9">
      <pivotArea dataOnly="0" labelOnly="1" fieldPosition="0">
        <references count="1">
          <reference field="8" count="1">
            <x v="10"/>
          </reference>
        </references>
      </pivotArea>
    </format>
    <format dxfId="8">
      <pivotArea dataOnly="0" labelOnly="1" outline="0" fieldPosition="0">
        <references count="1">
          <reference field="4294967294" count="1">
            <x v="0"/>
          </reference>
        </references>
      </pivotArea>
    </format>
    <format dxfId="7">
      <pivotArea type="all" dataOnly="0" outline="0" fieldPosition="0"/>
    </format>
    <format dxfId="6">
      <pivotArea outline="0" collapsedLevelsAreSubtotals="1" fieldPosition="0"/>
    </format>
    <format dxfId="5">
      <pivotArea field="8" type="button" dataOnly="0" labelOnly="1" outline="0" axis="axisRow" fieldPosition="0"/>
    </format>
    <format dxfId="4">
      <pivotArea dataOnly="0" labelOnly="1" fieldPosition="0">
        <references count="1">
          <reference field="8" count="17">
            <x v="0"/>
            <x v="1"/>
            <x v="2"/>
            <x v="3"/>
            <x v="4"/>
            <x v="5"/>
            <x v="6"/>
            <x v="7"/>
            <x v="8"/>
            <x v="9"/>
            <x v="10"/>
            <x v="11"/>
            <x v="12"/>
            <x v="13"/>
            <x v="14"/>
            <x v="15"/>
            <x v="16"/>
          </reference>
        </references>
      </pivotArea>
    </format>
    <format dxfId="3">
      <pivotArea dataOnly="0" labelOnly="1" grandRow="1" outline="0" fieldPosition="0"/>
    </format>
    <format dxfId="2">
      <pivotArea dataOnly="0" labelOnly="1" outline="0" fieldPosition="0">
        <references count="1">
          <reference field="4294967294" count="5">
            <x v="0"/>
            <x v="1"/>
            <x v="2"/>
            <x v="3"/>
            <x v="4"/>
          </reference>
        </references>
      </pivotArea>
    </format>
    <format dxfId="1">
      <pivotArea field="8" type="button" dataOnly="0" labelOnly="1" outline="0" axis="axisRow"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5"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C23" firstHeaderRow="0" firstDataRow="1" firstDataCol="1" rowPageCount="1" colPageCount="1"/>
  <pivotFields count="31">
    <pivotField subtotalTop="0" showAll="0"/>
    <pivotField subtotalTop="0" showAll="0"/>
    <pivotField dataField="1" subtotalTop="0" showAll="0"/>
    <pivotField subtotalTop="0" showAll="0"/>
    <pivotField subtotalTop="0" showAll="0"/>
    <pivotField subtotalTop="0" showAll="0"/>
    <pivotField subtotalTop="0" showAll="0"/>
    <pivotField subtotalTop="0" showAll="0"/>
    <pivotField axis="axisRow" subtotalTop="0" showAll="0">
      <items count="21">
        <item x="6"/>
        <item x="15"/>
        <item x="16"/>
        <item x="10"/>
        <item x="7"/>
        <item x="14"/>
        <item x="5"/>
        <item m="1" x="18"/>
        <item x="9"/>
        <item x="13"/>
        <item x="11"/>
        <item x="0"/>
        <item m="1" x="19"/>
        <item x="3"/>
        <item x="1"/>
        <item x="8"/>
        <item x="2"/>
        <item x="4"/>
        <item x="12"/>
        <item h="1" x="17"/>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Page" dataField="1" subtotalTop="0" multipleItemSelectionAllowed="1" showAll="0">
      <items count="4">
        <item x="1"/>
        <item x="0"/>
        <item x="2"/>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8"/>
  </rowFields>
  <rowItems count="18">
    <i>
      <x/>
    </i>
    <i>
      <x v="1"/>
    </i>
    <i>
      <x v="2"/>
    </i>
    <i>
      <x v="3"/>
    </i>
    <i>
      <x v="4"/>
    </i>
    <i>
      <x v="5"/>
    </i>
    <i>
      <x v="6"/>
    </i>
    <i>
      <x v="8"/>
    </i>
    <i>
      <x v="9"/>
    </i>
    <i>
      <x v="10"/>
    </i>
    <i>
      <x v="11"/>
    </i>
    <i>
      <x v="13"/>
    </i>
    <i>
      <x v="14"/>
    </i>
    <i>
      <x v="15"/>
    </i>
    <i>
      <x v="16"/>
    </i>
    <i>
      <x v="17"/>
    </i>
    <i>
      <x v="18"/>
    </i>
    <i t="grand">
      <x/>
    </i>
  </rowItems>
  <colFields count="1">
    <field x="-2"/>
  </colFields>
  <colItems count="2">
    <i>
      <x/>
    </i>
    <i i="1">
      <x v="1"/>
    </i>
  </colItems>
  <pageFields count="1">
    <pageField fld="18" hier="-1"/>
  </pageFields>
  <dataFields count="2">
    <dataField name="Sum of cost_outlier_over" fld="18" baseField="8" baseItem="15"/>
    <dataField name="Count of Project ID" fld="2" subtotal="count" baseField="8" baseItem="0"/>
  </dataFields>
  <formats count="38">
    <format dxfId="87">
      <pivotArea collapsedLevelsAreSubtotals="1" fieldPosition="0">
        <references count="1">
          <reference field="8" count="1">
            <x v="11"/>
          </reference>
        </references>
      </pivotArea>
    </format>
    <format dxfId="86">
      <pivotArea dataOnly="0" labelOnly="1" fieldPosition="0">
        <references count="1">
          <reference field="8" count="1">
            <x v="11"/>
          </reference>
        </references>
      </pivotArea>
    </format>
    <format dxfId="85">
      <pivotArea collapsedLevelsAreSubtotals="1" fieldPosition="0">
        <references count="1">
          <reference field="8" count="1">
            <x v="16"/>
          </reference>
        </references>
      </pivotArea>
    </format>
    <format dxfId="84">
      <pivotArea dataOnly="0" labelOnly="1" fieldPosition="0">
        <references count="1">
          <reference field="8" count="1">
            <x v="16"/>
          </reference>
        </references>
      </pivotArea>
    </format>
    <format dxfId="83">
      <pivotArea collapsedLevelsAreSubtotals="1" fieldPosition="0">
        <references count="1">
          <reference field="8" count="1">
            <x v="0"/>
          </reference>
        </references>
      </pivotArea>
    </format>
    <format dxfId="82">
      <pivotArea dataOnly="0" labelOnly="1" fieldPosition="0">
        <references count="1">
          <reference field="8" count="1">
            <x v="0"/>
          </reference>
        </references>
      </pivotArea>
    </format>
    <format dxfId="81">
      <pivotArea dataOnly="0" labelOnly="1" fieldPosition="0">
        <references count="1">
          <reference field="8" count="1">
            <x v="14"/>
          </reference>
        </references>
      </pivotArea>
    </format>
    <format dxfId="80">
      <pivotArea collapsedLevelsAreSubtotals="1" fieldPosition="0">
        <references count="1">
          <reference field="8" count="1">
            <x v="18"/>
          </reference>
        </references>
      </pivotArea>
    </format>
    <format dxfId="79">
      <pivotArea dataOnly="0" labelOnly="1" fieldPosition="0">
        <references count="1">
          <reference field="8" count="1">
            <x v="18"/>
          </reference>
        </references>
      </pivotArea>
    </format>
    <format dxfId="78">
      <pivotArea collapsedLevelsAreSubtotals="1" fieldPosition="0">
        <references count="1">
          <reference field="8" count="1">
            <x v="3"/>
          </reference>
        </references>
      </pivotArea>
    </format>
    <format dxfId="77">
      <pivotArea dataOnly="0" labelOnly="1" fieldPosition="0">
        <references count="1">
          <reference field="8" count="1">
            <x v="3"/>
          </reference>
        </references>
      </pivotArea>
    </format>
    <format dxfId="76">
      <pivotArea collapsedLevelsAreSubtotals="1" fieldPosition="0">
        <references count="1">
          <reference field="8" count="1">
            <x v="6"/>
          </reference>
        </references>
      </pivotArea>
    </format>
    <format dxfId="75">
      <pivotArea dataOnly="0" labelOnly="1" fieldPosition="0">
        <references count="1">
          <reference field="8" count="1">
            <x v="6"/>
          </reference>
        </references>
      </pivotArea>
    </format>
    <format dxfId="74">
      <pivotArea collapsedLevelsAreSubtotals="1" fieldPosition="0">
        <references count="1">
          <reference field="8" count="5">
            <x v="13"/>
            <x v="14"/>
            <x v="15"/>
            <x v="16"/>
            <x v="17"/>
          </reference>
        </references>
      </pivotArea>
    </format>
    <format dxfId="73">
      <pivotArea dataOnly="0" labelOnly="1" fieldPosition="0">
        <references count="1">
          <reference field="8" count="5">
            <x v="13"/>
            <x v="14"/>
            <x v="15"/>
            <x v="16"/>
            <x v="17"/>
          </reference>
        </references>
      </pivotArea>
    </format>
    <format dxfId="72">
      <pivotArea type="all" dataOnly="0" outline="0" fieldPosition="0"/>
    </format>
    <format dxfId="71">
      <pivotArea outline="0" collapsedLevelsAreSubtotals="1" fieldPosition="0"/>
    </format>
    <format dxfId="70">
      <pivotArea field="8" type="button" dataOnly="0" labelOnly="1" outline="0" axis="axisRow" fieldPosition="0"/>
    </format>
    <format dxfId="69">
      <pivotArea dataOnly="0" labelOnly="1" fieldPosition="0">
        <references count="1">
          <reference field="8" count="0"/>
        </references>
      </pivotArea>
    </format>
    <format dxfId="68">
      <pivotArea dataOnly="0" labelOnly="1" grandRow="1" outline="0" fieldPosition="0"/>
    </format>
    <format dxfId="67">
      <pivotArea dataOnly="0" labelOnly="1" outline="0" fieldPosition="0">
        <references count="1">
          <reference field="4294967294" count="2">
            <x v="0"/>
            <x v="1"/>
          </reference>
        </references>
      </pivotArea>
    </format>
    <format dxfId="66">
      <pivotArea field="8" type="button" dataOnly="0" labelOnly="1" outline="0" axis="axisRow" fieldPosition="0"/>
    </format>
    <format dxfId="65">
      <pivotArea dataOnly="0" labelOnly="1" outline="0" fieldPosition="0">
        <references count="1">
          <reference field="4294967294" count="2">
            <x v="0"/>
            <x v="1"/>
          </reference>
        </references>
      </pivotArea>
    </format>
    <format dxfId="64">
      <pivotArea dataOnly="0" labelOnly="1" outline="0" fieldPosition="0">
        <references count="1">
          <reference field="4294967294" count="2">
            <x v="0"/>
            <x v="1"/>
          </reference>
        </references>
      </pivotArea>
    </format>
    <format dxfId="63">
      <pivotArea collapsedLevelsAreSubtotals="1" fieldPosition="0">
        <references count="1">
          <reference field="8" count="1">
            <x v="0"/>
          </reference>
        </references>
      </pivotArea>
    </format>
    <format dxfId="62">
      <pivotArea dataOnly="0" labelOnly="1" fieldPosition="0">
        <references count="1">
          <reference field="8" count="1">
            <x v="0"/>
          </reference>
        </references>
      </pivotArea>
    </format>
    <format dxfId="61">
      <pivotArea collapsedLevelsAreSubtotals="1" fieldPosition="0">
        <references count="1">
          <reference field="8" count="1">
            <x v="3"/>
          </reference>
        </references>
      </pivotArea>
    </format>
    <format dxfId="60">
      <pivotArea dataOnly="0" labelOnly="1" fieldPosition="0">
        <references count="1">
          <reference field="8" count="1">
            <x v="3"/>
          </reference>
        </references>
      </pivotArea>
    </format>
    <format dxfId="59">
      <pivotArea collapsedLevelsAreSubtotals="1" fieldPosition="0">
        <references count="1">
          <reference field="8" count="1">
            <x v="6"/>
          </reference>
        </references>
      </pivotArea>
    </format>
    <format dxfId="58">
      <pivotArea dataOnly="0" labelOnly="1" fieldPosition="0">
        <references count="1">
          <reference field="8" count="1">
            <x v="6"/>
          </reference>
        </references>
      </pivotArea>
    </format>
    <format dxfId="57">
      <pivotArea collapsedLevelsAreSubtotals="1" fieldPosition="0">
        <references count="1">
          <reference field="8" count="2">
            <x v="10"/>
            <x v="11"/>
          </reference>
        </references>
      </pivotArea>
    </format>
    <format dxfId="56">
      <pivotArea dataOnly="0" labelOnly="1" fieldPosition="0">
        <references count="1">
          <reference field="8" count="2">
            <x v="10"/>
            <x v="11"/>
          </reference>
        </references>
      </pivotArea>
    </format>
    <format dxfId="55">
      <pivotArea collapsedLevelsAreSubtotals="1" fieldPosition="0">
        <references count="1">
          <reference field="8" count="6">
            <x v="13"/>
            <x v="14"/>
            <x v="15"/>
            <x v="16"/>
            <x v="17"/>
            <x v="18"/>
          </reference>
        </references>
      </pivotArea>
    </format>
    <format dxfId="54">
      <pivotArea dataOnly="0" labelOnly="1" fieldPosition="0">
        <references count="1">
          <reference field="8" count="6">
            <x v="13"/>
            <x v="14"/>
            <x v="15"/>
            <x v="16"/>
            <x v="17"/>
            <x v="18"/>
          </reference>
        </references>
      </pivotArea>
    </format>
    <format dxfId="53">
      <pivotArea dataOnly="0" labelOnly="1" fieldPosition="0">
        <references count="1">
          <reference field="8" count="1">
            <x v="10"/>
          </reference>
        </references>
      </pivotArea>
    </format>
    <format dxfId="52">
      <pivotArea dataOnly="0" labelOnly="1" fieldPosition="0">
        <references count="1">
          <reference field="8" count="1">
            <x v="17"/>
          </reference>
        </references>
      </pivotArea>
    </format>
    <format dxfId="51">
      <pivotArea dataOnly="0" labelOnly="1" fieldPosition="0">
        <references count="1">
          <reference field="8" count="1">
            <x v="15"/>
          </reference>
        </references>
      </pivotArea>
    </format>
    <format dxfId="50">
      <pivotArea dataOnly="0" labelOnly="1" fieldPosition="0">
        <references count="1">
          <reference field="8" count="1">
            <x v="1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3.xml"/><Relationship Id="rId5" Type="http://schemas.openxmlformats.org/officeDocument/2006/relationships/printerSettings" Target="../printerSettings/printerSettings5.bin"/><Relationship Id="rId4"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pageSetUpPr fitToPage="1"/>
  </sheetPr>
  <dimension ref="A1:V1687"/>
  <sheetViews>
    <sheetView zoomScale="85" zoomScaleNormal="85" workbookViewId="0">
      <pane xSplit="1" ySplit="3" topLeftCell="B1022" activePane="bottomRight" state="frozen"/>
      <selection pane="topRight" activeCell="B1" sqref="B1"/>
      <selection pane="bottomLeft" activeCell="A4" sqref="A4"/>
      <selection pane="bottomRight" activeCell="A552" sqref="A552:XFD552"/>
    </sheetView>
  </sheetViews>
  <sheetFormatPr defaultColWidth="9.140625" defaultRowHeight="15.75" x14ac:dyDescent="0.25"/>
  <cols>
    <col min="1" max="2" width="18.140625" style="17" customWidth="1"/>
    <col min="3" max="3" width="9.140625" style="17"/>
    <col min="4" max="4" width="8.5703125" style="17" customWidth="1"/>
    <col min="5" max="5" width="7.7109375" style="17" customWidth="1"/>
    <col min="6" max="6" width="8" style="17" customWidth="1"/>
    <col min="7" max="7" width="9.140625" style="17"/>
    <col min="8" max="8" width="14.140625" style="17" customWidth="1"/>
    <col min="9" max="9" width="33.140625" style="17" customWidth="1"/>
    <col min="10" max="10" width="13.7109375" style="99" customWidth="1"/>
    <col min="11" max="11" width="9.140625" style="17" customWidth="1"/>
    <col min="12" max="12" width="10.140625" style="17" customWidth="1"/>
    <col min="13" max="13" width="11.140625" style="17" customWidth="1"/>
    <col min="14" max="14" width="9.42578125" style="17" customWidth="1"/>
    <col min="15" max="15" width="11" style="17" customWidth="1"/>
    <col min="16" max="19" width="8.5703125" style="17" customWidth="1"/>
    <col min="20" max="20" width="13" style="17" customWidth="1"/>
    <col min="21" max="21" width="17.5703125" style="36" customWidth="1"/>
    <col min="22" max="22" width="154" style="36" customWidth="1"/>
    <col min="23" max="16384" width="9.140625" style="17"/>
  </cols>
  <sheetData>
    <row r="1" spans="1:22" s="84" customFormat="1" ht="39" customHeight="1" x14ac:dyDescent="0.3">
      <c r="A1" s="85" t="s">
        <v>1232</v>
      </c>
      <c r="B1" s="82"/>
      <c r="C1" s="82"/>
      <c r="D1" s="82"/>
      <c r="E1" s="82"/>
      <c r="F1" s="82"/>
      <c r="G1" s="82"/>
      <c r="H1" s="82"/>
      <c r="I1" s="82"/>
      <c r="J1" s="98"/>
      <c r="K1" s="82"/>
      <c r="L1" s="82"/>
      <c r="M1" s="82"/>
      <c r="N1" s="82"/>
      <c r="O1" s="82"/>
      <c r="P1" s="82"/>
      <c r="Q1" s="82"/>
      <c r="R1" s="82"/>
      <c r="S1" s="82"/>
      <c r="T1" s="82"/>
      <c r="U1" s="83"/>
      <c r="V1" s="83"/>
    </row>
    <row r="2" spans="1:22" ht="12.75" customHeight="1" x14ac:dyDescent="0.25"/>
    <row r="3" spans="1:22" ht="47.25" x14ac:dyDescent="0.25">
      <c r="A3" s="13" t="s">
        <v>0</v>
      </c>
      <c r="B3" s="13" t="s">
        <v>951</v>
      </c>
      <c r="C3" s="13" t="s">
        <v>1</v>
      </c>
      <c r="D3" s="13" t="s">
        <v>2</v>
      </c>
      <c r="E3" s="13" t="s">
        <v>3</v>
      </c>
      <c r="F3" s="13" t="s">
        <v>4</v>
      </c>
      <c r="G3" s="13" t="s">
        <v>5</v>
      </c>
      <c r="H3" s="13" t="s">
        <v>6</v>
      </c>
      <c r="I3" s="13" t="s">
        <v>7</v>
      </c>
      <c r="J3" s="100" t="s">
        <v>8</v>
      </c>
      <c r="K3" s="14" t="s">
        <v>9</v>
      </c>
      <c r="L3" s="14" t="s">
        <v>965</v>
      </c>
      <c r="M3" s="14" t="s">
        <v>964</v>
      </c>
      <c r="N3" s="13" t="s">
        <v>963</v>
      </c>
      <c r="O3" s="13" t="s">
        <v>1349</v>
      </c>
      <c r="P3" s="13" t="s">
        <v>1216</v>
      </c>
      <c r="Q3" s="13" t="s">
        <v>1215</v>
      </c>
      <c r="R3" s="13" t="s">
        <v>1214</v>
      </c>
      <c r="S3" s="13" t="s">
        <v>1214</v>
      </c>
      <c r="T3" s="13" t="s">
        <v>11</v>
      </c>
      <c r="U3" s="15" t="s">
        <v>13</v>
      </c>
      <c r="V3" s="16" t="s">
        <v>12</v>
      </c>
    </row>
    <row r="4" spans="1:22" x14ac:dyDescent="0.25">
      <c r="A4" s="18" t="s">
        <v>694</v>
      </c>
      <c r="B4" s="18" t="s">
        <v>948</v>
      </c>
      <c r="C4" s="18" t="s">
        <v>695</v>
      </c>
      <c r="D4" s="18" t="s">
        <v>26</v>
      </c>
      <c r="E4" s="18" t="s">
        <v>27</v>
      </c>
      <c r="F4" s="18" t="s">
        <v>696</v>
      </c>
      <c r="G4" s="18" t="s">
        <v>29</v>
      </c>
      <c r="H4" s="19">
        <v>2003</v>
      </c>
      <c r="I4" s="18" t="s">
        <v>38</v>
      </c>
      <c r="J4" s="101" t="s">
        <v>27</v>
      </c>
      <c r="K4" s="20">
        <v>346.8</v>
      </c>
      <c r="L4" s="21">
        <v>69.900000000000006</v>
      </c>
      <c r="M4" s="22" t="s">
        <v>30</v>
      </c>
      <c r="N4" s="23">
        <v>69.900000000000006</v>
      </c>
      <c r="O4" s="24">
        <v>0.20155709342560554</v>
      </c>
      <c r="P4" s="25" t="str">
        <f>IF(P6="x","x","")</f>
        <v/>
      </c>
      <c r="Q4" s="25" t="str">
        <f>IF(Q6="x","x","")</f>
        <v/>
      </c>
      <c r="R4" s="25" t="str">
        <f>IF(R6="x","x","")</f>
        <v/>
      </c>
      <c r="S4" s="25" t="str">
        <f>IF(S6="x","x","")</f>
        <v/>
      </c>
      <c r="T4" s="25" t="s">
        <v>27</v>
      </c>
      <c r="U4" s="26"/>
      <c r="V4" s="27"/>
    </row>
    <row r="5" spans="1:22" x14ac:dyDescent="0.25">
      <c r="A5" s="18" t="s">
        <v>694</v>
      </c>
      <c r="B5" s="18" t="s">
        <v>948</v>
      </c>
      <c r="C5" s="18" t="s">
        <v>695</v>
      </c>
      <c r="D5" s="18" t="s">
        <v>26</v>
      </c>
      <c r="E5" s="18" t="s">
        <v>27</v>
      </c>
      <c r="F5" s="18" t="s">
        <v>696</v>
      </c>
      <c r="G5" s="18" t="s">
        <v>32</v>
      </c>
      <c r="H5" s="19">
        <v>2008</v>
      </c>
      <c r="I5" s="18" t="s">
        <v>38</v>
      </c>
      <c r="J5" s="101" t="s">
        <v>27</v>
      </c>
      <c r="K5" s="20">
        <v>345</v>
      </c>
      <c r="L5" s="21">
        <v>98.51</v>
      </c>
      <c r="M5" s="22" t="s">
        <v>30</v>
      </c>
      <c r="N5" s="23">
        <v>98.51</v>
      </c>
      <c r="O5" s="24">
        <v>0.28553623188405797</v>
      </c>
      <c r="P5" s="25" t="str">
        <f>IF(P6="x","x","")</f>
        <v/>
      </c>
      <c r="Q5" s="25" t="str">
        <f>IF(Q6="x","x","")</f>
        <v/>
      </c>
      <c r="R5" s="25" t="str">
        <f>IF(R6="x","x","")</f>
        <v/>
      </c>
      <c r="S5" s="25" t="str">
        <f>IF(S6="x","x","")</f>
        <v/>
      </c>
      <c r="T5" s="25" t="s">
        <v>27</v>
      </c>
      <c r="U5" s="26"/>
      <c r="V5" s="27"/>
    </row>
    <row r="6" spans="1:22" ht="16.5" thickBot="1" x14ac:dyDescent="0.3">
      <c r="A6" s="28" t="str">
        <f>A5</f>
        <v>Afghanistan</v>
      </c>
      <c r="B6" s="28" t="str">
        <f>B5</f>
        <v>South Asia</v>
      </c>
      <c r="C6" s="28" t="str">
        <f>C5</f>
        <v>P078284</v>
      </c>
      <c r="D6" s="28" t="s">
        <v>26</v>
      </c>
      <c r="E6" s="28" t="s">
        <v>27</v>
      </c>
      <c r="F6" s="28" t="str">
        <f>F5</f>
        <v>P078284C1</v>
      </c>
      <c r="G6" s="28" t="s">
        <v>16</v>
      </c>
      <c r="H6" s="29" t="str">
        <f>H4&amp;" / "&amp;H5</f>
        <v>2003 / 2008</v>
      </c>
      <c r="I6" s="29" t="str">
        <f>I5</f>
        <v>Strengthening</v>
      </c>
      <c r="J6" s="97" t="str">
        <f>IFERROR(J5/J4,"")</f>
        <v/>
      </c>
      <c r="K6" s="32">
        <f>K5/K4</f>
        <v>0.9948096885813148</v>
      </c>
      <c r="L6" s="32">
        <f>L5/L4</f>
        <v>1.4092989985693849</v>
      </c>
      <c r="M6" s="28"/>
      <c r="N6" s="32">
        <f>N5/N4</f>
        <v>1.4092989985693849</v>
      </c>
      <c r="O6" s="32">
        <f>O5/O4</f>
        <v>1.4166518629097469</v>
      </c>
      <c r="P6" s="33" t="str">
        <f>IF(K6&lt;50%,"x","")</f>
        <v/>
      </c>
      <c r="Q6" s="33" t="str">
        <f>IF(K6&gt;150%,"x","")</f>
        <v/>
      </c>
      <c r="R6" s="33" t="str">
        <f>IF(O6&lt;50%,"x","")</f>
        <v/>
      </c>
      <c r="S6" s="33" t="str">
        <f>IF(O6&gt;150%,"x","")</f>
        <v/>
      </c>
      <c r="T6" s="33" t="s">
        <v>27</v>
      </c>
      <c r="U6" s="34" t="s">
        <v>27</v>
      </c>
      <c r="V6" s="35" t="s">
        <v>27</v>
      </c>
    </row>
    <row r="7" spans="1:22" ht="16.5" thickTop="1" x14ac:dyDescent="0.25">
      <c r="A7" s="18" t="s">
        <v>694</v>
      </c>
      <c r="B7" s="18" t="s">
        <v>948</v>
      </c>
      <c r="C7" s="18" t="s">
        <v>695</v>
      </c>
      <c r="D7" s="18" t="s">
        <v>26</v>
      </c>
      <c r="E7" s="18" t="s">
        <v>36</v>
      </c>
      <c r="F7" s="18" t="s">
        <v>698</v>
      </c>
      <c r="G7" s="18" t="s">
        <v>29</v>
      </c>
      <c r="H7" s="19">
        <v>2003</v>
      </c>
      <c r="I7" s="18" t="s">
        <v>38</v>
      </c>
      <c r="J7" s="101">
        <v>6</v>
      </c>
      <c r="K7" s="20">
        <v>175</v>
      </c>
      <c r="L7" s="21">
        <v>44.9</v>
      </c>
      <c r="M7" s="22" t="s">
        <v>30</v>
      </c>
      <c r="N7" s="23">
        <v>44.9</v>
      </c>
      <c r="O7" s="24">
        <v>0.25657142857142856</v>
      </c>
      <c r="P7" s="25" t="str">
        <f>IF(P9="x","x","")</f>
        <v/>
      </c>
      <c r="Q7" s="25" t="str">
        <f>IF(Q9="x","x","")</f>
        <v/>
      </c>
      <c r="R7" s="25" t="str">
        <f>IF(R9="x","x","")</f>
        <v/>
      </c>
      <c r="S7" s="25" t="str">
        <f>IF(S9="x","x","")</f>
        <v/>
      </c>
      <c r="T7" s="25" t="s">
        <v>27</v>
      </c>
      <c r="U7" s="26"/>
      <c r="V7" s="27"/>
    </row>
    <row r="8" spans="1:22" x14ac:dyDescent="0.25">
      <c r="A8" s="18" t="s">
        <v>694</v>
      </c>
      <c r="B8" s="18" t="s">
        <v>948</v>
      </c>
      <c r="C8" s="18" t="s">
        <v>695</v>
      </c>
      <c r="D8" s="18" t="s">
        <v>26</v>
      </c>
      <c r="E8" s="18" t="s">
        <v>36</v>
      </c>
      <c r="F8" s="18" t="s">
        <v>698</v>
      </c>
      <c r="G8" s="18" t="s">
        <v>32</v>
      </c>
      <c r="H8" s="19">
        <v>2008</v>
      </c>
      <c r="I8" s="18" t="s">
        <v>38</v>
      </c>
      <c r="J8" s="101">
        <v>30</v>
      </c>
      <c r="K8" s="20">
        <v>175</v>
      </c>
      <c r="L8" s="21">
        <v>67.34</v>
      </c>
      <c r="M8" s="22" t="s">
        <v>30</v>
      </c>
      <c r="N8" s="23">
        <v>67.34</v>
      </c>
      <c r="O8" s="24">
        <v>0.38480000000000003</v>
      </c>
      <c r="P8" s="25" t="str">
        <f>IF(P9="x","x","")</f>
        <v/>
      </c>
      <c r="Q8" s="25" t="str">
        <f>IF(Q9="x","x","")</f>
        <v/>
      </c>
      <c r="R8" s="25" t="str">
        <f>IF(R9="x","x","")</f>
        <v/>
      </c>
      <c r="S8" s="25" t="str">
        <f>IF(S9="x","x","")</f>
        <v/>
      </c>
      <c r="T8" s="25" t="s">
        <v>27</v>
      </c>
      <c r="U8" s="26"/>
      <c r="V8" s="27"/>
    </row>
    <row r="9" spans="1:22" ht="16.5" thickBot="1" x14ac:dyDescent="0.3">
      <c r="A9" s="28" t="str">
        <f>A8</f>
        <v>Afghanistan</v>
      </c>
      <c r="B9" s="28" t="str">
        <f>B8</f>
        <v>South Asia</v>
      </c>
      <c r="C9" s="28" t="str">
        <f>C8</f>
        <v>P078284</v>
      </c>
      <c r="D9" s="28" t="s">
        <v>26</v>
      </c>
      <c r="E9" s="28" t="s">
        <v>27</v>
      </c>
      <c r="F9" s="28" t="str">
        <f>F8</f>
        <v>P078284C1S1</v>
      </c>
      <c r="G9" s="28" t="s">
        <v>16</v>
      </c>
      <c r="H9" s="29" t="str">
        <f>H7&amp;" / "&amp;H8</f>
        <v>2003 / 2008</v>
      </c>
      <c r="I9" s="29" t="str">
        <f>I8</f>
        <v>Strengthening</v>
      </c>
      <c r="J9" s="97">
        <f>IFERROR(J8/J7,"")</f>
        <v>5</v>
      </c>
      <c r="K9" s="32">
        <f>K8/K7</f>
        <v>1</v>
      </c>
      <c r="L9" s="32">
        <f>L8/L7</f>
        <v>1.4997772828507796</v>
      </c>
      <c r="M9" s="28"/>
      <c r="N9" s="32">
        <f>N8/N7</f>
        <v>1.4997772828507796</v>
      </c>
      <c r="O9" s="32">
        <f>O8/O7</f>
        <v>1.4997772828507796</v>
      </c>
      <c r="P9" s="33" t="str">
        <f>IF(K9&lt;50%,"x","")</f>
        <v/>
      </c>
      <c r="Q9" s="33" t="str">
        <f>IF(K9&gt;150%,"x","")</f>
        <v/>
      </c>
      <c r="R9" s="33" t="str">
        <f>IF(O9&lt;50%,"x","")</f>
        <v/>
      </c>
      <c r="S9" s="33" t="str">
        <f>IF(O9&gt;150%,"x","")</f>
        <v/>
      </c>
      <c r="T9" s="33" t="s">
        <v>27</v>
      </c>
      <c r="U9" s="34" t="s">
        <v>27</v>
      </c>
      <c r="V9" s="35" t="s">
        <v>27</v>
      </c>
    </row>
    <row r="10" spans="1:22" ht="16.5" thickTop="1" x14ac:dyDescent="0.25">
      <c r="A10" s="18" t="s">
        <v>694</v>
      </c>
      <c r="B10" s="18" t="s">
        <v>948</v>
      </c>
      <c r="C10" s="18" t="s">
        <v>695</v>
      </c>
      <c r="D10" s="18" t="s">
        <v>26</v>
      </c>
      <c r="E10" s="18" t="s">
        <v>40</v>
      </c>
      <c r="F10" s="18" t="s">
        <v>699</v>
      </c>
      <c r="G10" s="18" t="s">
        <v>29</v>
      </c>
      <c r="H10" s="19">
        <v>2003</v>
      </c>
      <c r="I10" s="18" t="s">
        <v>38</v>
      </c>
      <c r="J10" s="101">
        <v>21</v>
      </c>
      <c r="K10" s="20">
        <v>171.8</v>
      </c>
      <c r="L10" s="21">
        <v>25</v>
      </c>
      <c r="M10" s="22" t="s">
        <v>30</v>
      </c>
      <c r="N10" s="23">
        <v>25</v>
      </c>
      <c r="O10" s="24">
        <v>0.14551804423748543</v>
      </c>
      <c r="P10" s="25" t="str">
        <f>IF(P12="x","x","")</f>
        <v/>
      </c>
      <c r="Q10" s="25" t="str">
        <f>IF(Q12="x","x","")</f>
        <v/>
      </c>
      <c r="R10" s="25" t="str">
        <f>IF(R12="x","x","")</f>
        <v/>
      </c>
      <c r="S10" s="25" t="str">
        <f>IF(S12="x","x","")</f>
        <v/>
      </c>
      <c r="T10" s="25" t="s">
        <v>27</v>
      </c>
      <c r="U10" s="26"/>
      <c r="V10" s="27"/>
    </row>
    <row r="11" spans="1:22" x14ac:dyDescent="0.25">
      <c r="A11" s="18" t="s">
        <v>694</v>
      </c>
      <c r="B11" s="18" t="s">
        <v>948</v>
      </c>
      <c r="C11" s="18" t="s">
        <v>695</v>
      </c>
      <c r="D11" s="18" t="s">
        <v>26</v>
      </c>
      <c r="E11" s="18" t="s">
        <v>40</v>
      </c>
      <c r="F11" s="18" t="s">
        <v>699</v>
      </c>
      <c r="G11" s="18" t="s">
        <v>32</v>
      </c>
      <c r="H11" s="19">
        <v>2008</v>
      </c>
      <c r="I11" s="18" t="s">
        <v>38</v>
      </c>
      <c r="J11" s="101">
        <v>33</v>
      </c>
      <c r="K11" s="20">
        <v>170</v>
      </c>
      <c r="L11" s="21">
        <v>31.17</v>
      </c>
      <c r="M11" s="22" t="s">
        <v>30</v>
      </c>
      <c r="N11" s="23">
        <v>31.17</v>
      </c>
      <c r="O11" s="24">
        <v>0.18335294117647061</v>
      </c>
      <c r="P11" s="25" t="str">
        <f>IF(P12="x","x","")</f>
        <v/>
      </c>
      <c r="Q11" s="25" t="str">
        <f>IF(Q12="x","x","")</f>
        <v/>
      </c>
      <c r="R11" s="25" t="str">
        <f>IF(R12="x","x","")</f>
        <v/>
      </c>
      <c r="S11" s="25" t="str">
        <f>IF(S12="x","x","")</f>
        <v/>
      </c>
      <c r="T11" s="25" t="s">
        <v>27</v>
      </c>
      <c r="U11" s="26"/>
      <c r="V11" s="27"/>
    </row>
    <row r="12" spans="1:22" ht="16.5" thickBot="1" x14ac:dyDescent="0.3">
      <c r="A12" s="28" t="str">
        <f>A11</f>
        <v>Afghanistan</v>
      </c>
      <c r="B12" s="28" t="str">
        <f>B11</f>
        <v>South Asia</v>
      </c>
      <c r="C12" s="28" t="str">
        <f>C11</f>
        <v>P078284</v>
      </c>
      <c r="D12" s="28" t="s">
        <v>26</v>
      </c>
      <c r="E12" s="28" t="s">
        <v>27</v>
      </c>
      <c r="F12" s="28" t="str">
        <f>F11</f>
        <v>P078284C1S2</v>
      </c>
      <c r="G12" s="28" t="s">
        <v>16</v>
      </c>
      <c r="H12" s="29" t="str">
        <f>H10&amp;" / "&amp;H11</f>
        <v>2003 / 2008</v>
      </c>
      <c r="I12" s="29" t="str">
        <f>I11</f>
        <v>Strengthening</v>
      </c>
      <c r="J12" s="97">
        <f>IFERROR(J11/J10,"")</f>
        <v>1.5714285714285714</v>
      </c>
      <c r="K12" s="32">
        <f>K11/K10</f>
        <v>0.98952270081490101</v>
      </c>
      <c r="L12" s="32">
        <f>L11/L10</f>
        <v>1.2468000000000001</v>
      </c>
      <c r="M12" s="28"/>
      <c r="N12" s="32">
        <f>N11/N10</f>
        <v>1.2468000000000001</v>
      </c>
      <c r="O12" s="32">
        <f>O11/O10</f>
        <v>1.260001411764706</v>
      </c>
      <c r="P12" s="33" t="str">
        <f>IF(K12&lt;50%,"x","")</f>
        <v/>
      </c>
      <c r="Q12" s="33" t="str">
        <f>IF(K12&gt;150%,"x","")</f>
        <v/>
      </c>
      <c r="R12" s="33" t="str">
        <f>IF(O12&lt;50%,"x","")</f>
        <v/>
      </c>
      <c r="S12" s="33" t="str">
        <f>IF(O12&gt;150%,"x","")</f>
        <v/>
      </c>
      <c r="T12" s="33" t="s">
        <v>27</v>
      </c>
      <c r="U12" s="34" t="s">
        <v>27</v>
      </c>
      <c r="V12" s="35" t="s">
        <v>27</v>
      </c>
    </row>
    <row r="13" spans="1:22" ht="16.5" thickTop="1" x14ac:dyDescent="0.25">
      <c r="A13" s="18" t="s">
        <v>694</v>
      </c>
      <c r="B13" s="18" t="s">
        <v>948</v>
      </c>
      <c r="C13" s="18" t="s">
        <v>695</v>
      </c>
      <c r="D13" s="18" t="s">
        <v>42</v>
      </c>
      <c r="E13" s="18" t="s">
        <v>27</v>
      </c>
      <c r="F13" s="18" t="s">
        <v>700</v>
      </c>
      <c r="G13" s="18" t="s">
        <v>29</v>
      </c>
      <c r="H13" s="19">
        <v>2003</v>
      </c>
      <c r="I13" s="18" t="s">
        <v>387</v>
      </c>
      <c r="J13" s="101" t="s">
        <v>27</v>
      </c>
      <c r="K13" s="20">
        <v>250</v>
      </c>
      <c r="L13" s="21">
        <v>38.299999999999997</v>
      </c>
      <c r="M13" s="22" t="s">
        <v>30</v>
      </c>
      <c r="N13" s="23">
        <v>38.299999999999997</v>
      </c>
      <c r="O13" s="24">
        <v>0.15319999999999998</v>
      </c>
      <c r="P13" s="25" t="str">
        <f>IF(P15="x","x","")</f>
        <v>x</v>
      </c>
      <c r="Q13" s="25" t="str">
        <f>IF(Q15="x","x","")</f>
        <v/>
      </c>
      <c r="R13" s="25" t="str">
        <f>IF(R15="x","x","")</f>
        <v/>
      </c>
      <c r="S13" s="25" t="str">
        <f>IF(S15="x","x","")</f>
        <v>x</v>
      </c>
      <c r="T13" s="25" t="s">
        <v>31</v>
      </c>
      <c r="U13" s="26"/>
      <c r="V13" s="27"/>
    </row>
    <row r="14" spans="1:22" x14ac:dyDescent="0.25">
      <c r="A14" s="18" t="s">
        <v>694</v>
      </c>
      <c r="B14" s="18" t="s">
        <v>948</v>
      </c>
      <c r="C14" s="18" t="s">
        <v>695</v>
      </c>
      <c r="D14" s="18" t="s">
        <v>42</v>
      </c>
      <c r="E14" s="18" t="s">
        <v>27</v>
      </c>
      <c r="F14" s="18" t="s">
        <v>700</v>
      </c>
      <c r="G14" s="18" t="s">
        <v>32</v>
      </c>
      <c r="H14" s="19">
        <v>2008</v>
      </c>
      <c r="I14" s="18" t="s">
        <v>387</v>
      </c>
      <c r="J14" s="101" t="s">
        <v>27</v>
      </c>
      <c r="K14" s="20">
        <v>61</v>
      </c>
      <c r="L14" s="21">
        <v>28.03</v>
      </c>
      <c r="M14" s="22" t="s">
        <v>30</v>
      </c>
      <c r="N14" s="23">
        <v>28.03</v>
      </c>
      <c r="O14" s="24">
        <v>0.45950819672131149</v>
      </c>
      <c r="P14" s="25" t="str">
        <f>IF(P15="x","x","")</f>
        <v>x</v>
      </c>
      <c r="Q14" s="25" t="str">
        <f>IF(Q15="x","x","")</f>
        <v/>
      </c>
      <c r="R14" s="25" t="str">
        <f>IF(R15="x","x","")</f>
        <v/>
      </c>
      <c r="S14" s="25" t="str">
        <f>IF(S15="x","x","")</f>
        <v>x</v>
      </c>
      <c r="T14" s="25" t="s">
        <v>31</v>
      </c>
      <c r="U14" s="26"/>
      <c r="V14" s="27"/>
    </row>
    <row r="15" spans="1:22" ht="22.5" customHeight="1" thickBot="1" x14ac:dyDescent="0.3">
      <c r="A15" s="28" t="str">
        <f>A14</f>
        <v>Afghanistan</v>
      </c>
      <c r="B15" s="28" t="str">
        <f>B14</f>
        <v>South Asia</v>
      </c>
      <c r="C15" s="28" t="str">
        <f>C14</f>
        <v>P078284</v>
      </c>
      <c r="D15" s="28" t="s">
        <v>26</v>
      </c>
      <c r="E15" s="28" t="s">
        <v>27</v>
      </c>
      <c r="F15" s="28" t="str">
        <f>F14</f>
        <v>P078284C2</v>
      </c>
      <c r="G15" s="28" t="s">
        <v>16</v>
      </c>
      <c r="H15" s="29" t="str">
        <f>H13&amp;" / "&amp;H14</f>
        <v>2003 / 2008</v>
      </c>
      <c r="I15" s="29" t="str">
        <f>I14</f>
        <v>Upgrading</v>
      </c>
      <c r="J15" s="97" t="str">
        <f>IFERROR(J14/J13,"")</f>
        <v/>
      </c>
      <c r="K15" s="32">
        <f>K14/K13</f>
        <v>0.24399999999999999</v>
      </c>
      <c r="L15" s="32">
        <f>L14/L13</f>
        <v>0.73185378590078343</v>
      </c>
      <c r="M15" s="28"/>
      <c r="N15" s="32">
        <f>N14/N13</f>
        <v>0.73185378590078343</v>
      </c>
      <c r="O15" s="32">
        <f>O14/O13</f>
        <v>2.9994007618884568</v>
      </c>
      <c r="P15" s="33" t="str">
        <f>IF(K15&lt;50%,"x","")</f>
        <v>x</v>
      </c>
      <c r="Q15" s="33" t="str">
        <f>IF(K15&gt;150%,"x","")</f>
        <v/>
      </c>
      <c r="R15" s="33" t="str">
        <f>IF(O15&lt;50%,"x","")</f>
        <v/>
      </c>
      <c r="S15" s="33" t="str">
        <f>IF(O15&gt;150%,"x","")</f>
        <v>x</v>
      </c>
      <c r="T15" s="33" t="s">
        <v>31</v>
      </c>
      <c r="U15" s="34" t="s">
        <v>1048</v>
      </c>
      <c r="V15" s="35" t="s">
        <v>1049</v>
      </c>
    </row>
    <row r="16" spans="1:22" ht="16.5" thickTop="1" x14ac:dyDescent="0.25">
      <c r="A16" s="18" t="s">
        <v>694</v>
      </c>
      <c r="B16" s="18" t="s">
        <v>948</v>
      </c>
      <c r="C16" s="18" t="s">
        <v>732</v>
      </c>
      <c r="D16" s="18" t="s">
        <v>26</v>
      </c>
      <c r="E16" s="18" t="s">
        <v>27</v>
      </c>
      <c r="F16" s="18" t="s">
        <v>733</v>
      </c>
      <c r="G16" s="18" t="s">
        <v>29</v>
      </c>
      <c r="H16" s="19">
        <v>2008</v>
      </c>
      <c r="I16" s="18" t="s">
        <v>359</v>
      </c>
      <c r="J16" s="101" t="s">
        <v>27</v>
      </c>
      <c r="K16" s="20">
        <v>2000</v>
      </c>
      <c r="L16" s="21">
        <v>34.200000000000003</v>
      </c>
      <c r="M16" s="22" t="s">
        <v>30</v>
      </c>
      <c r="N16" s="23">
        <v>34.200000000000003</v>
      </c>
      <c r="O16" s="24">
        <v>1.7100000000000001E-2</v>
      </c>
      <c r="P16" s="25" t="str">
        <f>IF(P18="x","x","")</f>
        <v/>
      </c>
      <c r="Q16" s="25" t="str">
        <f>IF(Q18="x","x","")</f>
        <v/>
      </c>
      <c r="R16" s="25" t="str">
        <f>IF(R18="x","x","")</f>
        <v/>
      </c>
      <c r="S16" s="25" t="str">
        <f>IF(S18="x","x","")</f>
        <v/>
      </c>
      <c r="T16" s="25" t="s">
        <v>27</v>
      </c>
      <c r="U16" s="26"/>
      <c r="V16" s="27"/>
    </row>
    <row r="17" spans="1:22" x14ac:dyDescent="0.25">
      <c r="A17" s="18" t="s">
        <v>694</v>
      </c>
      <c r="B17" s="18" t="s">
        <v>948</v>
      </c>
      <c r="C17" s="18" t="s">
        <v>732</v>
      </c>
      <c r="D17" s="18" t="s">
        <v>26</v>
      </c>
      <c r="E17" s="18" t="s">
        <v>27</v>
      </c>
      <c r="F17" s="18" t="s">
        <v>733</v>
      </c>
      <c r="G17" s="18" t="s">
        <v>32</v>
      </c>
      <c r="H17" s="19">
        <v>2008</v>
      </c>
      <c r="I17" s="18" t="s">
        <v>359</v>
      </c>
      <c r="J17" s="101" t="s">
        <v>27</v>
      </c>
      <c r="K17" s="20">
        <v>1516.7</v>
      </c>
      <c r="L17" s="21">
        <v>37.61</v>
      </c>
      <c r="M17" s="22" t="s">
        <v>30</v>
      </c>
      <c r="N17" s="23">
        <v>37.61</v>
      </c>
      <c r="O17" s="24">
        <v>2.4797257203138391E-2</v>
      </c>
      <c r="P17" s="25" t="str">
        <f>IF(P18="x","x","")</f>
        <v/>
      </c>
      <c r="Q17" s="25" t="str">
        <f>IF(Q18="x","x","")</f>
        <v/>
      </c>
      <c r="R17" s="25" t="str">
        <f>IF(R18="x","x","")</f>
        <v/>
      </c>
      <c r="S17" s="25" t="str">
        <f>IF(S18="x","x","")</f>
        <v/>
      </c>
      <c r="T17" s="25" t="s">
        <v>27</v>
      </c>
      <c r="U17" s="26"/>
      <c r="V17" s="27"/>
    </row>
    <row r="18" spans="1:22" ht="16.5" thickBot="1" x14ac:dyDescent="0.3">
      <c r="A18" s="28" t="str">
        <f>A17</f>
        <v>Afghanistan</v>
      </c>
      <c r="B18" s="28" t="str">
        <f>B17</f>
        <v>South Asia</v>
      </c>
      <c r="C18" s="28" t="str">
        <f>C17</f>
        <v>P082472</v>
      </c>
      <c r="D18" s="28" t="s">
        <v>26</v>
      </c>
      <c r="E18" s="28" t="s">
        <v>27</v>
      </c>
      <c r="F18" s="28" t="str">
        <f>F17</f>
        <v>P082472C1</v>
      </c>
      <c r="G18" s="28" t="s">
        <v>16</v>
      </c>
      <c r="H18" s="29" t="str">
        <f>H16&amp;" / "&amp;H17</f>
        <v>2008 / 2008</v>
      </c>
      <c r="I18" s="29" t="str">
        <f>I17</f>
        <v>Reconstruction</v>
      </c>
      <c r="J18" s="97" t="str">
        <f>IFERROR(J17/J16,"")</f>
        <v/>
      </c>
      <c r="K18" s="32">
        <f>K17/K16</f>
        <v>0.75834999999999997</v>
      </c>
      <c r="L18" s="32">
        <f>L17/L16</f>
        <v>1.0997076023391812</v>
      </c>
      <c r="M18" s="28"/>
      <c r="N18" s="32">
        <f>N17/N16</f>
        <v>1.0997076023391812</v>
      </c>
      <c r="O18" s="32">
        <f>O17/O16</f>
        <v>1.4501320001835316</v>
      </c>
      <c r="P18" s="33" t="str">
        <f>IF(K18&lt;50%,"x","")</f>
        <v/>
      </c>
      <c r="Q18" s="33" t="str">
        <f>IF(K18&gt;150%,"x","")</f>
        <v/>
      </c>
      <c r="R18" s="33" t="str">
        <f>IF(O18&lt;50%,"x","")</f>
        <v/>
      </c>
      <c r="S18" s="33" t="str">
        <f>IF(O18&gt;150%,"x","")</f>
        <v/>
      </c>
      <c r="T18" s="33" t="s">
        <v>27</v>
      </c>
      <c r="U18" s="34" t="s">
        <v>27</v>
      </c>
      <c r="V18" s="35" t="s">
        <v>27</v>
      </c>
    </row>
    <row r="19" spans="1:22" ht="16.5" thickTop="1" x14ac:dyDescent="0.25">
      <c r="A19" s="18" t="s">
        <v>694</v>
      </c>
      <c r="B19" s="18" t="s">
        <v>948</v>
      </c>
      <c r="C19" s="18" t="s">
        <v>884</v>
      </c>
      <c r="D19" s="18" t="s">
        <v>26</v>
      </c>
      <c r="E19" s="18" t="s">
        <v>36</v>
      </c>
      <c r="F19" s="18" t="s">
        <v>885</v>
      </c>
      <c r="G19" s="18" t="s">
        <v>29</v>
      </c>
      <c r="H19" s="19">
        <v>2010</v>
      </c>
      <c r="I19" s="18" t="s">
        <v>38</v>
      </c>
      <c r="J19" s="101">
        <v>4</v>
      </c>
      <c r="K19" s="20">
        <v>3.14</v>
      </c>
      <c r="L19" s="21">
        <v>3.32</v>
      </c>
      <c r="M19" s="22" t="s">
        <v>30</v>
      </c>
      <c r="N19" s="23">
        <v>3.32</v>
      </c>
      <c r="O19" s="24">
        <v>1.0573248407643312</v>
      </c>
      <c r="P19" s="25" t="str">
        <f>IF(P21="x","x","")</f>
        <v/>
      </c>
      <c r="Q19" s="25" t="str">
        <f>IF(Q21="x","x","")</f>
        <v/>
      </c>
      <c r="R19" s="25" t="str">
        <f>IF(R21="x","x","")</f>
        <v/>
      </c>
      <c r="S19" s="25" t="str">
        <f>IF(S21="x","x","")</f>
        <v/>
      </c>
      <c r="T19" s="25" t="s">
        <v>27</v>
      </c>
      <c r="U19" s="26"/>
      <c r="V19" s="27"/>
    </row>
    <row r="20" spans="1:22" x14ac:dyDescent="0.25">
      <c r="A20" s="18" t="s">
        <v>694</v>
      </c>
      <c r="B20" s="18" t="s">
        <v>948</v>
      </c>
      <c r="C20" s="18" t="s">
        <v>884</v>
      </c>
      <c r="D20" s="18" t="s">
        <v>26</v>
      </c>
      <c r="E20" s="18" t="s">
        <v>36</v>
      </c>
      <c r="F20" s="18" t="s">
        <v>885</v>
      </c>
      <c r="G20" s="18" t="s">
        <v>32</v>
      </c>
      <c r="H20" s="19">
        <v>2012</v>
      </c>
      <c r="I20" s="18" t="s">
        <v>38</v>
      </c>
      <c r="J20" s="101">
        <v>33</v>
      </c>
      <c r="K20" s="20">
        <v>3.14</v>
      </c>
      <c r="L20" s="21">
        <v>3.3130000000000002</v>
      </c>
      <c r="M20" s="22" t="s">
        <v>30</v>
      </c>
      <c r="N20" s="23">
        <v>3.3130000000000002</v>
      </c>
      <c r="O20" s="24">
        <v>1.0550955414012739</v>
      </c>
      <c r="P20" s="25" t="str">
        <f>IF(P21="x","x","")</f>
        <v/>
      </c>
      <c r="Q20" s="25" t="str">
        <f>IF(Q21="x","x","")</f>
        <v/>
      </c>
      <c r="R20" s="25" t="str">
        <f>IF(R21="x","x","")</f>
        <v/>
      </c>
      <c r="S20" s="25" t="str">
        <f>IF(S21="x","x","")</f>
        <v/>
      </c>
      <c r="T20" s="25" t="s">
        <v>27</v>
      </c>
      <c r="U20" s="26"/>
      <c r="V20" s="27"/>
    </row>
    <row r="21" spans="1:22" ht="16.5" thickBot="1" x14ac:dyDescent="0.3">
      <c r="A21" s="28" t="str">
        <f>A20</f>
        <v>Afghanistan</v>
      </c>
      <c r="B21" s="28" t="str">
        <f>B20</f>
        <v>South Asia</v>
      </c>
      <c r="C21" s="28" t="str">
        <f>C20</f>
        <v>P107101</v>
      </c>
      <c r="D21" s="28" t="s">
        <v>26</v>
      </c>
      <c r="E21" s="28" t="s">
        <v>27</v>
      </c>
      <c r="F21" s="28" t="str">
        <f>F20</f>
        <v>P107101C1S1</v>
      </c>
      <c r="G21" s="28" t="s">
        <v>16</v>
      </c>
      <c r="H21" s="29" t="str">
        <f>H19&amp;" / "&amp;H20</f>
        <v>2010 / 2012</v>
      </c>
      <c r="I21" s="29" t="str">
        <f>I20</f>
        <v>Strengthening</v>
      </c>
      <c r="J21" s="97">
        <f>IFERROR(J20/J19,"")</f>
        <v>8.25</v>
      </c>
      <c r="K21" s="32">
        <f>K20/K19</f>
        <v>1</v>
      </c>
      <c r="L21" s="32">
        <f>L20/L19</f>
        <v>0.99789156626506037</v>
      </c>
      <c r="M21" s="28"/>
      <c r="N21" s="32">
        <f>N20/N19</f>
        <v>0.99789156626506037</v>
      </c>
      <c r="O21" s="32">
        <f>O20/O19</f>
        <v>0.99789156626506026</v>
      </c>
      <c r="P21" s="33" t="str">
        <f>IF(K21&lt;50%,"x","")</f>
        <v/>
      </c>
      <c r="Q21" s="33" t="str">
        <f>IF(K21&gt;150%,"x","")</f>
        <v/>
      </c>
      <c r="R21" s="33" t="str">
        <f>IF(O21&lt;50%,"x","")</f>
        <v/>
      </c>
      <c r="S21" s="33" t="str">
        <f>IF(O21&gt;150%,"x","")</f>
        <v/>
      </c>
      <c r="T21" s="33" t="s">
        <v>27</v>
      </c>
      <c r="U21" s="34" t="s">
        <v>27</v>
      </c>
      <c r="V21" s="35" t="s">
        <v>27</v>
      </c>
    </row>
    <row r="22" spans="1:22" ht="16.5" thickTop="1" x14ac:dyDescent="0.25">
      <c r="A22" s="18" t="s">
        <v>694</v>
      </c>
      <c r="B22" s="18" t="s">
        <v>948</v>
      </c>
      <c r="C22" s="18" t="s">
        <v>884</v>
      </c>
      <c r="D22" s="18" t="s">
        <v>26</v>
      </c>
      <c r="E22" s="18" t="s">
        <v>40</v>
      </c>
      <c r="F22" s="18" t="s">
        <v>887</v>
      </c>
      <c r="G22" s="18" t="s">
        <v>29</v>
      </c>
      <c r="H22" s="19">
        <v>2010</v>
      </c>
      <c r="I22" s="18" t="s">
        <v>38</v>
      </c>
      <c r="J22" s="101">
        <v>4</v>
      </c>
      <c r="K22" s="20">
        <v>3.28</v>
      </c>
      <c r="L22" s="21">
        <v>3.85</v>
      </c>
      <c r="M22" s="22" t="s">
        <v>30</v>
      </c>
      <c r="N22" s="23">
        <v>3.85</v>
      </c>
      <c r="O22" s="24">
        <v>1.1737804878048781</v>
      </c>
      <c r="P22" s="25" t="str">
        <f>IF(P24="x","x","")</f>
        <v/>
      </c>
      <c r="Q22" s="25" t="str">
        <f>IF(Q24="x","x","")</f>
        <v/>
      </c>
      <c r="R22" s="25" t="str">
        <f>IF(R24="x","x","")</f>
        <v/>
      </c>
      <c r="S22" s="25" t="str">
        <f>IF(S24="x","x","")</f>
        <v/>
      </c>
      <c r="T22" s="25" t="s">
        <v>27</v>
      </c>
      <c r="U22" s="26"/>
      <c r="V22" s="27"/>
    </row>
    <row r="23" spans="1:22" x14ac:dyDescent="0.25">
      <c r="A23" s="18" t="s">
        <v>694</v>
      </c>
      <c r="B23" s="18" t="s">
        <v>948</v>
      </c>
      <c r="C23" s="18" t="s">
        <v>884</v>
      </c>
      <c r="D23" s="18" t="s">
        <v>26</v>
      </c>
      <c r="E23" s="18" t="s">
        <v>40</v>
      </c>
      <c r="F23" s="18" t="s">
        <v>887</v>
      </c>
      <c r="G23" s="18" t="s">
        <v>32</v>
      </c>
      <c r="H23" s="19">
        <v>2012</v>
      </c>
      <c r="I23" s="18" t="s">
        <v>38</v>
      </c>
      <c r="J23" s="101">
        <v>33</v>
      </c>
      <c r="K23" s="20">
        <v>3.28</v>
      </c>
      <c r="L23" s="21">
        <v>3.7959999999999998</v>
      </c>
      <c r="M23" s="22" t="s">
        <v>30</v>
      </c>
      <c r="N23" s="23">
        <v>3.7959999999999998</v>
      </c>
      <c r="O23" s="24">
        <v>1.1573170731707316</v>
      </c>
      <c r="P23" s="25" t="str">
        <f>IF(P24="x","x","")</f>
        <v/>
      </c>
      <c r="Q23" s="25" t="str">
        <f>IF(Q24="x","x","")</f>
        <v/>
      </c>
      <c r="R23" s="25" t="str">
        <f>IF(R24="x","x","")</f>
        <v/>
      </c>
      <c r="S23" s="25" t="str">
        <f>IF(S24="x","x","")</f>
        <v/>
      </c>
      <c r="T23" s="25" t="s">
        <v>27</v>
      </c>
      <c r="U23" s="26"/>
      <c r="V23" s="27"/>
    </row>
    <row r="24" spans="1:22" ht="16.5" thickBot="1" x14ac:dyDescent="0.3">
      <c r="A24" s="28" t="str">
        <f>A23</f>
        <v>Afghanistan</v>
      </c>
      <c r="B24" s="28" t="str">
        <f>B23</f>
        <v>South Asia</v>
      </c>
      <c r="C24" s="28" t="str">
        <f>C23</f>
        <v>P107101</v>
      </c>
      <c r="D24" s="28" t="s">
        <v>26</v>
      </c>
      <c r="E24" s="28" t="s">
        <v>27</v>
      </c>
      <c r="F24" s="28" t="str">
        <f>F23</f>
        <v>P107101C1S2</v>
      </c>
      <c r="G24" s="28" t="s">
        <v>16</v>
      </c>
      <c r="H24" s="29" t="str">
        <f>H22&amp;" / "&amp;H23</f>
        <v>2010 / 2012</v>
      </c>
      <c r="I24" s="29" t="str">
        <f>I23</f>
        <v>Strengthening</v>
      </c>
      <c r="J24" s="97">
        <f>IFERROR(J23/J22,"")</f>
        <v>8.25</v>
      </c>
      <c r="K24" s="32">
        <f>K23/K22</f>
        <v>1</v>
      </c>
      <c r="L24" s="32">
        <f>L23/L22</f>
        <v>0.98597402597402595</v>
      </c>
      <c r="M24" s="28"/>
      <c r="N24" s="32">
        <f>N23/N22</f>
        <v>0.98597402597402595</v>
      </c>
      <c r="O24" s="32">
        <f>O23/O22</f>
        <v>0.98597402597402584</v>
      </c>
      <c r="P24" s="33" t="str">
        <f>IF(K24&lt;50%,"x","")</f>
        <v/>
      </c>
      <c r="Q24" s="33" t="str">
        <f>IF(K24&gt;150%,"x","")</f>
        <v/>
      </c>
      <c r="R24" s="33" t="str">
        <f>IF(O24&lt;50%,"x","")</f>
        <v/>
      </c>
      <c r="S24" s="33" t="str">
        <f>IF(O24&gt;150%,"x","")</f>
        <v/>
      </c>
      <c r="T24" s="33" t="s">
        <v>27</v>
      </c>
      <c r="U24" s="34" t="s">
        <v>27</v>
      </c>
      <c r="V24" s="35" t="s">
        <v>27</v>
      </c>
    </row>
    <row r="25" spans="1:22" ht="16.5" thickTop="1" x14ac:dyDescent="0.25">
      <c r="A25" s="18" t="s">
        <v>694</v>
      </c>
      <c r="B25" s="18" t="s">
        <v>948</v>
      </c>
      <c r="C25" s="18" t="s">
        <v>884</v>
      </c>
      <c r="D25" s="18" t="s">
        <v>26</v>
      </c>
      <c r="E25" s="18" t="s">
        <v>69</v>
      </c>
      <c r="F25" s="18" t="s">
        <v>888</v>
      </c>
      <c r="G25" s="18" t="s">
        <v>29</v>
      </c>
      <c r="H25" s="19">
        <v>2010</v>
      </c>
      <c r="I25" s="18" t="s">
        <v>38</v>
      </c>
      <c r="J25" s="101">
        <v>4</v>
      </c>
      <c r="K25" s="20">
        <v>2.2200000000000002</v>
      </c>
      <c r="L25" s="21">
        <v>2.86</v>
      </c>
      <c r="M25" s="22" t="s">
        <v>30</v>
      </c>
      <c r="N25" s="23">
        <v>2.86</v>
      </c>
      <c r="O25" s="24">
        <v>1.288288288288288</v>
      </c>
      <c r="P25" s="25" t="str">
        <f>IF(P27="x","x","")</f>
        <v/>
      </c>
      <c r="Q25" s="25" t="str">
        <f>IF(Q27="x","x","")</f>
        <v/>
      </c>
      <c r="R25" s="25" t="str">
        <f>IF(R27="x","x","")</f>
        <v/>
      </c>
      <c r="S25" s="25" t="str">
        <f>IF(S27="x","x","")</f>
        <v/>
      </c>
      <c r="T25" s="25" t="s">
        <v>27</v>
      </c>
      <c r="U25" s="26"/>
      <c r="V25" s="27"/>
    </row>
    <row r="26" spans="1:22" x14ac:dyDescent="0.25">
      <c r="A26" s="18" t="s">
        <v>694</v>
      </c>
      <c r="B26" s="18" t="s">
        <v>948</v>
      </c>
      <c r="C26" s="18" t="s">
        <v>884</v>
      </c>
      <c r="D26" s="18" t="s">
        <v>26</v>
      </c>
      <c r="E26" s="18" t="s">
        <v>69</v>
      </c>
      <c r="F26" s="18" t="s">
        <v>888</v>
      </c>
      <c r="G26" s="18" t="s">
        <v>32</v>
      </c>
      <c r="H26" s="19">
        <v>2012</v>
      </c>
      <c r="I26" s="18" t="s">
        <v>38</v>
      </c>
      <c r="J26" s="101">
        <v>30</v>
      </c>
      <c r="K26" s="20">
        <v>2.2200000000000002</v>
      </c>
      <c r="L26" s="21">
        <v>2.12</v>
      </c>
      <c r="M26" s="22" t="s">
        <v>30</v>
      </c>
      <c r="N26" s="23">
        <v>2.12</v>
      </c>
      <c r="O26" s="24">
        <v>0.95495495495495497</v>
      </c>
      <c r="P26" s="25" t="str">
        <f>IF(P27="x","x","")</f>
        <v/>
      </c>
      <c r="Q26" s="25" t="str">
        <f>IF(Q27="x","x","")</f>
        <v/>
      </c>
      <c r="R26" s="25" t="str">
        <f>IF(R27="x","x","")</f>
        <v/>
      </c>
      <c r="S26" s="25" t="str">
        <f>IF(S27="x","x","")</f>
        <v/>
      </c>
      <c r="T26" s="25" t="s">
        <v>27</v>
      </c>
      <c r="U26" s="26"/>
      <c r="V26" s="27"/>
    </row>
    <row r="27" spans="1:22" ht="16.5" thickBot="1" x14ac:dyDescent="0.3">
      <c r="A27" s="28" t="str">
        <f>A26</f>
        <v>Afghanistan</v>
      </c>
      <c r="B27" s="28" t="str">
        <f>B26</f>
        <v>South Asia</v>
      </c>
      <c r="C27" s="28" t="str">
        <f>C26</f>
        <v>P107101</v>
      </c>
      <c r="D27" s="28" t="s">
        <v>26</v>
      </c>
      <c r="E27" s="28" t="s">
        <v>27</v>
      </c>
      <c r="F27" s="28" t="str">
        <f>F26</f>
        <v>P107101C1S3</v>
      </c>
      <c r="G27" s="28" t="s">
        <v>16</v>
      </c>
      <c r="H27" s="29" t="str">
        <f>H25&amp;" / "&amp;H26</f>
        <v>2010 / 2012</v>
      </c>
      <c r="I27" s="29" t="str">
        <f>I26</f>
        <v>Strengthening</v>
      </c>
      <c r="J27" s="97">
        <f>IFERROR(J26/J25,"")</f>
        <v>7.5</v>
      </c>
      <c r="K27" s="32">
        <f>K26/K25</f>
        <v>1</v>
      </c>
      <c r="L27" s="32">
        <f>L26/L25</f>
        <v>0.74125874125874136</v>
      </c>
      <c r="M27" s="28"/>
      <c r="N27" s="32">
        <f>N26/N25</f>
        <v>0.74125874125874136</v>
      </c>
      <c r="O27" s="32">
        <f>O26/O25</f>
        <v>0.74125874125874147</v>
      </c>
      <c r="P27" s="33" t="str">
        <f>IF(K27&lt;50%,"x","")</f>
        <v/>
      </c>
      <c r="Q27" s="33" t="str">
        <f>IF(K27&gt;150%,"x","")</f>
        <v/>
      </c>
      <c r="R27" s="33" t="str">
        <f>IF(O27&lt;50%,"x","")</f>
        <v/>
      </c>
      <c r="S27" s="33" t="str">
        <f>IF(O27&gt;150%,"x","")</f>
        <v/>
      </c>
      <c r="T27" s="33" t="s">
        <v>27</v>
      </c>
      <c r="U27" s="34" t="s">
        <v>27</v>
      </c>
      <c r="V27" s="35" t="s">
        <v>27</v>
      </c>
    </row>
    <row r="28" spans="1:22" ht="16.5" thickTop="1" x14ac:dyDescent="0.25">
      <c r="A28" s="18" t="s">
        <v>694</v>
      </c>
      <c r="B28" s="18" t="s">
        <v>948</v>
      </c>
      <c r="C28" s="18" t="s">
        <v>884</v>
      </c>
      <c r="D28" s="18" t="s">
        <v>26</v>
      </c>
      <c r="E28" s="18" t="s">
        <v>71</v>
      </c>
      <c r="F28" s="18" t="s">
        <v>889</v>
      </c>
      <c r="G28" s="18" t="s">
        <v>29</v>
      </c>
      <c r="H28" s="19">
        <v>2010</v>
      </c>
      <c r="I28" s="18" t="s">
        <v>38</v>
      </c>
      <c r="J28" s="101">
        <v>4</v>
      </c>
      <c r="K28" s="20">
        <v>3.27</v>
      </c>
      <c r="L28" s="21">
        <v>4.3</v>
      </c>
      <c r="M28" s="22" t="s">
        <v>30</v>
      </c>
      <c r="N28" s="23">
        <v>4.3</v>
      </c>
      <c r="O28" s="24">
        <v>1.3149847094801224</v>
      </c>
      <c r="P28" s="25" t="str">
        <f>IF(P30="x","x","")</f>
        <v/>
      </c>
      <c r="Q28" s="25" t="str">
        <f>IF(Q30="x","x","")</f>
        <v/>
      </c>
      <c r="R28" s="25" t="str">
        <f>IF(R30="x","x","")</f>
        <v/>
      </c>
      <c r="S28" s="25" t="str">
        <f>IF(S30="x","x","")</f>
        <v/>
      </c>
      <c r="T28" s="25" t="s">
        <v>27</v>
      </c>
      <c r="U28" s="26"/>
      <c r="V28" s="27"/>
    </row>
    <row r="29" spans="1:22" x14ac:dyDescent="0.25">
      <c r="A29" s="18" t="s">
        <v>694</v>
      </c>
      <c r="B29" s="18" t="s">
        <v>948</v>
      </c>
      <c r="C29" s="18" t="s">
        <v>884</v>
      </c>
      <c r="D29" s="18" t="s">
        <v>26</v>
      </c>
      <c r="E29" s="18" t="s">
        <v>71</v>
      </c>
      <c r="F29" s="18" t="s">
        <v>889</v>
      </c>
      <c r="G29" s="18" t="s">
        <v>32</v>
      </c>
      <c r="H29" s="19">
        <v>2012</v>
      </c>
      <c r="I29" s="18" t="s">
        <v>38</v>
      </c>
      <c r="J29" s="101">
        <v>30</v>
      </c>
      <c r="K29" s="20">
        <v>3.27</v>
      </c>
      <c r="L29" s="21">
        <v>2.85</v>
      </c>
      <c r="M29" s="22" t="s">
        <v>30</v>
      </c>
      <c r="N29" s="23">
        <v>2.85</v>
      </c>
      <c r="O29" s="24">
        <v>0.87155963302752293</v>
      </c>
      <c r="P29" s="25" t="str">
        <f>IF(P30="x","x","")</f>
        <v/>
      </c>
      <c r="Q29" s="25" t="str">
        <f>IF(Q30="x","x","")</f>
        <v/>
      </c>
      <c r="R29" s="25" t="str">
        <f>IF(R30="x","x","")</f>
        <v/>
      </c>
      <c r="S29" s="25" t="str">
        <f>IF(S30="x","x","")</f>
        <v/>
      </c>
      <c r="T29" s="25" t="s">
        <v>27</v>
      </c>
      <c r="U29" s="26"/>
      <c r="V29" s="27"/>
    </row>
    <row r="30" spans="1:22" ht="16.5" thickBot="1" x14ac:dyDescent="0.3">
      <c r="A30" s="28" t="str">
        <f>A29</f>
        <v>Afghanistan</v>
      </c>
      <c r="B30" s="28" t="str">
        <f>B29</f>
        <v>South Asia</v>
      </c>
      <c r="C30" s="28" t="str">
        <f>C29</f>
        <v>P107101</v>
      </c>
      <c r="D30" s="28" t="s">
        <v>26</v>
      </c>
      <c r="E30" s="28" t="s">
        <v>27</v>
      </c>
      <c r="F30" s="28" t="str">
        <f>F29</f>
        <v>P107101C1S4</v>
      </c>
      <c r="G30" s="28" t="s">
        <v>16</v>
      </c>
      <c r="H30" s="29" t="str">
        <f>H28&amp;" / "&amp;H29</f>
        <v>2010 / 2012</v>
      </c>
      <c r="I30" s="29" t="str">
        <f>I29</f>
        <v>Strengthening</v>
      </c>
      <c r="J30" s="97">
        <f>IFERROR(J29/J28,"")</f>
        <v>7.5</v>
      </c>
      <c r="K30" s="32">
        <f>K29/K28</f>
        <v>1</v>
      </c>
      <c r="L30" s="32">
        <f>L29/L28</f>
        <v>0.66279069767441867</v>
      </c>
      <c r="M30" s="28"/>
      <c r="N30" s="32">
        <f>N29/N28</f>
        <v>0.66279069767441867</v>
      </c>
      <c r="O30" s="32">
        <f>O29/O28</f>
        <v>0.66279069767441856</v>
      </c>
      <c r="P30" s="33" t="str">
        <f>IF(K30&lt;50%,"x","")</f>
        <v/>
      </c>
      <c r="Q30" s="33" t="str">
        <f>IF(K30&gt;150%,"x","")</f>
        <v/>
      </c>
      <c r="R30" s="33" t="str">
        <f>IF(O30&lt;50%,"x","")</f>
        <v/>
      </c>
      <c r="S30" s="33" t="str">
        <f>IF(O30&gt;150%,"x","")</f>
        <v/>
      </c>
      <c r="T30" s="33" t="s">
        <v>27</v>
      </c>
      <c r="U30" s="34" t="s">
        <v>27</v>
      </c>
      <c r="V30" s="35" t="s">
        <v>27</v>
      </c>
    </row>
    <row r="31" spans="1:22" ht="16.5" thickTop="1" x14ac:dyDescent="0.25">
      <c r="A31" s="18" t="s">
        <v>133</v>
      </c>
      <c r="B31" s="18" t="s">
        <v>947</v>
      </c>
      <c r="C31" s="18" t="s">
        <v>134</v>
      </c>
      <c r="D31" s="18" t="s">
        <v>26</v>
      </c>
      <c r="E31" s="18" t="s">
        <v>36</v>
      </c>
      <c r="F31" s="18" t="s">
        <v>135</v>
      </c>
      <c r="G31" s="18" t="s">
        <v>29</v>
      </c>
      <c r="H31" s="19">
        <v>1999</v>
      </c>
      <c r="I31" s="18" t="s">
        <v>136</v>
      </c>
      <c r="J31" s="101">
        <v>15</v>
      </c>
      <c r="K31" s="20">
        <v>22</v>
      </c>
      <c r="L31" s="21">
        <v>0.73</v>
      </c>
      <c r="M31" s="22" t="s">
        <v>30</v>
      </c>
      <c r="N31" s="23">
        <v>0.73</v>
      </c>
      <c r="O31" s="24">
        <v>3.318181818181818E-2</v>
      </c>
      <c r="P31" s="25" t="str">
        <f>IF(P33="x","x","")</f>
        <v/>
      </c>
      <c r="Q31" s="25" t="str">
        <f>IF(Q33="x","x","")</f>
        <v/>
      </c>
      <c r="R31" s="25" t="str">
        <f>IF(R33="x","x","")</f>
        <v/>
      </c>
      <c r="S31" s="25" t="str">
        <f>IF(S33="x","x","")</f>
        <v>x</v>
      </c>
      <c r="T31" s="25" t="s">
        <v>31</v>
      </c>
      <c r="U31" s="26"/>
      <c r="V31" s="27"/>
    </row>
    <row r="32" spans="1:22" x14ac:dyDescent="0.25">
      <c r="A32" s="18" t="s">
        <v>133</v>
      </c>
      <c r="B32" s="18" t="s">
        <v>947</v>
      </c>
      <c r="C32" s="18" t="s">
        <v>134</v>
      </c>
      <c r="D32" s="18" t="s">
        <v>26</v>
      </c>
      <c r="E32" s="18" t="s">
        <v>36</v>
      </c>
      <c r="F32" s="18" t="s">
        <v>135</v>
      </c>
      <c r="G32" s="18" t="s">
        <v>32</v>
      </c>
      <c r="H32" s="19">
        <v>2004</v>
      </c>
      <c r="I32" s="18" t="s">
        <v>44</v>
      </c>
      <c r="J32" s="101" t="s">
        <v>27</v>
      </c>
      <c r="K32" s="20">
        <v>12.3</v>
      </c>
      <c r="L32" s="21">
        <v>0.99990000000000001</v>
      </c>
      <c r="M32" s="22" t="s">
        <v>30</v>
      </c>
      <c r="N32" s="23">
        <v>0.99990000000000001</v>
      </c>
      <c r="O32" s="24">
        <v>8.1292682926829271E-2</v>
      </c>
      <c r="P32" s="25" t="str">
        <f>IF(P33="x","x","")</f>
        <v/>
      </c>
      <c r="Q32" s="25" t="str">
        <f>IF(Q33="x","x","")</f>
        <v/>
      </c>
      <c r="R32" s="25" t="str">
        <f>IF(R33="x","x","")</f>
        <v/>
      </c>
      <c r="S32" s="25" t="str">
        <f>IF(S33="x","x","")</f>
        <v>x</v>
      </c>
      <c r="T32" s="25" t="s">
        <v>31</v>
      </c>
      <c r="U32" s="26"/>
      <c r="V32" s="27"/>
    </row>
    <row r="33" spans="1:22" ht="18.600000000000001" customHeight="1" thickBot="1" x14ac:dyDescent="0.3">
      <c r="A33" s="28" t="str">
        <f>A32</f>
        <v>Albania</v>
      </c>
      <c r="B33" s="28" t="str">
        <f>B32</f>
        <v>Europe and Central Asia</v>
      </c>
      <c r="C33" s="28" t="str">
        <f>C32</f>
        <v>P068853</v>
      </c>
      <c r="D33" s="28" t="s">
        <v>26</v>
      </c>
      <c r="E33" s="28" t="s">
        <v>27</v>
      </c>
      <c r="F33" s="28" t="str">
        <f>F32</f>
        <v>P068853C1S1</v>
      </c>
      <c r="G33" s="28" t="s">
        <v>16</v>
      </c>
      <c r="H33" s="29" t="str">
        <f>H31&amp;" / "&amp;H32</f>
        <v>1999 / 2004</v>
      </c>
      <c r="I33" s="29" t="str">
        <f>I32</f>
        <v>Routine Maintenance</v>
      </c>
      <c r="J33" s="97" t="str">
        <f>IFERROR(J32/J31,"")</f>
        <v/>
      </c>
      <c r="K33" s="32">
        <f>K32/K31</f>
        <v>0.55909090909090908</v>
      </c>
      <c r="L33" s="32">
        <f>L32/L31</f>
        <v>1.3697260273972602</v>
      </c>
      <c r="M33" s="28"/>
      <c r="N33" s="32">
        <f>N32/N31</f>
        <v>1.3697260273972602</v>
      </c>
      <c r="O33" s="32">
        <f>O32/O31</f>
        <v>2.4499164717674575</v>
      </c>
      <c r="P33" s="33" t="str">
        <f>IF(K33&lt;50%,"x","")</f>
        <v/>
      </c>
      <c r="Q33" s="33" t="str">
        <f>IF(K33&gt;150%,"x","")</f>
        <v/>
      </c>
      <c r="R33" s="33" t="str">
        <f>IF(O33&lt;50%,"x","")</f>
        <v/>
      </c>
      <c r="S33" s="33" t="str">
        <f>IF(O33&gt;150%,"x","")</f>
        <v>x</v>
      </c>
      <c r="T33" s="33" t="s">
        <v>31</v>
      </c>
      <c r="U33" s="34" t="s">
        <v>1125</v>
      </c>
      <c r="V33" s="35" t="s">
        <v>1126</v>
      </c>
    </row>
    <row r="34" spans="1:22" ht="18.600000000000001" customHeight="1" thickTop="1" x14ac:dyDescent="0.25">
      <c r="A34" s="103" t="s">
        <v>133</v>
      </c>
      <c r="B34" s="103" t="s">
        <v>947</v>
      </c>
      <c r="C34" s="103" t="s">
        <v>134</v>
      </c>
      <c r="D34" s="103" t="s">
        <v>26</v>
      </c>
      <c r="E34" s="103" t="s">
        <v>40</v>
      </c>
      <c r="F34" s="103" t="s">
        <v>138</v>
      </c>
      <c r="G34" s="103" t="s">
        <v>29</v>
      </c>
      <c r="H34" s="104">
        <v>1999</v>
      </c>
      <c r="I34" s="103" t="s">
        <v>136</v>
      </c>
      <c r="J34" s="105">
        <v>15</v>
      </c>
      <c r="K34" s="20">
        <v>26</v>
      </c>
      <c r="L34" s="21">
        <v>0.87</v>
      </c>
      <c r="M34" s="22" t="s">
        <v>30</v>
      </c>
      <c r="N34" s="23">
        <v>0.87</v>
      </c>
      <c r="O34" s="24">
        <v>3.3461538461538459E-2</v>
      </c>
      <c r="P34" s="25" t="str">
        <f>IF(P36="x","x","")</f>
        <v/>
      </c>
      <c r="Q34" s="25" t="str">
        <f>IF(Q36="x","x","")</f>
        <v/>
      </c>
      <c r="R34" s="25" t="str">
        <f>IF(R36="x","x","")</f>
        <v/>
      </c>
      <c r="S34" s="25" t="str">
        <f>IF(S36="x","x","")</f>
        <v>x</v>
      </c>
      <c r="T34" s="25" t="s">
        <v>31</v>
      </c>
      <c r="U34" s="26"/>
      <c r="V34" s="27"/>
    </row>
    <row r="35" spans="1:22" ht="18.600000000000001" customHeight="1" x14ac:dyDescent="0.25">
      <c r="A35" s="103" t="s">
        <v>133</v>
      </c>
      <c r="B35" s="103" t="s">
        <v>947</v>
      </c>
      <c r="C35" s="103" t="s">
        <v>134</v>
      </c>
      <c r="D35" s="103" t="s">
        <v>26</v>
      </c>
      <c r="E35" s="103" t="s">
        <v>40</v>
      </c>
      <c r="F35" s="103" t="s">
        <v>138</v>
      </c>
      <c r="G35" s="103" t="s">
        <v>32</v>
      </c>
      <c r="H35" s="104">
        <v>2004</v>
      </c>
      <c r="I35" s="103" t="s">
        <v>44</v>
      </c>
      <c r="J35" s="105" t="s">
        <v>27</v>
      </c>
      <c r="K35" s="20">
        <v>14.9</v>
      </c>
      <c r="L35" s="21">
        <v>1.0980000000000001</v>
      </c>
      <c r="M35" s="22" t="s">
        <v>30</v>
      </c>
      <c r="N35" s="23">
        <v>1.0980000000000001</v>
      </c>
      <c r="O35" s="24">
        <v>7.3691275167785245E-2</v>
      </c>
      <c r="P35" s="25" t="str">
        <f>IF(P36="x","x","")</f>
        <v/>
      </c>
      <c r="Q35" s="25" t="str">
        <f>IF(Q36="x","x","")</f>
        <v/>
      </c>
      <c r="R35" s="25" t="str">
        <f>IF(R36="x","x","")</f>
        <v/>
      </c>
      <c r="S35" s="25" t="str">
        <f>IF(S36="x","x","")</f>
        <v>x</v>
      </c>
      <c r="T35" s="25" t="s">
        <v>31</v>
      </c>
      <c r="U35" s="26"/>
      <c r="V35" s="27"/>
    </row>
    <row r="36" spans="1:22" ht="18.600000000000001" customHeight="1" thickBot="1" x14ac:dyDescent="0.3">
      <c r="A36" s="28" t="str">
        <f>A35</f>
        <v>Albania</v>
      </c>
      <c r="B36" s="28" t="str">
        <f>B35</f>
        <v>Europe and Central Asia</v>
      </c>
      <c r="C36" s="28" t="str">
        <f>C35</f>
        <v>P068853</v>
      </c>
      <c r="D36" s="28" t="s">
        <v>26</v>
      </c>
      <c r="E36" s="28" t="s">
        <v>27</v>
      </c>
      <c r="F36" s="28" t="str">
        <f>F35</f>
        <v>P068853C1S2</v>
      </c>
      <c r="G36" s="28" t="s">
        <v>16</v>
      </c>
      <c r="H36" s="29" t="str">
        <f>H34&amp;" / "&amp;H35</f>
        <v>1999 / 2004</v>
      </c>
      <c r="I36" s="29" t="str">
        <f>I35</f>
        <v>Routine Maintenance</v>
      </c>
      <c r="J36" s="97" t="str">
        <f>IFERROR(J35/J34,"")</f>
        <v/>
      </c>
      <c r="K36" s="32">
        <f>K35/K34</f>
        <v>0.57307692307692304</v>
      </c>
      <c r="L36" s="32">
        <f>L35/L34</f>
        <v>1.2620689655172415</v>
      </c>
      <c r="M36" s="28"/>
      <c r="N36" s="32">
        <f>N35/N34</f>
        <v>1.2620689655172415</v>
      </c>
      <c r="O36" s="32">
        <f>O35/O34</f>
        <v>2.2022679935200191</v>
      </c>
      <c r="P36" s="33" t="str">
        <f>IF(K36&lt;50%,"x","")</f>
        <v/>
      </c>
      <c r="Q36" s="33" t="str">
        <f>IF(K36&gt;150%,"x","")</f>
        <v/>
      </c>
      <c r="R36" s="33" t="str">
        <f>IF(O36&lt;50%,"x","")</f>
        <v/>
      </c>
      <c r="S36" s="33" t="str">
        <f>IF(O36&gt;150%,"x","")</f>
        <v>x</v>
      </c>
      <c r="T36" s="33" t="s">
        <v>31</v>
      </c>
      <c r="U36" s="34" t="s">
        <v>1125</v>
      </c>
      <c r="V36" s="35" t="s">
        <v>1127</v>
      </c>
    </row>
    <row r="37" spans="1:22" ht="18.600000000000001" customHeight="1" thickTop="1" x14ac:dyDescent="0.25">
      <c r="A37" s="18" t="s">
        <v>133</v>
      </c>
      <c r="B37" s="18" t="s">
        <v>947</v>
      </c>
      <c r="C37" s="18" t="s">
        <v>134</v>
      </c>
      <c r="D37" s="18" t="s">
        <v>26</v>
      </c>
      <c r="E37" s="18" t="s">
        <v>69</v>
      </c>
      <c r="F37" s="18" t="s">
        <v>139</v>
      </c>
      <c r="G37" s="18" t="s">
        <v>29</v>
      </c>
      <c r="H37" s="19">
        <v>1999</v>
      </c>
      <c r="I37" s="18" t="s">
        <v>68</v>
      </c>
      <c r="J37" s="101">
        <v>15</v>
      </c>
      <c r="K37" s="20">
        <v>30</v>
      </c>
      <c r="L37" s="21">
        <v>1.9</v>
      </c>
      <c r="M37" s="22" t="s">
        <v>30</v>
      </c>
      <c r="N37" s="23">
        <v>1.9</v>
      </c>
      <c r="O37" s="24">
        <v>6.3333333333333325E-2</v>
      </c>
      <c r="P37" s="25" t="str">
        <f>IF(P39="x","x","")</f>
        <v/>
      </c>
      <c r="Q37" s="25" t="str">
        <f>IF(Q39="x","x","")</f>
        <v/>
      </c>
      <c r="R37" s="25" t="str">
        <f>IF(R39="x","x","")</f>
        <v>x</v>
      </c>
      <c r="S37" s="25" t="str">
        <f>IF(S39="x","x","")</f>
        <v/>
      </c>
      <c r="T37" s="25" t="s">
        <v>31</v>
      </c>
      <c r="U37" s="26"/>
      <c r="V37" s="27"/>
    </row>
    <row r="38" spans="1:22" ht="18.600000000000001" customHeight="1" x14ac:dyDescent="0.25">
      <c r="A38" s="18" t="s">
        <v>133</v>
      </c>
      <c r="B38" s="18" t="s">
        <v>947</v>
      </c>
      <c r="C38" s="18" t="s">
        <v>134</v>
      </c>
      <c r="D38" s="18" t="s">
        <v>26</v>
      </c>
      <c r="E38" s="18" t="s">
        <v>69</v>
      </c>
      <c r="F38" s="18" t="s">
        <v>139</v>
      </c>
      <c r="G38" s="18" t="s">
        <v>32</v>
      </c>
      <c r="H38" s="19">
        <v>2004</v>
      </c>
      <c r="I38" s="18" t="s">
        <v>68</v>
      </c>
      <c r="J38" s="101">
        <v>4</v>
      </c>
      <c r="K38" s="20">
        <v>29</v>
      </c>
      <c r="L38" s="21">
        <v>0.188</v>
      </c>
      <c r="M38" s="22" t="s">
        <v>30</v>
      </c>
      <c r="N38" s="23">
        <v>0.188</v>
      </c>
      <c r="O38" s="24">
        <v>6.482758620689655E-3</v>
      </c>
      <c r="P38" s="25" t="str">
        <f>IF(P39="x","x","")</f>
        <v/>
      </c>
      <c r="Q38" s="25" t="str">
        <f>IF(Q39="x","x","")</f>
        <v/>
      </c>
      <c r="R38" s="25" t="str">
        <f>IF(R39="x","x","")</f>
        <v>x</v>
      </c>
      <c r="S38" s="25" t="str">
        <f>IF(S39="x","x","")</f>
        <v/>
      </c>
      <c r="T38" s="25" t="s">
        <v>31</v>
      </c>
      <c r="U38" s="26"/>
      <c r="V38" s="27"/>
    </row>
    <row r="39" spans="1:22" ht="18.600000000000001" customHeight="1" thickBot="1" x14ac:dyDescent="0.3">
      <c r="A39" s="28" t="str">
        <f>A38</f>
        <v>Albania</v>
      </c>
      <c r="B39" s="28" t="str">
        <f>B38</f>
        <v>Europe and Central Asia</v>
      </c>
      <c r="C39" s="28" t="str">
        <f>C38</f>
        <v>P068853</v>
      </c>
      <c r="D39" s="28" t="s">
        <v>26</v>
      </c>
      <c r="E39" s="28" t="s">
        <v>27</v>
      </c>
      <c r="F39" s="28" t="str">
        <f>F38</f>
        <v>P068853C1S3</v>
      </c>
      <c r="G39" s="28" t="s">
        <v>16</v>
      </c>
      <c r="H39" s="29" t="str">
        <f>H37&amp;" / "&amp;H38</f>
        <v>1999 / 2004</v>
      </c>
      <c r="I39" s="29" t="str">
        <f>I38</f>
        <v>Asphalt Mix Resurfacing</v>
      </c>
      <c r="J39" s="97">
        <f>IFERROR(J38/J37,"")</f>
        <v>0.26666666666666666</v>
      </c>
      <c r="K39" s="32">
        <f>K38/K37</f>
        <v>0.96666666666666667</v>
      </c>
      <c r="L39" s="32">
        <f>L38/L37</f>
        <v>9.8947368421052631E-2</v>
      </c>
      <c r="M39" s="28"/>
      <c r="N39" s="32">
        <f>N38/N37</f>
        <v>9.8947368421052631E-2</v>
      </c>
      <c r="O39" s="32">
        <f>O38/O37</f>
        <v>0.10235934664246825</v>
      </c>
      <c r="P39" s="33" t="str">
        <f>IF(K39&lt;50%,"x","")</f>
        <v/>
      </c>
      <c r="Q39" s="33" t="str">
        <f>IF(K39&gt;150%,"x","")</f>
        <v/>
      </c>
      <c r="R39" s="33" t="str">
        <f>IF(O39&lt;50%,"x","")</f>
        <v>x</v>
      </c>
      <c r="S39" s="33" t="str">
        <f>IF(O39&gt;150%,"x","")</f>
        <v/>
      </c>
      <c r="T39" s="33" t="s">
        <v>31</v>
      </c>
      <c r="U39" s="34" t="s">
        <v>1125</v>
      </c>
      <c r="V39" s="35" t="s">
        <v>1128</v>
      </c>
    </row>
    <row r="40" spans="1:22" ht="18.600000000000001" customHeight="1" thickTop="1" x14ac:dyDescent="0.25">
      <c r="A40" s="18" t="s">
        <v>133</v>
      </c>
      <c r="B40" s="18" t="s">
        <v>947</v>
      </c>
      <c r="C40" s="18" t="s">
        <v>134</v>
      </c>
      <c r="D40" s="18" t="s">
        <v>26</v>
      </c>
      <c r="E40" s="18" t="s">
        <v>71</v>
      </c>
      <c r="F40" s="18" t="s">
        <v>140</v>
      </c>
      <c r="G40" s="18" t="s">
        <v>29</v>
      </c>
      <c r="H40" s="19">
        <v>1999</v>
      </c>
      <c r="I40" s="18" t="s">
        <v>44</v>
      </c>
      <c r="J40" s="101">
        <v>15</v>
      </c>
      <c r="K40" s="20">
        <v>49</v>
      </c>
      <c r="L40" s="21">
        <v>1.43</v>
      </c>
      <c r="M40" s="22" t="s">
        <v>30</v>
      </c>
      <c r="N40" s="23">
        <v>1.43</v>
      </c>
      <c r="O40" s="24">
        <v>2.9183673469387755E-2</v>
      </c>
      <c r="P40" s="25" t="str">
        <f>IF(P42="x","x","")</f>
        <v/>
      </c>
      <c r="Q40" s="25" t="str">
        <f>IF(Q42="x","x","")</f>
        <v/>
      </c>
      <c r="R40" s="25" t="str">
        <f>IF(R42="x","x","")</f>
        <v/>
      </c>
      <c r="S40" s="25" t="str">
        <f>IF(S42="x","x","")</f>
        <v/>
      </c>
      <c r="T40" s="25" t="s">
        <v>27</v>
      </c>
      <c r="U40" s="26"/>
      <c r="V40" s="27"/>
    </row>
    <row r="41" spans="1:22" ht="18.600000000000001" customHeight="1" x14ac:dyDescent="0.25">
      <c r="A41" s="18" t="s">
        <v>133</v>
      </c>
      <c r="B41" s="18" t="s">
        <v>947</v>
      </c>
      <c r="C41" s="18" t="s">
        <v>134</v>
      </c>
      <c r="D41" s="18" t="s">
        <v>26</v>
      </c>
      <c r="E41" s="18" t="s">
        <v>71</v>
      </c>
      <c r="F41" s="18" t="s">
        <v>140</v>
      </c>
      <c r="G41" s="18" t="s">
        <v>32</v>
      </c>
      <c r="H41" s="19">
        <v>2004</v>
      </c>
      <c r="I41" s="18" t="s">
        <v>44</v>
      </c>
      <c r="J41" s="101">
        <v>8</v>
      </c>
      <c r="K41" s="20">
        <v>42.7</v>
      </c>
      <c r="L41" s="21">
        <v>1.591</v>
      </c>
      <c r="M41" s="22" t="s">
        <v>30</v>
      </c>
      <c r="N41" s="23">
        <v>1.591</v>
      </c>
      <c r="O41" s="24">
        <v>3.7259953161592502E-2</v>
      </c>
      <c r="P41" s="25" t="str">
        <f>IF(P42="x","x","")</f>
        <v/>
      </c>
      <c r="Q41" s="25" t="str">
        <f>IF(Q42="x","x","")</f>
        <v/>
      </c>
      <c r="R41" s="25" t="str">
        <f>IF(R42="x","x","")</f>
        <v/>
      </c>
      <c r="S41" s="25" t="str">
        <f>IF(S42="x","x","")</f>
        <v/>
      </c>
      <c r="T41" s="25" t="s">
        <v>27</v>
      </c>
      <c r="U41" s="26"/>
      <c r="V41" s="27"/>
    </row>
    <row r="42" spans="1:22" ht="18.600000000000001" customHeight="1" thickBot="1" x14ac:dyDescent="0.3">
      <c r="A42" s="28" t="str">
        <f>A41</f>
        <v>Albania</v>
      </c>
      <c r="B42" s="28" t="str">
        <f>B41</f>
        <v>Europe and Central Asia</v>
      </c>
      <c r="C42" s="28" t="str">
        <f>C41</f>
        <v>P068853</v>
      </c>
      <c r="D42" s="28" t="s">
        <v>26</v>
      </c>
      <c r="E42" s="28" t="s">
        <v>27</v>
      </c>
      <c r="F42" s="28" t="str">
        <f>F41</f>
        <v>P068853C1S4</v>
      </c>
      <c r="G42" s="28" t="s">
        <v>16</v>
      </c>
      <c r="H42" s="29" t="str">
        <f>H40&amp;" / "&amp;H41</f>
        <v>1999 / 2004</v>
      </c>
      <c r="I42" s="29" t="str">
        <f>I41</f>
        <v>Routine Maintenance</v>
      </c>
      <c r="J42" s="97">
        <f>IFERROR(J41/J40,"")</f>
        <v>0.53333333333333333</v>
      </c>
      <c r="K42" s="32">
        <f>K41/K40</f>
        <v>0.87142857142857144</v>
      </c>
      <c r="L42" s="32">
        <f>L41/L40</f>
        <v>1.1125874125874127</v>
      </c>
      <c r="M42" s="28"/>
      <c r="N42" s="32">
        <f>N41/N40</f>
        <v>1.1125874125874127</v>
      </c>
      <c r="O42" s="32">
        <f>O41/O40</f>
        <v>1.276739653788834</v>
      </c>
      <c r="P42" s="33" t="str">
        <f>IF(K42&lt;50%,"x","")</f>
        <v/>
      </c>
      <c r="Q42" s="33" t="str">
        <f>IF(K42&gt;150%,"x","")</f>
        <v/>
      </c>
      <c r="R42" s="33" t="str">
        <f>IF(O42&lt;50%,"x","")</f>
        <v/>
      </c>
      <c r="S42" s="33" t="str">
        <f>IF(O42&gt;150%,"x","")</f>
        <v/>
      </c>
      <c r="T42" s="33" t="s">
        <v>27</v>
      </c>
      <c r="U42" s="34" t="s">
        <v>27</v>
      </c>
      <c r="V42" s="35" t="s">
        <v>27</v>
      </c>
    </row>
    <row r="43" spans="1:22" ht="18.600000000000001" customHeight="1" thickTop="1" x14ac:dyDescent="0.25">
      <c r="A43" s="18" t="s">
        <v>133</v>
      </c>
      <c r="B43" s="18" t="s">
        <v>947</v>
      </c>
      <c r="C43" s="18" t="s">
        <v>134</v>
      </c>
      <c r="D43" s="18" t="s">
        <v>26</v>
      </c>
      <c r="E43" s="18" t="s">
        <v>141</v>
      </c>
      <c r="F43" s="18" t="s">
        <v>142</v>
      </c>
      <c r="G43" s="18" t="s">
        <v>29</v>
      </c>
      <c r="H43" s="19">
        <v>1999</v>
      </c>
      <c r="I43" s="18" t="s">
        <v>68</v>
      </c>
      <c r="J43" s="101">
        <v>15</v>
      </c>
      <c r="K43" s="20">
        <v>70</v>
      </c>
      <c r="L43" s="21">
        <v>5.4</v>
      </c>
      <c r="M43" s="22" t="s">
        <v>30</v>
      </c>
      <c r="N43" s="23">
        <v>5.4</v>
      </c>
      <c r="O43" s="24">
        <v>7.7142857142857152E-2</v>
      </c>
      <c r="P43" s="25" t="str">
        <f>IF(P45="x","x","")</f>
        <v/>
      </c>
      <c r="Q43" s="25" t="str">
        <f>IF(Q45="x","x","")</f>
        <v/>
      </c>
      <c r="R43" s="25" t="str">
        <f>IF(R45="x","x","")</f>
        <v/>
      </c>
      <c r="S43" s="25" t="str">
        <f>IF(S45="x","x","")</f>
        <v/>
      </c>
      <c r="T43" s="25" t="s">
        <v>27</v>
      </c>
      <c r="U43" s="26"/>
      <c r="V43" s="27"/>
    </row>
    <row r="44" spans="1:22" ht="18.600000000000001" customHeight="1" x14ac:dyDescent="0.25">
      <c r="A44" s="18" t="s">
        <v>133</v>
      </c>
      <c r="B44" s="18" t="s">
        <v>947</v>
      </c>
      <c r="C44" s="18" t="s">
        <v>134</v>
      </c>
      <c r="D44" s="18" t="s">
        <v>26</v>
      </c>
      <c r="E44" s="18" t="s">
        <v>141</v>
      </c>
      <c r="F44" s="18" t="s">
        <v>142</v>
      </c>
      <c r="G44" s="18" t="s">
        <v>32</v>
      </c>
      <c r="H44" s="19">
        <v>2004</v>
      </c>
      <c r="I44" s="18" t="s">
        <v>68</v>
      </c>
      <c r="J44" s="101">
        <v>44</v>
      </c>
      <c r="K44" s="20">
        <v>55.3</v>
      </c>
      <c r="L44" s="21">
        <v>6.3699999999999992</v>
      </c>
      <c r="M44" s="22" t="s">
        <v>30</v>
      </c>
      <c r="N44" s="23">
        <v>6.3699999999999992</v>
      </c>
      <c r="O44" s="24">
        <v>0.11518987341772151</v>
      </c>
      <c r="P44" s="25" t="str">
        <f>IF(P45="x","x","")</f>
        <v/>
      </c>
      <c r="Q44" s="25" t="str">
        <f>IF(Q45="x","x","")</f>
        <v/>
      </c>
      <c r="R44" s="25" t="str">
        <f>IF(R45="x","x","")</f>
        <v/>
      </c>
      <c r="S44" s="25" t="str">
        <f>IF(S45="x","x","")</f>
        <v/>
      </c>
      <c r="T44" s="25" t="s">
        <v>27</v>
      </c>
      <c r="U44" s="26"/>
      <c r="V44" s="27"/>
    </row>
    <row r="45" spans="1:22" ht="18.600000000000001" customHeight="1" thickBot="1" x14ac:dyDescent="0.3">
      <c r="A45" s="28" t="str">
        <f>A44</f>
        <v>Albania</v>
      </c>
      <c r="B45" s="28" t="str">
        <f>B44</f>
        <v>Europe and Central Asia</v>
      </c>
      <c r="C45" s="28" t="str">
        <f>C44</f>
        <v>P068853</v>
      </c>
      <c r="D45" s="28" t="s">
        <v>26</v>
      </c>
      <c r="E45" s="28" t="s">
        <v>27</v>
      </c>
      <c r="F45" s="28" t="str">
        <f>F44</f>
        <v>P068853C1S5</v>
      </c>
      <c r="G45" s="28" t="s">
        <v>16</v>
      </c>
      <c r="H45" s="29" t="str">
        <f>H43&amp;" / "&amp;H44</f>
        <v>1999 / 2004</v>
      </c>
      <c r="I45" s="29" t="str">
        <f>I44</f>
        <v>Asphalt Mix Resurfacing</v>
      </c>
      <c r="J45" s="97">
        <f>IFERROR(J44/J43,"")</f>
        <v>2.9333333333333331</v>
      </c>
      <c r="K45" s="32">
        <f>K44/K43</f>
        <v>0.78999999999999992</v>
      </c>
      <c r="L45" s="32">
        <f>L44/L43</f>
        <v>1.1796296296296294</v>
      </c>
      <c r="M45" s="28"/>
      <c r="N45" s="32">
        <f>N44/N43</f>
        <v>1.1796296296296294</v>
      </c>
      <c r="O45" s="32">
        <f>O44/O43</f>
        <v>1.4932020628223157</v>
      </c>
      <c r="P45" s="33" t="str">
        <f>IF(K45&lt;50%,"x","")</f>
        <v/>
      </c>
      <c r="Q45" s="33" t="str">
        <f>IF(K45&gt;150%,"x","")</f>
        <v/>
      </c>
      <c r="R45" s="33" t="str">
        <f>IF(O45&lt;50%,"x","")</f>
        <v/>
      </c>
      <c r="S45" s="33" t="str">
        <f>IF(O45&gt;150%,"x","")</f>
        <v/>
      </c>
      <c r="T45" s="33" t="s">
        <v>27</v>
      </c>
      <c r="U45" s="34" t="s">
        <v>27</v>
      </c>
      <c r="V45" s="35" t="s">
        <v>27</v>
      </c>
    </row>
    <row r="46" spans="1:22" ht="18.600000000000001" customHeight="1" thickTop="1" x14ac:dyDescent="0.25">
      <c r="A46" s="18" t="s">
        <v>133</v>
      </c>
      <c r="B46" s="18" t="s">
        <v>947</v>
      </c>
      <c r="C46" s="18" t="s">
        <v>134</v>
      </c>
      <c r="D46" s="18" t="s">
        <v>26</v>
      </c>
      <c r="E46" s="18" t="s">
        <v>143</v>
      </c>
      <c r="F46" s="18" t="s">
        <v>144</v>
      </c>
      <c r="G46" s="18" t="s">
        <v>29</v>
      </c>
      <c r="H46" s="19">
        <v>1999</v>
      </c>
      <c r="I46" s="18" t="s">
        <v>78</v>
      </c>
      <c r="J46" s="101">
        <v>15</v>
      </c>
      <c r="K46" s="20">
        <v>24</v>
      </c>
      <c r="L46" s="21">
        <v>1.2</v>
      </c>
      <c r="M46" s="22" t="s">
        <v>30</v>
      </c>
      <c r="N46" s="23">
        <v>1.2</v>
      </c>
      <c r="O46" s="24">
        <v>4.9999999999999996E-2</v>
      </c>
      <c r="P46" s="25" t="str">
        <f>IF(P48="x","x","")</f>
        <v>x</v>
      </c>
      <c r="Q46" s="25" t="str">
        <f>IF(Q48="x","x","")</f>
        <v/>
      </c>
      <c r="R46" s="25" t="str">
        <f>IF(R48="x","x","")</f>
        <v/>
      </c>
      <c r="S46" s="25" t="str">
        <f>IF(S48="x","x","")</f>
        <v>x</v>
      </c>
      <c r="T46" s="25" t="s">
        <v>31</v>
      </c>
      <c r="U46" s="26"/>
      <c r="V46" s="27"/>
    </row>
    <row r="47" spans="1:22" ht="18.600000000000001" customHeight="1" x14ac:dyDescent="0.25">
      <c r="A47" s="18" t="s">
        <v>133</v>
      </c>
      <c r="B47" s="18" t="s">
        <v>947</v>
      </c>
      <c r="C47" s="18" t="s">
        <v>134</v>
      </c>
      <c r="D47" s="18" t="s">
        <v>26</v>
      </c>
      <c r="E47" s="18" t="s">
        <v>143</v>
      </c>
      <c r="F47" s="18" t="s">
        <v>144</v>
      </c>
      <c r="G47" s="18" t="s">
        <v>32</v>
      </c>
      <c r="H47" s="19">
        <v>2004</v>
      </c>
      <c r="I47" s="18" t="s">
        <v>44</v>
      </c>
      <c r="J47" s="101">
        <v>4</v>
      </c>
      <c r="K47" s="20">
        <v>1.5</v>
      </c>
      <c r="L47" s="21">
        <v>0.14599999999999999</v>
      </c>
      <c r="M47" s="22" t="s">
        <v>30</v>
      </c>
      <c r="N47" s="23">
        <v>0.14599999999999999</v>
      </c>
      <c r="O47" s="24">
        <v>9.7333333333333327E-2</v>
      </c>
      <c r="P47" s="25" t="str">
        <f>IF(P48="x","x","")</f>
        <v>x</v>
      </c>
      <c r="Q47" s="25" t="str">
        <f>IF(Q48="x","x","")</f>
        <v/>
      </c>
      <c r="R47" s="25" t="str">
        <f>IF(R48="x","x","")</f>
        <v/>
      </c>
      <c r="S47" s="25" t="str">
        <f>IF(S48="x","x","")</f>
        <v>x</v>
      </c>
      <c r="T47" s="25" t="s">
        <v>31</v>
      </c>
      <c r="U47" s="26"/>
      <c r="V47" s="27"/>
    </row>
    <row r="48" spans="1:22" ht="18.600000000000001" customHeight="1" thickBot="1" x14ac:dyDescent="0.3">
      <c r="A48" s="28" t="str">
        <f>A47</f>
        <v>Albania</v>
      </c>
      <c r="B48" s="28" t="str">
        <f>B47</f>
        <v>Europe and Central Asia</v>
      </c>
      <c r="C48" s="28" t="str">
        <f>C47</f>
        <v>P068853</v>
      </c>
      <c r="D48" s="28" t="s">
        <v>26</v>
      </c>
      <c r="E48" s="28" t="s">
        <v>27</v>
      </c>
      <c r="F48" s="28" t="str">
        <f>F47</f>
        <v>P068853C1S6</v>
      </c>
      <c r="G48" s="28" t="s">
        <v>16</v>
      </c>
      <c r="H48" s="29" t="str">
        <f>H46&amp;" / "&amp;H47</f>
        <v>1999 / 2004</v>
      </c>
      <c r="I48" s="29" t="str">
        <f>I47</f>
        <v>Routine Maintenance</v>
      </c>
      <c r="J48" s="97">
        <f>IFERROR(J47/J46,"")</f>
        <v>0.26666666666666666</v>
      </c>
      <c r="K48" s="32">
        <f>K47/K46</f>
        <v>6.25E-2</v>
      </c>
      <c r="L48" s="32">
        <f>L47/L46</f>
        <v>0.12166666666666666</v>
      </c>
      <c r="M48" s="28"/>
      <c r="N48" s="32">
        <f>N47/N46</f>
        <v>0.12166666666666666</v>
      </c>
      <c r="O48" s="32">
        <f>O47/O46</f>
        <v>1.9466666666666668</v>
      </c>
      <c r="P48" s="33" t="str">
        <f>IF(K48&lt;50%,"x","")</f>
        <v>x</v>
      </c>
      <c r="Q48" s="33" t="str">
        <f>IF(K48&gt;150%,"x","")</f>
        <v/>
      </c>
      <c r="R48" s="33" t="str">
        <f>IF(O48&lt;50%,"x","")</f>
        <v/>
      </c>
      <c r="S48" s="33" t="str">
        <f>IF(O48&gt;150%,"x","")</f>
        <v>x</v>
      </c>
      <c r="T48" s="33" t="s">
        <v>31</v>
      </c>
      <c r="U48" s="34" t="s">
        <v>1129</v>
      </c>
      <c r="V48" s="35" t="s">
        <v>1130</v>
      </c>
    </row>
    <row r="49" spans="1:22" ht="18.600000000000001" customHeight="1" thickTop="1" x14ac:dyDescent="0.25">
      <c r="A49" s="18" t="s">
        <v>133</v>
      </c>
      <c r="B49" s="18" t="s">
        <v>947</v>
      </c>
      <c r="C49" s="18" t="s">
        <v>211</v>
      </c>
      <c r="D49" s="18" t="s">
        <v>26</v>
      </c>
      <c r="E49" s="18" t="s">
        <v>36</v>
      </c>
      <c r="F49" s="18" t="s">
        <v>212</v>
      </c>
      <c r="G49" s="18" t="s">
        <v>29</v>
      </c>
      <c r="H49" s="19">
        <v>2007</v>
      </c>
      <c r="I49" s="18" t="s">
        <v>213</v>
      </c>
      <c r="J49" s="101">
        <v>22</v>
      </c>
      <c r="K49" s="20">
        <v>9</v>
      </c>
      <c r="L49" s="21">
        <v>12.32</v>
      </c>
      <c r="M49" s="22" t="s">
        <v>30</v>
      </c>
      <c r="N49" s="23">
        <v>12.32</v>
      </c>
      <c r="O49" s="24">
        <v>1.3688888888888888</v>
      </c>
      <c r="P49" s="25" t="str">
        <f>IF(P51="x","x","")</f>
        <v/>
      </c>
      <c r="Q49" s="25" t="str">
        <f>IF(Q51="x","x","")</f>
        <v/>
      </c>
      <c r="R49" s="25" t="str">
        <f>IF(R51="x","x","")</f>
        <v/>
      </c>
      <c r="S49" s="25" t="str">
        <f>IF(S51="x","x","")</f>
        <v/>
      </c>
      <c r="T49" s="25" t="s">
        <v>27</v>
      </c>
      <c r="U49" s="26"/>
      <c r="V49" s="27"/>
    </row>
    <row r="50" spans="1:22" ht="18.600000000000001" customHeight="1" x14ac:dyDescent="0.25">
      <c r="A50" s="18" t="s">
        <v>133</v>
      </c>
      <c r="B50" s="18" t="s">
        <v>947</v>
      </c>
      <c r="C50" s="18" t="s">
        <v>211</v>
      </c>
      <c r="D50" s="18" t="s">
        <v>26</v>
      </c>
      <c r="E50" s="18" t="s">
        <v>36</v>
      </c>
      <c r="F50" s="18" t="s">
        <v>212</v>
      </c>
      <c r="G50" s="18" t="s">
        <v>32</v>
      </c>
      <c r="H50" s="19">
        <v>2011</v>
      </c>
      <c r="I50" s="18" t="s">
        <v>111</v>
      </c>
      <c r="J50" s="101">
        <v>49</v>
      </c>
      <c r="K50" s="20">
        <v>9</v>
      </c>
      <c r="L50" s="21">
        <v>14.48</v>
      </c>
      <c r="M50" s="22" t="s">
        <v>30</v>
      </c>
      <c r="N50" s="23">
        <v>14.48</v>
      </c>
      <c r="O50" s="24">
        <v>1.608888888888889</v>
      </c>
      <c r="P50" s="25" t="str">
        <f>IF(P51="x","x","")</f>
        <v/>
      </c>
      <c r="Q50" s="25" t="str">
        <f>IF(Q51="x","x","")</f>
        <v/>
      </c>
      <c r="R50" s="25" t="str">
        <f>IF(R51="x","x","")</f>
        <v/>
      </c>
      <c r="S50" s="25" t="str">
        <f>IF(S51="x","x","")</f>
        <v/>
      </c>
      <c r="T50" s="25" t="s">
        <v>27</v>
      </c>
      <c r="U50" s="26"/>
      <c r="V50" s="27"/>
    </row>
    <row r="51" spans="1:22" ht="18.600000000000001" customHeight="1" thickBot="1" x14ac:dyDescent="0.3">
      <c r="A51" s="28" t="str">
        <f>A50</f>
        <v>Albania</v>
      </c>
      <c r="B51" s="28" t="str">
        <f>B50</f>
        <v>Europe and Central Asia</v>
      </c>
      <c r="C51" s="28" t="str">
        <f>C50</f>
        <v>P078949</v>
      </c>
      <c r="D51" s="28" t="s">
        <v>26</v>
      </c>
      <c r="E51" s="28" t="s">
        <v>27</v>
      </c>
      <c r="F51" s="28" t="str">
        <f>F50</f>
        <v>P078949C1S1</v>
      </c>
      <c r="G51" s="28" t="s">
        <v>16</v>
      </c>
      <c r="H51" s="29" t="str">
        <f>H49&amp;" / "&amp;H50</f>
        <v>2007 / 2011</v>
      </c>
      <c r="I51" s="29" t="str">
        <f>I50</f>
        <v>New 4L Expressway</v>
      </c>
      <c r="J51" s="97">
        <f>IFERROR(J50/J49,"")</f>
        <v>2.2272727272727271</v>
      </c>
      <c r="K51" s="32">
        <f>K50/K49</f>
        <v>1</v>
      </c>
      <c r="L51" s="32">
        <f>L50/L49</f>
        <v>1.1753246753246753</v>
      </c>
      <c r="M51" s="28"/>
      <c r="N51" s="32">
        <f>N50/N49</f>
        <v>1.1753246753246753</v>
      </c>
      <c r="O51" s="32">
        <f>O50/O49</f>
        <v>1.1753246753246755</v>
      </c>
      <c r="P51" s="33" t="str">
        <f>IF(K51&lt;50%,"x","")</f>
        <v/>
      </c>
      <c r="Q51" s="33" t="str">
        <f>IF(K51&gt;150%,"x","")</f>
        <v/>
      </c>
      <c r="R51" s="33" t="str">
        <f>IF(O51&lt;50%,"x","")</f>
        <v/>
      </c>
      <c r="S51" s="33" t="str">
        <f>IF(O51&gt;150%,"x","")</f>
        <v/>
      </c>
      <c r="T51" s="33" t="s">
        <v>27</v>
      </c>
      <c r="U51" s="34" t="s">
        <v>27</v>
      </c>
      <c r="V51" s="35" t="s">
        <v>27</v>
      </c>
    </row>
    <row r="52" spans="1:22" ht="18.600000000000001" customHeight="1" thickTop="1" x14ac:dyDescent="0.25">
      <c r="A52" s="18" t="s">
        <v>133</v>
      </c>
      <c r="B52" s="18" t="s">
        <v>947</v>
      </c>
      <c r="C52" s="18" t="s">
        <v>211</v>
      </c>
      <c r="D52" s="18" t="s">
        <v>26</v>
      </c>
      <c r="E52" s="18" t="s">
        <v>40</v>
      </c>
      <c r="F52" s="18" t="s">
        <v>214</v>
      </c>
      <c r="G52" s="18" t="s">
        <v>29</v>
      </c>
      <c r="H52" s="19">
        <v>2007</v>
      </c>
      <c r="I52" s="18" t="s">
        <v>213</v>
      </c>
      <c r="J52" s="101">
        <v>11</v>
      </c>
      <c r="K52" s="20">
        <v>9</v>
      </c>
      <c r="L52" s="21">
        <v>10.68</v>
      </c>
      <c r="M52" s="22" t="s">
        <v>30</v>
      </c>
      <c r="N52" s="23">
        <v>10.68</v>
      </c>
      <c r="O52" s="24">
        <v>1.1866666666666665</v>
      </c>
      <c r="P52" s="25" t="str">
        <f>IF(P54="x","x","")</f>
        <v/>
      </c>
      <c r="Q52" s="25" t="str">
        <f>IF(Q54="x","x","")</f>
        <v/>
      </c>
      <c r="R52" s="25" t="str">
        <f>IF(R54="x","x","")</f>
        <v/>
      </c>
      <c r="S52" s="25" t="str">
        <f>IF(S54="x","x","")</f>
        <v/>
      </c>
      <c r="T52" s="25" t="s">
        <v>27</v>
      </c>
      <c r="U52" s="26"/>
      <c r="V52" s="27"/>
    </row>
    <row r="53" spans="1:22" ht="18.600000000000001" customHeight="1" x14ac:dyDescent="0.25">
      <c r="A53" s="18" t="s">
        <v>133</v>
      </c>
      <c r="B53" s="18" t="s">
        <v>947</v>
      </c>
      <c r="C53" s="18" t="s">
        <v>211</v>
      </c>
      <c r="D53" s="18" t="s">
        <v>26</v>
      </c>
      <c r="E53" s="18" t="s">
        <v>40</v>
      </c>
      <c r="F53" s="18" t="s">
        <v>214</v>
      </c>
      <c r="G53" s="18" t="s">
        <v>32</v>
      </c>
      <c r="H53" s="19">
        <v>2011</v>
      </c>
      <c r="I53" s="18" t="s">
        <v>111</v>
      </c>
      <c r="J53" s="101">
        <v>41</v>
      </c>
      <c r="K53" s="20">
        <v>9</v>
      </c>
      <c r="L53" s="21">
        <v>10.32</v>
      </c>
      <c r="M53" s="22" t="s">
        <v>30</v>
      </c>
      <c r="N53" s="23">
        <v>10.32</v>
      </c>
      <c r="O53" s="24">
        <v>1.1466666666666667</v>
      </c>
      <c r="P53" s="25" t="str">
        <f>IF(P54="x","x","")</f>
        <v/>
      </c>
      <c r="Q53" s="25" t="str">
        <f>IF(Q54="x","x","")</f>
        <v/>
      </c>
      <c r="R53" s="25" t="str">
        <f>IF(R54="x","x","")</f>
        <v/>
      </c>
      <c r="S53" s="25" t="str">
        <f>IF(S54="x","x","")</f>
        <v/>
      </c>
      <c r="T53" s="25" t="s">
        <v>27</v>
      </c>
      <c r="U53" s="26"/>
      <c r="V53" s="27"/>
    </row>
    <row r="54" spans="1:22" ht="18.600000000000001" customHeight="1" thickBot="1" x14ac:dyDescent="0.3">
      <c r="A54" s="28" t="str">
        <f>A53</f>
        <v>Albania</v>
      </c>
      <c r="B54" s="28" t="str">
        <f>B53</f>
        <v>Europe and Central Asia</v>
      </c>
      <c r="C54" s="28" t="str">
        <f>C53</f>
        <v>P078949</v>
      </c>
      <c r="D54" s="28" t="s">
        <v>26</v>
      </c>
      <c r="E54" s="28" t="s">
        <v>27</v>
      </c>
      <c r="F54" s="28" t="str">
        <f>F53</f>
        <v>P078949C1S2</v>
      </c>
      <c r="G54" s="28" t="s">
        <v>16</v>
      </c>
      <c r="H54" s="29" t="str">
        <f>H52&amp;" / "&amp;H53</f>
        <v>2007 / 2011</v>
      </c>
      <c r="I54" s="29" t="str">
        <f>I53</f>
        <v>New 4L Expressway</v>
      </c>
      <c r="J54" s="97">
        <f>IFERROR(J53/J52,"")</f>
        <v>3.7272727272727271</v>
      </c>
      <c r="K54" s="32">
        <f>K53/K52</f>
        <v>1</v>
      </c>
      <c r="L54" s="32">
        <f>L53/L52</f>
        <v>0.9662921348314607</v>
      </c>
      <c r="M54" s="28"/>
      <c r="N54" s="32">
        <f>N53/N52</f>
        <v>0.9662921348314607</v>
      </c>
      <c r="O54" s="32">
        <f>O53/O52</f>
        <v>0.96629213483146081</v>
      </c>
      <c r="P54" s="33" t="str">
        <f>IF(K54&lt;50%,"x","")</f>
        <v/>
      </c>
      <c r="Q54" s="33" t="str">
        <f>IF(K54&gt;150%,"x","")</f>
        <v/>
      </c>
      <c r="R54" s="33" t="str">
        <f>IF(O54&lt;50%,"x","")</f>
        <v/>
      </c>
      <c r="S54" s="33" t="str">
        <f>IF(O54&gt;150%,"x","")</f>
        <v/>
      </c>
      <c r="T54" s="33" t="s">
        <v>27</v>
      </c>
      <c r="U54" s="34" t="s">
        <v>27</v>
      </c>
      <c r="V54" s="35" t="s">
        <v>27</v>
      </c>
    </row>
    <row r="55" spans="1:22" ht="18.600000000000001" customHeight="1" thickTop="1" x14ac:dyDescent="0.25">
      <c r="A55" s="18" t="s">
        <v>133</v>
      </c>
      <c r="B55" s="18" t="s">
        <v>947</v>
      </c>
      <c r="C55" s="18" t="s">
        <v>211</v>
      </c>
      <c r="D55" s="18" t="s">
        <v>26</v>
      </c>
      <c r="E55" s="18" t="s">
        <v>69</v>
      </c>
      <c r="F55" s="18" t="s">
        <v>215</v>
      </c>
      <c r="G55" s="18" t="s">
        <v>29</v>
      </c>
      <c r="H55" s="19">
        <v>2007</v>
      </c>
      <c r="I55" s="18" t="s">
        <v>213</v>
      </c>
      <c r="J55" s="101">
        <v>16</v>
      </c>
      <c r="K55" s="20">
        <v>8</v>
      </c>
      <c r="L55" s="21">
        <v>13.2</v>
      </c>
      <c r="M55" s="22" t="s">
        <v>30</v>
      </c>
      <c r="N55" s="23">
        <v>13.2</v>
      </c>
      <c r="O55" s="24">
        <v>1.65</v>
      </c>
      <c r="P55" s="25" t="str">
        <f>IF(P57="x","x","")</f>
        <v/>
      </c>
      <c r="Q55" s="25" t="str">
        <f>IF(Q57="x","x","")</f>
        <v/>
      </c>
      <c r="R55" s="25" t="str">
        <f>IF(R57="x","x","")</f>
        <v/>
      </c>
      <c r="S55" s="25" t="str">
        <f>IF(S57="x","x","")</f>
        <v/>
      </c>
      <c r="T55" s="25" t="s">
        <v>27</v>
      </c>
      <c r="U55" s="26"/>
      <c r="V55" s="27"/>
    </row>
    <row r="56" spans="1:22" ht="18.600000000000001" customHeight="1" x14ac:dyDescent="0.25">
      <c r="A56" s="18" t="s">
        <v>133</v>
      </c>
      <c r="B56" s="18" t="s">
        <v>947</v>
      </c>
      <c r="C56" s="18" t="s">
        <v>211</v>
      </c>
      <c r="D56" s="18" t="s">
        <v>26</v>
      </c>
      <c r="E56" s="18" t="s">
        <v>69</v>
      </c>
      <c r="F56" s="18" t="s">
        <v>215</v>
      </c>
      <c r="G56" s="18" t="s">
        <v>32</v>
      </c>
      <c r="H56" s="19">
        <v>2011</v>
      </c>
      <c r="I56" s="18" t="s">
        <v>111</v>
      </c>
      <c r="J56" s="101">
        <v>35</v>
      </c>
      <c r="K56" s="20">
        <v>8</v>
      </c>
      <c r="L56" s="21">
        <v>13.64</v>
      </c>
      <c r="M56" s="22" t="s">
        <v>30</v>
      </c>
      <c r="N56" s="23">
        <v>13.64</v>
      </c>
      <c r="O56" s="24">
        <v>1.7050000000000001</v>
      </c>
      <c r="P56" s="25" t="str">
        <f>IF(P57="x","x","")</f>
        <v/>
      </c>
      <c r="Q56" s="25" t="str">
        <f>IF(Q57="x","x","")</f>
        <v/>
      </c>
      <c r="R56" s="25" t="str">
        <f>IF(R57="x","x","")</f>
        <v/>
      </c>
      <c r="S56" s="25" t="str">
        <f>IF(S57="x","x","")</f>
        <v/>
      </c>
      <c r="T56" s="25" t="s">
        <v>27</v>
      </c>
      <c r="U56" s="26"/>
      <c r="V56" s="27"/>
    </row>
    <row r="57" spans="1:22" ht="18.600000000000001" customHeight="1" thickBot="1" x14ac:dyDescent="0.3">
      <c r="A57" s="28" t="str">
        <f>A56</f>
        <v>Albania</v>
      </c>
      <c r="B57" s="28" t="str">
        <f>B56</f>
        <v>Europe and Central Asia</v>
      </c>
      <c r="C57" s="28" t="str">
        <f>C56</f>
        <v>P078949</v>
      </c>
      <c r="D57" s="28" t="s">
        <v>26</v>
      </c>
      <c r="E57" s="28" t="s">
        <v>27</v>
      </c>
      <c r="F57" s="28" t="str">
        <f>F56</f>
        <v>P078949C1S3</v>
      </c>
      <c r="G57" s="28" t="s">
        <v>16</v>
      </c>
      <c r="H57" s="29" t="str">
        <f>H55&amp;" / "&amp;H56</f>
        <v>2007 / 2011</v>
      </c>
      <c r="I57" s="29" t="str">
        <f>I56</f>
        <v>New 4L Expressway</v>
      </c>
      <c r="J57" s="97">
        <f>IFERROR(J56/J55,"")</f>
        <v>2.1875</v>
      </c>
      <c r="K57" s="32">
        <f>K56/K55</f>
        <v>1</v>
      </c>
      <c r="L57" s="32">
        <f>L56/L55</f>
        <v>1.0333333333333334</v>
      </c>
      <c r="M57" s="28"/>
      <c r="N57" s="32">
        <f>N56/N55</f>
        <v>1.0333333333333334</v>
      </c>
      <c r="O57" s="32">
        <f>O56/O55</f>
        <v>1.0333333333333334</v>
      </c>
      <c r="P57" s="33" t="str">
        <f>IF(K57&lt;50%,"x","")</f>
        <v/>
      </c>
      <c r="Q57" s="33" t="str">
        <f>IF(K57&gt;150%,"x","")</f>
        <v/>
      </c>
      <c r="R57" s="33" t="str">
        <f>IF(O57&lt;50%,"x","")</f>
        <v/>
      </c>
      <c r="S57" s="33" t="str">
        <f>IF(O57&gt;150%,"x","")</f>
        <v/>
      </c>
      <c r="T57" s="33" t="s">
        <v>27</v>
      </c>
      <c r="U57" s="34" t="s">
        <v>27</v>
      </c>
      <c r="V57" s="35" t="s">
        <v>27</v>
      </c>
    </row>
    <row r="58" spans="1:22" ht="18.600000000000001" customHeight="1" thickTop="1" x14ac:dyDescent="0.25">
      <c r="A58" s="18" t="s">
        <v>133</v>
      </c>
      <c r="B58" s="18" t="s">
        <v>947</v>
      </c>
      <c r="C58" s="18" t="s">
        <v>337</v>
      </c>
      <c r="D58" s="18" t="s">
        <v>26</v>
      </c>
      <c r="E58" s="18" t="s">
        <v>36</v>
      </c>
      <c r="F58" s="18" t="s">
        <v>338</v>
      </c>
      <c r="G58" s="18" t="s">
        <v>29</v>
      </c>
      <c r="H58" s="19">
        <v>2008</v>
      </c>
      <c r="I58" s="18" t="s">
        <v>359</v>
      </c>
      <c r="J58" s="101">
        <v>5</v>
      </c>
      <c r="K58" s="20">
        <v>10.9</v>
      </c>
      <c r="L58" s="21">
        <v>2.42</v>
      </c>
      <c r="M58" s="22" t="s">
        <v>30</v>
      </c>
      <c r="N58" s="23">
        <v>2.42</v>
      </c>
      <c r="O58" s="24">
        <v>0.2220183486238532</v>
      </c>
      <c r="P58" s="25" t="str">
        <f>IF(P60="x","x","")</f>
        <v/>
      </c>
      <c r="Q58" s="25" t="str">
        <f>IF(Q60="x","x","")</f>
        <v/>
      </c>
      <c r="R58" s="25" t="str">
        <f>IF(R60="x","x","")</f>
        <v/>
      </c>
      <c r="S58" s="25" t="str">
        <f>IF(S60="x","x","")</f>
        <v/>
      </c>
      <c r="T58" s="25" t="s">
        <v>27</v>
      </c>
      <c r="U58" s="26"/>
      <c r="V58" s="27"/>
    </row>
    <row r="59" spans="1:22" ht="18.600000000000001" customHeight="1" x14ac:dyDescent="0.25">
      <c r="A59" s="18" t="s">
        <v>133</v>
      </c>
      <c r="B59" s="18" t="s">
        <v>947</v>
      </c>
      <c r="C59" s="18" t="s">
        <v>337</v>
      </c>
      <c r="D59" s="18" t="s">
        <v>26</v>
      </c>
      <c r="E59" s="18" t="s">
        <v>36</v>
      </c>
      <c r="F59" s="18" t="s">
        <v>338</v>
      </c>
      <c r="G59" s="18" t="s">
        <v>32</v>
      </c>
      <c r="H59" s="19">
        <v>2013</v>
      </c>
      <c r="I59" s="18" t="s">
        <v>359</v>
      </c>
      <c r="J59" s="101">
        <v>12</v>
      </c>
      <c r="K59" s="20">
        <v>10.9</v>
      </c>
      <c r="L59" s="21">
        <v>1.79</v>
      </c>
      <c r="M59" s="22" t="s">
        <v>30</v>
      </c>
      <c r="N59" s="23">
        <v>1.79</v>
      </c>
      <c r="O59" s="24">
        <v>0.16422018348623854</v>
      </c>
      <c r="P59" s="25" t="str">
        <f>IF(P60="x","x","")</f>
        <v/>
      </c>
      <c r="Q59" s="25" t="str">
        <f>IF(Q60="x","x","")</f>
        <v/>
      </c>
      <c r="R59" s="25" t="str">
        <f>IF(R60="x","x","")</f>
        <v/>
      </c>
      <c r="S59" s="25" t="str">
        <f>IF(S60="x","x","")</f>
        <v/>
      </c>
      <c r="T59" s="25" t="s">
        <v>27</v>
      </c>
      <c r="U59" s="26"/>
      <c r="V59" s="27"/>
    </row>
    <row r="60" spans="1:22" ht="18.600000000000001" customHeight="1" thickBot="1" x14ac:dyDescent="0.3">
      <c r="A60" s="28" t="str">
        <f>A59</f>
        <v>Albania</v>
      </c>
      <c r="B60" s="28" t="str">
        <f>B59</f>
        <v>Europe and Central Asia</v>
      </c>
      <c r="C60" s="28" t="str">
        <f>C59</f>
        <v>P107833</v>
      </c>
      <c r="D60" s="28" t="s">
        <v>26</v>
      </c>
      <c r="E60" s="28" t="s">
        <v>27</v>
      </c>
      <c r="F60" s="28" t="str">
        <f>F59</f>
        <v>P107833C1S1</v>
      </c>
      <c r="G60" s="28" t="s">
        <v>16</v>
      </c>
      <c r="H60" s="29" t="str">
        <f>H58&amp;" / "&amp;H59</f>
        <v>2008 / 2013</v>
      </c>
      <c r="I60" s="29" t="str">
        <f>I59</f>
        <v>Reconstruction</v>
      </c>
      <c r="J60" s="97">
        <f>IFERROR(J59/J58,"")</f>
        <v>2.4</v>
      </c>
      <c r="K60" s="32">
        <f>K59/K58</f>
        <v>1</v>
      </c>
      <c r="L60" s="32">
        <f>L59/L58</f>
        <v>0.7396694214876034</v>
      </c>
      <c r="M60" s="28"/>
      <c r="N60" s="32">
        <f>N59/N58</f>
        <v>0.7396694214876034</v>
      </c>
      <c r="O60" s="32">
        <f>O59/O58</f>
        <v>0.7396694214876034</v>
      </c>
      <c r="P60" s="33" t="str">
        <f>IF(K60&lt;50%,"x","")</f>
        <v/>
      </c>
      <c r="Q60" s="33" t="str">
        <f>IF(K60&gt;150%,"x","")</f>
        <v/>
      </c>
      <c r="R60" s="33" t="str">
        <f>IF(O60&lt;50%,"x","")</f>
        <v/>
      </c>
      <c r="S60" s="33" t="str">
        <f>IF(O60&gt;150%,"x","")</f>
        <v/>
      </c>
      <c r="T60" s="33" t="s">
        <v>27</v>
      </c>
      <c r="U60" s="34" t="s">
        <v>27</v>
      </c>
      <c r="V60" s="35" t="s">
        <v>27</v>
      </c>
    </row>
    <row r="61" spans="1:22" ht="18.600000000000001" customHeight="1" thickTop="1" x14ac:dyDescent="0.25">
      <c r="A61" s="18" t="s">
        <v>133</v>
      </c>
      <c r="B61" s="18" t="s">
        <v>947</v>
      </c>
      <c r="C61" s="18" t="s">
        <v>337</v>
      </c>
      <c r="D61" s="18" t="s">
        <v>26</v>
      </c>
      <c r="E61" s="18" t="s">
        <v>40</v>
      </c>
      <c r="F61" s="18" t="s">
        <v>340</v>
      </c>
      <c r="G61" s="18" t="s">
        <v>29</v>
      </c>
      <c r="H61" s="19">
        <v>2008</v>
      </c>
      <c r="I61" s="18" t="s">
        <v>359</v>
      </c>
      <c r="J61" s="101">
        <v>8</v>
      </c>
      <c r="K61" s="20">
        <v>6.6</v>
      </c>
      <c r="L61" s="21">
        <v>2.06</v>
      </c>
      <c r="M61" s="22" t="s">
        <v>30</v>
      </c>
      <c r="N61" s="23">
        <v>2.06</v>
      </c>
      <c r="O61" s="24">
        <v>0.31212121212121213</v>
      </c>
      <c r="P61" s="25" t="str">
        <f>IF(P63="x","x","")</f>
        <v/>
      </c>
      <c r="Q61" s="25" t="str">
        <f>IF(Q63="x","x","")</f>
        <v/>
      </c>
      <c r="R61" s="25" t="str">
        <f>IF(R63="x","x","")</f>
        <v/>
      </c>
      <c r="S61" s="25" t="str">
        <f>IF(S63="x","x","")</f>
        <v/>
      </c>
      <c r="T61" s="25" t="s">
        <v>27</v>
      </c>
      <c r="U61" s="26"/>
      <c r="V61" s="27"/>
    </row>
    <row r="62" spans="1:22" ht="18.600000000000001" customHeight="1" x14ac:dyDescent="0.25">
      <c r="A62" s="18" t="s">
        <v>133</v>
      </c>
      <c r="B62" s="18" t="s">
        <v>947</v>
      </c>
      <c r="C62" s="18" t="s">
        <v>337</v>
      </c>
      <c r="D62" s="18" t="s">
        <v>26</v>
      </c>
      <c r="E62" s="18" t="s">
        <v>40</v>
      </c>
      <c r="F62" s="18" t="s">
        <v>340</v>
      </c>
      <c r="G62" s="18" t="s">
        <v>32</v>
      </c>
      <c r="H62" s="19">
        <v>2013</v>
      </c>
      <c r="I62" s="18" t="s">
        <v>359</v>
      </c>
      <c r="J62" s="101">
        <v>12</v>
      </c>
      <c r="K62" s="20">
        <v>6.6</v>
      </c>
      <c r="L62" s="21">
        <v>2.0099999999999998</v>
      </c>
      <c r="M62" s="22" t="s">
        <v>30</v>
      </c>
      <c r="N62" s="23">
        <v>2.0099999999999998</v>
      </c>
      <c r="O62" s="24">
        <v>0.30454545454545451</v>
      </c>
      <c r="P62" s="25" t="str">
        <f>IF(P63="x","x","")</f>
        <v/>
      </c>
      <c r="Q62" s="25" t="str">
        <f>IF(Q63="x","x","")</f>
        <v/>
      </c>
      <c r="R62" s="25" t="str">
        <f>IF(R63="x","x","")</f>
        <v/>
      </c>
      <c r="S62" s="25" t="str">
        <f>IF(S63="x","x","")</f>
        <v/>
      </c>
      <c r="T62" s="25" t="s">
        <v>27</v>
      </c>
      <c r="U62" s="26"/>
      <c r="V62" s="27"/>
    </row>
    <row r="63" spans="1:22" ht="18.600000000000001" customHeight="1" thickBot="1" x14ac:dyDescent="0.3">
      <c r="A63" s="28" t="str">
        <f>A62</f>
        <v>Albania</v>
      </c>
      <c r="B63" s="28" t="str">
        <f>B62</f>
        <v>Europe and Central Asia</v>
      </c>
      <c r="C63" s="28" t="str">
        <f>C62</f>
        <v>P107833</v>
      </c>
      <c r="D63" s="28" t="s">
        <v>26</v>
      </c>
      <c r="E63" s="28" t="s">
        <v>27</v>
      </c>
      <c r="F63" s="28" t="str">
        <f>F62</f>
        <v>P107833C1S2</v>
      </c>
      <c r="G63" s="28" t="s">
        <v>16</v>
      </c>
      <c r="H63" s="29" t="str">
        <f>H61&amp;" / "&amp;H62</f>
        <v>2008 / 2013</v>
      </c>
      <c r="I63" s="29" t="str">
        <f>I62</f>
        <v>Reconstruction</v>
      </c>
      <c r="J63" s="97">
        <f>IFERROR(J62/J61,"")</f>
        <v>1.5</v>
      </c>
      <c r="K63" s="32">
        <f>K62/K61</f>
        <v>1</v>
      </c>
      <c r="L63" s="32">
        <f>L62/L61</f>
        <v>0.97572815533980572</v>
      </c>
      <c r="M63" s="28"/>
      <c r="N63" s="32">
        <f>N62/N61</f>
        <v>0.97572815533980572</v>
      </c>
      <c r="O63" s="32">
        <f>O62/O61</f>
        <v>0.97572815533980572</v>
      </c>
      <c r="P63" s="33" t="str">
        <f>IF(K63&lt;50%,"x","")</f>
        <v/>
      </c>
      <c r="Q63" s="33" t="str">
        <f>IF(K63&gt;150%,"x","")</f>
        <v/>
      </c>
      <c r="R63" s="33" t="str">
        <f>IF(O63&lt;50%,"x","")</f>
        <v/>
      </c>
      <c r="S63" s="33" t="str">
        <f>IF(O63&gt;150%,"x","")</f>
        <v/>
      </c>
      <c r="T63" s="33" t="s">
        <v>27</v>
      </c>
      <c r="U63" s="34" t="s">
        <v>27</v>
      </c>
      <c r="V63" s="35" t="s">
        <v>27</v>
      </c>
    </row>
    <row r="64" spans="1:22" ht="18.600000000000001" customHeight="1" thickTop="1" x14ac:dyDescent="0.25">
      <c r="A64" s="18" t="s">
        <v>133</v>
      </c>
      <c r="B64" s="18" t="s">
        <v>947</v>
      </c>
      <c r="C64" s="18" t="s">
        <v>337</v>
      </c>
      <c r="D64" s="18" t="s">
        <v>26</v>
      </c>
      <c r="E64" s="18" t="s">
        <v>69</v>
      </c>
      <c r="F64" s="18" t="s">
        <v>341</v>
      </c>
      <c r="G64" s="18" t="s">
        <v>29</v>
      </c>
      <c r="H64" s="19">
        <v>2008</v>
      </c>
      <c r="I64" s="18" t="s">
        <v>359</v>
      </c>
      <c r="J64" s="101">
        <v>10</v>
      </c>
      <c r="K64" s="20">
        <v>10.5</v>
      </c>
      <c r="L64" s="21">
        <v>2.57</v>
      </c>
      <c r="M64" s="22" t="s">
        <v>30</v>
      </c>
      <c r="N64" s="23">
        <v>2.57</v>
      </c>
      <c r="O64" s="24">
        <v>0.24476190476190474</v>
      </c>
      <c r="P64" s="25" t="str">
        <f>IF(P66="x","x","")</f>
        <v/>
      </c>
      <c r="Q64" s="25" t="str">
        <f>IF(Q66="x","x","")</f>
        <v/>
      </c>
      <c r="R64" s="25" t="str">
        <f>IF(R66="x","x","")</f>
        <v/>
      </c>
      <c r="S64" s="25" t="str">
        <f>IF(S66="x","x","")</f>
        <v/>
      </c>
      <c r="T64" s="25" t="s">
        <v>27</v>
      </c>
      <c r="U64" s="26"/>
      <c r="V64" s="27"/>
    </row>
    <row r="65" spans="1:22" ht="18.600000000000001" customHeight="1" x14ac:dyDescent="0.25">
      <c r="A65" s="18" t="s">
        <v>133</v>
      </c>
      <c r="B65" s="18" t="s">
        <v>947</v>
      </c>
      <c r="C65" s="18" t="s">
        <v>337</v>
      </c>
      <c r="D65" s="18" t="s">
        <v>26</v>
      </c>
      <c r="E65" s="18" t="s">
        <v>69</v>
      </c>
      <c r="F65" s="18" t="s">
        <v>341</v>
      </c>
      <c r="G65" s="18" t="s">
        <v>32</v>
      </c>
      <c r="H65" s="19">
        <v>2013</v>
      </c>
      <c r="I65" s="18" t="s">
        <v>359</v>
      </c>
      <c r="J65" s="101">
        <v>12</v>
      </c>
      <c r="K65" s="20">
        <v>10.5</v>
      </c>
      <c r="L65" s="21">
        <v>2.14</v>
      </c>
      <c r="M65" s="22" t="s">
        <v>30</v>
      </c>
      <c r="N65" s="23">
        <v>2.14</v>
      </c>
      <c r="O65" s="24">
        <v>0.20380952380952383</v>
      </c>
      <c r="P65" s="25" t="str">
        <f>IF(P66="x","x","")</f>
        <v/>
      </c>
      <c r="Q65" s="25" t="str">
        <f>IF(Q66="x","x","")</f>
        <v/>
      </c>
      <c r="R65" s="25" t="str">
        <f>IF(R66="x","x","")</f>
        <v/>
      </c>
      <c r="S65" s="25" t="str">
        <f>IF(S66="x","x","")</f>
        <v/>
      </c>
      <c r="T65" s="25" t="s">
        <v>27</v>
      </c>
      <c r="U65" s="26"/>
      <c r="V65" s="27"/>
    </row>
    <row r="66" spans="1:22" ht="18.600000000000001" customHeight="1" thickBot="1" x14ac:dyDescent="0.3">
      <c r="A66" s="28" t="str">
        <f>A65</f>
        <v>Albania</v>
      </c>
      <c r="B66" s="28" t="str">
        <f>B65</f>
        <v>Europe and Central Asia</v>
      </c>
      <c r="C66" s="28" t="str">
        <f>C65</f>
        <v>P107833</v>
      </c>
      <c r="D66" s="28" t="s">
        <v>26</v>
      </c>
      <c r="E66" s="28" t="s">
        <v>27</v>
      </c>
      <c r="F66" s="28" t="str">
        <f>F65</f>
        <v>P107833C1S3</v>
      </c>
      <c r="G66" s="28" t="s">
        <v>16</v>
      </c>
      <c r="H66" s="29" t="str">
        <f>H64&amp;" / "&amp;H65</f>
        <v>2008 / 2013</v>
      </c>
      <c r="I66" s="29" t="str">
        <f>I65</f>
        <v>Reconstruction</v>
      </c>
      <c r="J66" s="97">
        <f>IFERROR(J65/J64,"")</f>
        <v>1.2</v>
      </c>
      <c r="K66" s="32">
        <f>K65/K64</f>
        <v>1</v>
      </c>
      <c r="L66" s="32">
        <f>L65/L64</f>
        <v>0.83268482490272389</v>
      </c>
      <c r="M66" s="28"/>
      <c r="N66" s="32">
        <f>N65/N64</f>
        <v>0.83268482490272389</v>
      </c>
      <c r="O66" s="32">
        <f>O65/O64</f>
        <v>0.83268482490272389</v>
      </c>
      <c r="P66" s="33" t="str">
        <f>IF(K66&lt;50%,"x","")</f>
        <v/>
      </c>
      <c r="Q66" s="33" t="str">
        <f>IF(K66&gt;150%,"x","")</f>
        <v/>
      </c>
      <c r="R66" s="33" t="str">
        <f>IF(O66&lt;50%,"x","")</f>
        <v/>
      </c>
      <c r="S66" s="33" t="str">
        <f>IF(O66&gt;150%,"x","")</f>
        <v/>
      </c>
      <c r="T66" s="33" t="s">
        <v>27</v>
      </c>
      <c r="U66" s="34" t="s">
        <v>27</v>
      </c>
      <c r="V66" s="35" t="s">
        <v>27</v>
      </c>
    </row>
    <row r="67" spans="1:22" ht="18.600000000000001" customHeight="1" thickTop="1" x14ac:dyDescent="0.25">
      <c r="A67" s="18" t="s">
        <v>133</v>
      </c>
      <c r="B67" s="18" t="s">
        <v>947</v>
      </c>
      <c r="C67" s="18" t="s">
        <v>337</v>
      </c>
      <c r="D67" s="18" t="s">
        <v>42</v>
      </c>
      <c r="E67" s="18" t="s">
        <v>36</v>
      </c>
      <c r="F67" s="18" t="s">
        <v>342</v>
      </c>
      <c r="G67" s="18" t="s">
        <v>29</v>
      </c>
      <c r="H67" s="19">
        <v>2008</v>
      </c>
      <c r="I67" s="18" t="s">
        <v>359</v>
      </c>
      <c r="J67" s="101">
        <v>11</v>
      </c>
      <c r="K67" s="20">
        <v>12.6</v>
      </c>
      <c r="L67" s="21">
        <v>2.4700000000000002</v>
      </c>
      <c r="M67" s="22" t="s">
        <v>30</v>
      </c>
      <c r="N67" s="23">
        <v>2.4700000000000002</v>
      </c>
      <c r="O67" s="24">
        <v>0.19603174603174606</v>
      </c>
      <c r="P67" s="25" t="str">
        <f>IF(P69="x","x","")</f>
        <v/>
      </c>
      <c r="Q67" s="25" t="str">
        <f>IF(Q69="x","x","")</f>
        <v/>
      </c>
      <c r="R67" s="25" t="str">
        <f>IF(R69="x","x","")</f>
        <v/>
      </c>
      <c r="S67" s="25" t="str">
        <f>IF(S69="x","x","")</f>
        <v/>
      </c>
      <c r="T67" s="25" t="s">
        <v>27</v>
      </c>
      <c r="U67" s="26"/>
      <c r="V67" s="27"/>
    </row>
    <row r="68" spans="1:22" ht="18.600000000000001" customHeight="1" x14ac:dyDescent="0.25">
      <c r="A68" s="18" t="s">
        <v>133</v>
      </c>
      <c r="B68" s="18" t="s">
        <v>947</v>
      </c>
      <c r="C68" s="18" t="s">
        <v>337</v>
      </c>
      <c r="D68" s="18" t="s">
        <v>42</v>
      </c>
      <c r="E68" s="18" t="s">
        <v>36</v>
      </c>
      <c r="F68" s="18" t="s">
        <v>342</v>
      </c>
      <c r="G68" s="18" t="s">
        <v>32</v>
      </c>
      <c r="H68" s="19">
        <v>2013</v>
      </c>
      <c r="I68" s="18" t="s">
        <v>359</v>
      </c>
      <c r="J68" s="101">
        <v>12</v>
      </c>
      <c r="K68" s="20">
        <v>12.6</v>
      </c>
      <c r="L68" s="21">
        <v>1.45</v>
      </c>
      <c r="M68" s="22" t="s">
        <v>30</v>
      </c>
      <c r="N68" s="23">
        <v>1.45</v>
      </c>
      <c r="O68" s="24">
        <v>0.11507936507936507</v>
      </c>
      <c r="P68" s="25" t="str">
        <f>IF(P69="x","x","")</f>
        <v/>
      </c>
      <c r="Q68" s="25" t="str">
        <f>IF(Q69="x","x","")</f>
        <v/>
      </c>
      <c r="R68" s="25" t="str">
        <f>IF(R69="x","x","")</f>
        <v/>
      </c>
      <c r="S68" s="25" t="str">
        <f>IF(S69="x","x","")</f>
        <v/>
      </c>
      <c r="T68" s="25" t="s">
        <v>27</v>
      </c>
      <c r="U68" s="26"/>
      <c r="V68" s="27"/>
    </row>
    <row r="69" spans="1:22" ht="18.600000000000001" customHeight="1" thickBot="1" x14ac:dyDescent="0.3">
      <c r="A69" s="28" t="str">
        <f>A68</f>
        <v>Albania</v>
      </c>
      <c r="B69" s="28" t="str">
        <f>B68</f>
        <v>Europe and Central Asia</v>
      </c>
      <c r="C69" s="28" t="str">
        <f>C68</f>
        <v>P107833</v>
      </c>
      <c r="D69" s="28" t="s">
        <v>26</v>
      </c>
      <c r="E69" s="28" t="s">
        <v>27</v>
      </c>
      <c r="F69" s="28" t="str">
        <f>F68</f>
        <v>P107833C2S1</v>
      </c>
      <c r="G69" s="28" t="s">
        <v>16</v>
      </c>
      <c r="H69" s="29" t="str">
        <f>H67&amp;" / "&amp;H68</f>
        <v>2008 / 2013</v>
      </c>
      <c r="I69" s="29" t="str">
        <f>I68</f>
        <v>Reconstruction</v>
      </c>
      <c r="J69" s="97">
        <f>IFERROR(J68/J67,"")</f>
        <v>1.0909090909090908</v>
      </c>
      <c r="K69" s="32">
        <f>K68/K67</f>
        <v>1</v>
      </c>
      <c r="L69" s="32">
        <f>L68/L67</f>
        <v>0.58704453441295545</v>
      </c>
      <c r="M69" s="28"/>
      <c r="N69" s="32">
        <f>N68/N67</f>
        <v>0.58704453441295545</v>
      </c>
      <c r="O69" s="32">
        <f>O68/O67</f>
        <v>0.58704453441295534</v>
      </c>
      <c r="P69" s="33" t="str">
        <f>IF(K69&lt;50%,"x","")</f>
        <v/>
      </c>
      <c r="Q69" s="33" t="str">
        <f>IF(K69&gt;150%,"x","")</f>
        <v/>
      </c>
      <c r="R69" s="33" t="str">
        <f>IF(O69&lt;50%,"x","")</f>
        <v/>
      </c>
      <c r="S69" s="33" t="str">
        <f>IF(O69&gt;150%,"x","")</f>
        <v/>
      </c>
      <c r="T69" s="33" t="s">
        <v>27</v>
      </c>
      <c r="U69" s="34" t="s">
        <v>27</v>
      </c>
      <c r="V69" s="35" t="s">
        <v>27</v>
      </c>
    </row>
    <row r="70" spans="1:22" ht="18.600000000000001" customHeight="1" thickTop="1" x14ac:dyDescent="0.25">
      <c r="A70" s="18" t="s">
        <v>133</v>
      </c>
      <c r="B70" s="18" t="s">
        <v>947</v>
      </c>
      <c r="C70" s="18" t="s">
        <v>337</v>
      </c>
      <c r="D70" s="18" t="s">
        <v>42</v>
      </c>
      <c r="E70" s="18" t="s">
        <v>40</v>
      </c>
      <c r="F70" s="18" t="s">
        <v>343</v>
      </c>
      <c r="G70" s="18" t="s">
        <v>29</v>
      </c>
      <c r="H70" s="19">
        <v>2008</v>
      </c>
      <c r="I70" s="18" t="s">
        <v>359</v>
      </c>
      <c r="J70" s="101">
        <v>12</v>
      </c>
      <c r="K70" s="20">
        <v>9.8000000000000007</v>
      </c>
      <c r="L70" s="21">
        <v>2.19</v>
      </c>
      <c r="M70" s="22" t="s">
        <v>30</v>
      </c>
      <c r="N70" s="23">
        <v>2.19</v>
      </c>
      <c r="O70" s="24">
        <v>0.22346938775510203</v>
      </c>
      <c r="P70" s="25" t="str">
        <f>IF(P72="x","x","")</f>
        <v/>
      </c>
      <c r="Q70" s="25" t="str">
        <f>IF(Q72="x","x","")</f>
        <v/>
      </c>
      <c r="R70" s="25" t="str">
        <f>IF(R72="x","x","")</f>
        <v/>
      </c>
      <c r="S70" s="25" t="str">
        <f>IF(S72="x","x","")</f>
        <v/>
      </c>
      <c r="T70" s="25" t="s">
        <v>27</v>
      </c>
      <c r="U70" s="26"/>
      <c r="V70" s="27"/>
    </row>
    <row r="71" spans="1:22" ht="18.600000000000001" customHeight="1" x14ac:dyDescent="0.25">
      <c r="A71" s="18" t="s">
        <v>133</v>
      </c>
      <c r="B71" s="18" t="s">
        <v>947</v>
      </c>
      <c r="C71" s="18" t="s">
        <v>337</v>
      </c>
      <c r="D71" s="18" t="s">
        <v>42</v>
      </c>
      <c r="E71" s="18" t="s">
        <v>40</v>
      </c>
      <c r="F71" s="18" t="s">
        <v>343</v>
      </c>
      <c r="G71" s="18" t="s">
        <v>32</v>
      </c>
      <c r="H71" s="19">
        <v>2013</v>
      </c>
      <c r="I71" s="18" t="s">
        <v>359</v>
      </c>
      <c r="J71" s="101">
        <v>24</v>
      </c>
      <c r="K71" s="20">
        <v>9.8000000000000007</v>
      </c>
      <c r="L71" s="21">
        <v>1.93</v>
      </c>
      <c r="M71" s="22" t="s">
        <v>30</v>
      </c>
      <c r="N71" s="23">
        <v>1.93</v>
      </c>
      <c r="O71" s="24">
        <v>0.19693877551020406</v>
      </c>
      <c r="P71" s="25" t="str">
        <f>IF(P72="x","x","")</f>
        <v/>
      </c>
      <c r="Q71" s="25" t="str">
        <f>IF(Q72="x","x","")</f>
        <v/>
      </c>
      <c r="R71" s="25" t="str">
        <f>IF(R72="x","x","")</f>
        <v/>
      </c>
      <c r="S71" s="25" t="str">
        <f>IF(S72="x","x","")</f>
        <v/>
      </c>
      <c r="T71" s="25" t="s">
        <v>27</v>
      </c>
      <c r="U71" s="26"/>
      <c r="V71" s="27"/>
    </row>
    <row r="72" spans="1:22" ht="18.600000000000001" customHeight="1" thickBot="1" x14ac:dyDescent="0.3">
      <c r="A72" s="28" t="str">
        <f>A71</f>
        <v>Albania</v>
      </c>
      <c r="B72" s="28" t="str">
        <f>B71</f>
        <v>Europe and Central Asia</v>
      </c>
      <c r="C72" s="28" t="str">
        <f>C71</f>
        <v>P107833</v>
      </c>
      <c r="D72" s="28" t="s">
        <v>26</v>
      </c>
      <c r="E72" s="28" t="s">
        <v>27</v>
      </c>
      <c r="F72" s="28" t="str">
        <f>F71</f>
        <v>P107833C2S2</v>
      </c>
      <c r="G72" s="28" t="s">
        <v>16</v>
      </c>
      <c r="H72" s="29" t="str">
        <f>H70&amp;" / "&amp;H71</f>
        <v>2008 / 2013</v>
      </c>
      <c r="I72" s="29" t="str">
        <f>I71</f>
        <v>Reconstruction</v>
      </c>
      <c r="J72" s="97">
        <f>IFERROR(J71/J70,"")</f>
        <v>2</v>
      </c>
      <c r="K72" s="32">
        <f>K71/K70</f>
        <v>1</v>
      </c>
      <c r="L72" s="32">
        <f>L71/L70</f>
        <v>0.88127853881278539</v>
      </c>
      <c r="M72" s="28"/>
      <c r="N72" s="32">
        <f>N71/N70</f>
        <v>0.88127853881278539</v>
      </c>
      <c r="O72" s="32">
        <f>O71/O70</f>
        <v>0.88127853881278528</v>
      </c>
      <c r="P72" s="33" t="str">
        <f>IF(K72&lt;50%,"x","")</f>
        <v/>
      </c>
      <c r="Q72" s="33" t="str">
        <f>IF(K72&gt;150%,"x","")</f>
        <v/>
      </c>
      <c r="R72" s="33" t="str">
        <f>IF(O72&lt;50%,"x","")</f>
        <v/>
      </c>
      <c r="S72" s="33" t="str">
        <f>IF(O72&gt;150%,"x","")</f>
        <v/>
      </c>
      <c r="T72" s="33" t="s">
        <v>27</v>
      </c>
      <c r="U72" s="34" t="s">
        <v>27</v>
      </c>
      <c r="V72" s="35" t="s">
        <v>27</v>
      </c>
    </row>
    <row r="73" spans="1:22" ht="18.600000000000001" customHeight="1" thickTop="1" x14ac:dyDescent="0.25">
      <c r="A73" s="18" t="s">
        <v>133</v>
      </c>
      <c r="B73" s="18" t="s">
        <v>947</v>
      </c>
      <c r="C73" s="18" t="s">
        <v>337</v>
      </c>
      <c r="D73" s="18" t="s">
        <v>42</v>
      </c>
      <c r="E73" s="18" t="s">
        <v>69</v>
      </c>
      <c r="F73" s="18" t="s">
        <v>344</v>
      </c>
      <c r="G73" s="18" t="s">
        <v>29</v>
      </c>
      <c r="H73" s="19">
        <v>2008</v>
      </c>
      <c r="I73" s="18" t="s">
        <v>359</v>
      </c>
      <c r="J73" s="101">
        <v>13</v>
      </c>
      <c r="K73" s="20">
        <v>12.8</v>
      </c>
      <c r="L73" s="21">
        <v>3.15</v>
      </c>
      <c r="M73" s="22" t="s">
        <v>30</v>
      </c>
      <c r="N73" s="23">
        <v>3.15</v>
      </c>
      <c r="O73" s="24">
        <v>0.24609374999999997</v>
      </c>
      <c r="P73" s="25" t="str">
        <f>IF(P75="x","x","")</f>
        <v/>
      </c>
      <c r="Q73" s="25" t="str">
        <f>IF(Q75="x","x","")</f>
        <v/>
      </c>
      <c r="R73" s="25" t="str">
        <f>IF(R75="x","x","")</f>
        <v/>
      </c>
      <c r="S73" s="25" t="str">
        <f>IF(S75="x","x","")</f>
        <v/>
      </c>
      <c r="T73" s="25" t="s">
        <v>27</v>
      </c>
      <c r="U73" s="26"/>
      <c r="V73" s="27"/>
    </row>
    <row r="74" spans="1:22" ht="18.600000000000001" customHeight="1" x14ac:dyDescent="0.25">
      <c r="A74" s="18" t="s">
        <v>133</v>
      </c>
      <c r="B74" s="18" t="s">
        <v>947</v>
      </c>
      <c r="C74" s="18" t="s">
        <v>337</v>
      </c>
      <c r="D74" s="18" t="s">
        <v>42</v>
      </c>
      <c r="E74" s="18" t="s">
        <v>69</v>
      </c>
      <c r="F74" s="18" t="s">
        <v>344</v>
      </c>
      <c r="G74" s="18" t="s">
        <v>32</v>
      </c>
      <c r="H74" s="19">
        <v>2013</v>
      </c>
      <c r="I74" s="18" t="s">
        <v>359</v>
      </c>
      <c r="J74" s="101">
        <v>12</v>
      </c>
      <c r="K74" s="20">
        <v>12.8</v>
      </c>
      <c r="L74" s="21">
        <v>2.81</v>
      </c>
      <c r="M74" s="22" t="s">
        <v>30</v>
      </c>
      <c r="N74" s="23">
        <v>2.81</v>
      </c>
      <c r="O74" s="24">
        <v>0.21953124999999998</v>
      </c>
      <c r="P74" s="25" t="str">
        <f>IF(P75="x","x","")</f>
        <v/>
      </c>
      <c r="Q74" s="25" t="str">
        <f>IF(Q75="x","x","")</f>
        <v/>
      </c>
      <c r="R74" s="25" t="str">
        <f>IF(R75="x","x","")</f>
        <v/>
      </c>
      <c r="S74" s="25" t="str">
        <f>IF(S75="x","x","")</f>
        <v/>
      </c>
      <c r="T74" s="25" t="s">
        <v>27</v>
      </c>
      <c r="U74" s="26"/>
      <c r="V74" s="27"/>
    </row>
    <row r="75" spans="1:22" ht="18.600000000000001" customHeight="1" thickBot="1" x14ac:dyDescent="0.3">
      <c r="A75" s="28" t="str">
        <f>A74</f>
        <v>Albania</v>
      </c>
      <c r="B75" s="28" t="str">
        <f>B74</f>
        <v>Europe and Central Asia</v>
      </c>
      <c r="C75" s="28" t="str">
        <f>C74</f>
        <v>P107833</v>
      </c>
      <c r="D75" s="28" t="s">
        <v>26</v>
      </c>
      <c r="E75" s="28" t="s">
        <v>27</v>
      </c>
      <c r="F75" s="28" t="str">
        <f>F74</f>
        <v>P107833C2S3</v>
      </c>
      <c r="G75" s="28" t="s">
        <v>16</v>
      </c>
      <c r="H75" s="29" t="str">
        <f>H73&amp;" / "&amp;H74</f>
        <v>2008 / 2013</v>
      </c>
      <c r="I75" s="29" t="str">
        <f>I74</f>
        <v>Reconstruction</v>
      </c>
      <c r="J75" s="97">
        <f>IFERROR(J74/J73,"")</f>
        <v>0.92307692307692313</v>
      </c>
      <c r="K75" s="32">
        <f>K74/K73</f>
        <v>1</v>
      </c>
      <c r="L75" s="32">
        <f>L74/L73</f>
        <v>0.89206349206349211</v>
      </c>
      <c r="M75" s="28"/>
      <c r="N75" s="32">
        <f>N74/N73</f>
        <v>0.89206349206349211</v>
      </c>
      <c r="O75" s="32">
        <f>O74/O73</f>
        <v>0.89206349206349211</v>
      </c>
      <c r="P75" s="33" t="str">
        <f>IF(K75&lt;50%,"x","")</f>
        <v/>
      </c>
      <c r="Q75" s="33" t="str">
        <f>IF(K75&gt;150%,"x","")</f>
        <v/>
      </c>
      <c r="R75" s="33" t="str">
        <f>IF(O75&lt;50%,"x","")</f>
        <v/>
      </c>
      <c r="S75" s="33" t="str">
        <f>IF(O75&gt;150%,"x","")</f>
        <v/>
      </c>
      <c r="T75" s="33" t="s">
        <v>27</v>
      </c>
      <c r="U75" s="34" t="s">
        <v>27</v>
      </c>
      <c r="V75" s="35" t="s">
        <v>27</v>
      </c>
    </row>
    <row r="76" spans="1:22" ht="18.600000000000001" customHeight="1" thickTop="1" x14ac:dyDescent="0.25">
      <c r="A76" s="18" t="s">
        <v>133</v>
      </c>
      <c r="B76" s="18" t="s">
        <v>947</v>
      </c>
      <c r="C76" s="18" t="s">
        <v>337</v>
      </c>
      <c r="D76" s="18" t="s">
        <v>42</v>
      </c>
      <c r="E76" s="18" t="s">
        <v>71</v>
      </c>
      <c r="F76" s="18" t="s">
        <v>345</v>
      </c>
      <c r="G76" s="18" t="s">
        <v>29</v>
      </c>
      <c r="H76" s="19">
        <v>2008</v>
      </c>
      <c r="I76" s="18" t="s">
        <v>359</v>
      </c>
      <c r="J76" s="101">
        <v>21</v>
      </c>
      <c r="K76" s="20">
        <v>11.5</v>
      </c>
      <c r="L76" s="21">
        <v>2.09</v>
      </c>
      <c r="M76" s="22" t="s">
        <v>30</v>
      </c>
      <c r="N76" s="23">
        <v>2.09</v>
      </c>
      <c r="O76" s="24">
        <v>0.1817391304347826</v>
      </c>
      <c r="P76" s="25" t="str">
        <f>IF(P78="x","x","")</f>
        <v/>
      </c>
      <c r="Q76" s="25" t="str">
        <f>IF(Q78="x","x","")</f>
        <v/>
      </c>
      <c r="R76" s="25" t="str">
        <f>IF(R78="x","x","")</f>
        <v/>
      </c>
      <c r="S76" s="25" t="str">
        <f>IF(S78="x","x","")</f>
        <v/>
      </c>
      <c r="T76" s="25" t="s">
        <v>27</v>
      </c>
      <c r="U76" s="26"/>
      <c r="V76" s="27"/>
    </row>
    <row r="77" spans="1:22" ht="18.600000000000001" customHeight="1" x14ac:dyDescent="0.25">
      <c r="A77" s="18" t="s">
        <v>133</v>
      </c>
      <c r="B77" s="18" t="s">
        <v>947</v>
      </c>
      <c r="C77" s="18" t="s">
        <v>337</v>
      </c>
      <c r="D77" s="18" t="s">
        <v>42</v>
      </c>
      <c r="E77" s="18" t="s">
        <v>71</v>
      </c>
      <c r="F77" s="18" t="s">
        <v>345</v>
      </c>
      <c r="G77" s="18" t="s">
        <v>32</v>
      </c>
      <c r="H77" s="19">
        <v>2013</v>
      </c>
      <c r="I77" s="18" t="s">
        <v>359</v>
      </c>
      <c r="J77" s="101">
        <v>36</v>
      </c>
      <c r="K77" s="20">
        <v>11.5</v>
      </c>
      <c r="L77" s="21">
        <v>2.92</v>
      </c>
      <c r="M77" s="22" t="s">
        <v>30</v>
      </c>
      <c r="N77" s="23">
        <v>2.92</v>
      </c>
      <c r="O77" s="24">
        <v>0.25391304347826088</v>
      </c>
      <c r="P77" s="25" t="str">
        <f>IF(P78="x","x","")</f>
        <v/>
      </c>
      <c r="Q77" s="25" t="str">
        <f>IF(Q78="x","x","")</f>
        <v/>
      </c>
      <c r="R77" s="25" t="str">
        <f>IF(R78="x","x","")</f>
        <v/>
      </c>
      <c r="S77" s="25" t="str">
        <f>IF(S78="x","x","")</f>
        <v/>
      </c>
      <c r="T77" s="25" t="s">
        <v>27</v>
      </c>
      <c r="U77" s="26"/>
      <c r="V77" s="27"/>
    </row>
    <row r="78" spans="1:22" ht="18.600000000000001" customHeight="1" thickBot="1" x14ac:dyDescent="0.3">
      <c r="A78" s="28" t="str">
        <f>A77</f>
        <v>Albania</v>
      </c>
      <c r="B78" s="28" t="str">
        <f>B77</f>
        <v>Europe and Central Asia</v>
      </c>
      <c r="C78" s="28" t="str">
        <f>C77</f>
        <v>P107833</v>
      </c>
      <c r="D78" s="28" t="s">
        <v>26</v>
      </c>
      <c r="E78" s="28" t="s">
        <v>27</v>
      </c>
      <c r="F78" s="28" t="str">
        <f>F77</f>
        <v>P107833C2S4</v>
      </c>
      <c r="G78" s="28" t="s">
        <v>16</v>
      </c>
      <c r="H78" s="29" t="str">
        <f>H76&amp;" / "&amp;H77</f>
        <v>2008 / 2013</v>
      </c>
      <c r="I78" s="29" t="str">
        <f>I77</f>
        <v>Reconstruction</v>
      </c>
      <c r="J78" s="97">
        <f>IFERROR(J77/J76,"")</f>
        <v>1.7142857142857142</v>
      </c>
      <c r="K78" s="32">
        <f>K77/K76</f>
        <v>1</v>
      </c>
      <c r="L78" s="32">
        <f>L77/L76</f>
        <v>1.3971291866028708</v>
      </c>
      <c r="M78" s="28"/>
      <c r="N78" s="32">
        <f>N77/N76</f>
        <v>1.3971291866028708</v>
      </c>
      <c r="O78" s="32">
        <f>O77/O76</f>
        <v>1.397129186602871</v>
      </c>
      <c r="P78" s="33" t="str">
        <f>IF(K78&lt;50%,"x","")</f>
        <v/>
      </c>
      <c r="Q78" s="33" t="str">
        <f>IF(K78&gt;150%,"x","")</f>
        <v/>
      </c>
      <c r="R78" s="33" t="str">
        <f>IF(O78&lt;50%,"x","")</f>
        <v/>
      </c>
      <c r="S78" s="33" t="str">
        <f>IF(O78&gt;150%,"x","")</f>
        <v/>
      </c>
      <c r="T78" s="33" t="s">
        <v>27</v>
      </c>
      <c r="U78" s="34" t="s">
        <v>27</v>
      </c>
      <c r="V78" s="35" t="s">
        <v>27</v>
      </c>
    </row>
    <row r="79" spans="1:22" ht="18.600000000000001" customHeight="1" thickTop="1" x14ac:dyDescent="0.25">
      <c r="A79" s="18" t="s">
        <v>133</v>
      </c>
      <c r="B79" s="18" t="s">
        <v>947</v>
      </c>
      <c r="C79" s="18" t="s">
        <v>337</v>
      </c>
      <c r="D79" s="18" t="s">
        <v>42</v>
      </c>
      <c r="E79" s="18" t="s">
        <v>141</v>
      </c>
      <c r="F79" s="18" t="s">
        <v>346</v>
      </c>
      <c r="G79" s="18" t="s">
        <v>29</v>
      </c>
      <c r="H79" s="19">
        <v>2008</v>
      </c>
      <c r="I79" s="18" t="s">
        <v>359</v>
      </c>
      <c r="J79" s="101">
        <v>12</v>
      </c>
      <c r="K79" s="20">
        <v>11.8</v>
      </c>
      <c r="L79" s="21">
        <v>2.0099999999999998</v>
      </c>
      <c r="M79" s="22" t="s">
        <v>30</v>
      </c>
      <c r="N79" s="23">
        <v>2.0099999999999998</v>
      </c>
      <c r="O79" s="24">
        <v>0.17033898305084744</v>
      </c>
      <c r="P79" s="25" t="str">
        <f>IF(P81="x","x","")</f>
        <v/>
      </c>
      <c r="Q79" s="25" t="str">
        <f>IF(Q81="x","x","")</f>
        <v/>
      </c>
      <c r="R79" s="25" t="str">
        <f>IF(R81="x","x","")</f>
        <v/>
      </c>
      <c r="S79" s="25" t="str">
        <f>IF(S81="x","x","")</f>
        <v/>
      </c>
      <c r="T79" s="25" t="s">
        <v>27</v>
      </c>
      <c r="U79" s="26"/>
      <c r="V79" s="27"/>
    </row>
    <row r="80" spans="1:22" ht="18.600000000000001" customHeight="1" x14ac:dyDescent="0.25">
      <c r="A80" s="18" t="s">
        <v>133</v>
      </c>
      <c r="B80" s="18" t="s">
        <v>947</v>
      </c>
      <c r="C80" s="18" t="s">
        <v>337</v>
      </c>
      <c r="D80" s="18" t="s">
        <v>42</v>
      </c>
      <c r="E80" s="18" t="s">
        <v>141</v>
      </c>
      <c r="F80" s="18" t="s">
        <v>346</v>
      </c>
      <c r="G80" s="18" t="s">
        <v>32</v>
      </c>
      <c r="H80" s="19">
        <v>2013</v>
      </c>
      <c r="I80" s="18" t="s">
        <v>359</v>
      </c>
      <c r="J80" s="101">
        <v>12</v>
      </c>
      <c r="K80" s="20">
        <v>11.8</v>
      </c>
      <c r="L80" s="21">
        <v>2.19</v>
      </c>
      <c r="M80" s="22" t="s">
        <v>30</v>
      </c>
      <c r="N80" s="23">
        <v>2.19</v>
      </c>
      <c r="O80" s="24">
        <v>0.18559322033898304</v>
      </c>
      <c r="P80" s="25" t="str">
        <f>IF(P81="x","x","")</f>
        <v/>
      </c>
      <c r="Q80" s="25" t="str">
        <f>IF(Q81="x","x","")</f>
        <v/>
      </c>
      <c r="R80" s="25" t="str">
        <f>IF(R81="x","x","")</f>
        <v/>
      </c>
      <c r="S80" s="25" t="str">
        <f>IF(S81="x","x","")</f>
        <v/>
      </c>
      <c r="T80" s="25" t="s">
        <v>27</v>
      </c>
      <c r="U80" s="26"/>
      <c r="V80" s="27"/>
    </row>
    <row r="81" spans="1:22" ht="18.600000000000001" customHeight="1" thickBot="1" x14ac:dyDescent="0.3">
      <c r="A81" s="28" t="str">
        <f>A80</f>
        <v>Albania</v>
      </c>
      <c r="B81" s="28" t="str">
        <f>B80</f>
        <v>Europe and Central Asia</v>
      </c>
      <c r="C81" s="28" t="str">
        <f>C80</f>
        <v>P107833</v>
      </c>
      <c r="D81" s="28" t="s">
        <v>26</v>
      </c>
      <c r="E81" s="28" t="s">
        <v>27</v>
      </c>
      <c r="F81" s="28" t="str">
        <f>F80</f>
        <v>P107833C2S5</v>
      </c>
      <c r="G81" s="28" t="s">
        <v>16</v>
      </c>
      <c r="H81" s="29" t="str">
        <f>H79&amp;" / "&amp;H80</f>
        <v>2008 / 2013</v>
      </c>
      <c r="I81" s="29" t="str">
        <f>I80</f>
        <v>Reconstruction</v>
      </c>
      <c r="J81" s="97">
        <f>IFERROR(J80/J79,"")</f>
        <v>1</v>
      </c>
      <c r="K81" s="32">
        <f>K80/K79</f>
        <v>1</v>
      </c>
      <c r="L81" s="32">
        <f>L80/L79</f>
        <v>1.0895522388059702</v>
      </c>
      <c r="M81" s="28"/>
      <c r="N81" s="32">
        <f>N80/N79</f>
        <v>1.0895522388059702</v>
      </c>
      <c r="O81" s="32">
        <f>O80/O79</f>
        <v>1.0895522388059702</v>
      </c>
      <c r="P81" s="33" t="str">
        <f>IF(K81&lt;50%,"x","")</f>
        <v/>
      </c>
      <c r="Q81" s="33" t="str">
        <f>IF(K81&gt;150%,"x","")</f>
        <v/>
      </c>
      <c r="R81" s="33" t="str">
        <f>IF(O81&lt;50%,"x","")</f>
        <v/>
      </c>
      <c r="S81" s="33" t="str">
        <f>IF(O81&gt;150%,"x","")</f>
        <v/>
      </c>
      <c r="T81" s="33" t="s">
        <v>27</v>
      </c>
      <c r="U81" s="34" t="s">
        <v>27</v>
      </c>
      <c r="V81" s="35" t="s">
        <v>27</v>
      </c>
    </row>
    <row r="82" spans="1:22" ht="18.600000000000001" customHeight="1" thickTop="1" x14ac:dyDescent="0.25">
      <c r="A82" s="18" t="s">
        <v>133</v>
      </c>
      <c r="B82" s="18" t="s">
        <v>947</v>
      </c>
      <c r="C82" s="18" t="s">
        <v>337</v>
      </c>
      <c r="D82" s="18" t="s">
        <v>42</v>
      </c>
      <c r="E82" s="18" t="s">
        <v>143</v>
      </c>
      <c r="F82" s="18" t="s">
        <v>347</v>
      </c>
      <c r="G82" s="18" t="s">
        <v>29</v>
      </c>
      <c r="H82" s="19">
        <v>2008</v>
      </c>
      <c r="I82" s="18" t="s">
        <v>359</v>
      </c>
      <c r="J82" s="101">
        <v>10</v>
      </c>
      <c r="K82" s="20">
        <v>9</v>
      </c>
      <c r="L82" s="21">
        <v>2.5499999999999998</v>
      </c>
      <c r="M82" s="22" t="s">
        <v>30</v>
      </c>
      <c r="N82" s="23">
        <v>2.5499999999999998</v>
      </c>
      <c r="O82" s="24">
        <v>0.28333333333333333</v>
      </c>
      <c r="P82" s="25" t="str">
        <f>IF(P84="x","x","")</f>
        <v/>
      </c>
      <c r="Q82" s="25" t="str">
        <f>IF(Q84="x","x","")</f>
        <v/>
      </c>
      <c r="R82" s="25" t="str">
        <f>IF(R84="x","x","")</f>
        <v/>
      </c>
      <c r="S82" s="25" t="str">
        <f>IF(S84="x","x","")</f>
        <v/>
      </c>
      <c r="T82" s="25" t="s">
        <v>27</v>
      </c>
      <c r="U82" s="26"/>
      <c r="V82" s="27"/>
    </row>
    <row r="83" spans="1:22" ht="18.600000000000001" customHeight="1" x14ac:dyDescent="0.25">
      <c r="A83" s="18" t="s">
        <v>133</v>
      </c>
      <c r="B83" s="18" t="s">
        <v>947</v>
      </c>
      <c r="C83" s="18" t="s">
        <v>337</v>
      </c>
      <c r="D83" s="18" t="s">
        <v>42</v>
      </c>
      <c r="E83" s="18" t="s">
        <v>143</v>
      </c>
      <c r="F83" s="18" t="s">
        <v>347</v>
      </c>
      <c r="G83" s="18" t="s">
        <v>32</v>
      </c>
      <c r="H83" s="19">
        <v>2013</v>
      </c>
      <c r="I83" s="18" t="s">
        <v>359</v>
      </c>
      <c r="J83" s="101">
        <v>12</v>
      </c>
      <c r="K83" s="20">
        <v>9</v>
      </c>
      <c r="L83" s="21">
        <v>1.64</v>
      </c>
      <c r="M83" s="22" t="s">
        <v>30</v>
      </c>
      <c r="N83" s="23">
        <v>1.64</v>
      </c>
      <c r="O83" s="24">
        <v>0.1822222222222222</v>
      </c>
      <c r="P83" s="25" t="str">
        <f>IF(P84="x","x","")</f>
        <v/>
      </c>
      <c r="Q83" s="25" t="str">
        <f>IF(Q84="x","x","")</f>
        <v/>
      </c>
      <c r="R83" s="25" t="str">
        <f>IF(R84="x","x","")</f>
        <v/>
      </c>
      <c r="S83" s="25" t="str">
        <f>IF(S84="x","x","")</f>
        <v/>
      </c>
      <c r="T83" s="25" t="s">
        <v>27</v>
      </c>
      <c r="U83" s="26"/>
      <c r="V83" s="27"/>
    </row>
    <row r="84" spans="1:22" ht="18.600000000000001" customHeight="1" thickBot="1" x14ac:dyDescent="0.3">
      <c r="A84" s="28" t="str">
        <f>A83</f>
        <v>Albania</v>
      </c>
      <c r="B84" s="28" t="str">
        <f>B83</f>
        <v>Europe and Central Asia</v>
      </c>
      <c r="C84" s="28" t="str">
        <f>C83</f>
        <v>P107833</v>
      </c>
      <c r="D84" s="28" t="s">
        <v>26</v>
      </c>
      <c r="E84" s="28" t="s">
        <v>27</v>
      </c>
      <c r="F84" s="28" t="str">
        <f>F83</f>
        <v>P107833C2S6</v>
      </c>
      <c r="G84" s="28" t="s">
        <v>16</v>
      </c>
      <c r="H84" s="29" t="str">
        <f>H82&amp;" / "&amp;H83</f>
        <v>2008 / 2013</v>
      </c>
      <c r="I84" s="29" t="str">
        <f>I83</f>
        <v>Reconstruction</v>
      </c>
      <c r="J84" s="97">
        <f>IFERROR(J83/J82,"")</f>
        <v>1.2</v>
      </c>
      <c r="K84" s="32">
        <f>K83/K82</f>
        <v>1</v>
      </c>
      <c r="L84" s="32">
        <f>L83/L82</f>
        <v>0.64313725490196083</v>
      </c>
      <c r="M84" s="28"/>
      <c r="N84" s="32">
        <f>N83/N82</f>
        <v>0.64313725490196083</v>
      </c>
      <c r="O84" s="32">
        <f>O83/O82</f>
        <v>0.64313725490196072</v>
      </c>
      <c r="P84" s="33" t="str">
        <f>IF(K84&lt;50%,"x","")</f>
        <v/>
      </c>
      <c r="Q84" s="33" t="str">
        <f>IF(K84&gt;150%,"x","")</f>
        <v/>
      </c>
      <c r="R84" s="33" t="str">
        <f>IF(O84&lt;50%,"x","")</f>
        <v/>
      </c>
      <c r="S84" s="33" t="str">
        <f>IF(O84&gt;150%,"x","")</f>
        <v/>
      </c>
      <c r="T84" s="33" t="s">
        <v>27</v>
      </c>
      <c r="U84" s="34" t="s">
        <v>27</v>
      </c>
      <c r="V84" s="35" t="s">
        <v>27</v>
      </c>
    </row>
    <row r="85" spans="1:22" ht="18.600000000000001" customHeight="1" thickTop="1" x14ac:dyDescent="0.25">
      <c r="A85" s="18" t="s">
        <v>133</v>
      </c>
      <c r="B85" s="18" t="s">
        <v>947</v>
      </c>
      <c r="C85" s="18" t="s">
        <v>337</v>
      </c>
      <c r="D85" s="18" t="s">
        <v>42</v>
      </c>
      <c r="E85" s="18" t="s">
        <v>245</v>
      </c>
      <c r="F85" s="18" t="s">
        <v>348</v>
      </c>
      <c r="G85" s="18" t="s">
        <v>29</v>
      </c>
      <c r="H85" s="19">
        <v>2008</v>
      </c>
      <c r="I85" s="18" t="s">
        <v>359</v>
      </c>
      <c r="J85" s="101">
        <v>8</v>
      </c>
      <c r="K85" s="20">
        <v>7.8</v>
      </c>
      <c r="L85" s="21">
        <v>2.06</v>
      </c>
      <c r="M85" s="22" t="s">
        <v>30</v>
      </c>
      <c r="N85" s="23">
        <v>2.06</v>
      </c>
      <c r="O85" s="24">
        <v>0.26410256410256411</v>
      </c>
      <c r="P85" s="25" t="str">
        <f>IF(P87="x","x","")</f>
        <v/>
      </c>
      <c r="Q85" s="25" t="str">
        <f>IF(Q87="x","x","")</f>
        <v/>
      </c>
      <c r="R85" s="25" t="str">
        <f>IF(R87="x","x","")</f>
        <v/>
      </c>
      <c r="S85" s="25" t="str">
        <f>IF(S87="x","x","")</f>
        <v/>
      </c>
      <c r="T85" s="25" t="s">
        <v>27</v>
      </c>
      <c r="U85" s="26"/>
      <c r="V85" s="27"/>
    </row>
    <row r="86" spans="1:22" ht="18.600000000000001" customHeight="1" x14ac:dyDescent="0.25">
      <c r="A86" s="18" t="s">
        <v>133</v>
      </c>
      <c r="B86" s="18" t="s">
        <v>947</v>
      </c>
      <c r="C86" s="18" t="s">
        <v>337</v>
      </c>
      <c r="D86" s="18" t="s">
        <v>42</v>
      </c>
      <c r="E86" s="18" t="s">
        <v>245</v>
      </c>
      <c r="F86" s="18" t="s">
        <v>348</v>
      </c>
      <c r="G86" s="18" t="s">
        <v>32</v>
      </c>
      <c r="H86" s="19">
        <v>2013</v>
      </c>
      <c r="I86" s="18" t="s">
        <v>359</v>
      </c>
      <c r="J86" s="101">
        <v>12</v>
      </c>
      <c r="K86" s="20">
        <v>7.8</v>
      </c>
      <c r="L86" s="21">
        <v>1.97</v>
      </c>
      <c r="M86" s="22" t="s">
        <v>30</v>
      </c>
      <c r="N86" s="23">
        <v>1.97</v>
      </c>
      <c r="O86" s="24">
        <v>0.25256410256410255</v>
      </c>
      <c r="P86" s="25" t="str">
        <f>IF(P87="x","x","")</f>
        <v/>
      </c>
      <c r="Q86" s="25" t="str">
        <f>IF(Q87="x","x","")</f>
        <v/>
      </c>
      <c r="R86" s="25" t="str">
        <f>IF(R87="x","x","")</f>
        <v/>
      </c>
      <c r="S86" s="25" t="str">
        <f>IF(S87="x","x","")</f>
        <v/>
      </c>
      <c r="T86" s="25" t="s">
        <v>27</v>
      </c>
      <c r="U86" s="26"/>
      <c r="V86" s="27"/>
    </row>
    <row r="87" spans="1:22" ht="18.600000000000001" customHeight="1" thickBot="1" x14ac:dyDescent="0.3">
      <c r="A87" s="28" t="str">
        <f>A86</f>
        <v>Albania</v>
      </c>
      <c r="B87" s="28" t="str">
        <f>B86</f>
        <v>Europe and Central Asia</v>
      </c>
      <c r="C87" s="28" t="str">
        <f>C86</f>
        <v>P107833</v>
      </c>
      <c r="D87" s="28" t="s">
        <v>26</v>
      </c>
      <c r="E87" s="28" t="s">
        <v>27</v>
      </c>
      <c r="F87" s="28" t="str">
        <f>F86</f>
        <v>P107833C2S7</v>
      </c>
      <c r="G87" s="28" t="s">
        <v>16</v>
      </c>
      <c r="H87" s="29" t="str">
        <f>H85&amp;" / "&amp;H86</f>
        <v>2008 / 2013</v>
      </c>
      <c r="I87" s="29" t="str">
        <f>I86</f>
        <v>Reconstruction</v>
      </c>
      <c r="J87" s="97">
        <f>IFERROR(J86/J85,"")</f>
        <v>1.5</v>
      </c>
      <c r="K87" s="32">
        <f>K86/K85</f>
        <v>1</v>
      </c>
      <c r="L87" s="32">
        <f>L86/L85</f>
        <v>0.95631067961165039</v>
      </c>
      <c r="M87" s="28"/>
      <c r="N87" s="32">
        <f>N86/N85</f>
        <v>0.95631067961165039</v>
      </c>
      <c r="O87" s="32">
        <f>O86/O85</f>
        <v>0.95631067961165039</v>
      </c>
      <c r="P87" s="33" t="str">
        <f>IF(K87&lt;50%,"x","")</f>
        <v/>
      </c>
      <c r="Q87" s="33" t="str">
        <f>IF(K87&gt;150%,"x","")</f>
        <v/>
      </c>
      <c r="R87" s="33" t="str">
        <f>IF(O87&lt;50%,"x","")</f>
        <v/>
      </c>
      <c r="S87" s="33" t="str">
        <f>IF(O87&gt;150%,"x","")</f>
        <v/>
      </c>
      <c r="T87" s="33" t="s">
        <v>27</v>
      </c>
      <c r="U87" s="34" t="s">
        <v>27</v>
      </c>
      <c r="V87" s="35" t="s">
        <v>27</v>
      </c>
    </row>
    <row r="88" spans="1:22" ht="18.600000000000001" customHeight="1" thickTop="1" x14ac:dyDescent="0.25">
      <c r="A88" s="18" t="s">
        <v>133</v>
      </c>
      <c r="B88" s="18" t="s">
        <v>947</v>
      </c>
      <c r="C88" s="18" t="s">
        <v>337</v>
      </c>
      <c r="D88" s="18" t="s">
        <v>42</v>
      </c>
      <c r="E88" s="18" t="s">
        <v>247</v>
      </c>
      <c r="F88" s="18" t="s">
        <v>349</v>
      </c>
      <c r="G88" s="18" t="s">
        <v>29</v>
      </c>
      <c r="H88" s="19">
        <v>2008</v>
      </c>
      <c r="I88" s="18" t="s">
        <v>359</v>
      </c>
      <c r="J88" s="101">
        <v>6</v>
      </c>
      <c r="K88" s="20">
        <v>5.4</v>
      </c>
      <c r="L88" s="21">
        <v>1.24</v>
      </c>
      <c r="M88" s="22" t="s">
        <v>30</v>
      </c>
      <c r="N88" s="23">
        <v>1.24</v>
      </c>
      <c r="O88" s="24">
        <v>0.2296296296296296</v>
      </c>
      <c r="P88" s="25" t="str">
        <f>IF(P90="x","x","")</f>
        <v/>
      </c>
      <c r="Q88" s="25" t="str">
        <f>IF(Q90="x","x","")</f>
        <v/>
      </c>
      <c r="R88" s="25" t="str">
        <f>IF(R90="x","x","")</f>
        <v/>
      </c>
      <c r="S88" s="25" t="str">
        <f>IF(S90="x","x","")</f>
        <v/>
      </c>
      <c r="T88" s="25" t="s">
        <v>27</v>
      </c>
      <c r="U88" s="26"/>
      <c r="V88" s="27"/>
    </row>
    <row r="89" spans="1:22" ht="18.600000000000001" customHeight="1" x14ac:dyDescent="0.25">
      <c r="A89" s="18" t="s">
        <v>133</v>
      </c>
      <c r="B89" s="18" t="s">
        <v>947</v>
      </c>
      <c r="C89" s="18" t="s">
        <v>337</v>
      </c>
      <c r="D89" s="18" t="s">
        <v>42</v>
      </c>
      <c r="E89" s="18" t="s">
        <v>247</v>
      </c>
      <c r="F89" s="18" t="s">
        <v>349</v>
      </c>
      <c r="G89" s="18" t="s">
        <v>32</v>
      </c>
      <c r="H89" s="19">
        <v>2013</v>
      </c>
      <c r="I89" s="18" t="s">
        <v>359</v>
      </c>
      <c r="J89" s="101">
        <v>12</v>
      </c>
      <c r="K89" s="20">
        <v>5.4</v>
      </c>
      <c r="L89" s="21">
        <v>0.86</v>
      </c>
      <c r="M89" s="22" t="s">
        <v>30</v>
      </c>
      <c r="N89" s="23">
        <v>0.86</v>
      </c>
      <c r="O89" s="24">
        <v>0.15925925925925924</v>
      </c>
      <c r="P89" s="25" t="str">
        <f>IF(P90="x","x","")</f>
        <v/>
      </c>
      <c r="Q89" s="25" t="str">
        <f>IF(Q90="x","x","")</f>
        <v/>
      </c>
      <c r="R89" s="25" t="str">
        <f>IF(R90="x","x","")</f>
        <v/>
      </c>
      <c r="S89" s="25" t="str">
        <f>IF(S90="x","x","")</f>
        <v/>
      </c>
      <c r="T89" s="25" t="s">
        <v>27</v>
      </c>
      <c r="U89" s="26"/>
      <c r="V89" s="27"/>
    </row>
    <row r="90" spans="1:22" ht="18.600000000000001" customHeight="1" thickBot="1" x14ac:dyDescent="0.3">
      <c r="A90" s="28" t="str">
        <f>A89</f>
        <v>Albania</v>
      </c>
      <c r="B90" s="28" t="str">
        <f>B89</f>
        <v>Europe and Central Asia</v>
      </c>
      <c r="C90" s="28" t="str">
        <f>C89</f>
        <v>P107833</v>
      </c>
      <c r="D90" s="28" t="s">
        <v>26</v>
      </c>
      <c r="E90" s="28" t="s">
        <v>27</v>
      </c>
      <c r="F90" s="28" t="str">
        <f>F89</f>
        <v>P107833C2S8</v>
      </c>
      <c r="G90" s="28" t="s">
        <v>16</v>
      </c>
      <c r="H90" s="29" t="str">
        <f>H88&amp;" / "&amp;H89</f>
        <v>2008 / 2013</v>
      </c>
      <c r="I90" s="29" t="str">
        <f>I89</f>
        <v>Reconstruction</v>
      </c>
      <c r="J90" s="97">
        <f>IFERROR(J89/J88,"")</f>
        <v>2</v>
      </c>
      <c r="K90" s="32">
        <f>K89/K88</f>
        <v>1</v>
      </c>
      <c r="L90" s="32">
        <f>L89/L88</f>
        <v>0.69354838709677413</v>
      </c>
      <c r="M90" s="28"/>
      <c r="N90" s="32">
        <f>N89/N88</f>
        <v>0.69354838709677413</v>
      </c>
      <c r="O90" s="32">
        <f>O89/O88</f>
        <v>0.69354838709677424</v>
      </c>
      <c r="P90" s="33" t="str">
        <f>IF(K90&lt;50%,"x","")</f>
        <v/>
      </c>
      <c r="Q90" s="33" t="str">
        <f>IF(K90&gt;150%,"x","")</f>
        <v/>
      </c>
      <c r="R90" s="33" t="str">
        <f>IF(O90&lt;50%,"x","")</f>
        <v/>
      </c>
      <c r="S90" s="33" t="str">
        <f>IF(O90&gt;150%,"x","")</f>
        <v/>
      </c>
      <c r="T90" s="33" t="s">
        <v>27</v>
      </c>
      <c r="U90" s="34" t="s">
        <v>27</v>
      </c>
      <c r="V90" s="35" t="s">
        <v>27</v>
      </c>
    </row>
    <row r="91" spans="1:22" ht="16.5" thickTop="1" x14ac:dyDescent="0.25">
      <c r="A91" s="18" t="s">
        <v>846</v>
      </c>
      <c r="B91" s="18" t="s">
        <v>950</v>
      </c>
      <c r="C91" s="18" t="s">
        <v>847</v>
      </c>
      <c r="D91" s="18" t="s">
        <v>26</v>
      </c>
      <c r="E91" s="18" t="s">
        <v>36</v>
      </c>
      <c r="F91" s="18" t="s">
        <v>848</v>
      </c>
      <c r="G91" s="18" t="s">
        <v>29</v>
      </c>
      <c r="H91" s="19">
        <v>2014</v>
      </c>
      <c r="I91" s="18" t="s">
        <v>359</v>
      </c>
      <c r="J91" s="101" t="s">
        <v>27</v>
      </c>
      <c r="K91" s="20">
        <v>600</v>
      </c>
      <c r="L91" s="21">
        <v>13</v>
      </c>
      <c r="M91" s="22" t="s">
        <v>30</v>
      </c>
      <c r="N91" s="23">
        <v>13</v>
      </c>
      <c r="O91" s="24">
        <v>2.1666666666666667E-2</v>
      </c>
      <c r="P91" s="25" t="str">
        <f>IF(P93="x","x","")</f>
        <v>x</v>
      </c>
      <c r="Q91" s="25" t="str">
        <f>IF(Q93="x","x","")</f>
        <v/>
      </c>
      <c r="R91" s="25" t="str">
        <f>IF(R93="x","x","")</f>
        <v/>
      </c>
      <c r="S91" s="25" t="str">
        <f>IF(S93="x","x","")</f>
        <v>x</v>
      </c>
      <c r="T91" s="25" t="s">
        <v>31</v>
      </c>
      <c r="U91" s="26"/>
      <c r="V91" s="27"/>
    </row>
    <row r="92" spans="1:22" x14ac:dyDescent="0.25">
      <c r="A92" s="18" t="s">
        <v>846</v>
      </c>
      <c r="B92" s="18" t="s">
        <v>950</v>
      </c>
      <c r="C92" s="18" t="s">
        <v>847</v>
      </c>
      <c r="D92" s="18" t="s">
        <v>26</v>
      </c>
      <c r="E92" s="18" t="s">
        <v>36</v>
      </c>
      <c r="F92" s="18" t="s">
        <v>848</v>
      </c>
      <c r="G92" s="18" t="s">
        <v>32</v>
      </c>
      <c r="H92" s="19">
        <v>2014</v>
      </c>
      <c r="I92" s="18" t="s">
        <v>359</v>
      </c>
      <c r="J92" s="101" t="s">
        <v>27</v>
      </c>
      <c r="K92" s="20">
        <v>200</v>
      </c>
      <c r="L92" s="21">
        <v>20</v>
      </c>
      <c r="M92" s="22" t="s">
        <v>30</v>
      </c>
      <c r="N92" s="23">
        <v>20</v>
      </c>
      <c r="O92" s="24">
        <v>0.1</v>
      </c>
      <c r="P92" s="25" t="str">
        <f>IF(P93="x","x","")</f>
        <v>x</v>
      </c>
      <c r="Q92" s="25" t="str">
        <f>IF(Q93="x","x","")</f>
        <v/>
      </c>
      <c r="R92" s="25" t="str">
        <f>IF(R93="x","x","")</f>
        <v/>
      </c>
      <c r="S92" s="25" t="str">
        <f>IF(S93="x","x","")</f>
        <v>x</v>
      </c>
      <c r="T92" s="25" t="s">
        <v>31</v>
      </c>
      <c r="U92" s="26"/>
      <c r="V92" s="27"/>
    </row>
    <row r="93" spans="1:22" ht="21.75" customHeight="1" thickBot="1" x14ac:dyDescent="0.3">
      <c r="A93" s="28" t="str">
        <f>A92</f>
        <v>Angola</v>
      </c>
      <c r="B93" s="28" t="str">
        <f>B92</f>
        <v>Sub-Saharan Africa</v>
      </c>
      <c r="C93" s="28" t="str">
        <f>C92</f>
        <v>P095229</v>
      </c>
      <c r="D93" s="28" t="s">
        <v>26</v>
      </c>
      <c r="E93" s="28" t="s">
        <v>27</v>
      </c>
      <c r="F93" s="28" t="str">
        <f>F92</f>
        <v>P095229C1S1</v>
      </c>
      <c r="G93" s="28" t="s">
        <v>16</v>
      </c>
      <c r="H93" s="29" t="str">
        <f>H91&amp;" / "&amp;H92</f>
        <v>2014 / 2014</v>
      </c>
      <c r="I93" s="29" t="str">
        <f>I92</f>
        <v>Reconstruction</v>
      </c>
      <c r="J93" s="97" t="str">
        <f>IFERROR(J92/J91,"")</f>
        <v/>
      </c>
      <c r="K93" s="32">
        <f>K92/K91</f>
        <v>0.33333333333333331</v>
      </c>
      <c r="L93" s="32">
        <f>L92/L91</f>
        <v>1.5384615384615385</v>
      </c>
      <c r="M93" s="28"/>
      <c r="N93" s="32">
        <f>N92/N91</f>
        <v>1.5384615384615385</v>
      </c>
      <c r="O93" s="32">
        <f>O92/O91</f>
        <v>4.6153846153846159</v>
      </c>
      <c r="P93" s="33" t="str">
        <f>IF(K93&lt;50%,"x","")</f>
        <v>x</v>
      </c>
      <c r="Q93" s="33" t="str">
        <f>IF(K93&gt;150%,"x","")</f>
        <v/>
      </c>
      <c r="R93" s="33" t="str">
        <f>IF(O93&lt;50%,"x","")</f>
        <v/>
      </c>
      <c r="S93" s="33" t="str">
        <f>IF(O93&gt;150%,"x","")</f>
        <v>x</v>
      </c>
      <c r="T93" s="33" t="s">
        <v>31</v>
      </c>
      <c r="U93" s="34" t="s">
        <v>1082</v>
      </c>
      <c r="V93" s="35" t="s">
        <v>1083</v>
      </c>
    </row>
    <row r="94" spans="1:22" ht="16.5" thickTop="1" x14ac:dyDescent="0.25">
      <c r="A94" s="18" t="s">
        <v>316</v>
      </c>
      <c r="B94" s="18" t="s">
        <v>946</v>
      </c>
      <c r="C94" s="18" t="s">
        <v>317</v>
      </c>
      <c r="D94" s="18" t="s">
        <v>26</v>
      </c>
      <c r="E94" s="18" t="s">
        <v>27</v>
      </c>
      <c r="F94" s="18" t="s">
        <v>318</v>
      </c>
      <c r="G94" s="18" t="s">
        <v>29</v>
      </c>
      <c r="H94" s="19">
        <v>2006</v>
      </c>
      <c r="I94" s="18" t="s">
        <v>38</v>
      </c>
      <c r="J94" s="101" t="s">
        <v>27</v>
      </c>
      <c r="K94" s="20">
        <v>174.26</v>
      </c>
      <c r="L94" s="21">
        <v>42.21</v>
      </c>
      <c r="M94" s="22" t="s">
        <v>30</v>
      </c>
      <c r="N94" s="23">
        <v>42.21</v>
      </c>
      <c r="O94" s="24">
        <v>0.24222426259612076</v>
      </c>
      <c r="P94" s="25" t="str">
        <f>IF(P96="x","x","")</f>
        <v/>
      </c>
      <c r="Q94" s="25" t="str">
        <f>IF(Q96="x","x","")</f>
        <v/>
      </c>
      <c r="R94" s="25" t="str">
        <f>IF(R96="x","x","")</f>
        <v/>
      </c>
      <c r="S94" s="25" t="str">
        <f>IF(S96="x","x","")</f>
        <v>x</v>
      </c>
      <c r="T94" s="25" t="s">
        <v>31</v>
      </c>
      <c r="U94" s="26"/>
      <c r="V94" s="27"/>
    </row>
    <row r="95" spans="1:22" x14ac:dyDescent="0.25">
      <c r="A95" s="18" t="s">
        <v>316</v>
      </c>
      <c r="B95" s="18" t="s">
        <v>946</v>
      </c>
      <c r="C95" s="18" t="s">
        <v>317</v>
      </c>
      <c r="D95" s="18" t="s">
        <v>26</v>
      </c>
      <c r="E95" s="18" t="s">
        <v>27</v>
      </c>
      <c r="F95" s="18" t="s">
        <v>318</v>
      </c>
      <c r="G95" s="18" t="s">
        <v>32</v>
      </c>
      <c r="H95" s="19">
        <v>2014</v>
      </c>
      <c r="I95" s="18" t="s">
        <v>38</v>
      </c>
      <c r="J95" s="101" t="s">
        <v>27</v>
      </c>
      <c r="K95" s="20">
        <v>125</v>
      </c>
      <c r="L95" s="21">
        <v>50.53</v>
      </c>
      <c r="M95" s="22" t="s">
        <v>30</v>
      </c>
      <c r="N95" s="23">
        <v>50.53</v>
      </c>
      <c r="O95" s="24">
        <v>0.40423999999999999</v>
      </c>
      <c r="P95" s="25" t="str">
        <f>IF(P96="x","x","")</f>
        <v/>
      </c>
      <c r="Q95" s="25" t="str">
        <f>IF(Q96="x","x","")</f>
        <v/>
      </c>
      <c r="R95" s="25" t="str">
        <f>IF(R96="x","x","")</f>
        <v/>
      </c>
      <c r="S95" s="25" t="str">
        <f>IF(S96="x","x","")</f>
        <v>x</v>
      </c>
      <c r="T95" s="25" t="s">
        <v>31</v>
      </c>
      <c r="U95" s="26"/>
      <c r="V95" s="27"/>
    </row>
    <row r="96" spans="1:22" ht="23.25" customHeight="1" thickBot="1" x14ac:dyDescent="0.3">
      <c r="A96" s="28" t="str">
        <f>A95</f>
        <v>Argentina</v>
      </c>
      <c r="B96" s="28" t="str">
        <f>B95</f>
        <v>Latin America and Caribbean</v>
      </c>
      <c r="C96" s="28" t="str">
        <f>C95</f>
        <v>P099585</v>
      </c>
      <c r="D96" s="28" t="s">
        <v>26</v>
      </c>
      <c r="E96" s="28" t="s">
        <v>27</v>
      </c>
      <c r="F96" s="28" t="str">
        <f>F95</f>
        <v>P099585C1</v>
      </c>
      <c r="G96" s="28" t="s">
        <v>16</v>
      </c>
      <c r="H96" s="29" t="str">
        <f>H94&amp;" / "&amp;H95</f>
        <v>2006 / 2014</v>
      </c>
      <c r="I96" s="29" t="str">
        <f>I95</f>
        <v>Strengthening</v>
      </c>
      <c r="J96" s="97" t="str">
        <f>IFERROR(J95/J94,"")</f>
        <v/>
      </c>
      <c r="K96" s="32">
        <f>K95/K94</f>
        <v>0.7173189486973488</v>
      </c>
      <c r="L96" s="32">
        <f>L95/L94</f>
        <v>1.197109689647003</v>
      </c>
      <c r="M96" s="28"/>
      <c r="N96" s="32">
        <f>N95/N94</f>
        <v>1.197109689647003</v>
      </c>
      <c r="O96" s="32">
        <f>O95/O94</f>
        <v>1.6688666761430939</v>
      </c>
      <c r="P96" s="33" t="str">
        <f>IF(K96&lt;50%,"x","")</f>
        <v/>
      </c>
      <c r="Q96" s="33" t="str">
        <f>IF(K96&gt;150%,"x","")</f>
        <v/>
      </c>
      <c r="R96" s="33" t="str">
        <f>IF(O96&lt;50%,"x","")</f>
        <v/>
      </c>
      <c r="S96" s="33" t="str">
        <f>IF(O96&gt;150%,"x","")</f>
        <v>x</v>
      </c>
      <c r="T96" s="33" t="s">
        <v>31</v>
      </c>
      <c r="U96" s="34" t="s">
        <v>1188</v>
      </c>
      <c r="V96" s="35" t="s">
        <v>1189</v>
      </c>
    </row>
    <row r="97" spans="1:22" ht="16.5" thickTop="1" x14ac:dyDescent="0.25">
      <c r="A97" s="18" t="s">
        <v>316</v>
      </c>
      <c r="B97" s="18" t="s">
        <v>946</v>
      </c>
      <c r="C97" s="18" t="s">
        <v>317</v>
      </c>
      <c r="D97" s="18" t="s">
        <v>42</v>
      </c>
      <c r="E97" s="18" t="s">
        <v>27</v>
      </c>
      <c r="F97" s="18" t="s">
        <v>319</v>
      </c>
      <c r="G97" s="18" t="s">
        <v>29</v>
      </c>
      <c r="H97" s="19">
        <v>2006</v>
      </c>
      <c r="I97" s="18" t="s">
        <v>38</v>
      </c>
      <c r="J97" s="101" t="s">
        <v>27</v>
      </c>
      <c r="K97" s="20">
        <v>424</v>
      </c>
      <c r="L97" s="21">
        <v>34.5</v>
      </c>
      <c r="M97" s="22" t="s">
        <v>30</v>
      </c>
      <c r="N97" s="23">
        <v>34.5</v>
      </c>
      <c r="O97" s="24">
        <v>8.1367924528301883E-2</v>
      </c>
      <c r="P97" s="25" t="str">
        <f>IF(P99="x","x","")</f>
        <v>x</v>
      </c>
      <c r="Q97" s="25" t="str">
        <f>IF(Q99="x","x","")</f>
        <v/>
      </c>
      <c r="R97" s="25" t="str">
        <f>IF(R99="x","x","")</f>
        <v/>
      </c>
      <c r="S97" s="25" t="str">
        <f>IF(S99="x","x","")</f>
        <v>x</v>
      </c>
      <c r="T97" s="25" t="s">
        <v>31</v>
      </c>
      <c r="U97" s="26"/>
      <c r="V97" s="27"/>
    </row>
    <row r="98" spans="1:22" x14ac:dyDescent="0.25">
      <c r="A98" s="18" t="s">
        <v>316</v>
      </c>
      <c r="B98" s="18" t="s">
        <v>946</v>
      </c>
      <c r="C98" s="18" t="s">
        <v>317</v>
      </c>
      <c r="D98" s="18" t="s">
        <v>42</v>
      </c>
      <c r="E98" s="18" t="s">
        <v>27</v>
      </c>
      <c r="F98" s="18" t="s">
        <v>319</v>
      </c>
      <c r="G98" s="18" t="s">
        <v>32</v>
      </c>
      <c r="H98" s="19">
        <v>2014</v>
      </c>
      <c r="I98" s="18" t="s">
        <v>38</v>
      </c>
      <c r="J98" s="101" t="s">
        <v>27</v>
      </c>
      <c r="K98" s="20">
        <v>136.93</v>
      </c>
      <c r="L98" s="21">
        <v>42.4</v>
      </c>
      <c r="M98" s="22" t="s">
        <v>30</v>
      </c>
      <c r="N98" s="23">
        <v>42.4</v>
      </c>
      <c r="O98" s="24">
        <v>0.30964726502592566</v>
      </c>
      <c r="P98" s="25" t="str">
        <f>IF(P99="x","x","")</f>
        <v>x</v>
      </c>
      <c r="Q98" s="25" t="str">
        <f>IF(Q99="x","x","")</f>
        <v/>
      </c>
      <c r="R98" s="25" t="str">
        <f>IF(R99="x","x","")</f>
        <v/>
      </c>
      <c r="S98" s="25" t="str">
        <f>IF(S99="x","x","")</f>
        <v>x</v>
      </c>
      <c r="T98" s="25" t="s">
        <v>31</v>
      </c>
      <c r="U98" s="26"/>
      <c r="V98" s="27"/>
    </row>
    <row r="99" spans="1:22" ht="18.75" customHeight="1" thickBot="1" x14ac:dyDescent="0.3">
      <c r="A99" s="28" t="str">
        <f>A98</f>
        <v>Argentina</v>
      </c>
      <c r="B99" s="28" t="str">
        <f>B98</f>
        <v>Latin America and Caribbean</v>
      </c>
      <c r="C99" s="28" t="str">
        <f>C98</f>
        <v>P099585</v>
      </c>
      <c r="D99" s="28" t="s">
        <v>26</v>
      </c>
      <c r="E99" s="28" t="s">
        <v>27</v>
      </c>
      <c r="F99" s="28" t="str">
        <f>F98</f>
        <v>P099585C2</v>
      </c>
      <c r="G99" s="28" t="s">
        <v>16</v>
      </c>
      <c r="H99" s="29" t="str">
        <f>H97&amp;" / "&amp;H98</f>
        <v>2006 / 2014</v>
      </c>
      <c r="I99" s="29" t="str">
        <f>I98</f>
        <v>Strengthening</v>
      </c>
      <c r="J99" s="97" t="str">
        <f>IFERROR(J98/J97,"")</f>
        <v/>
      </c>
      <c r="K99" s="32">
        <f>K98/K97</f>
        <v>0.32294811320754718</v>
      </c>
      <c r="L99" s="32">
        <f>L98/L97</f>
        <v>1.2289855072463767</v>
      </c>
      <c r="M99" s="28"/>
      <c r="N99" s="32">
        <f>N98/N97</f>
        <v>1.2289855072463767</v>
      </c>
      <c r="O99" s="32">
        <f>O98/O97</f>
        <v>3.8055200107534053</v>
      </c>
      <c r="P99" s="33" t="str">
        <f>IF(K99&lt;50%,"x","")</f>
        <v>x</v>
      </c>
      <c r="Q99" s="33" t="str">
        <f>IF(K99&gt;150%,"x","")</f>
        <v/>
      </c>
      <c r="R99" s="33" t="str">
        <f>IF(O99&lt;50%,"x","")</f>
        <v/>
      </c>
      <c r="S99" s="33" t="str">
        <f>IF(O99&gt;150%,"x","")</f>
        <v>x</v>
      </c>
      <c r="T99" s="33" t="s">
        <v>31</v>
      </c>
      <c r="U99" s="34" t="s">
        <v>1190</v>
      </c>
      <c r="V99" s="35" t="s">
        <v>1191</v>
      </c>
    </row>
    <row r="100" spans="1:22" ht="16.5" thickTop="1" x14ac:dyDescent="0.25">
      <c r="A100" s="18" t="s">
        <v>316</v>
      </c>
      <c r="B100" s="18" t="s">
        <v>946</v>
      </c>
      <c r="C100" s="18" t="s">
        <v>815</v>
      </c>
      <c r="D100" s="18" t="s">
        <v>26</v>
      </c>
      <c r="E100" s="18" t="s">
        <v>27</v>
      </c>
      <c r="F100" s="18" t="s">
        <v>816</v>
      </c>
      <c r="G100" s="18" t="s">
        <v>29</v>
      </c>
      <c r="H100" s="19">
        <v>2004</v>
      </c>
      <c r="I100" s="18" t="s">
        <v>38</v>
      </c>
      <c r="J100" s="101">
        <v>72</v>
      </c>
      <c r="K100" s="20">
        <v>21042</v>
      </c>
      <c r="L100" s="21">
        <v>258.7</v>
      </c>
      <c r="M100" s="22" t="s">
        <v>30</v>
      </c>
      <c r="N100" s="23">
        <v>258.7</v>
      </c>
      <c r="O100" s="24">
        <v>1.2294458701644331E-2</v>
      </c>
      <c r="P100" s="25" t="str">
        <f>IF(P102="x","x","")</f>
        <v/>
      </c>
      <c r="Q100" s="25" t="str">
        <f>IF(Q102="x","x","")</f>
        <v/>
      </c>
      <c r="R100" s="25" t="str">
        <f>IF(R102="x","x","")</f>
        <v/>
      </c>
      <c r="S100" s="25" t="str">
        <f>IF(S102="x","x","")</f>
        <v>x</v>
      </c>
      <c r="T100" s="25" t="s">
        <v>31</v>
      </c>
      <c r="U100" s="26"/>
      <c r="V100" s="27"/>
    </row>
    <row r="101" spans="1:22" x14ac:dyDescent="0.25">
      <c r="A101" s="18" t="s">
        <v>316</v>
      </c>
      <c r="B101" s="18" t="s">
        <v>946</v>
      </c>
      <c r="C101" s="18" t="s">
        <v>815</v>
      </c>
      <c r="D101" s="18" t="s">
        <v>26</v>
      </c>
      <c r="E101" s="18" t="s">
        <v>27</v>
      </c>
      <c r="F101" s="18" t="s">
        <v>816</v>
      </c>
      <c r="G101" s="18" t="s">
        <v>32</v>
      </c>
      <c r="H101" s="19">
        <v>2011</v>
      </c>
      <c r="I101" s="18" t="s">
        <v>38</v>
      </c>
      <c r="J101" s="101" t="s">
        <v>27</v>
      </c>
      <c r="K101" s="20">
        <v>12664</v>
      </c>
      <c r="L101" s="21">
        <v>682</v>
      </c>
      <c r="M101" s="22" t="s">
        <v>30</v>
      </c>
      <c r="N101" s="23">
        <v>682</v>
      </c>
      <c r="O101" s="24">
        <v>5.3853442830069487E-2</v>
      </c>
      <c r="P101" s="25" t="str">
        <f>IF(P102="x","x","")</f>
        <v/>
      </c>
      <c r="Q101" s="25" t="str">
        <f>IF(Q102="x","x","")</f>
        <v/>
      </c>
      <c r="R101" s="25" t="str">
        <f>IF(R102="x","x","")</f>
        <v/>
      </c>
      <c r="S101" s="25" t="str">
        <f>IF(S102="x","x","")</f>
        <v>x</v>
      </c>
      <c r="T101" s="25" t="s">
        <v>31</v>
      </c>
      <c r="U101" s="26"/>
      <c r="V101" s="27"/>
    </row>
    <row r="102" spans="1:22" ht="23.25" customHeight="1" thickBot="1" x14ac:dyDescent="0.3">
      <c r="A102" s="28" t="str">
        <f>A101</f>
        <v>Argentina</v>
      </c>
      <c r="B102" s="28" t="str">
        <f>B101</f>
        <v>Latin America and Caribbean</v>
      </c>
      <c r="C102" s="28" t="str">
        <f>C101</f>
        <v>P088153</v>
      </c>
      <c r="D102" s="28" t="s">
        <v>26</v>
      </c>
      <c r="E102" s="28" t="s">
        <v>27</v>
      </c>
      <c r="F102" s="28" t="str">
        <f>F101</f>
        <v>P088153C1</v>
      </c>
      <c r="G102" s="28" t="s">
        <v>16</v>
      </c>
      <c r="H102" s="29" t="str">
        <f>H100&amp;" / "&amp;H101</f>
        <v>2004 / 2011</v>
      </c>
      <c r="I102" s="29" t="str">
        <f>I101</f>
        <v>Strengthening</v>
      </c>
      <c r="J102" s="97" t="str">
        <f>IFERROR(J101/J100,"")</f>
        <v/>
      </c>
      <c r="K102" s="32">
        <f>K101/K100</f>
        <v>0.60184393118524859</v>
      </c>
      <c r="L102" s="32">
        <f>L101/L100</f>
        <v>2.6362582141476616</v>
      </c>
      <c r="M102" s="28"/>
      <c r="N102" s="32">
        <f>N101/N100</f>
        <v>2.6362582141476616</v>
      </c>
      <c r="O102" s="32">
        <f>O101/O100</f>
        <v>4.3803020642841988</v>
      </c>
      <c r="P102" s="33" t="str">
        <f>IF(K102&lt;50%,"x","")</f>
        <v/>
      </c>
      <c r="Q102" s="33" t="str">
        <f>IF(K102&gt;150%,"x","")</f>
        <v/>
      </c>
      <c r="R102" s="33" t="str">
        <f>IF(O102&lt;50%,"x","")</f>
        <v/>
      </c>
      <c r="S102" s="33" t="str">
        <f>IF(O102&gt;150%,"x","")</f>
        <v>x</v>
      </c>
      <c r="T102" s="33" t="s">
        <v>31</v>
      </c>
      <c r="U102" s="34" t="s">
        <v>1069</v>
      </c>
      <c r="V102" s="35" t="s">
        <v>1070</v>
      </c>
    </row>
    <row r="103" spans="1:22" ht="16.5" thickTop="1" x14ac:dyDescent="0.25">
      <c r="A103" s="18" t="s">
        <v>316</v>
      </c>
      <c r="B103" s="18" t="s">
        <v>946</v>
      </c>
      <c r="C103" s="18" t="s">
        <v>853</v>
      </c>
      <c r="D103" s="18" t="s">
        <v>26</v>
      </c>
      <c r="E103" s="18" t="s">
        <v>27</v>
      </c>
      <c r="F103" s="18" t="s">
        <v>854</v>
      </c>
      <c r="G103" s="18" t="s">
        <v>29</v>
      </c>
      <c r="H103" s="19">
        <v>2007</v>
      </c>
      <c r="I103" s="18" t="s">
        <v>68</v>
      </c>
      <c r="J103" s="101" t="s">
        <v>27</v>
      </c>
      <c r="K103" s="20">
        <v>3290</v>
      </c>
      <c r="L103" s="21">
        <v>384.4</v>
      </c>
      <c r="M103" s="22" t="s">
        <v>30</v>
      </c>
      <c r="N103" s="23">
        <v>384.4</v>
      </c>
      <c r="O103" s="24">
        <v>0.11683890577507598</v>
      </c>
      <c r="P103" s="25" t="str">
        <f>IF(P105="x","x","")</f>
        <v/>
      </c>
      <c r="Q103" s="25" t="str">
        <f>IF(Q105="x","x","")</f>
        <v/>
      </c>
      <c r="R103" s="25" t="str">
        <f>IF(R105="x","x","")</f>
        <v/>
      </c>
      <c r="S103" s="25" t="str">
        <f>IF(S105="x","x","")</f>
        <v/>
      </c>
      <c r="T103" s="25" t="s">
        <v>27</v>
      </c>
      <c r="U103" s="26"/>
      <c r="V103" s="27"/>
    </row>
    <row r="104" spans="1:22" x14ac:dyDescent="0.25">
      <c r="A104" s="18" t="s">
        <v>316</v>
      </c>
      <c r="B104" s="18" t="s">
        <v>946</v>
      </c>
      <c r="C104" s="18" t="s">
        <v>853</v>
      </c>
      <c r="D104" s="18" t="s">
        <v>26</v>
      </c>
      <c r="E104" s="18" t="s">
        <v>27</v>
      </c>
      <c r="F104" s="18" t="s">
        <v>854</v>
      </c>
      <c r="G104" s="18" t="s">
        <v>32</v>
      </c>
      <c r="H104" s="19">
        <v>2014</v>
      </c>
      <c r="I104" s="18" t="s">
        <v>68</v>
      </c>
      <c r="J104" s="101" t="s">
        <v>27</v>
      </c>
      <c r="K104" s="20">
        <v>3327</v>
      </c>
      <c r="L104" s="21">
        <v>389.8</v>
      </c>
      <c r="M104" s="22" t="s">
        <v>30</v>
      </c>
      <c r="N104" s="23">
        <v>389.8</v>
      </c>
      <c r="O104" s="24">
        <v>0.11716260895701834</v>
      </c>
      <c r="P104" s="25" t="str">
        <f>IF(P105="x","x","")</f>
        <v/>
      </c>
      <c r="Q104" s="25" t="str">
        <f>IF(Q105="x","x","")</f>
        <v/>
      </c>
      <c r="R104" s="25" t="str">
        <f>IF(R105="x","x","")</f>
        <v/>
      </c>
      <c r="S104" s="25" t="str">
        <f>IF(S105="x","x","")</f>
        <v/>
      </c>
      <c r="T104" s="25" t="s">
        <v>27</v>
      </c>
      <c r="U104" s="26"/>
      <c r="V104" s="27"/>
    </row>
    <row r="105" spans="1:22" ht="16.5" thickBot="1" x14ac:dyDescent="0.3">
      <c r="A105" s="28" t="str">
        <f>A104</f>
        <v>Argentina</v>
      </c>
      <c r="B105" s="28" t="str">
        <f>B104</f>
        <v>Latin America and Caribbean</v>
      </c>
      <c r="C105" s="28" t="str">
        <f>C104</f>
        <v>P095569</v>
      </c>
      <c r="D105" s="28" t="s">
        <v>26</v>
      </c>
      <c r="E105" s="28" t="s">
        <v>27</v>
      </c>
      <c r="F105" s="28" t="str">
        <f>F104</f>
        <v>P095569C1</v>
      </c>
      <c r="G105" s="28" t="s">
        <v>16</v>
      </c>
      <c r="H105" s="29" t="str">
        <f>H103&amp;" / "&amp;H104</f>
        <v>2007 / 2014</v>
      </c>
      <c r="I105" s="29" t="str">
        <f>I104</f>
        <v>Asphalt Mix Resurfacing</v>
      </c>
      <c r="J105" s="97" t="str">
        <f>IFERROR(J104/J103,"")</f>
        <v/>
      </c>
      <c r="K105" s="32">
        <f>K104/K103</f>
        <v>1.0112462006079028</v>
      </c>
      <c r="L105" s="32">
        <f>L104/L103</f>
        <v>1.0140478668054111</v>
      </c>
      <c r="M105" s="28"/>
      <c r="N105" s="32">
        <f>N104/N103</f>
        <v>1.0140478668054111</v>
      </c>
      <c r="O105" s="32">
        <f>O104/O103</f>
        <v>1.0027705085030967</v>
      </c>
      <c r="P105" s="33" t="str">
        <f>IF(K105&lt;50%,"x","")</f>
        <v/>
      </c>
      <c r="Q105" s="33" t="str">
        <f>IF(K105&gt;150%,"x","")</f>
        <v/>
      </c>
      <c r="R105" s="33" t="str">
        <f>IF(O105&lt;50%,"x","")</f>
        <v/>
      </c>
      <c r="S105" s="33" t="str">
        <f>IF(O105&gt;150%,"x","")</f>
        <v/>
      </c>
      <c r="T105" s="33" t="s">
        <v>27</v>
      </c>
      <c r="U105" s="34" t="s">
        <v>27</v>
      </c>
      <c r="V105" s="35" t="s">
        <v>27</v>
      </c>
    </row>
    <row r="106" spans="1:22" ht="18.600000000000001" customHeight="1" thickTop="1" x14ac:dyDescent="0.25">
      <c r="A106" s="18" t="s">
        <v>350</v>
      </c>
      <c r="B106" s="18" t="s">
        <v>947</v>
      </c>
      <c r="C106" s="18" t="s">
        <v>351</v>
      </c>
      <c r="D106" s="18" t="s">
        <v>26</v>
      </c>
      <c r="E106" s="18" t="s">
        <v>27</v>
      </c>
      <c r="F106" s="18" t="s">
        <v>352</v>
      </c>
      <c r="G106" s="18" t="s">
        <v>29</v>
      </c>
      <c r="H106" s="19">
        <v>2009</v>
      </c>
      <c r="I106" s="18" t="s">
        <v>359</v>
      </c>
      <c r="J106" s="101">
        <v>7</v>
      </c>
      <c r="K106" s="20">
        <v>99.8</v>
      </c>
      <c r="L106" s="21">
        <v>27.1</v>
      </c>
      <c r="M106" s="22" t="s">
        <v>30</v>
      </c>
      <c r="N106" s="23">
        <v>27.1</v>
      </c>
      <c r="O106" s="24">
        <v>0.27154308617234474</v>
      </c>
      <c r="P106" s="25" t="str">
        <f>IF(P108="x","x","")</f>
        <v/>
      </c>
      <c r="Q106" s="25" t="str">
        <f>IF(Q108="x","x","")</f>
        <v>x</v>
      </c>
      <c r="R106" s="25" t="str">
        <f>IF(R108="x","x","")</f>
        <v/>
      </c>
      <c r="S106" s="25" t="str">
        <f>IF(S108="x","x","")</f>
        <v/>
      </c>
      <c r="T106" s="25" t="s">
        <v>31</v>
      </c>
      <c r="U106" s="26"/>
      <c r="V106" s="27"/>
    </row>
    <row r="107" spans="1:22" ht="18.600000000000001" customHeight="1" x14ac:dyDescent="0.25">
      <c r="A107" s="18" t="s">
        <v>350</v>
      </c>
      <c r="B107" s="18" t="s">
        <v>947</v>
      </c>
      <c r="C107" s="18" t="s">
        <v>351</v>
      </c>
      <c r="D107" s="18" t="s">
        <v>26</v>
      </c>
      <c r="E107" s="18" t="s">
        <v>27</v>
      </c>
      <c r="F107" s="18" t="s">
        <v>352</v>
      </c>
      <c r="G107" s="18" t="s">
        <v>32</v>
      </c>
      <c r="H107" s="19">
        <v>2014</v>
      </c>
      <c r="I107" s="18" t="s">
        <v>359</v>
      </c>
      <c r="J107" s="101">
        <v>43</v>
      </c>
      <c r="K107" s="20">
        <v>446</v>
      </c>
      <c r="L107" s="21">
        <v>116.598226</v>
      </c>
      <c r="M107" s="22" t="s">
        <v>30</v>
      </c>
      <c r="N107" s="23">
        <v>116.598226</v>
      </c>
      <c r="O107" s="24">
        <v>0.26143099999999997</v>
      </c>
      <c r="P107" s="25" t="str">
        <f>IF(P108="x","x","")</f>
        <v/>
      </c>
      <c r="Q107" s="25" t="str">
        <f>IF(Q108="x","x","")</f>
        <v>x</v>
      </c>
      <c r="R107" s="25" t="str">
        <f>IF(R108="x","x","")</f>
        <v/>
      </c>
      <c r="S107" s="25" t="str">
        <f>IF(S108="x","x","")</f>
        <v/>
      </c>
      <c r="T107" s="25" t="s">
        <v>31</v>
      </c>
      <c r="U107" s="26"/>
      <c r="V107" s="27"/>
    </row>
    <row r="108" spans="1:22" ht="18.600000000000001" customHeight="1" thickBot="1" x14ac:dyDescent="0.3">
      <c r="A108" s="28" t="str">
        <f>A107</f>
        <v>Armenia</v>
      </c>
      <c r="B108" s="28" t="str">
        <f>B107</f>
        <v>Europe and Central Asia</v>
      </c>
      <c r="C108" s="28" t="str">
        <f>C107</f>
        <v>P115486</v>
      </c>
      <c r="D108" s="28" t="s">
        <v>26</v>
      </c>
      <c r="E108" s="28" t="s">
        <v>27</v>
      </c>
      <c r="F108" s="28" t="str">
        <f>F107</f>
        <v>P115486C1</v>
      </c>
      <c r="G108" s="28" t="s">
        <v>16</v>
      </c>
      <c r="H108" s="29" t="str">
        <f>H106&amp;" / "&amp;H107</f>
        <v>2009 / 2014</v>
      </c>
      <c r="I108" s="29" t="str">
        <f>I107</f>
        <v>Reconstruction</v>
      </c>
      <c r="J108" s="97">
        <f>IFERROR(J107/J106,"")</f>
        <v>6.1428571428571432</v>
      </c>
      <c r="K108" s="32">
        <f>K107/K106</f>
        <v>4.4689378757515028</v>
      </c>
      <c r="L108" s="32">
        <f>L107/L106</f>
        <v>4.3025175645756457</v>
      </c>
      <c r="M108" s="28"/>
      <c r="N108" s="32">
        <f>N107/N106</f>
        <v>4.3025175645756457</v>
      </c>
      <c r="O108" s="32">
        <f>O107/O106</f>
        <v>0.96276065682656797</v>
      </c>
      <c r="P108" s="33" t="str">
        <f>IF(K108&lt;50%,"x","")</f>
        <v/>
      </c>
      <c r="Q108" s="33" t="str">
        <f>IF(K108&gt;150%,"x","")</f>
        <v>x</v>
      </c>
      <c r="R108" s="33" t="str">
        <f>IF(O108&lt;50%,"x","")</f>
        <v/>
      </c>
      <c r="S108" s="33" t="str">
        <f>IF(O108&gt;150%,"x","")</f>
        <v/>
      </c>
      <c r="T108" s="33" t="s">
        <v>31</v>
      </c>
      <c r="U108" s="34" t="s">
        <v>1195</v>
      </c>
      <c r="V108" s="35" t="s">
        <v>1196</v>
      </c>
    </row>
    <row r="109" spans="1:22" ht="18.600000000000001" customHeight="1" thickTop="1" x14ac:dyDescent="0.25">
      <c r="A109" s="18" t="s">
        <v>350</v>
      </c>
      <c r="B109" s="18" t="s">
        <v>947</v>
      </c>
      <c r="C109" s="18" t="s">
        <v>412</v>
      </c>
      <c r="D109" s="18" t="s">
        <v>26</v>
      </c>
      <c r="E109" s="18" t="s">
        <v>27</v>
      </c>
      <c r="F109" s="18" t="s">
        <v>413</v>
      </c>
      <c r="G109" s="18" t="s">
        <v>29</v>
      </c>
      <c r="H109" s="19">
        <v>2000</v>
      </c>
      <c r="I109" s="18" t="s">
        <v>68</v>
      </c>
      <c r="J109" s="101" t="s">
        <v>27</v>
      </c>
      <c r="K109" s="20">
        <v>350.7</v>
      </c>
      <c r="L109" s="21">
        <v>26.8</v>
      </c>
      <c r="M109" s="22" t="s">
        <v>30</v>
      </c>
      <c r="N109" s="23">
        <v>26.8</v>
      </c>
      <c r="O109" s="24">
        <v>7.6418591388651272E-2</v>
      </c>
      <c r="P109" s="25" t="str">
        <f>IF(P111="x","x","")</f>
        <v/>
      </c>
      <c r="Q109" s="25" t="str">
        <f>IF(Q111="x","x","")</f>
        <v/>
      </c>
      <c r="R109" s="25" t="str">
        <f>IF(R111="x","x","")</f>
        <v/>
      </c>
      <c r="S109" s="25" t="str">
        <f>IF(S111="x","x","")</f>
        <v>x</v>
      </c>
      <c r="T109" s="25" t="s">
        <v>31</v>
      </c>
      <c r="U109" s="26"/>
      <c r="V109" s="27"/>
    </row>
    <row r="110" spans="1:22" ht="18.600000000000001" customHeight="1" x14ac:dyDescent="0.25">
      <c r="A110" s="18" t="s">
        <v>350</v>
      </c>
      <c r="B110" s="18" t="s">
        <v>947</v>
      </c>
      <c r="C110" s="18" t="s">
        <v>412</v>
      </c>
      <c r="D110" s="18" t="s">
        <v>26</v>
      </c>
      <c r="E110" s="18" t="s">
        <v>27</v>
      </c>
      <c r="F110" s="18" t="s">
        <v>413</v>
      </c>
      <c r="G110" s="18" t="s">
        <v>32</v>
      </c>
      <c r="H110" s="19">
        <v>2005</v>
      </c>
      <c r="I110" s="18" t="s">
        <v>68</v>
      </c>
      <c r="J110" s="101" t="s">
        <v>27</v>
      </c>
      <c r="K110" s="20">
        <v>227</v>
      </c>
      <c r="L110" s="21">
        <v>33.299999999999997</v>
      </c>
      <c r="M110" s="22" t="s">
        <v>30</v>
      </c>
      <c r="N110" s="23">
        <v>33.299999999999997</v>
      </c>
      <c r="O110" s="24">
        <v>0.14669603524229075</v>
      </c>
      <c r="P110" s="25" t="str">
        <f>IF(P111="x","x","")</f>
        <v/>
      </c>
      <c r="Q110" s="25" t="str">
        <f>IF(Q111="x","x","")</f>
        <v/>
      </c>
      <c r="R110" s="25" t="str">
        <f>IF(R111="x","x","")</f>
        <v/>
      </c>
      <c r="S110" s="25" t="str">
        <f>IF(S111="x","x","")</f>
        <v>x</v>
      </c>
      <c r="T110" s="25" t="s">
        <v>31</v>
      </c>
      <c r="U110" s="26"/>
      <c r="V110" s="27"/>
    </row>
    <row r="111" spans="1:22" ht="18.600000000000001" customHeight="1" thickBot="1" x14ac:dyDescent="0.3">
      <c r="A111" s="28" t="str">
        <f>A110</f>
        <v>Armenia</v>
      </c>
      <c r="B111" s="28" t="str">
        <f>B110</f>
        <v>Europe and Central Asia</v>
      </c>
      <c r="C111" s="28" t="str">
        <f>C110</f>
        <v>P044829</v>
      </c>
      <c r="D111" s="28" t="s">
        <v>26</v>
      </c>
      <c r="E111" s="28" t="s">
        <v>27</v>
      </c>
      <c r="F111" s="28" t="str">
        <f>F110</f>
        <v>P044829C1</v>
      </c>
      <c r="G111" s="28" t="s">
        <v>16</v>
      </c>
      <c r="H111" s="29" t="str">
        <f>H109&amp;" / "&amp;H110</f>
        <v>2000 / 2005</v>
      </c>
      <c r="I111" s="29" t="str">
        <f>I110</f>
        <v>Asphalt Mix Resurfacing</v>
      </c>
      <c r="J111" s="97" t="str">
        <f>IFERROR(J110/J109,"")</f>
        <v/>
      </c>
      <c r="K111" s="32">
        <f>K110/K109</f>
        <v>0.64727687482178498</v>
      </c>
      <c r="L111" s="32">
        <f>L110/L109</f>
        <v>1.2425373134328357</v>
      </c>
      <c r="M111" s="28"/>
      <c r="N111" s="32">
        <f>N110/N109</f>
        <v>1.2425373134328357</v>
      </c>
      <c r="O111" s="32">
        <f>O110/O109</f>
        <v>1.9196380432638569</v>
      </c>
      <c r="P111" s="33" t="str">
        <f>IF(K111&lt;50%,"x","")</f>
        <v/>
      </c>
      <c r="Q111" s="33" t="str">
        <f>IF(K111&gt;150%,"x","")</f>
        <v/>
      </c>
      <c r="R111" s="33" t="str">
        <f>IF(O111&lt;50%,"x","")</f>
        <v/>
      </c>
      <c r="S111" s="33" t="str">
        <f>IF(O111&gt;150%,"x","")</f>
        <v>x</v>
      </c>
      <c r="T111" s="33" t="s">
        <v>31</v>
      </c>
      <c r="U111" s="34" t="s">
        <v>974</v>
      </c>
      <c r="V111" s="35" t="s">
        <v>975</v>
      </c>
    </row>
    <row r="112" spans="1:22" ht="18.600000000000001" customHeight="1" thickTop="1" x14ac:dyDescent="0.25">
      <c r="A112" s="18" t="s">
        <v>350</v>
      </c>
      <c r="B112" s="18" t="s">
        <v>947</v>
      </c>
      <c r="C112" s="18" t="s">
        <v>412</v>
      </c>
      <c r="D112" s="18" t="s">
        <v>26</v>
      </c>
      <c r="E112" s="18" t="s">
        <v>36</v>
      </c>
      <c r="F112" s="18" t="s">
        <v>414</v>
      </c>
      <c r="G112" s="18" t="s">
        <v>29</v>
      </c>
      <c r="H112" s="19">
        <v>2000</v>
      </c>
      <c r="I112" s="18" t="s">
        <v>78</v>
      </c>
      <c r="J112" s="101">
        <v>15</v>
      </c>
      <c r="K112" s="20">
        <v>18.7</v>
      </c>
      <c r="L112" s="21">
        <v>1.19</v>
      </c>
      <c r="M112" s="22" t="s">
        <v>30</v>
      </c>
      <c r="N112" s="23">
        <v>1.19</v>
      </c>
      <c r="O112" s="24">
        <v>6.363636363636363E-2</v>
      </c>
      <c r="P112" s="25" t="str">
        <f>IF(P114="x","x","")</f>
        <v/>
      </c>
      <c r="Q112" s="25" t="str">
        <f>IF(Q114="x","x","")</f>
        <v/>
      </c>
      <c r="R112" s="25" t="str">
        <f>IF(R114="x","x","")</f>
        <v/>
      </c>
      <c r="S112" s="25" t="str">
        <f>IF(S114="x","x","")</f>
        <v/>
      </c>
      <c r="T112" s="25" t="s">
        <v>27</v>
      </c>
      <c r="U112" s="26"/>
      <c r="V112" s="27"/>
    </row>
    <row r="113" spans="1:22" ht="18.600000000000001" customHeight="1" x14ac:dyDescent="0.25">
      <c r="A113" s="18" t="s">
        <v>350</v>
      </c>
      <c r="B113" s="18" t="s">
        <v>947</v>
      </c>
      <c r="C113" s="18" t="s">
        <v>412</v>
      </c>
      <c r="D113" s="18" t="s">
        <v>26</v>
      </c>
      <c r="E113" s="18" t="s">
        <v>36</v>
      </c>
      <c r="F113" s="18" t="s">
        <v>414</v>
      </c>
      <c r="G113" s="18" t="s">
        <v>32</v>
      </c>
      <c r="H113" s="19">
        <v>2005</v>
      </c>
      <c r="I113" s="18" t="s">
        <v>78</v>
      </c>
      <c r="J113" s="101" t="s">
        <v>27</v>
      </c>
      <c r="K113" s="20">
        <v>18.7</v>
      </c>
      <c r="L113" s="21">
        <v>1.2000000000000002</v>
      </c>
      <c r="M113" s="22" t="s">
        <v>30</v>
      </c>
      <c r="N113" s="23">
        <v>1.2000000000000002</v>
      </c>
      <c r="O113" s="24">
        <v>6.4171122994652413E-2</v>
      </c>
      <c r="P113" s="25" t="str">
        <f>IF(P114="x","x","")</f>
        <v/>
      </c>
      <c r="Q113" s="25" t="str">
        <f>IF(Q114="x","x","")</f>
        <v/>
      </c>
      <c r="R113" s="25" t="str">
        <f>IF(R114="x","x","")</f>
        <v/>
      </c>
      <c r="S113" s="25" t="str">
        <f>IF(S114="x","x","")</f>
        <v/>
      </c>
      <c r="T113" s="25" t="s">
        <v>27</v>
      </c>
      <c r="U113" s="26"/>
      <c r="V113" s="27"/>
    </row>
    <row r="114" spans="1:22" ht="18.600000000000001" customHeight="1" thickBot="1" x14ac:dyDescent="0.3">
      <c r="A114" s="28" t="str">
        <f>A113</f>
        <v>Armenia</v>
      </c>
      <c r="B114" s="28" t="str">
        <f>B113</f>
        <v>Europe and Central Asia</v>
      </c>
      <c r="C114" s="28" t="str">
        <f>C113</f>
        <v>P044829</v>
      </c>
      <c r="D114" s="28" t="s">
        <v>26</v>
      </c>
      <c r="E114" s="28" t="s">
        <v>27</v>
      </c>
      <c r="F114" s="28" t="str">
        <f>F113</f>
        <v>P044829C1S1</v>
      </c>
      <c r="G114" s="28" t="s">
        <v>16</v>
      </c>
      <c r="H114" s="29" t="str">
        <f>H112&amp;" / "&amp;H113</f>
        <v>2000 / 2005</v>
      </c>
      <c r="I114" s="29" t="str">
        <f>I113</f>
        <v>Surface Treatment Resurfacing</v>
      </c>
      <c r="J114" s="97" t="str">
        <f>IFERROR(J113/J112,"")</f>
        <v/>
      </c>
      <c r="K114" s="32">
        <f>K113/K112</f>
        <v>1</v>
      </c>
      <c r="L114" s="32">
        <f>L113/L112</f>
        <v>1.008403361344538</v>
      </c>
      <c r="M114" s="28"/>
      <c r="N114" s="32">
        <f>N113/N112</f>
        <v>1.008403361344538</v>
      </c>
      <c r="O114" s="32">
        <f>O113/O112</f>
        <v>1.008403361344538</v>
      </c>
      <c r="P114" s="33" t="str">
        <f>IF(K114&lt;50%,"x","")</f>
        <v/>
      </c>
      <c r="Q114" s="33" t="str">
        <f>IF(K114&gt;150%,"x","")</f>
        <v/>
      </c>
      <c r="R114" s="33" t="str">
        <f>IF(O114&lt;50%,"x","")</f>
        <v/>
      </c>
      <c r="S114" s="33" t="str">
        <f>IF(O114&gt;150%,"x","")</f>
        <v/>
      </c>
      <c r="T114" s="33" t="s">
        <v>27</v>
      </c>
      <c r="U114" s="34" t="s">
        <v>27</v>
      </c>
      <c r="V114" s="35" t="s">
        <v>27</v>
      </c>
    </row>
    <row r="115" spans="1:22" ht="18.600000000000001" customHeight="1" thickTop="1" x14ac:dyDescent="0.25">
      <c r="A115" s="18" t="s">
        <v>350</v>
      </c>
      <c r="B115" s="18" t="s">
        <v>947</v>
      </c>
      <c r="C115" s="18" t="s">
        <v>412</v>
      </c>
      <c r="D115" s="18" t="s">
        <v>26</v>
      </c>
      <c r="E115" s="18" t="s">
        <v>40</v>
      </c>
      <c r="F115" s="18" t="s">
        <v>415</v>
      </c>
      <c r="G115" s="18" t="s">
        <v>29</v>
      </c>
      <c r="H115" s="19">
        <v>2000</v>
      </c>
      <c r="I115" s="18" t="s">
        <v>68</v>
      </c>
      <c r="J115" s="101">
        <v>15</v>
      </c>
      <c r="K115" s="20">
        <v>8.5</v>
      </c>
      <c r="L115" s="21">
        <v>1.42</v>
      </c>
      <c r="M115" s="22" t="s">
        <v>30</v>
      </c>
      <c r="N115" s="23">
        <v>1.42</v>
      </c>
      <c r="O115" s="24">
        <v>0.16705882352941176</v>
      </c>
      <c r="P115" s="25" t="str">
        <f>IF(P117="x","x","")</f>
        <v/>
      </c>
      <c r="Q115" s="25" t="str">
        <f>IF(Q117="x","x","")</f>
        <v/>
      </c>
      <c r="R115" s="25" t="str">
        <f>IF(R117="x","x","")</f>
        <v/>
      </c>
      <c r="S115" s="25" t="str">
        <f>IF(S117="x","x","")</f>
        <v/>
      </c>
      <c r="T115" s="25" t="s">
        <v>27</v>
      </c>
      <c r="U115" s="26"/>
      <c r="V115" s="27"/>
    </row>
    <row r="116" spans="1:22" ht="18.600000000000001" customHeight="1" x14ac:dyDescent="0.25">
      <c r="A116" s="18" t="s">
        <v>350</v>
      </c>
      <c r="B116" s="18" t="s">
        <v>947</v>
      </c>
      <c r="C116" s="18" t="s">
        <v>412</v>
      </c>
      <c r="D116" s="18" t="s">
        <v>26</v>
      </c>
      <c r="E116" s="18" t="s">
        <v>40</v>
      </c>
      <c r="F116" s="18" t="s">
        <v>415</v>
      </c>
      <c r="G116" s="18" t="s">
        <v>32</v>
      </c>
      <c r="H116" s="19">
        <v>2005</v>
      </c>
      <c r="I116" s="18" t="s">
        <v>68</v>
      </c>
      <c r="J116" s="101" t="s">
        <v>27</v>
      </c>
      <c r="K116" s="20">
        <v>8.5</v>
      </c>
      <c r="L116" s="21">
        <v>1.671</v>
      </c>
      <c r="M116" s="22" t="s">
        <v>30</v>
      </c>
      <c r="N116" s="23">
        <v>1.671</v>
      </c>
      <c r="O116" s="24">
        <v>0.19658823529411765</v>
      </c>
      <c r="P116" s="25" t="str">
        <f>IF(P117="x","x","")</f>
        <v/>
      </c>
      <c r="Q116" s="25" t="str">
        <f>IF(Q117="x","x","")</f>
        <v/>
      </c>
      <c r="R116" s="25" t="str">
        <f>IF(R117="x","x","")</f>
        <v/>
      </c>
      <c r="S116" s="25" t="str">
        <f>IF(S117="x","x","")</f>
        <v/>
      </c>
      <c r="T116" s="25" t="s">
        <v>27</v>
      </c>
      <c r="U116" s="26"/>
      <c r="V116" s="27"/>
    </row>
    <row r="117" spans="1:22" ht="18.600000000000001" customHeight="1" thickBot="1" x14ac:dyDescent="0.3">
      <c r="A117" s="28" t="str">
        <f>A116</f>
        <v>Armenia</v>
      </c>
      <c r="B117" s="28" t="str">
        <f>B116</f>
        <v>Europe and Central Asia</v>
      </c>
      <c r="C117" s="28" t="str">
        <f>C116</f>
        <v>P044829</v>
      </c>
      <c r="D117" s="28" t="s">
        <v>26</v>
      </c>
      <c r="E117" s="28" t="s">
        <v>27</v>
      </c>
      <c r="F117" s="28" t="str">
        <f>F116</f>
        <v>P044829C1S2</v>
      </c>
      <c r="G117" s="28" t="s">
        <v>16</v>
      </c>
      <c r="H117" s="29" t="str">
        <f>H115&amp;" / "&amp;H116</f>
        <v>2000 / 2005</v>
      </c>
      <c r="I117" s="29" t="str">
        <f>I116</f>
        <v>Asphalt Mix Resurfacing</v>
      </c>
      <c r="J117" s="97" t="str">
        <f>IFERROR(J116/J115,"")</f>
        <v/>
      </c>
      <c r="K117" s="32">
        <f>K116/K115</f>
        <v>1</v>
      </c>
      <c r="L117" s="32">
        <f>L116/L115</f>
        <v>1.1767605633802818</v>
      </c>
      <c r="M117" s="28"/>
      <c r="N117" s="32">
        <f>N116/N115</f>
        <v>1.1767605633802818</v>
      </c>
      <c r="O117" s="32">
        <f>O116/O115</f>
        <v>1.1767605633802818</v>
      </c>
      <c r="P117" s="33" t="str">
        <f>IF(K117&lt;50%,"x","")</f>
        <v/>
      </c>
      <c r="Q117" s="33" t="str">
        <f>IF(K117&gt;150%,"x","")</f>
        <v/>
      </c>
      <c r="R117" s="33" t="str">
        <f>IF(O117&lt;50%,"x","")</f>
        <v/>
      </c>
      <c r="S117" s="33" t="str">
        <f>IF(O117&gt;150%,"x","")</f>
        <v/>
      </c>
      <c r="T117" s="33" t="s">
        <v>27</v>
      </c>
      <c r="U117" s="34" t="s">
        <v>27</v>
      </c>
      <c r="V117" s="35" t="s">
        <v>27</v>
      </c>
    </row>
    <row r="118" spans="1:22" ht="18.600000000000001" customHeight="1" thickTop="1" x14ac:dyDescent="0.25">
      <c r="A118" s="18" t="s">
        <v>350</v>
      </c>
      <c r="B118" s="18" t="s">
        <v>947</v>
      </c>
      <c r="C118" s="18" t="s">
        <v>412</v>
      </c>
      <c r="D118" s="18" t="s">
        <v>26</v>
      </c>
      <c r="E118" s="18" t="s">
        <v>69</v>
      </c>
      <c r="F118" s="18" t="s">
        <v>416</v>
      </c>
      <c r="G118" s="18" t="s">
        <v>29</v>
      </c>
      <c r="H118" s="19">
        <v>2000</v>
      </c>
      <c r="I118" s="18" t="s">
        <v>68</v>
      </c>
      <c r="J118" s="101">
        <v>15</v>
      </c>
      <c r="K118" s="20">
        <v>11.6</v>
      </c>
      <c r="L118" s="21">
        <v>1.03</v>
      </c>
      <c r="M118" s="22" t="s">
        <v>30</v>
      </c>
      <c r="N118" s="23">
        <v>1.03</v>
      </c>
      <c r="O118" s="24">
        <v>8.8793103448275873E-2</v>
      </c>
      <c r="P118" s="25" t="str">
        <f>IF(P120="x","x","")</f>
        <v/>
      </c>
      <c r="Q118" s="25" t="str">
        <f>IF(Q120="x","x","")</f>
        <v/>
      </c>
      <c r="R118" s="25" t="str">
        <f>IF(R120="x","x","")</f>
        <v/>
      </c>
      <c r="S118" s="25" t="str">
        <f>IF(S120="x","x","")</f>
        <v/>
      </c>
      <c r="T118" s="25" t="s">
        <v>27</v>
      </c>
      <c r="U118" s="26"/>
      <c r="V118" s="27"/>
    </row>
    <row r="119" spans="1:22" ht="18.600000000000001" customHeight="1" x14ac:dyDescent="0.25">
      <c r="A119" s="18" t="s">
        <v>350</v>
      </c>
      <c r="B119" s="18" t="s">
        <v>947</v>
      </c>
      <c r="C119" s="18" t="s">
        <v>412</v>
      </c>
      <c r="D119" s="18" t="s">
        <v>26</v>
      </c>
      <c r="E119" s="18" t="s">
        <v>69</v>
      </c>
      <c r="F119" s="18" t="s">
        <v>416</v>
      </c>
      <c r="G119" s="18" t="s">
        <v>32</v>
      </c>
      <c r="H119" s="19">
        <v>2005</v>
      </c>
      <c r="I119" s="18" t="s">
        <v>68</v>
      </c>
      <c r="J119" s="101" t="s">
        <v>27</v>
      </c>
      <c r="K119" s="20">
        <v>11.6</v>
      </c>
      <c r="L119" s="21">
        <v>1.17</v>
      </c>
      <c r="M119" s="22" t="s">
        <v>30</v>
      </c>
      <c r="N119" s="23">
        <v>1.17</v>
      </c>
      <c r="O119" s="24">
        <v>0.10086206896551723</v>
      </c>
      <c r="P119" s="25" t="str">
        <f>IF(P120="x","x","")</f>
        <v/>
      </c>
      <c r="Q119" s="25" t="str">
        <f>IF(Q120="x","x","")</f>
        <v/>
      </c>
      <c r="R119" s="25" t="str">
        <f>IF(R120="x","x","")</f>
        <v/>
      </c>
      <c r="S119" s="25" t="str">
        <f>IF(S120="x","x","")</f>
        <v/>
      </c>
      <c r="T119" s="25" t="s">
        <v>27</v>
      </c>
      <c r="U119" s="26"/>
      <c r="V119" s="27"/>
    </row>
    <row r="120" spans="1:22" ht="18.600000000000001" customHeight="1" thickBot="1" x14ac:dyDescent="0.3">
      <c r="A120" s="28" t="str">
        <f>A119</f>
        <v>Armenia</v>
      </c>
      <c r="B120" s="28" t="str">
        <f>B119</f>
        <v>Europe and Central Asia</v>
      </c>
      <c r="C120" s="28" t="str">
        <f>C119</f>
        <v>P044829</v>
      </c>
      <c r="D120" s="28" t="s">
        <v>26</v>
      </c>
      <c r="E120" s="28" t="s">
        <v>27</v>
      </c>
      <c r="F120" s="28" t="str">
        <f>F119</f>
        <v>P044829C1S3</v>
      </c>
      <c r="G120" s="28" t="s">
        <v>16</v>
      </c>
      <c r="H120" s="29" t="str">
        <f>H118&amp;" / "&amp;H119</f>
        <v>2000 / 2005</v>
      </c>
      <c r="I120" s="29" t="str">
        <f>I119</f>
        <v>Asphalt Mix Resurfacing</v>
      </c>
      <c r="J120" s="97" t="str">
        <f>IFERROR(J119/J118,"")</f>
        <v/>
      </c>
      <c r="K120" s="32">
        <f>K119/K118</f>
        <v>1</v>
      </c>
      <c r="L120" s="32">
        <f>L119/L118</f>
        <v>1.1359223300970873</v>
      </c>
      <c r="M120" s="28"/>
      <c r="N120" s="32">
        <f>N119/N118</f>
        <v>1.1359223300970873</v>
      </c>
      <c r="O120" s="32">
        <f>O119/O118</f>
        <v>1.1359223300970871</v>
      </c>
      <c r="P120" s="33" t="str">
        <f>IF(K120&lt;50%,"x","")</f>
        <v/>
      </c>
      <c r="Q120" s="33" t="str">
        <f>IF(K120&gt;150%,"x","")</f>
        <v/>
      </c>
      <c r="R120" s="33" t="str">
        <f>IF(O120&lt;50%,"x","")</f>
        <v/>
      </c>
      <c r="S120" s="33" t="str">
        <f>IF(O120&gt;150%,"x","")</f>
        <v/>
      </c>
      <c r="T120" s="33" t="s">
        <v>27</v>
      </c>
      <c r="U120" s="34" t="s">
        <v>27</v>
      </c>
      <c r="V120" s="35" t="s">
        <v>27</v>
      </c>
    </row>
    <row r="121" spans="1:22" ht="18.600000000000001" customHeight="1" thickTop="1" x14ac:dyDescent="0.25">
      <c r="A121" s="18" t="s">
        <v>350</v>
      </c>
      <c r="B121" s="18" t="s">
        <v>947</v>
      </c>
      <c r="C121" s="18" t="s">
        <v>412</v>
      </c>
      <c r="D121" s="18" t="s">
        <v>26</v>
      </c>
      <c r="E121" s="18" t="s">
        <v>71</v>
      </c>
      <c r="F121" s="18" t="s">
        <v>417</v>
      </c>
      <c r="G121" s="18" t="s">
        <v>29</v>
      </c>
      <c r="H121" s="19">
        <v>2000</v>
      </c>
      <c r="I121" s="18" t="s">
        <v>68</v>
      </c>
      <c r="J121" s="101">
        <v>14</v>
      </c>
      <c r="K121" s="20">
        <v>2.6</v>
      </c>
      <c r="L121" s="21">
        <v>0.6</v>
      </c>
      <c r="M121" s="22" t="s">
        <v>30</v>
      </c>
      <c r="N121" s="23">
        <v>0.6</v>
      </c>
      <c r="O121" s="24">
        <v>0.23076923076923075</v>
      </c>
      <c r="P121" s="25" t="str">
        <f>IF(P123="x","x","")</f>
        <v/>
      </c>
      <c r="Q121" s="25" t="str">
        <f>IF(Q123="x","x","")</f>
        <v/>
      </c>
      <c r="R121" s="25" t="str">
        <f>IF(R123="x","x","")</f>
        <v/>
      </c>
      <c r="S121" s="25" t="str">
        <f>IF(S123="x","x","")</f>
        <v/>
      </c>
      <c r="T121" s="25" t="s">
        <v>27</v>
      </c>
      <c r="U121" s="26"/>
      <c r="V121" s="27"/>
    </row>
    <row r="122" spans="1:22" ht="18.600000000000001" customHeight="1" x14ac:dyDescent="0.25">
      <c r="A122" s="18" t="s">
        <v>350</v>
      </c>
      <c r="B122" s="18" t="s">
        <v>947</v>
      </c>
      <c r="C122" s="18" t="s">
        <v>412</v>
      </c>
      <c r="D122" s="18" t="s">
        <v>26</v>
      </c>
      <c r="E122" s="18" t="s">
        <v>71</v>
      </c>
      <c r="F122" s="18" t="s">
        <v>417</v>
      </c>
      <c r="G122" s="18" t="s">
        <v>32</v>
      </c>
      <c r="H122" s="19">
        <v>2005</v>
      </c>
      <c r="I122" s="18" t="s">
        <v>68</v>
      </c>
      <c r="J122" s="101" t="s">
        <v>27</v>
      </c>
      <c r="K122" s="20">
        <v>2.6</v>
      </c>
      <c r="L122" s="21">
        <v>0.55600000000000005</v>
      </c>
      <c r="M122" s="22" t="s">
        <v>30</v>
      </c>
      <c r="N122" s="23">
        <v>0.55600000000000005</v>
      </c>
      <c r="O122" s="24">
        <v>0.21384615384615385</v>
      </c>
      <c r="P122" s="25" t="str">
        <f>IF(P123="x","x","")</f>
        <v/>
      </c>
      <c r="Q122" s="25" t="str">
        <f>IF(Q123="x","x","")</f>
        <v/>
      </c>
      <c r="R122" s="25" t="str">
        <f>IF(R123="x","x","")</f>
        <v/>
      </c>
      <c r="S122" s="25" t="str">
        <f>IF(S123="x","x","")</f>
        <v/>
      </c>
      <c r="T122" s="25" t="s">
        <v>27</v>
      </c>
      <c r="U122" s="26"/>
      <c r="V122" s="27"/>
    </row>
    <row r="123" spans="1:22" ht="18.600000000000001" customHeight="1" thickBot="1" x14ac:dyDescent="0.3">
      <c r="A123" s="28" t="str">
        <f>A122</f>
        <v>Armenia</v>
      </c>
      <c r="B123" s="28" t="str">
        <f>B122</f>
        <v>Europe and Central Asia</v>
      </c>
      <c r="C123" s="28" t="str">
        <f>C122</f>
        <v>P044829</v>
      </c>
      <c r="D123" s="28" t="s">
        <v>26</v>
      </c>
      <c r="E123" s="28" t="s">
        <v>27</v>
      </c>
      <c r="F123" s="28" t="str">
        <f>F122</f>
        <v>P044829C1S4</v>
      </c>
      <c r="G123" s="28" t="s">
        <v>16</v>
      </c>
      <c r="H123" s="29" t="str">
        <f>H121&amp;" / "&amp;H122</f>
        <v>2000 / 2005</v>
      </c>
      <c r="I123" s="29" t="str">
        <f>I122</f>
        <v>Asphalt Mix Resurfacing</v>
      </c>
      <c r="J123" s="97" t="str">
        <f>IFERROR(J122/J121,"")</f>
        <v/>
      </c>
      <c r="K123" s="32">
        <f>K122/K121</f>
        <v>1</v>
      </c>
      <c r="L123" s="32">
        <f>L122/L121</f>
        <v>0.92666666666666675</v>
      </c>
      <c r="M123" s="28"/>
      <c r="N123" s="32">
        <f>N122/N121</f>
        <v>0.92666666666666675</v>
      </c>
      <c r="O123" s="32">
        <f>O122/O121</f>
        <v>0.92666666666666675</v>
      </c>
      <c r="P123" s="33" t="str">
        <f>IF(K123&lt;50%,"x","")</f>
        <v/>
      </c>
      <c r="Q123" s="33" t="str">
        <f>IF(K123&gt;150%,"x","")</f>
        <v/>
      </c>
      <c r="R123" s="33" t="str">
        <f>IF(O123&lt;50%,"x","")</f>
        <v/>
      </c>
      <c r="S123" s="33" t="str">
        <f>IF(O123&gt;150%,"x","")</f>
        <v/>
      </c>
      <c r="T123" s="33" t="s">
        <v>27</v>
      </c>
      <c r="U123" s="34" t="s">
        <v>27</v>
      </c>
      <c r="V123" s="35" t="s">
        <v>27</v>
      </c>
    </row>
    <row r="124" spans="1:22" ht="18.600000000000001" customHeight="1" thickTop="1" x14ac:dyDescent="0.25">
      <c r="A124" s="18" t="s">
        <v>350</v>
      </c>
      <c r="B124" s="18" t="s">
        <v>947</v>
      </c>
      <c r="C124" s="18" t="s">
        <v>412</v>
      </c>
      <c r="D124" s="18" t="s">
        <v>26</v>
      </c>
      <c r="E124" s="18" t="s">
        <v>141</v>
      </c>
      <c r="F124" s="18" t="s">
        <v>418</v>
      </c>
      <c r="G124" s="18" t="s">
        <v>29</v>
      </c>
      <c r="H124" s="19">
        <v>2000</v>
      </c>
      <c r="I124" s="18" t="s">
        <v>68</v>
      </c>
      <c r="J124" s="101">
        <v>14</v>
      </c>
      <c r="K124" s="20">
        <v>16</v>
      </c>
      <c r="L124" s="21">
        <v>1.75</v>
      </c>
      <c r="M124" s="22" t="s">
        <v>30</v>
      </c>
      <c r="N124" s="23">
        <v>1.75</v>
      </c>
      <c r="O124" s="24">
        <v>0.109375</v>
      </c>
      <c r="P124" s="25" t="str">
        <f>IF(P126="x","x","")</f>
        <v/>
      </c>
      <c r="Q124" s="25" t="str">
        <f>IF(Q126="x","x","")</f>
        <v/>
      </c>
      <c r="R124" s="25" t="str">
        <f>IF(R126="x","x","")</f>
        <v/>
      </c>
      <c r="S124" s="25" t="str">
        <f>IF(S126="x","x","")</f>
        <v/>
      </c>
      <c r="T124" s="25" t="s">
        <v>27</v>
      </c>
      <c r="U124" s="26"/>
      <c r="V124" s="27"/>
    </row>
    <row r="125" spans="1:22" ht="18.600000000000001" customHeight="1" x14ac:dyDescent="0.25">
      <c r="A125" s="18" t="s">
        <v>350</v>
      </c>
      <c r="B125" s="18" t="s">
        <v>947</v>
      </c>
      <c r="C125" s="18" t="s">
        <v>412</v>
      </c>
      <c r="D125" s="18" t="s">
        <v>26</v>
      </c>
      <c r="E125" s="18" t="s">
        <v>141</v>
      </c>
      <c r="F125" s="18" t="s">
        <v>418</v>
      </c>
      <c r="G125" s="18" t="s">
        <v>32</v>
      </c>
      <c r="H125" s="19">
        <v>2005</v>
      </c>
      <c r="I125" s="18" t="s">
        <v>68</v>
      </c>
      <c r="J125" s="101" t="s">
        <v>27</v>
      </c>
      <c r="K125" s="20">
        <v>16</v>
      </c>
      <c r="L125" s="21">
        <v>1.9020000000000001</v>
      </c>
      <c r="M125" s="22" t="s">
        <v>30</v>
      </c>
      <c r="N125" s="23">
        <v>1.9020000000000001</v>
      </c>
      <c r="O125" s="24">
        <v>0.11887500000000001</v>
      </c>
      <c r="P125" s="25" t="str">
        <f>IF(P126="x","x","")</f>
        <v/>
      </c>
      <c r="Q125" s="25" t="str">
        <f>IF(Q126="x","x","")</f>
        <v/>
      </c>
      <c r="R125" s="25" t="str">
        <f>IF(R126="x","x","")</f>
        <v/>
      </c>
      <c r="S125" s="25" t="str">
        <f>IF(S126="x","x","")</f>
        <v/>
      </c>
      <c r="T125" s="25" t="s">
        <v>27</v>
      </c>
      <c r="U125" s="26"/>
      <c r="V125" s="27"/>
    </row>
    <row r="126" spans="1:22" ht="18.600000000000001" customHeight="1" thickBot="1" x14ac:dyDescent="0.3">
      <c r="A126" s="28" t="str">
        <f>A125</f>
        <v>Armenia</v>
      </c>
      <c r="B126" s="28" t="str">
        <f>B125</f>
        <v>Europe and Central Asia</v>
      </c>
      <c r="C126" s="28" t="str">
        <f>C125</f>
        <v>P044829</v>
      </c>
      <c r="D126" s="28" t="s">
        <v>26</v>
      </c>
      <c r="E126" s="28" t="s">
        <v>27</v>
      </c>
      <c r="F126" s="28" t="str">
        <f>F125</f>
        <v>P044829C1S5</v>
      </c>
      <c r="G126" s="28" t="s">
        <v>16</v>
      </c>
      <c r="H126" s="29" t="str">
        <f>H124&amp;" / "&amp;H125</f>
        <v>2000 / 2005</v>
      </c>
      <c r="I126" s="29" t="str">
        <f>I125</f>
        <v>Asphalt Mix Resurfacing</v>
      </c>
      <c r="J126" s="97" t="str">
        <f>IFERROR(J125/J124,"")</f>
        <v/>
      </c>
      <c r="K126" s="32">
        <f>K125/K124</f>
        <v>1</v>
      </c>
      <c r="L126" s="32">
        <f>L125/L124</f>
        <v>1.086857142857143</v>
      </c>
      <c r="M126" s="28"/>
      <c r="N126" s="32">
        <f>N125/N124</f>
        <v>1.086857142857143</v>
      </c>
      <c r="O126" s="32">
        <f>O125/O124</f>
        <v>1.086857142857143</v>
      </c>
      <c r="P126" s="33" t="str">
        <f>IF(K126&lt;50%,"x","")</f>
        <v/>
      </c>
      <c r="Q126" s="33" t="str">
        <f>IF(K126&gt;150%,"x","")</f>
        <v/>
      </c>
      <c r="R126" s="33" t="str">
        <f>IF(O126&lt;50%,"x","")</f>
        <v/>
      </c>
      <c r="S126" s="33" t="str">
        <f>IF(O126&gt;150%,"x","")</f>
        <v/>
      </c>
      <c r="T126" s="33" t="s">
        <v>27</v>
      </c>
      <c r="U126" s="34" t="s">
        <v>27</v>
      </c>
      <c r="V126" s="35" t="s">
        <v>27</v>
      </c>
    </row>
    <row r="127" spans="1:22" ht="18.600000000000001" customHeight="1" thickTop="1" x14ac:dyDescent="0.25">
      <c r="A127" s="18" t="s">
        <v>350</v>
      </c>
      <c r="B127" s="18" t="s">
        <v>947</v>
      </c>
      <c r="C127" s="18" t="s">
        <v>412</v>
      </c>
      <c r="D127" s="18" t="s">
        <v>26</v>
      </c>
      <c r="E127" s="18" t="s">
        <v>143</v>
      </c>
      <c r="F127" s="18" t="s">
        <v>419</v>
      </c>
      <c r="G127" s="18" t="s">
        <v>29</v>
      </c>
      <c r="H127" s="19">
        <v>2000</v>
      </c>
      <c r="I127" s="18" t="s">
        <v>68</v>
      </c>
      <c r="J127" s="101">
        <v>14</v>
      </c>
      <c r="K127" s="20">
        <v>10.4</v>
      </c>
      <c r="L127" s="21">
        <v>1.24</v>
      </c>
      <c r="M127" s="22" t="s">
        <v>30</v>
      </c>
      <c r="N127" s="23">
        <v>1.24</v>
      </c>
      <c r="O127" s="24">
        <v>0.11923076923076922</v>
      </c>
      <c r="P127" s="25" t="str">
        <f>IF(P129="x","x","")</f>
        <v/>
      </c>
      <c r="Q127" s="25" t="str">
        <f>IF(Q129="x","x","")</f>
        <v/>
      </c>
      <c r="R127" s="25" t="str">
        <f>IF(R129="x","x","")</f>
        <v/>
      </c>
      <c r="S127" s="25" t="str">
        <f>IF(S129="x","x","")</f>
        <v/>
      </c>
      <c r="T127" s="25" t="s">
        <v>27</v>
      </c>
      <c r="U127" s="26"/>
      <c r="V127" s="27"/>
    </row>
    <row r="128" spans="1:22" ht="18.600000000000001" customHeight="1" x14ac:dyDescent="0.25">
      <c r="A128" s="18" t="s">
        <v>350</v>
      </c>
      <c r="B128" s="18" t="s">
        <v>947</v>
      </c>
      <c r="C128" s="18" t="s">
        <v>412</v>
      </c>
      <c r="D128" s="18" t="s">
        <v>26</v>
      </c>
      <c r="E128" s="18" t="s">
        <v>143</v>
      </c>
      <c r="F128" s="18" t="s">
        <v>419</v>
      </c>
      <c r="G128" s="18" t="s">
        <v>32</v>
      </c>
      <c r="H128" s="19">
        <v>2005</v>
      </c>
      <c r="I128" s="18" t="s">
        <v>68</v>
      </c>
      <c r="J128" s="101" t="s">
        <v>27</v>
      </c>
      <c r="K128" s="20">
        <v>10.4</v>
      </c>
      <c r="L128" s="21">
        <v>1.1200000000000001</v>
      </c>
      <c r="M128" s="22" t="s">
        <v>30</v>
      </c>
      <c r="N128" s="23">
        <v>1.1200000000000001</v>
      </c>
      <c r="O128" s="24">
        <v>0.1076923076923077</v>
      </c>
      <c r="P128" s="25" t="str">
        <f>IF(P129="x","x","")</f>
        <v/>
      </c>
      <c r="Q128" s="25" t="str">
        <f>IF(Q129="x","x","")</f>
        <v/>
      </c>
      <c r="R128" s="25" t="str">
        <f>IF(R129="x","x","")</f>
        <v/>
      </c>
      <c r="S128" s="25" t="str">
        <f>IF(S129="x","x","")</f>
        <v/>
      </c>
      <c r="T128" s="25" t="s">
        <v>27</v>
      </c>
      <c r="U128" s="26"/>
      <c r="V128" s="27"/>
    </row>
    <row r="129" spans="1:22" ht="18.600000000000001" customHeight="1" thickBot="1" x14ac:dyDescent="0.3">
      <c r="A129" s="28" t="str">
        <f>A128</f>
        <v>Armenia</v>
      </c>
      <c r="B129" s="28" t="str">
        <f>B128</f>
        <v>Europe and Central Asia</v>
      </c>
      <c r="C129" s="28" t="str">
        <f>C128</f>
        <v>P044829</v>
      </c>
      <c r="D129" s="28" t="s">
        <v>26</v>
      </c>
      <c r="E129" s="28" t="s">
        <v>27</v>
      </c>
      <c r="F129" s="28" t="str">
        <f>F128</f>
        <v>P044829C1S6</v>
      </c>
      <c r="G129" s="28" t="s">
        <v>16</v>
      </c>
      <c r="H129" s="29" t="str">
        <f>H127&amp;" / "&amp;H128</f>
        <v>2000 / 2005</v>
      </c>
      <c r="I129" s="29" t="str">
        <f>I128</f>
        <v>Asphalt Mix Resurfacing</v>
      </c>
      <c r="J129" s="97" t="str">
        <f>IFERROR(J128/J127,"")</f>
        <v/>
      </c>
      <c r="K129" s="32">
        <f>K128/K127</f>
        <v>1</v>
      </c>
      <c r="L129" s="32">
        <f>L128/L127</f>
        <v>0.90322580645161299</v>
      </c>
      <c r="M129" s="28"/>
      <c r="N129" s="32">
        <f>N128/N127</f>
        <v>0.90322580645161299</v>
      </c>
      <c r="O129" s="32">
        <f>O128/O127</f>
        <v>0.90322580645161299</v>
      </c>
      <c r="P129" s="33" t="str">
        <f>IF(K129&lt;50%,"x","")</f>
        <v/>
      </c>
      <c r="Q129" s="33" t="str">
        <f>IF(K129&gt;150%,"x","")</f>
        <v/>
      </c>
      <c r="R129" s="33" t="str">
        <f>IF(O129&lt;50%,"x","")</f>
        <v/>
      </c>
      <c r="S129" s="33" t="str">
        <f>IF(O129&gt;150%,"x","")</f>
        <v/>
      </c>
      <c r="T129" s="33" t="s">
        <v>27</v>
      </c>
      <c r="U129" s="34" t="s">
        <v>27</v>
      </c>
      <c r="V129" s="35" t="s">
        <v>27</v>
      </c>
    </row>
    <row r="130" spans="1:22" ht="18.600000000000001" customHeight="1" thickTop="1" x14ac:dyDescent="0.25">
      <c r="A130" s="18" t="s">
        <v>404</v>
      </c>
      <c r="B130" s="18" t="s">
        <v>947</v>
      </c>
      <c r="C130" s="18" t="s">
        <v>405</v>
      </c>
      <c r="D130" s="18" t="s">
        <v>26</v>
      </c>
      <c r="E130" s="18" t="s">
        <v>36</v>
      </c>
      <c r="F130" s="18" t="s">
        <v>406</v>
      </c>
      <c r="G130" s="18" t="s">
        <v>29</v>
      </c>
      <c r="H130" s="19">
        <v>2001</v>
      </c>
      <c r="I130" s="18" t="s">
        <v>359</v>
      </c>
      <c r="J130" s="101" t="s">
        <v>27</v>
      </c>
      <c r="K130" s="20">
        <v>21.3</v>
      </c>
      <c r="L130" s="21">
        <v>9.01</v>
      </c>
      <c r="M130" s="22" t="s">
        <v>30</v>
      </c>
      <c r="N130" s="23">
        <v>9.01</v>
      </c>
      <c r="O130" s="24">
        <v>0.42300469483568071</v>
      </c>
      <c r="P130" s="25" t="str">
        <f>IF(P132="x","x","")</f>
        <v/>
      </c>
      <c r="Q130" s="25" t="str">
        <f>IF(Q132="x","x","")</f>
        <v/>
      </c>
      <c r="R130" s="25" t="str">
        <f>IF(R132="x","x","")</f>
        <v/>
      </c>
      <c r="S130" s="25" t="str">
        <f>IF(S132="x","x","")</f>
        <v/>
      </c>
      <c r="T130" s="25" t="s">
        <v>27</v>
      </c>
      <c r="U130" s="26"/>
      <c r="V130" s="27"/>
    </row>
    <row r="131" spans="1:22" ht="18.600000000000001" customHeight="1" x14ac:dyDescent="0.25">
      <c r="A131" s="18" t="s">
        <v>404</v>
      </c>
      <c r="B131" s="18" t="s">
        <v>947</v>
      </c>
      <c r="C131" s="18" t="s">
        <v>405</v>
      </c>
      <c r="D131" s="18" t="s">
        <v>26</v>
      </c>
      <c r="E131" s="18" t="s">
        <v>36</v>
      </c>
      <c r="F131" s="18" t="s">
        <v>406</v>
      </c>
      <c r="G131" s="18" t="s">
        <v>32</v>
      </c>
      <c r="H131" s="19">
        <v>2009</v>
      </c>
      <c r="I131" s="18" t="s">
        <v>359</v>
      </c>
      <c r="J131" s="101" t="s">
        <v>27</v>
      </c>
      <c r="K131" s="20">
        <v>21.3</v>
      </c>
      <c r="L131" s="21">
        <v>7.5</v>
      </c>
      <c r="M131" s="22" t="s">
        <v>30</v>
      </c>
      <c r="N131" s="23">
        <v>7.5</v>
      </c>
      <c r="O131" s="24">
        <v>0.352112676056338</v>
      </c>
      <c r="P131" s="25" t="str">
        <f>IF(P132="x","x","")</f>
        <v/>
      </c>
      <c r="Q131" s="25" t="str">
        <f>IF(Q132="x","x","")</f>
        <v/>
      </c>
      <c r="R131" s="25" t="str">
        <f>IF(R132="x","x","")</f>
        <v/>
      </c>
      <c r="S131" s="25" t="str">
        <f>IF(S132="x","x","")</f>
        <v/>
      </c>
      <c r="T131" s="25" t="s">
        <v>27</v>
      </c>
      <c r="U131" s="26"/>
      <c r="V131" s="27"/>
    </row>
    <row r="132" spans="1:22" ht="18.600000000000001" customHeight="1" thickBot="1" x14ac:dyDescent="0.3">
      <c r="A132" s="28" t="str">
        <f>A131</f>
        <v>Azerbaijan</v>
      </c>
      <c r="B132" s="28" t="str">
        <f>B131</f>
        <v>Europe and Central Asia</v>
      </c>
      <c r="C132" s="28" t="str">
        <f>C131</f>
        <v>P040716</v>
      </c>
      <c r="D132" s="28" t="s">
        <v>26</v>
      </c>
      <c r="E132" s="28" t="s">
        <v>27</v>
      </c>
      <c r="F132" s="28" t="str">
        <f>F131</f>
        <v>P040716C1S1</v>
      </c>
      <c r="G132" s="28" t="s">
        <v>16</v>
      </c>
      <c r="H132" s="29" t="str">
        <f>H130&amp;" / "&amp;H131</f>
        <v>2001 / 2009</v>
      </c>
      <c r="I132" s="29" t="str">
        <f>I131</f>
        <v>Reconstruction</v>
      </c>
      <c r="J132" s="97" t="str">
        <f>IFERROR(J131/J130,"")</f>
        <v/>
      </c>
      <c r="K132" s="32">
        <f>K131/K130</f>
        <v>1</v>
      </c>
      <c r="L132" s="32">
        <f>L131/L130</f>
        <v>0.83240843507214213</v>
      </c>
      <c r="M132" s="28"/>
      <c r="N132" s="32">
        <f>N131/N130</f>
        <v>0.83240843507214213</v>
      </c>
      <c r="O132" s="32">
        <f>O131/O130</f>
        <v>0.83240843507214213</v>
      </c>
      <c r="P132" s="33" t="str">
        <f>IF(K132&lt;50%,"x","")</f>
        <v/>
      </c>
      <c r="Q132" s="33" t="str">
        <f>IF(K132&gt;150%,"x","")</f>
        <v/>
      </c>
      <c r="R132" s="33" t="str">
        <f>IF(O132&lt;50%,"x","")</f>
        <v/>
      </c>
      <c r="S132" s="33" t="str">
        <f>IF(O132&gt;150%,"x","")</f>
        <v/>
      </c>
      <c r="T132" s="33" t="s">
        <v>27</v>
      </c>
      <c r="U132" s="34" t="s">
        <v>27</v>
      </c>
      <c r="V132" s="35" t="s">
        <v>27</v>
      </c>
    </row>
    <row r="133" spans="1:22" ht="18.600000000000001" customHeight="1" thickTop="1" x14ac:dyDescent="0.25">
      <c r="A133" s="18" t="s">
        <v>404</v>
      </c>
      <c r="B133" s="18" t="s">
        <v>947</v>
      </c>
      <c r="C133" s="18" t="s">
        <v>405</v>
      </c>
      <c r="D133" s="18" t="s">
        <v>26</v>
      </c>
      <c r="E133" s="18" t="s">
        <v>40</v>
      </c>
      <c r="F133" s="18" t="s">
        <v>407</v>
      </c>
      <c r="G133" s="18" t="s">
        <v>29</v>
      </c>
      <c r="H133" s="19">
        <v>2001</v>
      </c>
      <c r="I133" s="18" t="s">
        <v>359</v>
      </c>
      <c r="J133" s="101" t="s">
        <v>27</v>
      </c>
      <c r="K133" s="20">
        <v>72.7</v>
      </c>
      <c r="L133" s="21">
        <v>34.43</v>
      </c>
      <c r="M133" s="22" t="s">
        <v>30</v>
      </c>
      <c r="N133" s="23">
        <v>34.43</v>
      </c>
      <c r="O133" s="24">
        <v>0.47359009628610726</v>
      </c>
      <c r="P133" s="25" t="str">
        <f>IF(P135="x","x","")</f>
        <v/>
      </c>
      <c r="Q133" s="25" t="str">
        <f>IF(Q135="x","x","")</f>
        <v/>
      </c>
      <c r="R133" s="25" t="str">
        <f>IF(R135="x","x","")</f>
        <v/>
      </c>
      <c r="S133" s="25" t="str">
        <f>IF(S135="x","x","")</f>
        <v/>
      </c>
      <c r="T133" s="25" t="s">
        <v>27</v>
      </c>
      <c r="U133" s="26"/>
      <c r="V133" s="27"/>
    </row>
    <row r="134" spans="1:22" ht="18.600000000000001" customHeight="1" x14ac:dyDescent="0.25">
      <c r="A134" s="18" t="s">
        <v>404</v>
      </c>
      <c r="B134" s="18" t="s">
        <v>947</v>
      </c>
      <c r="C134" s="18" t="s">
        <v>405</v>
      </c>
      <c r="D134" s="18" t="s">
        <v>26</v>
      </c>
      <c r="E134" s="18" t="s">
        <v>40</v>
      </c>
      <c r="F134" s="18" t="s">
        <v>407</v>
      </c>
      <c r="G134" s="18" t="s">
        <v>32</v>
      </c>
      <c r="H134" s="19">
        <v>2009</v>
      </c>
      <c r="I134" s="18" t="s">
        <v>359</v>
      </c>
      <c r="J134" s="101" t="s">
        <v>27</v>
      </c>
      <c r="K134" s="20">
        <v>72.7</v>
      </c>
      <c r="L134" s="21">
        <v>30.8</v>
      </c>
      <c r="M134" s="22" t="s">
        <v>30</v>
      </c>
      <c r="N134" s="23">
        <v>30.8</v>
      </c>
      <c r="O134" s="24">
        <v>0.4236588720770289</v>
      </c>
      <c r="P134" s="25" t="str">
        <f>IF(P135="x","x","")</f>
        <v/>
      </c>
      <c r="Q134" s="25" t="str">
        <f>IF(Q135="x","x","")</f>
        <v/>
      </c>
      <c r="R134" s="25" t="str">
        <f>IF(R135="x","x","")</f>
        <v/>
      </c>
      <c r="S134" s="25" t="str">
        <f>IF(S135="x","x","")</f>
        <v/>
      </c>
      <c r="T134" s="25" t="s">
        <v>27</v>
      </c>
      <c r="U134" s="26"/>
      <c r="V134" s="27"/>
    </row>
    <row r="135" spans="1:22" ht="18.600000000000001" customHeight="1" thickBot="1" x14ac:dyDescent="0.3">
      <c r="A135" s="28" t="str">
        <f>A134</f>
        <v>Azerbaijan</v>
      </c>
      <c r="B135" s="28" t="str">
        <f>B134</f>
        <v>Europe and Central Asia</v>
      </c>
      <c r="C135" s="28" t="str">
        <f>C134</f>
        <v>P040716</v>
      </c>
      <c r="D135" s="28" t="s">
        <v>26</v>
      </c>
      <c r="E135" s="28" t="s">
        <v>27</v>
      </c>
      <c r="F135" s="28" t="str">
        <f>F134</f>
        <v>P040716C1S2</v>
      </c>
      <c r="G135" s="28" t="s">
        <v>16</v>
      </c>
      <c r="H135" s="29" t="str">
        <f>H133&amp;" / "&amp;H134</f>
        <v>2001 / 2009</v>
      </c>
      <c r="I135" s="29" t="str">
        <f>I134</f>
        <v>Reconstruction</v>
      </c>
      <c r="J135" s="97" t="str">
        <f>IFERROR(J134/J133,"")</f>
        <v/>
      </c>
      <c r="K135" s="32">
        <f>K134/K133</f>
        <v>1</v>
      </c>
      <c r="L135" s="32">
        <f>L134/L133</f>
        <v>0.89456869009584672</v>
      </c>
      <c r="M135" s="28"/>
      <c r="N135" s="32">
        <f>N134/N133</f>
        <v>0.89456869009584672</v>
      </c>
      <c r="O135" s="32">
        <f>O134/O133</f>
        <v>0.89456869009584672</v>
      </c>
      <c r="P135" s="33" t="str">
        <f>IF(K135&lt;50%,"x","")</f>
        <v/>
      </c>
      <c r="Q135" s="33" t="str">
        <f>IF(K135&gt;150%,"x","")</f>
        <v/>
      </c>
      <c r="R135" s="33" t="str">
        <f>IF(O135&lt;50%,"x","")</f>
        <v/>
      </c>
      <c r="S135" s="33" t="str">
        <f>IF(O135&gt;150%,"x","")</f>
        <v/>
      </c>
      <c r="T135" s="33" t="s">
        <v>27</v>
      </c>
      <c r="U135" s="34" t="s">
        <v>27</v>
      </c>
      <c r="V135" s="35" t="s">
        <v>27</v>
      </c>
    </row>
    <row r="136" spans="1:22" ht="18.600000000000001" customHeight="1" thickTop="1" x14ac:dyDescent="0.25">
      <c r="A136" s="18" t="s">
        <v>404</v>
      </c>
      <c r="B136" s="18" t="s">
        <v>947</v>
      </c>
      <c r="C136" s="18" t="s">
        <v>841</v>
      </c>
      <c r="D136" s="18" t="s">
        <v>26</v>
      </c>
      <c r="E136" s="18" t="s">
        <v>36</v>
      </c>
      <c r="F136" s="18" t="s">
        <v>842</v>
      </c>
      <c r="G136" s="18" t="s">
        <v>29</v>
      </c>
      <c r="H136" s="19">
        <v>2005</v>
      </c>
      <c r="I136" s="18" t="s">
        <v>56</v>
      </c>
      <c r="J136" s="101" t="s">
        <v>27</v>
      </c>
      <c r="K136" s="20">
        <v>80</v>
      </c>
      <c r="L136" s="21">
        <v>122.7</v>
      </c>
      <c r="M136" s="22" t="s">
        <v>30</v>
      </c>
      <c r="N136" s="23">
        <v>122.7</v>
      </c>
      <c r="O136" s="24">
        <v>1.5337499999999999</v>
      </c>
      <c r="P136" s="25" t="str">
        <f>IF(P138="x","x","")</f>
        <v>x</v>
      </c>
      <c r="Q136" s="25" t="str">
        <f>IF(Q138="x","x","")</f>
        <v/>
      </c>
      <c r="R136" s="25" t="str">
        <f>IF(R138="x","x","")</f>
        <v/>
      </c>
      <c r="S136" s="25" t="str">
        <f>IF(S138="x","x","")</f>
        <v>x</v>
      </c>
      <c r="T136" s="25" t="s">
        <v>31</v>
      </c>
      <c r="U136" s="26"/>
      <c r="V136" s="27"/>
    </row>
    <row r="137" spans="1:22" ht="18.600000000000001" customHeight="1" x14ac:dyDescent="0.25">
      <c r="A137" s="18" t="s">
        <v>404</v>
      </c>
      <c r="B137" s="18" t="s">
        <v>947</v>
      </c>
      <c r="C137" s="18" t="s">
        <v>841</v>
      </c>
      <c r="D137" s="18" t="s">
        <v>26</v>
      </c>
      <c r="E137" s="18" t="s">
        <v>36</v>
      </c>
      <c r="F137" s="18" t="s">
        <v>842</v>
      </c>
      <c r="G137" s="18" t="s">
        <v>32</v>
      </c>
      <c r="H137" s="19">
        <v>2005</v>
      </c>
      <c r="I137" s="18" t="s">
        <v>56</v>
      </c>
      <c r="J137" s="101" t="s">
        <v>27</v>
      </c>
      <c r="K137" s="20">
        <v>31</v>
      </c>
      <c r="L137" s="21">
        <v>85.3</v>
      </c>
      <c r="M137" s="22" t="s">
        <v>30</v>
      </c>
      <c r="N137" s="23">
        <v>85.3</v>
      </c>
      <c r="O137" s="24">
        <v>2.7516129032258063</v>
      </c>
      <c r="P137" s="25" t="str">
        <f>IF(P138="x","x","")</f>
        <v>x</v>
      </c>
      <c r="Q137" s="25" t="str">
        <f>IF(Q138="x","x","")</f>
        <v/>
      </c>
      <c r="R137" s="25" t="str">
        <f>IF(R138="x","x","")</f>
        <v/>
      </c>
      <c r="S137" s="25" t="str">
        <f>IF(S138="x","x","")</f>
        <v>x</v>
      </c>
      <c r="T137" s="25" t="s">
        <v>31</v>
      </c>
      <c r="U137" s="26"/>
      <c r="V137" s="27"/>
    </row>
    <row r="138" spans="1:22" ht="18.600000000000001" customHeight="1" thickBot="1" x14ac:dyDescent="0.3">
      <c r="A138" s="28" t="str">
        <f>A137</f>
        <v>Azerbaijan</v>
      </c>
      <c r="B138" s="28" t="str">
        <f>B137</f>
        <v>Europe and Central Asia</v>
      </c>
      <c r="C138" s="28" t="str">
        <f>C137</f>
        <v>P094488</v>
      </c>
      <c r="D138" s="28" t="s">
        <v>26</v>
      </c>
      <c r="E138" s="28" t="s">
        <v>27</v>
      </c>
      <c r="F138" s="28" t="str">
        <f>F137</f>
        <v>P094488C1S1</v>
      </c>
      <c r="G138" s="28" t="s">
        <v>16</v>
      </c>
      <c r="H138" s="29" t="str">
        <f>H136&amp;" / "&amp;H137</f>
        <v>2005 / 2005</v>
      </c>
      <c r="I138" s="29" t="str">
        <f>I137</f>
        <v>Widening</v>
      </c>
      <c r="J138" s="97" t="str">
        <f>IFERROR(J137/J136,"")</f>
        <v/>
      </c>
      <c r="K138" s="32">
        <f>K137/K136</f>
        <v>0.38750000000000001</v>
      </c>
      <c r="L138" s="32">
        <f>L137/L136</f>
        <v>0.69519152404237972</v>
      </c>
      <c r="M138" s="28"/>
      <c r="N138" s="32">
        <f>N137/N136</f>
        <v>0.69519152404237972</v>
      </c>
      <c r="O138" s="32">
        <f>O137/O136</f>
        <v>1.7940426426900122</v>
      </c>
      <c r="P138" s="33" t="str">
        <f>IF(K138&lt;50%,"x","")</f>
        <v>x</v>
      </c>
      <c r="Q138" s="33" t="str">
        <f>IF(K138&gt;150%,"x","")</f>
        <v/>
      </c>
      <c r="R138" s="33" t="str">
        <f>IF(O138&lt;50%,"x","")</f>
        <v/>
      </c>
      <c r="S138" s="33" t="str">
        <f>IF(O138&gt;150%,"x","")</f>
        <v>x</v>
      </c>
      <c r="T138" s="33" t="s">
        <v>31</v>
      </c>
      <c r="U138" s="34" t="s">
        <v>1080</v>
      </c>
      <c r="V138" s="35" t="s">
        <v>1081</v>
      </c>
    </row>
    <row r="139" spans="1:22" ht="18.600000000000001" customHeight="1" thickTop="1" x14ac:dyDescent="0.25">
      <c r="A139" s="18" t="s">
        <v>404</v>
      </c>
      <c r="B139" s="18" t="s">
        <v>947</v>
      </c>
      <c r="C139" s="18" t="s">
        <v>841</v>
      </c>
      <c r="D139" s="18" t="s">
        <v>26</v>
      </c>
      <c r="E139" s="18" t="s">
        <v>40</v>
      </c>
      <c r="F139" s="18" t="s">
        <v>845</v>
      </c>
      <c r="G139" s="18" t="s">
        <v>29</v>
      </c>
      <c r="H139" s="19">
        <v>2005</v>
      </c>
      <c r="I139" s="18" t="s">
        <v>359</v>
      </c>
      <c r="J139" s="101" t="s">
        <v>27</v>
      </c>
      <c r="K139" s="20">
        <v>124</v>
      </c>
      <c r="L139" s="21">
        <v>80</v>
      </c>
      <c r="M139" s="22" t="s">
        <v>30</v>
      </c>
      <c r="N139" s="23">
        <v>80</v>
      </c>
      <c r="O139" s="24">
        <v>0.64516129032258063</v>
      </c>
      <c r="P139" s="25" t="str">
        <f>IF(P141="x","x","")</f>
        <v/>
      </c>
      <c r="Q139" s="25" t="str">
        <f>IF(Q141="x","x","")</f>
        <v/>
      </c>
      <c r="R139" s="25" t="str">
        <f>IF(R141="x","x","")</f>
        <v/>
      </c>
      <c r="S139" s="25" t="str">
        <f>IF(S141="x","x","")</f>
        <v>x</v>
      </c>
      <c r="T139" s="25" t="s">
        <v>31</v>
      </c>
      <c r="U139" s="26"/>
      <c r="V139" s="27"/>
    </row>
    <row r="140" spans="1:22" ht="18.600000000000001" customHeight="1" x14ac:dyDescent="0.25">
      <c r="A140" s="18" t="s">
        <v>404</v>
      </c>
      <c r="B140" s="18" t="s">
        <v>947</v>
      </c>
      <c r="C140" s="18" t="s">
        <v>841</v>
      </c>
      <c r="D140" s="18" t="s">
        <v>26</v>
      </c>
      <c r="E140" s="18" t="s">
        <v>40</v>
      </c>
      <c r="F140" s="18" t="s">
        <v>845</v>
      </c>
      <c r="G140" s="18" t="s">
        <v>32</v>
      </c>
      <c r="H140" s="19">
        <v>2005</v>
      </c>
      <c r="I140" s="18" t="s">
        <v>359</v>
      </c>
      <c r="J140" s="101" t="s">
        <v>27</v>
      </c>
      <c r="K140" s="20">
        <v>124</v>
      </c>
      <c r="L140" s="21">
        <v>142.5</v>
      </c>
      <c r="M140" s="22" t="s">
        <v>30</v>
      </c>
      <c r="N140" s="23">
        <v>142.5</v>
      </c>
      <c r="O140" s="24">
        <v>1.1491935483870968</v>
      </c>
      <c r="P140" s="25" t="str">
        <f>IF(P141="x","x","")</f>
        <v/>
      </c>
      <c r="Q140" s="25" t="str">
        <f>IF(Q141="x","x","")</f>
        <v/>
      </c>
      <c r="R140" s="25" t="str">
        <f>IF(R141="x","x","")</f>
        <v/>
      </c>
      <c r="S140" s="25" t="str">
        <f>IF(S141="x","x","")</f>
        <v>x</v>
      </c>
      <c r="T140" s="25" t="s">
        <v>31</v>
      </c>
      <c r="U140" s="26"/>
      <c r="V140" s="27"/>
    </row>
    <row r="141" spans="1:22" ht="18.600000000000001" customHeight="1" thickBot="1" x14ac:dyDescent="0.3">
      <c r="A141" s="28" t="str">
        <f>A140</f>
        <v>Azerbaijan</v>
      </c>
      <c r="B141" s="28" t="str">
        <f>B140</f>
        <v>Europe and Central Asia</v>
      </c>
      <c r="C141" s="28" t="str">
        <f>C140</f>
        <v>P094488</v>
      </c>
      <c r="D141" s="28" t="s">
        <v>26</v>
      </c>
      <c r="E141" s="28" t="s">
        <v>27</v>
      </c>
      <c r="F141" s="28" t="str">
        <f>F140</f>
        <v>P094488C1S2</v>
      </c>
      <c r="G141" s="28" t="s">
        <v>16</v>
      </c>
      <c r="H141" s="29" t="str">
        <f>H139&amp;" / "&amp;H140</f>
        <v>2005 / 2005</v>
      </c>
      <c r="I141" s="29" t="str">
        <f>I140</f>
        <v>Reconstruction</v>
      </c>
      <c r="J141" s="97" t="str">
        <f>IFERROR(J140/J139,"")</f>
        <v/>
      </c>
      <c r="K141" s="32">
        <f>K140/K139</f>
        <v>1</v>
      </c>
      <c r="L141" s="32">
        <f>L140/L139</f>
        <v>1.78125</v>
      </c>
      <c r="M141" s="28"/>
      <c r="N141" s="32">
        <f>N140/N139</f>
        <v>1.78125</v>
      </c>
      <c r="O141" s="32">
        <f>O140/O139</f>
        <v>1.78125</v>
      </c>
      <c r="P141" s="33" t="str">
        <f>IF(K141&lt;50%,"x","")</f>
        <v/>
      </c>
      <c r="Q141" s="33" t="str">
        <f>IF(K141&gt;150%,"x","")</f>
        <v/>
      </c>
      <c r="R141" s="33" t="str">
        <f>IF(O141&lt;50%,"x","")</f>
        <v/>
      </c>
      <c r="S141" s="33" t="str">
        <f>IF(O141&gt;150%,"x","")</f>
        <v>x</v>
      </c>
      <c r="T141" s="33" t="s">
        <v>31</v>
      </c>
      <c r="U141" s="34" t="s">
        <v>1080</v>
      </c>
      <c r="V141" s="35" t="s">
        <v>1081</v>
      </c>
    </row>
    <row r="142" spans="1:22" ht="16.5" thickTop="1" x14ac:dyDescent="0.25">
      <c r="A142" s="18" t="s">
        <v>159</v>
      </c>
      <c r="B142" s="18" t="s">
        <v>948</v>
      </c>
      <c r="C142" s="18" t="s">
        <v>160</v>
      </c>
      <c r="D142" s="18" t="s">
        <v>26</v>
      </c>
      <c r="E142" s="18" t="s">
        <v>27</v>
      </c>
      <c r="F142" s="18" t="s">
        <v>161</v>
      </c>
      <c r="G142" s="18" t="s">
        <v>29</v>
      </c>
      <c r="H142" s="19">
        <v>2003</v>
      </c>
      <c r="I142" s="18" t="s">
        <v>162</v>
      </c>
      <c r="J142" s="101" t="s">
        <v>27</v>
      </c>
      <c r="K142" s="20">
        <v>1100</v>
      </c>
      <c r="L142" s="21">
        <v>6353.75</v>
      </c>
      <c r="M142" s="22" t="s">
        <v>163</v>
      </c>
      <c r="N142" s="23">
        <v>110.5</v>
      </c>
      <c r="O142" s="24">
        <v>0.10045454545454545</v>
      </c>
      <c r="P142" s="25" t="str">
        <f>IF(P144="x","x","")</f>
        <v/>
      </c>
      <c r="Q142" s="25" t="str">
        <f>IF(Q144="x","x","")</f>
        <v/>
      </c>
      <c r="R142" s="25" t="str">
        <f>IF(R144="x","x","")</f>
        <v/>
      </c>
      <c r="S142" s="25" t="str">
        <f>IF(S144="x","x","")</f>
        <v/>
      </c>
      <c r="T142" s="25" t="s">
        <v>27</v>
      </c>
      <c r="U142" s="26"/>
      <c r="V142" s="27"/>
    </row>
    <row r="143" spans="1:22" x14ac:dyDescent="0.25">
      <c r="A143" s="18" t="s">
        <v>159</v>
      </c>
      <c r="B143" s="18" t="s">
        <v>948</v>
      </c>
      <c r="C143" s="18" t="s">
        <v>160</v>
      </c>
      <c r="D143" s="18" t="s">
        <v>26</v>
      </c>
      <c r="E143" s="18" t="s">
        <v>27</v>
      </c>
      <c r="F143" s="18" t="s">
        <v>161</v>
      </c>
      <c r="G143" s="18" t="s">
        <v>32</v>
      </c>
      <c r="H143" s="19">
        <v>2013</v>
      </c>
      <c r="I143" s="18" t="s">
        <v>162</v>
      </c>
      <c r="J143" s="101" t="s">
        <v>27</v>
      </c>
      <c r="K143" s="20">
        <v>1115</v>
      </c>
      <c r="L143" s="21">
        <v>8638.09</v>
      </c>
      <c r="M143" s="22" t="s">
        <v>163</v>
      </c>
      <c r="N143" s="23">
        <v>105.63886510945335</v>
      </c>
      <c r="O143" s="24">
        <v>9.4743376779778787E-2</v>
      </c>
      <c r="P143" s="25" t="str">
        <f>IF(P144="x","x","")</f>
        <v/>
      </c>
      <c r="Q143" s="25" t="str">
        <f>IF(Q144="x","x","")</f>
        <v/>
      </c>
      <c r="R143" s="25" t="str">
        <f>IF(R144="x","x","")</f>
        <v/>
      </c>
      <c r="S143" s="25" t="str">
        <f>IF(S144="x","x","")</f>
        <v/>
      </c>
      <c r="T143" s="25" t="s">
        <v>27</v>
      </c>
      <c r="U143" s="26"/>
      <c r="V143" s="27"/>
    </row>
    <row r="144" spans="1:22" ht="16.5" thickBot="1" x14ac:dyDescent="0.3">
      <c r="A144" s="28" t="str">
        <f>A143</f>
        <v>Bangladesh</v>
      </c>
      <c r="B144" s="28" t="str">
        <f>B143</f>
        <v>South Asia</v>
      </c>
      <c r="C144" s="28" t="str">
        <f>C143</f>
        <v>P071435</v>
      </c>
      <c r="D144" s="28" t="s">
        <v>26</v>
      </c>
      <c r="E144" s="28" t="s">
        <v>27</v>
      </c>
      <c r="F144" s="28" t="str">
        <f>F143</f>
        <v>P071435C1</v>
      </c>
      <c r="G144" s="28" t="s">
        <v>16</v>
      </c>
      <c r="H144" s="29" t="str">
        <f>H142&amp;" / "&amp;H143</f>
        <v>2003 / 2013</v>
      </c>
      <c r="I144" s="29" t="str">
        <f>I143</f>
        <v>Partial Widening</v>
      </c>
      <c r="J144" s="97" t="str">
        <f>IFERROR(J143/J142,"")</f>
        <v/>
      </c>
      <c r="K144" s="32">
        <f>K143/K142</f>
        <v>1.0136363636363637</v>
      </c>
      <c r="L144" s="32">
        <f>L143/L142</f>
        <v>1.3595262640173127</v>
      </c>
      <c r="M144" s="28"/>
      <c r="N144" s="32">
        <f>N143/N142</f>
        <v>0.95600782904482673</v>
      </c>
      <c r="O144" s="32">
        <f>O143/O142</f>
        <v>0.94314673717426856</v>
      </c>
      <c r="P144" s="33" t="str">
        <f>IF(K144&lt;50%,"x","")</f>
        <v/>
      </c>
      <c r="Q144" s="33" t="str">
        <f>IF(K144&gt;150%,"x","")</f>
        <v/>
      </c>
      <c r="R144" s="33" t="str">
        <f>IF(O144&lt;50%,"x","")</f>
        <v/>
      </c>
      <c r="S144" s="33" t="str">
        <f>IF(O144&gt;150%,"x","")</f>
        <v/>
      </c>
      <c r="T144" s="33" t="s">
        <v>27</v>
      </c>
      <c r="U144" s="34" t="s">
        <v>27</v>
      </c>
      <c r="V144" s="35" t="s">
        <v>27</v>
      </c>
    </row>
    <row r="145" spans="1:22" ht="16.5" thickTop="1" x14ac:dyDescent="0.25">
      <c r="A145" s="18" t="s">
        <v>159</v>
      </c>
      <c r="B145" s="18" t="s">
        <v>948</v>
      </c>
      <c r="C145" s="18" t="s">
        <v>160</v>
      </c>
      <c r="D145" s="18" t="s">
        <v>42</v>
      </c>
      <c r="E145" s="18" t="s">
        <v>27</v>
      </c>
      <c r="F145" s="18" t="s">
        <v>164</v>
      </c>
      <c r="G145" s="18" t="s">
        <v>29</v>
      </c>
      <c r="H145" s="19">
        <v>2003</v>
      </c>
      <c r="I145" s="18" t="s">
        <v>387</v>
      </c>
      <c r="J145" s="101" t="s">
        <v>27</v>
      </c>
      <c r="K145" s="20">
        <v>500</v>
      </c>
      <c r="L145" s="21">
        <v>1351.25</v>
      </c>
      <c r="M145" s="22" t="s">
        <v>163</v>
      </c>
      <c r="N145" s="23">
        <v>23.5</v>
      </c>
      <c r="O145" s="24">
        <v>4.7E-2</v>
      </c>
      <c r="P145" s="25" t="str">
        <f>IF(P147="x","x","")</f>
        <v/>
      </c>
      <c r="Q145" s="25" t="str">
        <f>IF(Q147="x","x","")</f>
        <v/>
      </c>
      <c r="R145" s="25" t="str">
        <f>IF(R147="x","x","")</f>
        <v/>
      </c>
      <c r="S145" s="25" t="str">
        <f>IF(S147="x","x","")</f>
        <v/>
      </c>
      <c r="T145" s="25" t="s">
        <v>27</v>
      </c>
      <c r="U145" s="26"/>
      <c r="V145" s="27"/>
    </row>
    <row r="146" spans="1:22" x14ac:dyDescent="0.25">
      <c r="A146" s="18" t="s">
        <v>159</v>
      </c>
      <c r="B146" s="18" t="s">
        <v>948</v>
      </c>
      <c r="C146" s="18" t="s">
        <v>160</v>
      </c>
      <c r="D146" s="18" t="s">
        <v>42</v>
      </c>
      <c r="E146" s="18" t="s">
        <v>27</v>
      </c>
      <c r="F146" s="18" t="s">
        <v>164</v>
      </c>
      <c r="G146" s="18" t="s">
        <v>32</v>
      </c>
      <c r="H146" s="19">
        <v>2013</v>
      </c>
      <c r="I146" s="18" t="s">
        <v>387</v>
      </c>
      <c r="J146" s="101" t="s">
        <v>27</v>
      </c>
      <c r="K146" s="20">
        <v>515</v>
      </c>
      <c r="L146" s="21">
        <v>2085.7800000000002</v>
      </c>
      <c r="M146" s="22" t="s">
        <v>163</v>
      </c>
      <c r="N146" s="23">
        <v>25.507887978476216</v>
      </c>
      <c r="O146" s="24">
        <v>4.952987956985673E-2</v>
      </c>
      <c r="P146" s="25" t="str">
        <f>IF(P147="x","x","")</f>
        <v/>
      </c>
      <c r="Q146" s="25" t="str">
        <f>IF(Q147="x","x","")</f>
        <v/>
      </c>
      <c r="R146" s="25" t="str">
        <f>IF(R147="x","x","")</f>
        <v/>
      </c>
      <c r="S146" s="25" t="str">
        <f>IF(S147="x","x","")</f>
        <v/>
      </c>
      <c r="T146" s="25" t="s">
        <v>27</v>
      </c>
      <c r="U146" s="26"/>
      <c r="V146" s="27"/>
    </row>
    <row r="147" spans="1:22" ht="16.5" thickBot="1" x14ac:dyDescent="0.3">
      <c r="A147" s="28" t="str">
        <f>A146</f>
        <v>Bangladesh</v>
      </c>
      <c r="B147" s="28" t="str">
        <f>B146</f>
        <v>South Asia</v>
      </c>
      <c r="C147" s="28" t="str">
        <f>C146</f>
        <v>P071435</v>
      </c>
      <c r="D147" s="28" t="s">
        <v>26</v>
      </c>
      <c r="E147" s="28" t="s">
        <v>27</v>
      </c>
      <c r="F147" s="28" t="str">
        <f>F146</f>
        <v>P071435C2</v>
      </c>
      <c r="G147" s="28" t="s">
        <v>16</v>
      </c>
      <c r="H147" s="29" t="str">
        <f>H145&amp;" / "&amp;H146</f>
        <v>2003 / 2013</v>
      </c>
      <c r="I147" s="29" t="str">
        <f>I146</f>
        <v>Upgrading</v>
      </c>
      <c r="J147" s="97" t="str">
        <f>IFERROR(J146/J145,"")</f>
        <v/>
      </c>
      <c r="K147" s="32">
        <f>K146/K145</f>
        <v>1.03</v>
      </c>
      <c r="L147" s="32">
        <f>L146/L145</f>
        <v>1.5435929694727106</v>
      </c>
      <c r="M147" s="28"/>
      <c r="N147" s="32">
        <f>N146/N145</f>
        <v>1.0854420416372859</v>
      </c>
      <c r="O147" s="32">
        <f>O146/O145</f>
        <v>1.0538272248905687</v>
      </c>
      <c r="P147" s="33" t="str">
        <f>IF(K147&lt;50%,"x","")</f>
        <v/>
      </c>
      <c r="Q147" s="33" t="str">
        <f>IF(K147&gt;150%,"x","")</f>
        <v/>
      </c>
      <c r="R147" s="33" t="str">
        <f>IF(O147&lt;50%,"x","")</f>
        <v/>
      </c>
      <c r="S147" s="33" t="str">
        <f>IF(O147&gt;150%,"x","")</f>
        <v/>
      </c>
      <c r="T147" s="33" t="s">
        <v>27</v>
      </c>
      <c r="U147" s="34" t="s">
        <v>27</v>
      </c>
      <c r="V147" s="35" t="s">
        <v>27</v>
      </c>
    </row>
    <row r="148" spans="1:22" ht="16.5" thickTop="1" x14ac:dyDescent="0.25">
      <c r="A148" s="18" t="s">
        <v>159</v>
      </c>
      <c r="B148" s="18" t="s">
        <v>948</v>
      </c>
      <c r="C148" s="18" t="s">
        <v>160</v>
      </c>
      <c r="D148" s="18" t="s">
        <v>60</v>
      </c>
      <c r="E148" s="18" t="s">
        <v>27</v>
      </c>
      <c r="F148" s="18" t="s">
        <v>165</v>
      </c>
      <c r="G148" s="18" t="s">
        <v>29</v>
      </c>
      <c r="H148" s="19">
        <v>2003</v>
      </c>
      <c r="I148" s="18" t="s">
        <v>68</v>
      </c>
      <c r="J148" s="101" t="s">
        <v>27</v>
      </c>
      <c r="K148" s="20">
        <v>1500</v>
      </c>
      <c r="L148" s="21">
        <v>2242.5</v>
      </c>
      <c r="M148" s="22" t="s">
        <v>163</v>
      </c>
      <c r="N148" s="23">
        <v>39</v>
      </c>
      <c r="O148" s="24">
        <v>2.5999999999999999E-2</v>
      </c>
      <c r="P148" s="25" t="str">
        <f>IF(P150="x","x","")</f>
        <v/>
      </c>
      <c r="Q148" s="25" t="str">
        <f>IF(Q150="x","x","")</f>
        <v/>
      </c>
      <c r="R148" s="25" t="str">
        <f>IF(R150="x","x","")</f>
        <v/>
      </c>
      <c r="S148" s="25" t="str">
        <f>IF(S150="x","x","")</f>
        <v/>
      </c>
      <c r="T148" s="25" t="s">
        <v>27</v>
      </c>
      <c r="U148" s="26"/>
      <c r="V148" s="27"/>
    </row>
    <row r="149" spans="1:22" x14ac:dyDescent="0.25">
      <c r="A149" s="18" t="s">
        <v>159</v>
      </c>
      <c r="B149" s="18" t="s">
        <v>948</v>
      </c>
      <c r="C149" s="18" t="s">
        <v>160</v>
      </c>
      <c r="D149" s="18" t="s">
        <v>60</v>
      </c>
      <c r="E149" s="18" t="s">
        <v>27</v>
      </c>
      <c r="F149" s="18" t="s">
        <v>165</v>
      </c>
      <c r="G149" s="18" t="s">
        <v>32</v>
      </c>
      <c r="H149" s="19">
        <v>2013</v>
      </c>
      <c r="I149" s="18" t="s">
        <v>68</v>
      </c>
      <c r="J149" s="101" t="s">
        <v>27</v>
      </c>
      <c r="K149" s="20">
        <v>2120</v>
      </c>
      <c r="L149" s="21">
        <v>3425.22</v>
      </c>
      <c r="M149" s="22" t="s">
        <v>163</v>
      </c>
      <c r="N149" s="23">
        <v>41.888467653173535</v>
      </c>
      <c r="O149" s="24">
        <v>1.9758711157157327E-2</v>
      </c>
      <c r="P149" s="25" t="str">
        <f>IF(P150="x","x","")</f>
        <v/>
      </c>
      <c r="Q149" s="25" t="str">
        <f>IF(Q150="x","x","")</f>
        <v/>
      </c>
      <c r="R149" s="25" t="str">
        <f>IF(R150="x","x","")</f>
        <v/>
      </c>
      <c r="S149" s="25" t="str">
        <f>IF(S150="x","x","")</f>
        <v/>
      </c>
      <c r="T149" s="25" t="s">
        <v>27</v>
      </c>
      <c r="U149" s="26"/>
      <c r="V149" s="27"/>
    </row>
    <row r="150" spans="1:22" ht="16.5" thickBot="1" x14ac:dyDescent="0.3">
      <c r="A150" s="28" t="str">
        <f>A149</f>
        <v>Bangladesh</v>
      </c>
      <c r="B150" s="28" t="str">
        <f>B149</f>
        <v>South Asia</v>
      </c>
      <c r="C150" s="28" t="str">
        <f>C149</f>
        <v>P071435</v>
      </c>
      <c r="D150" s="28" t="s">
        <v>26</v>
      </c>
      <c r="E150" s="28" t="s">
        <v>27</v>
      </c>
      <c r="F150" s="28" t="str">
        <f>F149</f>
        <v>P071435C3</v>
      </c>
      <c r="G150" s="28" t="s">
        <v>16</v>
      </c>
      <c r="H150" s="29" t="str">
        <f>H148&amp;" / "&amp;H149</f>
        <v>2003 / 2013</v>
      </c>
      <c r="I150" s="29" t="str">
        <f>I149</f>
        <v>Asphalt Mix Resurfacing</v>
      </c>
      <c r="J150" s="97" t="str">
        <f>IFERROR(J149/J148,"")</f>
        <v/>
      </c>
      <c r="K150" s="32">
        <f>K149/K148</f>
        <v>1.4133333333333333</v>
      </c>
      <c r="L150" s="32">
        <f>L149/L148</f>
        <v>1.5274113712374582</v>
      </c>
      <c r="M150" s="28"/>
      <c r="N150" s="32">
        <f>N149/N148</f>
        <v>1.0740632731582958</v>
      </c>
      <c r="O150" s="32">
        <f>O149/O148</f>
        <v>0.75995042912143573</v>
      </c>
      <c r="P150" s="33" t="str">
        <f>IF(K150&lt;50%,"x","")</f>
        <v/>
      </c>
      <c r="Q150" s="33" t="str">
        <f>IF(K150&gt;150%,"x","")</f>
        <v/>
      </c>
      <c r="R150" s="33" t="str">
        <f>IF(O150&lt;50%,"x","")</f>
        <v/>
      </c>
      <c r="S150" s="33" t="str">
        <f>IF(O150&gt;150%,"x","")</f>
        <v/>
      </c>
      <c r="T150" s="33" t="s">
        <v>27</v>
      </c>
      <c r="U150" s="34" t="s">
        <v>27</v>
      </c>
      <c r="V150" s="35" t="s">
        <v>27</v>
      </c>
    </row>
    <row r="151" spans="1:22" ht="18.600000000000001" customHeight="1" thickTop="1" x14ac:dyDescent="0.25">
      <c r="A151" s="18" t="s">
        <v>911</v>
      </c>
      <c r="B151" s="18" t="s">
        <v>947</v>
      </c>
      <c r="C151" s="18" t="s">
        <v>912</v>
      </c>
      <c r="D151" s="18" t="s">
        <v>26</v>
      </c>
      <c r="E151" s="18" t="s">
        <v>36</v>
      </c>
      <c r="F151" s="18" t="s">
        <v>913</v>
      </c>
      <c r="G151" s="18" t="s">
        <v>29</v>
      </c>
      <c r="H151" s="19">
        <v>2010</v>
      </c>
      <c r="I151" s="18" t="s">
        <v>364</v>
      </c>
      <c r="J151" s="101">
        <v>31</v>
      </c>
      <c r="K151" s="20">
        <v>17.420000000000002</v>
      </c>
      <c r="L151" s="21">
        <v>43.1</v>
      </c>
      <c r="M151" s="22" t="s">
        <v>30</v>
      </c>
      <c r="N151" s="23">
        <v>43.1</v>
      </c>
      <c r="O151" s="24">
        <v>2.4741676234213545</v>
      </c>
      <c r="P151" s="25" t="str">
        <f>IF(P153="x","x","")</f>
        <v/>
      </c>
      <c r="Q151" s="25" t="str">
        <f>IF(Q153="x","x","")</f>
        <v/>
      </c>
      <c r="R151" s="25" t="str">
        <f>IF(R153="x","x","")</f>
        <v/>
      </c>
      <c r="S151" s="25" t="str">
        <f>IF(S153="x","x","")</f>
        <v/>
      </c>
      <c r="T151" s="25" t="s">
        <v>27</v>
      </c>
      <c r="U151" s="26"/>
      <c r="V151" s="27"/>
    </row>
    <row r="152" spans="1:22" ht="18.600000000000001" customHeight="1" x14ac:dyDescent="0.25">
      <c r="A152" s="18" t="s">
        <v>911</v>
      </c>
      <c r="B152" s="18" t="s">
        <v>947</v>
      </c>
      <c r="C152" s="18" t="s">
        <v>912</v>
      </c>
      <c r="D152" s="18" t="s">
        <v>26</v>
      </c>
      <c r="E152" s="18" t="s">
        <v>36</v>
      </c>
      <c r="F152" s="18" t="s">
        <v>913</v>
      </c>
      <c r="G152" s="18" t="s">
        <v>32</v>
      </c>
      <c r="H152" s="19">
        <v>2016</v>
      </c>
      <c r="I152" s="18" t="s">
        <v>364</v>
      </c>
      <c r="J152" s="101">
        <v>24</v>
      </c>
      <c r="K152" s="20">
        <v>17.420000000000002</v>
      </c>
      <c r="L152" s="21">
        <v>36.14</v>
      </c>
      <c r="M152" s="22" t="s">
        <v>30</v>
      </c>
      <c r="N152" s="23">
        <v>36.14</v>
      </c>
      <c r="O152" s="24">
        <v>2.0746268656716418</v>
      </c>
      <c r="P152" s="25" t="str">
        <f>IF(P153="x","x","")</f>
        <v/>
      </c>
      <c r="Q152" s="25" t="str">
        <f>IF(Q153="x","x","")</f>
        <v/>
      </c>
      <c r="R152" s="25" t="str">
        <f>IF(R153="x","x","")</f>
        <v/>
      </c>
      <c r="S152" s="25" t="str">
        <f>IF(S153="x","x","")</f>
        <v/>
      </c>
      <c r="T152" s="25" t="s">
        <v>27</v>
      </c>
      <c r="U152" s="26"/>
      <c r="V152" s="27"/>
    </row>
    <row r="153" spans="1:22" ht="18.600000000000001" customHeight="1" thickBot="1" x14ac:dyDescent="0.3">
      <c r="A153" s="28" t="str">
        <f>A152</f>
        <v>Belarus</v>
      </c>
      <c r="B153" s="28" t="str">
        <f>B152</f>
        <v>Europe and Central Asia</v>
      </c>
      <c r="C153" s="28" t="str">
        <f>C152</f>
        <v>P118375</v>
      </c>
      <c r="D153" s="28" t="s">
        <v>26</v>
      </c>
      <c r="E153" s="28" t="s">
        <v>27</v>
      </c>
      <c r="F153" s="28" t="str">
        <f>F152</f>
        <v>P118375C1S1</v>
      </c>
      <c r="G153" s="28" t="s">
        <v>16</v>
      </c>
      <c r="H153" s="29" t="str">
        <f>H151&amp;" / "&amp;H152</f>
        <v>2010 / 2016</v>
      </c>
      <c r="I153" s="29" t="str">
        <f>I152</f>
        <v>Widening and Reconstruction</v>
      </c>
      <c r="J153" s="97">
        <f>IFERROR(J152/J151,"")</f>
        <v>0.77419354838709675</v>
      </c>
      <c r="K153" s="32">
        <f>K152/K151</f>
        <v>1</v>
      </c>
      <c r="L153" s="32">
        <f>L152/L151</f>
        <v>0.83851508120649654</v>
      </c>
      <c r="M153" s="28"/>
      <c r="N153" s="32">
        <f>N152/N151</f>
        <v>0.83851508120649654</v>
      </c>
      <c r="O153" s="32">
        <f>O152/O151</f>
        <v>0.83851508120649654</v>
      </c>
      <c r="P153" s="33" t="str">
        <f>IF(K153&lt;50%,"x","")</f>
        <v/>
      </c>
      <c r="Q153" s="33" t="str">
        <f>IF(K153&gt;150%,"x","")</f>
        <v/>
      </c>
      <c r="R153" s="33" t="str">
        <f>IF(O153&lt;50%,"x","")</f>
        <v/>
      </c>
      <c r="S153" s="33" t="str">
        <f>IF(O153&gt;150%,"x","")</f>
        <v/>
      </c>
      <c r="T153" s="33" t="s">
        <v>27</v>
      </c>
      <c r="U153" s="34" t="s">
        <v>27</v>
      </c>
      <c r="V153" s="35" t="s">
        <v>27</v>
      </c>
    </row>
    <row r="154" spans="1:22" ht="18.600000000000001" customHeight="1" thickTop="1" x14ac:dyDescent="0.25">
      <c r="A154" s="18" t="s">
        <v>911</v>
      </c>
      <c r="B154" s="18" t="s">
        <v>947</v>
      </c>
      <c r="C154" s="18" t="s">
        <v>912</v>
      </c>
      <c r="D154" s="18" t="s">
        <v>26</v>
      </c>
      <c r="E154" s="18" t="s">
        <v>40</v>
      </c>
      <c r="F154" s="18" t="s">
        <v>915</v>
      </c>
      <c r="G154" s="18" t="s">
        <v>29</v>
      </c>
      <c r="H154" s="19">
        <v>2010</v>
      </c>
      <c r="I154" s="18" t="s">
        <v>364</v>
      </c>
      <c r="J154" s="101">
        <v>31</v>
      </c>
      <c r="K154" s="20">
        <v>10.4</v>
      </c>
      <c r="L154" s="21">
        <v>25.7</v>
      </c>
      <c r="M154" s="22" t="s">
        <v>30</v>
      </c>
      <c r="N154" s="23">
        <v>25.7</v>
      </c>
      <c r="O154" s="24">
        <v>2.4711538461538458</v>
      </c>
      <c r="P154" s="25" t="str">
        <f>IF(P156="x","x","")</f>
        <v/>
      </c>
      <c r="Q154" s="25" t="str">
        <f>IF(Q156="x","x","")</f>
        <v/>
      </c>
      <c r="R154" s="25" t="str">
        <f>IF(R156="x","x","")</f>
        <v/>
      </c>
      <c r="S154" s="25" t="str">
        <f>IF(S156="x","x","")</f>
        <v/>
      </c>
      <c r="T154" s="25" t="s">
        <v>27</v>
      </c>
      <c r="U154" s="26"/>
      <c r="V154" s="27"/>
    </row>
    <row r="155" spans="1:22" ht="18.600000000000001" customHeight="1" x14ac:dyDescent="0.25">
      <c r="A155" s="18" t="s">
        <v>911</v>
      </c>
      <c r="B155" s="18" t="s">
        <v>947</v>
      </c>
      <c r="C155" s="18" t="s">
        <v>912</v>
      </c>
      <c r="D155" s="18" t="s">
        <v>26</v>
      </c>
      <c r="E155" s="18" t="s">
        <v>40</v>
      </c>
      <c r="F155" s="18" t="s">
        <v>915</v>
      </c>
      <c r="G155" s="18" t="s">
        <v>32</v>
      </c>
      <c r="H155" s="19">
        <v>2016</v>
      </c>
      <c r="I155" s="18" t="s">
        <v>364</v>
      </c>
      <c r="J155" s="101">
        <v>24</v>
      </c>
      <c r="K155" s="20">
        <v>10.4</v>
      </c>
      <c r="L155" s="21">
        <v>34.15</v>
      </c>
      <c r="M155" s="22" t="s">
        <v>30</v>
      </c>
      <c r="N155" s="23">
        <v>34.15</v>
      </c>
      <c r="O155" s="24">
        <v>3.2836538461538458</v>
      </c>
      <c r="P155" s="25" t="str">
        <f>IF(P156="x","x","")</f>
        <v/>
      </c>
      <c r="Q155" s="25" t="str">
        <f>IF(Q156="x","x","")</f>
        <v/>
      </c>
      <c r="R155" s="25" t="str">
        <f>IF(R156="x","x","")</f>
        <v/>
      </c>
      <c r="S155" s="25" t="str">
        <f>IF(S156="x","x","")</f>
        <v/>
      </c>
      <c r="T155" s="25" t="s">
        <v>27</v>
      </c>
      <c r="U155" s="26"/>
      <c r="V155" s="27"/>
    </row>
    <row r="156" spans="1:22" ht="18.600000000000001" customHeight="1" thickBot="1" x14ac:dyDescent="0.3">
      <c r="A156" s="28" t="str">
        <f>A155</f>
        <v>Belarus</v>
      </c>
      <c r="B156" s="28" t="str">
        <f>B155</f>
        <v>Europe and Central Asia</v>
      </c>
      <c r="C156" s="28" t="str">
        <f>C155</f>
        <v>P118375</v>
      </c>
      <c r="D156" s="28" t="s">
        <v>26</v>
      </c>
      <c r="E156" s="28" t="s">
        <v>27</v>
      </c>
      <c r="F156" s="28" t="str">
        <f>F155</f>
        <v>P118375C1S2</v>
      </c>
      <c r="G156" s="28" t="s">
        <v>16</v>
      </c>
      <c r="H156" s="29" t="str">
        <f>H154&amp;" / "&amp;H155</f>
        <v>2010 / 2016</v>
      </c>
      <c r="I156" s="29" t="str">
        <f>I155</f>
        <v>Widening and Reconstruction</v>
      </c>
      <c r="J156" s="97">
        <f>IFERROR(J155/J154,"")</f>
        <v>0.77419354838709675</v>
      </c>
      <c r="K156" s="32">
        <f>K155/K154</f>
        <v>1</v>
      </c>
      <c r="L156" s="32">
        <f>L155/L154</f>
        <v>1.3287937743190661</v>
      </c>
      <c r="M156" s="28"/>
      <c r="N156" s="32">
        <f>N155/N154</f>
        <v>1.3287937743190661</v>
      </c>
      <c r="O156" s="32">
        <f>O155/O154</f>
        <v>1.3287937743190661</v>
      </c>
      <c r="P156" s="33" t="str">
        <f>IF(K156&lt;50%,"x","")</f>
        <v/>
      </c>
      <c r="Q156" s="33" t="str">
        <f>IF(K156&gt;150%,"x","")</f>
        <v/>
      </c>
      <c r="R156" s="33" t="str">
        <f>IF(O156&lt;50%,"x","")</f>
        <v/>
      </c>
      <c r="S156" s="33" t="str">
        <f>IF(O156&gt;150%,"x","")</f>
        <v/>
      </c>
      <c r="T156" s="33" t="s">
        <v>27</v>
      </c>
      <c r="U156" s="34" t="s">
        <v>27</v>
      </c>
      <c r="V156" s="35" t="s">
        <v>27</v>
      </c>
    </row>
    <row r="157" spans="1:22" ht="18.600000000000001" customHeight="1" thickTop="1" x14ac:dyDescent="0.25">
      <c r="A157" s="18" t="s">
        <v>911</v>
      </c>
      <c r="B157" s="18" t="s">
        <v>947</v>
      </c>
      <c r="C157" s="18" t="s">
        <v>912</v>
      </c>
      <c r="D157" s="18" t="s">
        <v>26</v>
      </c>
      <c r="E157" s="18" t="s">
        <v>69</v>
      </c>
      <c r="F157" s="18" t="s">
        <v>916</v>
      </c>
      <c r="G157" s="18" t="s">
        <v>29</v>
      </c>
      <c r="H157" s="19">
        <v>2010</v>
      </c>
      <c r="I157" s="18" t="s">
        <v>364</v>
      </c>
      <c r="J157" s="101">
        <v>31</v>
      </c>
      <c r="K157" s="20">
        <v>16.5</v>
      </c>
      <c r="L157" s="21">
        <v>41</v>
      </c>
      <c r="M157" s="22" t="s">
        <v>30</v>
      </c>
      <c r="N157" s="23">
        <v>41</v>
      </c>
      <c r="O157" s="24">
        <v>2.4848484848484849</v>
      </c>
      <c r="P157" s="25" t="str">
        <f>IF(P159="x","x","")</f>
        <v/>
      </c>
      <c r="Q157" s="25" t="str">
        <f>IF(Q159="x","x","")</f>
        <v/>
      </c>
      <c r="R157" s="25" t="str">
        <f>IF(R159="x","x","")</f>
        <v/>
      </c>
      <c r="S157" s="25" t="str">
        <f>IF(S159="x","x","")</f>
        <v/>
      </c>
      <c r="T157" s="25" t="s">
        <v>27</v>
      </c>
      <c r="U157" s="26"/>
      <c r="V157" s="27"/>
    </row>
    <row r="158" spans="1:22" ht="18.600000000000001" customHeight="1" x14ac:dyDescent="0.25">
      <c r="A158" s="18" t="s">
        <v>911</v>
      </c>
      <c r="B158" s="18" t="s">
        <v>947</v>
      </c>
      <c r="C158" s="18" t="s">
        <v>912</v>
      </c>
      <c r="D158" s="18" t="s">
        <v>26</v>
      </c>
      <c r="E158" s="18" t="s">
        <v>69</v>
      </c>
      <c r="F158" s="18" t="s">
        <v>916</v>
      </c>
      <c r="G158" s="18" t="s">
        <v>32</v>
      </c>
      <c r="H158" s="19">
        <v>2016</v>
      </c>
      <c r="I158" s="18" t="s">
        <v>364</v>
      </c>
      <c r="J158" s="101">
        <v>24</v>
      </c>
      <c r="K158" s="20">
        <v>16.5</v>
      </c>
      <c r="L158" s="21">
        <v>33.299999999999997</v>
      </c>
      <c r="M158" s="22" t="s">
        <v>30</v>
      </c>
      <c r="N158" s="23">
        <v>33.299999999999997</v>
      </c>
      <c r="O158" s="24">
        <v>2.0181818181818181</v>
      </c>
      <c r="P158" s="25" t="str">
        <f>IF(P159="x","x","")</f>
        <v/>
      </c>
      <c r="Q158" s="25" t="str">
        <f>IF(Q159="x","x","")</f>
        <v/>
      </c>
      <c r="R158" s="25" t="str">
        <f>IF(R159="x","x","")</f>
        <v/>
      </c>
      <c r="S158" s="25" t="str">
        <f>IF(S159="x","x","")</f>
        <v/>
      </c>
      <c r="T158" s="25" t="s">
        <v>27</v>
      </c>
      <c r="U158" s="26"/>
      <c r="V158" s="27"/>
    </row>
    <row r="159" spans="1:22" ht="18.600000000000001" customHeight="1" thickBot="1" x14ac:dyDescent="0.3">
      <c r="A159" s="28" t="str">
        <f>A158</f>
        <v>Belarus</v>
      </c>
      <c r="B159" s="28" t="str">
        <f>B158</f>
        <v>Europe and Central Asia</v>
      </c>
      <c r="C159" s="28" t="str">
        <f>C158</f>
        <v>P118375</v>
      </c>
      <c r="D159" s="28" t="s">
        <v>26</v>
      </c>
      <c r="E159" s="28" t="s">
        <v>27</v>
      </c>
      <c r="F159" s="28" t="str">
        <f>F158</f>
        <v>P118375C1S3</v>
      </c>
      <c r="G159" s="28" t="s">
        <v>16</v>
      </c>
      <c r="H159" s="29" t="str">
        <f>H157&amp;" / "&amp;H158</f>
        <v>2010 / 2016</v>
      </c>
      <c r="I159" s="29" t="str">
        <f>I158</f>
        <v>Widening and Reconstruction</v>
      </c>
      <c r="J159" s="97">
        <f>IFERROR(J158/J157,"")</f>
        <v>0.77419354838709675</v>
      </c>
      <c r="K159" s="32">
        <f>K158/K157</f>
        <v>1</v>
      </c>
      <c r="L159" s="32">
        <f>L158/L157</f>
        <v>0.81219512195121946</v>
      </c>
      <c r="M159" s="28"/>
      <c r="N159" s="32">
        <f>N158/N157</f>
        <v>0.81219512195121946</v>
      </c>
      <c r="O159" s="32">
        <f>O158/O157</f>
        <v>0.81219512195121946</v>
      </c>
      <c r="P159" s="33" t="str">
        <f>IF(K159&lt;50%,"x","")</f>
        <v/>
      </c>
      <c r="Q159" s="33" t="str">
        <f>IF(K159&gt;150%,"x","")</f>
        <v/>
      </c>
      <c r="R159" s="33" t="str">
        <f>IF(O159&lt;50%,"x","")</f>
        <v/>
      </c>
      <c r="S159" s="33" t="str">
        <f>IF(O159&gt;150%,"x","")</f>
        <v/>
      </c>
      <c r="T159" s="33" t="s">
        <v>27</v>
      </c>
      <c r="U159" s="34" t="s">
        <v>27</v>
      </c>
      <c r="V159" s="35" t="s">
        <v>27</v>
      </c>
    </row>
    <row r="160" spans="1:22" ht="18.600000000000001" customHeight="1" thickTop="1" x14ac:dyDescent="0.25">
      <c r="A160" s="18" t="s">
        <v>911</v>
      </c>
      <c r="B160" s="18" t="s">
        <v>947</v>
      </c>
      <c r="C160" s="18" t="s">
        <v>912</v>
      </c>
      <c r="D160" s="18" t="s">
        <v>26</v>
      </c>
      <c r="E160" s="18" t="s">
        <v>71</v>
      </c>
      <c r="F160" s="18" t="s">
        <v>917</v>
      </c>
      <c r="G160" s="18" t="s">
        <v>29</v>
      </c>
      <c r="H160" s="19">
        <v>2010</v>
      </c>
      <c r="I160" s="18" t="s">
        <v>364</v>
      </c>
      <c r="J160" s="101">
        <v>31</v>
      </c>
      <c r="K160" s="20">
        <v>8.4</v>
      </c>
      <c r="L160" s="21">
        <v>20.8</v>
      </c>
      <c r="M160" s="22" t="s">
        <v>30</v>
      </c>
      <c r="N160" s="23">
        <v>20.8</v>
      </c>
      <c r="O160" s="24">
        <v>2.4761904761904763</v>
      </c>
      <c r="P160" s="25" t="str">
        <f>IF(P162="x","x","")</f>
        <v/>
      </c>
      <c r="Q160" s="25" t="str">
        <f>IF(Q162="x","x","")</f>
        <v/>
      </c>
      <c r="R160" s="25" t="str">
        <f>IF(R162="x","x","")</f>
        <v/>
      </c>
      <c r="S160" s="25" t="str">
        <f>IF(S162="x","x","")</f>
        <v/>
      </c>
      <c r="T160" s="25" t="s">
        <v>27</v>
      </c>
      <c r="U160" s="26"/>
      <c r="V160" s="27"/>
    </row>
    <row r="161" spans="1:22" ht="18.600000000000001" customHeight="1" x14ac:dyDescent="0.25">
      <c r="A161" s="18" t="s">
        <v>911</v>
      </c>
      <c r="B161" s="18" t="s">
        <v>947</v>
      </c>
      <c r="C161" s="18" t="s">
        <v>912</v>
      </c>
      <c r="D161" s="18" t="s">
        <v>26</v>
      </c>
      <c r="E161" s="18" t="s">
        <v>71</v>
      </c>
      <c r="F161" s="18" t="s">
        <v>917</v>
      </c>
      <c r="G161" s="18" t="s">
        <v>32</v>
      </c>
      <c r="H161" s="19">
        <v>2016</v>
      </c>
      <c r="I161" s="18" t="s">
        <v>364</v>
      </c>
      <c r="J161" s="101">
        <v>24</v>
      </c>
      <c r="K161" s="20">
        <v>8.4</v>
      </c>
      <c r="L161" s="21">
        <v>30.66</v>
      </c>
      <c r="M161" s="22" t="s">
        <v>30</v>
      </c>
      <c r="N161" s="23">
        <v>30.66</v>
      </c>
      <c r="O161" s="24">
        <v>3.65</v>
      </c>
      <c r="P161" s="25" t="str">
        <f>IF(P162="x","x","")</f>
        <v/>
      </c>
      <c r="Q161" s="25" t="str">
        <f>IF(Q162="x","x","")</f>
        <v/>
      </c>
      <c r="R161" s="25" t="str">
        <f>IF(R162="x","x","")</f>
        <v/>
      </c>
      <c r="S161" s="25" t="str">
        <f>IF(S162="x","x","")</f>
        <v/>
      </c>
      <c r="T161" s="25" t="s">
        <v>27</v>
      </c>
      <c r="U161" s="26"/>
      <c r="V161" s="27"/>
    </row>
    <row r="162" spans="1:22" ht="18.600000000000001" customHeight="1" thickBot="1" x14ac:dyDescent="0.3">
      <c r="A162" s="28" t="str">
        <f>A161</f>
        <v>Belarus</v>
      </c>
      <c r="B162" s="28" t="str">
        <f>B161</f>
        <v>Europe and Central Asia</v>
      </c>
      <c r="C162" s="28" t="str">
        <f>C161</f>
        <v>P118375</v>
      </c>
      <c r="D162" s="28" t="s">
        <v>26</v>
      </c>
      <c r="E162" s="28" t="s">
        <v>27</v>
      </c>
      <c r="F162" s="28" t="str">
        <f>F161</f>
        <v>P118375C1S4</v>
      </c>
      <c r="G162" s="28" t="s">
        <v>16</v>
      </c>
      <c r="H162" s="29" t="str">
        <f>H160&amp;" / "&amp;H161</f>
        <v>2010 / 2016</v>
      </c>
      <c r="I162" s="29" t="str">
        <f>I161</f>
        <v>Widening and Reconstruction</v>
      </c>
      <c r="J162" s="97">
        <f>IFERROR(J161/J160,"")</f>
        <v>0.77419354838709675</v>
      </c>
      <c r="K162" s="32">
        <f>K161/K160</f>
        <v>1</v>
      </c>
      <c r="L162" s="32">
        <f>L161/L160</f>
        <v>1.4740384615384614</v>
      </c>
      <c r="M162" s="28"/>
      <c r="N162" s="32">
        <f>N161/N160</f>
        <v>1.4740384615384614</v>
      </c>
      <c r="O162" s="32">
        <f>O161/O160</f>
        <v>1.4740384615384614</v>
      </c>
      <c r="P162" s="33" t="str">
        <f>IF(K162&lt;50%,"x","")</f>
        <v/>
      </c>
      <c r="Q162" s="33" t="str">
        <f>IF(K162&gt;150%,"x","")</f>
        <v/>
      </c>
      <c r="R162" s="33" t="str">
        <f>IF(O162&lt;50%,"x","")</f>
        <v/>
      </c>
      <c r="S162" s="33" t="str">
        <f>IF(O162&gt;150%,"x","")</f>
        <v/>
      </c>
      <c r="T162" s="33" t="s">
        <v>27</v>
      </c>
      <c r="U162" s="34" t="s">
        <v>27</v>
      </c>
      <c r="V162" s="35" t="s">
        <v>27</v>
      </c>
    </row>
    <row r="163" spans="1:22" ht="16.5" thickTop="1" x14ac:dyDescent="0.25">
      <c r="A163" s="18" t="s">
        <v>397</v>
      </c>
      <c r="B163" s="18" t="s">
        <v>946</v>
      </c>
      <c r="C163" s="18" t="s">
        <v>398</v>
      </c>
      <c r="D163" s="18" t="s">
        <v>26</v>
      </c>
      <c r="E163" s="18" t="s">
        <v>36</v>
      </c>
      <c r="F163" s="18" t="s">
        <v>399</v>
      </c>
      <c r="G163" s="18" t="s">
        <v>29</v>
      </c>
      <c r="H163" s="19">
        <v>2000</v>
      </c>
      <c r="I163" s="18" t="s">
        <v>387</v>
      </c>
      <c r="J163" s="101" t="s">
        <v>27</v>
      </c>
      <c r="K163" s="20">
        <v>20</v>
      </c>
      <c r="L163" s="21">
        <v>6.8</v>
      </c>
      <c r="M163" s="22" t="s">
        <v>30</v>
      </c>
      <c r="N163" s="23">
        <v>6.8</v>
      </c>
      <c r="O163" s="24">
        <v>0.33999999999999997</v>
      </c>
      <c r="P163" s="25" t="str">
        <f>IF(P165="x","x","")</f>
        <v/>
      </c>
      <c r="Q163" s="25" t="str">
        <f>IF(Q165="x","x","")</f>
        <v/>
      </c>
      <c r="R163" s="25" t="str">
        <f>IF(R165="x","x","")</f>
        <v/>
      </c>
      <c r="S163" s="25" t="str">
        <f>IF(S165="x","x","")</f>
        <v/>
      </c>
      <c r="T163" s="25" t="s">
        <v>27</v>
      </c>
      <c r="U163" s="26"/>
      <c r="V163" s="27"/>
    </row>
    <row r="164" spans="1:22" x14ac:dyDescent="0.25">
      <c r="A164" s="18" t="s">
        <v>397</v>
      </c>
      <c r="B164" s="18" t="s">
        <v>946</v>
      </c>
      <c r="C164" s="18" t="s">
        <v>398</v>
      </c>
      <c r="D164" s="18" t="s">
        <v>26</v>
      </c>
      <c r="E164" s="18" t="s">
        <v>36</v>
      </c>
      <c r="F164" s="18" t="s">
        <v>399</v>
      </c>
      <c r="G164" s="18" t="s">
        <v>32</v>
      </c>
      <c r="H164" s="19">
        <v>2006</v>
      </c>
      <c r="I164" s="18" t="s">
        <v>387</v>
      </c>
      <c r="J164" s="101" t="s">
        <v>27</v>
      </c>
      <c r="K164" s="20">
        <v>20</v>
      </c>
      <c r="L164" s="21">
        <v>8.68</v>
      </c>
      <c r="M164" s="22" t="s">
        <v>30</v>
      </c>
      <c r="N164" s="23">
        <v>8.68</v>
      </c>
      <c r="O164" s="24">
        <v>0.434</v>
      </c>
      <c r="P164" s="25" t="str">
        <f>IF(P165="x","x","")</f>
        <v/>
      </c>
      <c r="Q164" s="25" t="str">
        <f>IF(Q165="x","x","")</f>
        <v/>
      </c>
      <c r="R164" s="25" t="str">
        <f>IF(R165="x","x","")</f>
        <v/>
      </c>
      <c r="S164" s="25" t="str">
        <f>IF(S165="x","x","")</f>
        <v/>
      </c>
      <c r="T164" s="25" t="s">
        <v>27</v>
      </c>
      <c r="U164" s="26"/>
      <c r="V164" s="27"/>
    </row>
    <row r="165" spans="1:22" ht="16.5" thickBot="1" x14ac:dyDescent="0.3">
      <c r="A165" s="28" t="str">
        <f>A164</f>
        <v>Belize</v>
      </c>
      <c r="B165" s="28" t="str">
        <f>B164</f>
        <v>Latin America and Caribbean</v>
      </c>
      <c r="C165" s="28" t="str">
        <f>C164</f>
        <v>P040150</v>
      </c>
      <c r="D165" s="28" t="s">
        <v>26</v>
      </c>
      <c r="E165" s="28" t="s">
        <v>27</v>
      </c>
      <c r="F165" s="28" t="str">
        <f>F164</f>
        <v>P040150C1S1</v>
      </c>
      <c r="G165" s="28" t="s">
        <v>16</v>
      </c>
      <c r="H165" s="29" t="str">
        <f>H163&amp;" / "&amp;H164</f>
        <v>2000 / 2006</v>
      </c>
      <c r="I165" s="29" t="str">
        <f>I164</f>
        <v>Upgrading</v>
      </c>
      <c r="J165" s="97" t="str">
        <f>IFERROR(J164/J163,"")</f>
        <v/>
      </c>
      <c r="K165" s="32">
        <f>K164/K163</f>
        <v>1</v>
      </c>
      <c r="L165" s="32">
        <f>L164/L163</f>
        <v>1.276470588235294</v>
      </c>
      <c r="M165" s="28"/>
      <c r="N165" s="32">
        <f>N164/N163</f>
        <v>1.276470588235294</v>
      </c>
      <c r="O165" s="32">
        <f>O164/O163</f>
        <v>1.2764705882352942</v>
      </c>
      <c r="P165" s="33" t="str">
        <f>IF(K165&lt;50%,"x","")</f>
        <v/>
      </c>
      <c r="Q165" s="33" t="str">
        <f>IF(K165&gt;150%,"x","")</f>
        <v/>
      </c>
      <c r="R165" s="33" t="str">
        <f>IF(O165&lt;50%,"x","")</f>
        <v/>
      </c>
      <c r="S165" s="33" t="str">
        <f>IF(O165&gt;150%,"x","")</f>
        <v/>
      </c>
      <c r="T165" s="33" t="s">
        <v>27</v>
      </c>
      <c r="U165" s="34" t="s">
        <v>27</v>
      </c>
      <c r="V165" s="35" t="s">
        <v>27</v>
      </c>
    </row>
    <row r="166" spans="1:22" ht="16.5" thickTop="1" x14ac:dyDescent="0.25">
      <c r="A166" s="18" t="s">
        <v>1247</v>
      </c>
      <c r="B166" s="18" t="s">
        <v>950</v>
      </c>
      <c r="C166" s="18" t="s">
        <v>1248</v>
      </c>
      <c r="D166" s="18" t="s">
        <v>26</v>
      </c>
      <c r="E166" s="18" t="s">
        <v>27</v>
      </c>
      <c r="F166" s="18" t="s">
        <v>1275</v>
      </c>
      <c r="G166" s="18" t="s">
        <v>29</v>
      </c>
      <c r="H166" s="19">
        <v>2002</v>
      </c>
      <c r="I166" s="18" t="s">
        <v>213</v>
      </c>
      <c r="J166" s="101" t="s">
        <v>27</v>
      </c>
      <c r="K166" s="20">
        <v>125</v>
      </c>
      <c r="L166" s="21">
        <v>18918.45</v>
      </c>
      <c r="M166" s="22" t="s">
        <v>1239</v>
      </c>
      <c r="N166" s="23">
        <v>27.143461792303942</v>
      </c>
      <c r="O166" s="24">
        <v>0.21714769433843154</v>
      </c>
      <c r="P166" s="25" t="s">
        <v>31</v>
      </c>
      <c r="Q166" s="25" t="s">
        <v>27</v>
      </c>
      <c r="R166" s="25" t="s">
        <v>31</v>
      </c>
      <c r="S166" s="25" t="s">
        <v>1321</v>
      </c>
      <c r="T166" s="25" t="s">
        <v>1322</v>
      </c>
      <c r="U166" s="26"/>
      <c r="V166" s="27"/>
    </row>
    <row r="167" spans="1:22" x14ac:dyDescent="0.25">
      <c r="A167" s="18" t="s">
        <v>1247</v>
      </c>
      <c r="B167" s="18" t="s">
        <v>950</v>
      </c>
      <c r="C167" s="18" t="s">
        <v>1248</v>
      </c>
      <c r="D167" s="18" t="s">
        <v>26</v>
      </c>
      <c r="E167" s="18" t="s">
        <v>27</v>
      </c>
      <c r="F167" s="18" t="s">
        <v>1275</v>
      </c>
      <c r="G167" s="18" t="s">
        <v>32</v>
      </c>
      <c r="H167" s="19">
        <v>2011</v>
      </c>
      <c r="I167" s="18" t="s">
        <v>213</v>
      </c>
      <c r="J167" s="101" t="s">
        <v>27</v>
      </c>
      <c r="K167" s="20">
        <v>125</v>
      </c>
      <c r="L167" s="21">
        <v>19978.47</v>
      </c>
      <c r="M167" s="22" t="s">
        <v>1239</v>
      </c>
      <c r="N167" s="23">
        <v>42.339825371932356</v>
      </c>
      <c r="O167" s="24">
        <v>0.33871860297545886</v>
      </c>
      <c r="P167" s="25" t="s">
        <v>31</v>
      </c>
      <c r="Q167" s="25" t="s">
        <v>27</v>
      </c>
      <c r="R167" s="25" t="s">
        <v>31</v>
      </c>
      <c r="S167" s="25" t="s">
        <v>1321</v>
      </c>
      <c r="T167" s="25" t="s">
        <v>1323</v>
      </c>
      <c r="U167" s="26"/>
      <c r="V167" s="27"/>
    </row>
    <row r="168" spans="1:22" ht="95.25" thickBot="1" x14ac:dyDescent="0.3">
      <c r="A168" s="28" t="str">
        <f>A167</f>
        <v>Benin</v>
      </c>
      <c r="B168" s="28" t="str">
        <f>B167</f>
        <v>Sub-Saharan Africa</v>
      </c>
      <c r="C168" s="28" t="str">
        <f>C167</f>
        <v xml:space="preserve">AfDB-P-BJ-DB0-010 </v>
      </c>
      <c r="D168" s="28" t="s">
        <v>26</v>
      </c>
      <c r="E168" s="28" t="s">
        <v>27</v>
      </c>
      <c r="F168" s="28" t="str">
        <f>F167</f>
        <v>AfDB-P-BJ-DB0-010 C1</v>
      </c>
      <c r="G168" s="28" t="s">
        <v>16</v>
      </c>
      <c r="H168" s="29" t="str">
        <f>H166&amp;" / "&amp;H167</f>
        <v>2002 / 2011</v>
      </c>
      <c r="I168" s="29" t="str">
        <f>I167</f>
        <v>New 2L Highway</v>
      </c>
      <c r="J168" s="97" t="str">
        <f>IFERROR(J167/J166,"")</f>
        <v/>
      </c>
      <c r="K168" s="32">
        <f>K167/K166</f>
        <v>1</v>
      </c>
      <c r="L168" s="32">
        <f>L167/L166</f>
        <v>1.0560310173402154</v>
      </c>
      <c r="M168" s="28"/>
      <c r="N168" s="32">
        <f>N167/N166</f>
        <v>1.5598535550073822</v>
      </c>
      <c r="O168" s="32">
        <f>O167/O166</f>
        <v>1.5598535550073824</v>
      </c>
      <c r="P168" s="33" t="s">
        <v>31</v>
      </c>
      <c r="Q168" s="33" t="s">
        <v>27</v>
      </c>
      <c r="R168" s="33" t="s">
        <v>31</v>
      </c>
      <c r="S168" s="33" t="s">
        <v>1324</v>
      </c>
      <c r="T168" s="33" t="s">
        <v>1325</v>
      </c>
      <c r="U168" s="34" t="s">
        <v>1326</v>
      </c>
      <c r="V168" s="35" t="s">
        <v>1327</v>
      </c>
    </row>
    <row r="169" spans="1:22" ht="16.5" thickTop="1" x14ac:dyDescent="0.25">
      <c r="A169" s="18" t="s">
        <v>1247</v>
      </c>
      <c r="B169" s="18" t="s">
        <v>950</v>
      </c>
      <c r="C169" s="18" t="s">
        <v>1256</v>
      </c>
      <c r="D169" s="18" t="s">
        <v>26</v>
      </c>
      <c r="E169" s="18" t="s">
        <v>27</v>
      </c>
      <c r="F169" s="18" t="s">
        <v>1283</v>
      </c>
      <c r="G169" s="18" t="s">
        <v>29</v>
      </c>
      <c r="H169" s="19">
        <v>1992</v>
      </c>
      <c r="I169" s="18" t="s">
        <v>213</v>
      </c>
      <c r="J169" s="101" t="s">
        <v>27</v>
      </c>
      <c r="K169" s="20">
        <v>2.2999999999999998</v>
      </c>
      <c r="L169" s="21">
        <v>4662</v>
      </c>
      <c r="M169" s="22" t="s">
        <v>1257</v>
      </c>
      <c r="N169" s="23">
        <v>17.613056783407004</v>
      </c>
      <c r="O169" s="24">
        <v>7.6578507753943503</v>
      </c>
      <c r="P169" s="25" t="s">
        <v>27</v>
      </c>
      <c r="Q169" s="25" t="s">
        <v>27</v>
      </c>
      <c r="R169" s="25" t="s">
        <v>27</v>
      </c>
      <c r="S169" s="25"/>
      <c r="T169" s="25"/>
      <c r="U169" s="26"/>
      <c r="V169" s="27"/>
    </row>
    <row r="170" spans="1:22" x14ac:dyDescent="0.25">
      <c r="A170" s="18" t="s">
        <v>1247</v>
      </c>
      <c r="B170" s="18" t="s">
        <v>950</v>
      </c>
      <c r="C170" s="18" t="s">
        <v>1256</v>
      </c>
      <c r="D170" s="18" t="s">
        <v>26</v>
      </c>
      <c r="E170" s="18" t="s">
        <v>27</v>
      </c>
      <c r="F170" s="18" t="s">
        <v>1283</v>
      </c>
      <c r="G170" s="18" t="s">
        <v>32</v>
      </c>
      <c r="H170" s="19">
        <v>1999</v>
      </c>
      <c r="I170" s="18" t="s">
        <v>213</v>
      </c>
      <c r="J170" s="101" t="s">
        <v>27</v>
      </c>
      <c r="K170" s="20">
        <v>2.2999999999999998</v>
      </c>
      <c r="L170" s="21">
        <v>6134</v>
      </c>
      <c r="M170" s="22" t="s">
        <v>1257</v>
      </c>
      <c r="N170" s="23">
        <v>9.9628059575435675</v>
      </c>
      <c r="O170" s="24">
        <v>4.3316547641493779</v>
      </c>
      <c r="P170" s="25" t="s">
        <v>27</v>
      </c>
      <c r="Q170" s="25" t="s">
        <v>27</v>
      </c>
      <c r="R170" s="25" t="s">
        <v>27</v>
      </c>
      <c r="S170" s="25"/>
      <c r="T170" s="25"/>
      <c r="U170" s="26"/>
      <c r="V170" s="27"/>
    </row>
    <row r="171" spans="1:22" ht="16.5" thickBot="1" x14ac:dyDescent="0.3">
      <c r="A171" s="28" t="str">
        <f>A170</f>
        <v>Benin</v>
      </c>
      <c r="B171" s="28" t="str">
        <f>B170</f>
        <v>Sub-Saharan Africa</v>
      </c>
      <c r="C171" s="28" t="str">
        <f>C170</f>
        <v xml:space="preserve">AfDB loan number: F/BEN/ROD/92/27
</v>
      </c>
      <c r="D171" s="28" t="s">
        <v>26</v>
      </c>
      <c r="E171" s="28" t="s">
        <v>27</v>
      </c>
      <c r="F171" s="28" t="str">
        <f>F170</f>
        <v>AfDB loan number: F/BEN/ROD/92/27
C1</v>
      </c>
      <c r="G171" s="28" t="s">
        <v>16</v>
      </c>
      <c r="H171" s="29" t="str">
        <f>H169&amp;" / "&amp;H170</f>
        <v>1992 / 1999</v>
      </c>
      <c r="I171" s="29" t="str">
        <f>I170</f>
        <v>New 2L Highway</v>
      </c>
      <c r="J171" s="97" t="str">
        <f>IFERROR(J170/J169,"")</f>
        <v/>
      </c>
      <c r="K171" s="32">
        <f>K170/K169</f>
        <v>1</v>
      </c>
      <c r="L171" s="32">
        <f>L170/L169</f>
        <v>1.3157443157443158</v>
      </c>
      <c r="M171" s="28"/>
      <c r="N171" s="32">
        <f>N170/N169</f>
        <v>0.56564888650840994</v>
      </c>
      <c r="O171" s="32">
        <f>O170/O169</f>
        <v>0.56564888650840994</v>
      </c>
      <c r="P171" s="33" t="s">
        <v>27</v>
      </c>
      <c r="Q171" s="33" t="s">
        <v>27</v>
      </c>
      <c r="R171" s="33" t="s">
        <v>27</v>
      </c>
      <c r="S171" s="33"/>
      <c r="T171" s="33"/>
      <c r="U171" s="34" t="s">
        <v>27</v>
      </c>
      <c r="V171" s="35" t="s">
        <v>27</v>
      </c>
    </row>
    <row r="172" spans="1:22" ht="16.5" thickTop="1" x14ac:dyDescent="0.25">
      <c r="A172" s="18" t="s">
        <v>1247</v>
      </c>
      <c r="B172" s="18" t="s">
        <v>950</v>
      </c>
      <c r="C172" s="18" t="s">
        <v>1256</v>
      </c>
      <c r="D172" s="18" t="s">
        <v>42</v>
      </c>
      <c r="E172" s="18" t="s">
        <v>27</v>
      </c>
      <c r="F172" s="18" t="s">
        <v>1284</v>
      </c>
      <c r="G172" s="18" t="s">
        <v>29</v>
      </c>
      <c r="H172" s="19">
        <v>1992</v>
      </c>
      <c r="I172" s="18" t="s">
        <v>131</v>
      </c>
      <c r="J172" s="101" t="s">
        <v>27</v>
      </c>
      <c r="K172" s="20">
        <v>4.5</v>
      </c>
      <c r="L172" s="21">
        <v>1992</v>
      </c>
      <c r="M172" s="22" t="s">
        <v>1257</v>
      </c>
      <c r="N172" s="23">
        <v>7.5257848804261593</v>
      </c>
      <c r="O172" s="24">
        <v>1.6723966400947021</v>
      </c>
      <c r="P172" s="25" t="s">
        <v>27</v>
      </c>
      <c r="Q172" s="25" t="s">
        <v>27</v>
      </c>
      <c r="R172" s="25" t="s">
        <v>27</v>
      </c>
      <c r="S172" s="25"/>
      <c r="T172" s="25"/>
      <c r="U172" s="26"/>
      <c r="V172" s="27"/>
    </row>
    <row r="173" spans="1:22" x14ac:dyDescent="0.25">
      <c r="A173" s="18" t="s">
        <v>1247</v>
      </c>
      <c r="B173" s="18" t="s">
        <v>950</v>
      </c>
      <c r="C173" s="18" t="s">
        <v>1256</v>
      </c>
      <c r="D173" s="18" t="s">
        <v>42</v>
      </c>
      <c r="E173" s="18" t="s">
        <v>27</v>
      </c>
      <c r="F173" s="18" t="s">
        <v>1284</v>
      </c>
      <c r="G173" s="18" t="s">
        <v>32</v>
      </c>
      <c r="H173" s="19">
        <v>1999</v>
      </c>
      <c r="I173" s="18" t="s">
        <v>131</v>
      </c>
      <c r="J173" s="101" t="s">
        <v>27</v>
      </c>
      <c r="K173" s="20">
        <v>4.5</v>
      </c>
      <c r="L173" s="21">
        <v>5602</v>
      </c>
      <c r="M173" s="22" t="s">
        <v>1257</v>
      </c>
      <c r="N173" s="23">
        <v>9.0987347528788831</v>
      </c>
      <c r="O173" s="24">
        <v>2.0219410561953075</v>
      </c>
      <c r="P173" s="25" t="s">
        <v>27</v>
      </c>
      <c r="Q173" s="25" t="s">
        <v>27</v>
      </c>
      <c r="R173" s="25" t="s">
        <v>27</v>
      </c>
      <c r="S173" s="25"/>
      <c r="T173" s="25"/>
      <c r="U173" s="26"/>
      <c r="V173" s="27"/>
    </row>
    <row r="174" spans="1:22" ht="16.5" thickBot="1" x14ac:dyDescent="0.3">
      <c r="A174" s="28" t="str">
        <f>A173</f>
        <v>Benin</v>
      </c>
      <c r="B174" s="28" t="str">
        <f>B173</f>
        <v>Sub-Saharan Africa</v>
      </c>
      <c r="C174" s="28" t="str">
        <f>C173</f>
        <v xml:space="preserve">AfDB loan number: F/BEN/ROD/92/27
</v>
      </c>
      <c r="D174" s="28" t="s">
        <v>26</v>
      </c>
      <c r="E174" s="28" t="s">
        <v>27</v>
      </c>
      <c r="F174" s="28" t="str">
        <f>F173</f>
        <v>AfDB loan number: F/BEN/ROD/92/27
C2</v>
      </c>
      <c r="G174" s="28" t="s">
        <v>16</v>
      </c>
      <c r="H174" s="29" t="str">
        <f>H172&amp;" / "&amp;H173</f>
        <v>1992 / 1999</v>
      </c>
      <c r="I174" s="29" t="str">
        <f>I173</f>
        <v>Partial Widening and Reconstruction</v>
      </c>
      <c r="J174" s="97" t="str">
        <f>IFERROR(J173/J172,"")</f>
        <v/>
      </c>
      <c r="K174" s="32">
        <f>K173/K172</f>
        <v>1</v>
      </c>
      <c r="L174" s="32">
        <f>L173/L172</f>
        <v>2.8122489959839356</v>
      </c>
      <c r="M174" s="28"/>
      <c r="N174" s="32">
        <f>N173/N172</f>
        <v>1.209008083202566</v>
      </c>
      <c r="O174" s="32">
        <f>O173/O172</f>
        <v>1.209008083202566</v>
      </c>
      <c r="P174" s="33" t="s">
        <v>27</v>
      </c>
      <c r="Q174" s="33" t="s">
        <v>27</v>
      </c>
      <c r="R174" s="33" t="s">
        <v>27</v>
      </c>
      <c r="S174" s="33"/>
      <c r="T174" s="33"/>
      <c r="U174" s="34" t="s">
        <v>27</v>
      </c>
      <c r="V174" s="35" t="s">
        <v>27</v>
      </c>
    </row>
    <row r="175" spans="1:22" ht="16.5" thickTop="1" x14ac:dyDescent="0.25">
      <c r="A175" s="18" t="s">
        <v>113</v>
      </c>
      <c r="B175" s="18" t="s">
        <v>948</v>
      </c>
      <c r="C175" s="18" t="s">
        <v>114</v>
      </c>
      <c r="D175" s="18" t="s">
        <v>26</v>
      </c>
      <c r="E175" s="18" t="s">
        <v>27</v>
      </c>
      <c r="F175" s="18" t="s">
        <v>115</v>
      </c>
      <c r="G175" s="18" t="s">
        <v>29</v>
      </c>
      <c r="H175" s="19">
        <v>1999</v>
      </c>
      <c r="I175" s="18" t="s">
        <v>74</v>
      </c>
      <c r="J175" s="101">
        <v>60</v>
      </c>
      <c r="K175" s="20">
        <v>122</v>
      </c>
      <c r="L175" s="21">
        <v>12.5</v>
      </c>
      <c r="M175" s="22" t="s">
        <v>30</v>
      </c>
      <c r="N175" s="23">
        <v>12.5</v>
      </c>
      <c r="O175" s="24">
        <v>0.10245901639344263</v>
      </c>
      <c r="P175" s="25" t="str">
        <f>IF(P177="x","x","")</f>
        <v/>
      </c>
      <c r="Q175" s="25" t="str">
        <f>IF(Q177="x","x","")</f>
        <v/>
      </c>
      <c r="R175" s="25" t="str">
        <f>IF(R177="x","x","")</f>
        <v/>
      </c>
      <c r="S175" s="25" t="str">
        <f>IF(S177="x","x","")</f>
        <v/>
      </c>
      <c r="T175" s="25" t="s">
        <v>27</v>
      </c>
      <c r="U175" s="26"/>
      <c r="V175" s="27"/>
    </row>
    <row r="176" spans="1:22" x14ac:dyDescent="0.25">
      <c r="A176" s="18" t="s">
        <v>113</v>
      </c>
      <c r="B176" s="18" t="s">
        <v>948</v>
      </c>
      <c r="C176" s="18" t="s">
        <v>114</v>
      </c>
      <c r="D176" s="18" t="s">
        <v>26</v>
      </c>
      <c r="E176" s="18" t="s">
        <v>27</v>
      </c>
      <c r="F176" s="18" t="s">
        <v>115</v>
      </c>
      <c r="G176" s="18" t="s">
        <v>32</v>
      </c>
      <c r="H176" s="19">
        <v>2006</v>
      </c>
      <c r="I176" s="18" t="s">
        <v>74</v>
      </c>
      <c r="J176" s="101">
        <v>74</v>
      </c>
      <c r="K176" s="20">
        <v>128.76</v>
      </c>
      <c r="L176" s="21">
        <v>12.6</v>
      </c>
      <c r="M176" s="22" t="s">
        <v>30</v>
      </c>
      <c r="N176" s="23">
        <v>12.6</v>
      </c>
      <c r="O176" s="24">
        <v>9.7856477166821998E-2</v>
      </c>
      <c r="P176" s="25" t="str">
        <f>IF(P177="x","x","")</f>
        <v/>
      </c>
      <c r="Q176" s="25" t="str">
        <f>IF(Q177="x","x","")</f>
        <v/>
      </c>
      <c r="R176" s="25" t="str">
        <f>IF(R177="x","x","")</f>
        <v/>
      </c>
      <c r="S176" s="25" t="str">
        <f>IF(S177="x","x","")</f>
        <v/>
      </c>
      <c r="T176" s="25" t="s">
        <v>27</v>
      </c>
      <c r="U176" s="26"/>
      <c r="V176" s="27"/>
    </row>
    <row r="177" spans="1:22" ht="16.5" thickBot="1" x14ac:dyDescent="0.3">
      <c r="A177" s="28" t="str">
        <f>A176</f>
        <v>Bhutan</v>
      </c>
      <c r="B177" s="28" t="str">
        <f>B176</f>
        <v>South Asia</v>
      </c>
      <c r="C177" s="28" t="str">
        <f>C176</f>
        <v>P059481</v>
      </c>
      <c r="D177" s="28" t="s">
        <v>26</v>
      </c>
      <c r="E177" s="28" t="s">
        <v>27</v>
      </c>
      <c r="F177" s="28" t="str">
        <f>F176</f>
        <v>P059481C1</v>
      </c>
      <c r="G177" s="28" t="s">
        <v>16</v>
      </c>
      <c r="H177" s="29" t="str">
        <f>H175&amp;" / "&amp;H176</f>
        <v>1999 / 2006</v>
      </c>
      <c r="I177" s="29" t="str">
        <f>I176</f>
        <v>New 1L Road</v>
      </c>
      <c r="J177" s="97">
        <f>IFERROR(J176/J175,"")</f>
        <v>1.2333333333333334</v>
      </c>
      <c r="K177" s="32">
        <f>K176/K175</f>
        <v>1.0554098360655737</v>
      </c>
      <c r="L177" s="32">
        <f>L176/L175</f>
        <v>1.008</v>
      </c>
      <c r="M177" s="28"/>
      <c r="N177" s="32">
        <f>N176/N175</f>
        <v>1.008</v>
      </c>
      <c r="O177" s="32">
        <f>O176/O175</f>
        <v>0.95507921714818267</v>
      </c>
      <c r="P177" s="33" t="str">
        <f>IF(K177&lt;50%,"x","")</f>
        <v/>
      </c>
      <c r="Q177" s="33" t="str">
        <f>IF(K177&gt;150%,"x","")</f>
        <v/>
      </c>
      <c r="R177" s="33" t="str">
        <f>IF(O177&lt;50%,"x","")</f>
        <v/>
      </c>
      <c r="S177" s="33" t="str">
        <f>IF(O177&gt;150%,"x","")</f>
        <v/>
      </c>
      <c r="T177" s="33" t="s">
        <v>27</v>
      </c>
      <c r="U177" s="34" t="s">
        <v>27</v>
      </c>
      <c r="V177" s="35" t="s">
        <v>27</v>
      </c>
    </row>
    <row r="178" spans="1:22" ht="16.5" thickTop="1" x14ac:dyDescent="0.25">
      <c r="A178" s="18" t="s">
        <v>113</v>
      </c>
      <c r="B178" s="18" t="s">
        <v>948</v>
      </c>
      <c r="C178" s="18" t="s">
        <v>876</v>
      </c>
      <c r="D178" s="18" t="s">
        <v>26</v>
      </c>
      <c r="E178" s="18" t="s">
        <v>27</v>
      </c>
      <c r="F178" s="18" t="s">
        <v>877</v>
      </c>
      <c r="G178" s="18" t="s">
        <v>29</v>
      </c>
      <c r="H178" s="19">
        <v>2007</v>
      </c>
      <c r="I178" s="18" t="s">
        <v>74</v>
      </c>
      <c r="J178" s="101" t="s">
        <v>27</v>
      </c>
      <c r="K178" s="20">
        <v>89</v>
      </c>
      <c r="L178" s="21">
        <v>8.6999999999999993</v>
      </c>
      <c r="M178" s="22" t="s">
        <v>30</v>
      </c>
      <c r="N178" s="23">
        <v>8.6999999999999993</v>
      </c>
      <c r="O178" s="24">
        <v>9.7752808988764039E-2</v>
      </c>
      <c r="P178" s="25" t="str">
        <f>IF(P180="x","x","")</f>
        <v/>
      </c>
      <c r="Q178" s="25" t="str">
        <f>IF(Q180="x","x","")</f>
        <v/>
      </c>
      <c r="R178" s="25" t="str">
        <f>IF(R180="x","x","")</f>
        <v/>
      </c>
      <c r="S178" s="25" t="str">
        <f>IF(S180="x","x","")</f>
        <v/>
      </c>
      <c r="T178" s="25" t="s">
        <v>27</v>
      </c>
      <c r="U178" s="26"/>
      <c r="V178" s="27"/>
    </row>
    <row r="179" spans="1:22" x14ac:dyDescent="0.25">
      <c r="A179" s="18" t="s">
        <v>113</v>
      </c>
      <c r="B179" s="18" t="s">
        <v>948</v>
      </c>
      <c r="C179" s="18" t="s">
        <v>876</v>
      </c>
      <c r="D179" s="18" t="s">
        <v>26</v>
      </c>
      <c r="E179" s="18" t="s">
        <v>27</v>
      </c>
      <c r="F179" s="18" t="s">
        <v>877</v>
      </c>
      <c r="G179" s="18" t="s">
        <v>32</v>
      </c>
      <c r="H179" s="19">
        <v>2013</v>
      </c>
      <c r="I179" s="18" t="s">
        <v>74</v>
      </c>
      <c r="J179" s="101" t="s">
        <v>27</v>
      </c>
      <c r="K179" s="20">
        <v>90</v>
      </c>
      <c r="L179" s="21">
        <v>10.84</v>
      </c>
      <c r="M179" s="22" t="s">
        <v>30</v>
      </c>
      <c r="N179" s="23">
        <v>10.84</v>
      </c>
      <c r="O179" s="24">
        <v>0.12044444444444444</v>
      </c>
      <c r="P179" s="25" t="str">
        <f>IF(P180="x","x","")</f>
        <v/>
      </c>
      <c r="Q179" s="25" t="str">
        <f>IF(Q180="x","x","")</f>
        <v/>
      </c>
      <c r="R179" s="25" t="str">
        <f>IF(R180="x","x","")</f>
        <v/>
      </c>
      <c r="S179" s="25" t="str">
        <f>IF(S180="x","x","")</f>
        <v/>
      </c>
      <c r="T179" s="25" t="s">
        <v>27</v>
      </c>
      <c r="U179" s="26"/>
      <c r="V179" s="27"/>
    </row>
    <row r="180" spans="1:22" ht="16.5" thickBot="1" x14ac:dyDescent="0.3">
      <c r="A180" s="28" t="str">
        <f>A179</f>
        <v>Bhutan</v>
      </c>
      <c r="B180" s="28" t="str">
        <f>B179</f>
        <v>South Asia</v>
      </c>
      <c r="C180" s="28" t="str">
        <f>C179</f>
        <v>P100332</v>
      </c>
      <c r="D180" s="28" t="s">
        <v>26</v>
      </c>
      <c r="E180" s="28" t="s">
        <v>27</v>
      </c>
      <c r="F180" s="28" t="str">
        <f>F179</f>
        <v>P100332C1</v>
      </c>
      <c r="G180" s="28" t="s">
        <v>16</v>
      </c>
      <c r="H180" s="29" t="str">
        <f>H178&amp;" / "&amp;H179</f>
        <v>2007 / 2013</v>
      </c>
      <c r="I180" s="29" t="str">
        <f>I179</f>
        <v>New 1L Road</v>
      </c>
      <c r="J180" s="97" t="str">
        <f>IFERROR(J179/J178,"")</f>
        <v/>
      </c>
      <c r="K180" s="32">
        <f>K179/K178</f>
        <v>1.0112359550561798</v>
      </c>
      <c r="L180" s="32">
        <f>L179/L178</f>
        <v>1.245977011494253</v>
      </c>
      <c r="M180" s="28"/>
      <c r="N180" s="32">
        <f>N179/N178</f>
        <v>1.245977011494253</v>
      </c>
      <c r="O180" s="32">
        <f>O179/O178</f>
        <v>1.23213282247765</v>
      </c>
      <c r="P180" s="33" t="str">
        <f>IF(K180&lt;50%,"x","")</f>
        <v/>
      </c>
      <c r="Q180" s="33" t="str">
        <f>IF(K180&gt;150%,"x","")</f>
        <v/>
      </c>
      <c r="R180" s="33" t="str">
        <f>IF(O180&lt;50%,"x","")</f>
        <v/>
      </c>
      <c r="S180" s="33" t="str">
        <f>IF(O180&gt;150%,"x","")</f>
        <v/>
      </c>
      <c r="T180" s="33" t="s">
        <v>27</v>
      </c>
      <c r="U180" s="34" t="s">
        <v>27</v>
      </c>
      <c r="V180" s="35" t="s">
        <v>27</v>
      </c>
    </row>
    <row r="181" spans="1:22" ht="16.5" thickTop="1" x14ac:dyDescent="0.25">
      <c r="A181" s="18" t="s">
        <v>113</v>
      </c>
      <c r="B181" s="18" t="s">
        <v>948</v>
      </c>
      <c r="C181" s="18" t="s">
        <v>876</v>
      </c>
      <c r="D181" s="18" t="s">
        <v>26</v>
      </c>
      <c r="E181" s="18" t="s">
        <v>36</v>
      </c>
      <c r="F181" s="18" t="s">
        <v>878</v>
      </c>
      <c r="G181" s="18" t="s">
        <v>29</v>
      </c>
      <c r="H181" s="19">
        <v>2007</v>
      </c>
      <c r="I181" s="18" t="s">
        <v>74</v>
      </c>
      <c r="J181" s="101">
        <v>10</v>
      </c>
      <c r="K181" s="20">
        <v>13.7</v>
      </c>
      <c r="L181" s="21">
        <v>2</v>
      </c>
      <c r="M181" s="22" t="s">
        <v>30</v>
      </c>
      <c r="N181" s="23">
        <v>2</v>
      </c>
      <c r="O181" s="24">
        <v>0.14598540145985403</v>
      </c>
      <c r="P181" s="25" t="str">
        <f>IF(P183="x","x","")</f>
        <v/>
      </c>
      <c r="Q181" s="25" t="str">
        <f>IF(Q183="x","x","")</f>
        <v/>
      </c>
      <c r="R181" s="25" t="str">
        <f>IF(R183="x","x","")</f>
        <v/>
      </c>
      <c r="S181" s="25" t="str">
        <f>IF(S183="x","x","")</f>
        <v/>
      </c>
      <c r="T181" s="25" t="s">
        <v>27</v>
      </c>
      <c r="U181" s="26"/>
      <c r="V181" s="27"/>
    </row>
    <row r="182" spans="1:22" x14ac:dyDescent="0.25">
      <c r="A182" s="18" t="s">
        <v>113</v>
      </c>
      <c r="B182" s="18" t="s">
        <v>948</v>
      </c>
      <c r="C182" s="18" t="s">
        <v>876</v>
      </c>
      <c r="D182" s="18" t="s">
        <v>26</v>
      </c>
      <c r="E182" s="18" t="s">
        <v>36</v>
      </c>
      <c r="F182" s="18" t="s">
        <v>878</v>
      </c>
      <c r="G182" s="18" t="s">
        <v>32</v>
      </c>
      <c r="H182" s="19">
        <v>2013</v>
      </c>
      <c r="I182" s="18" t="s">
        <v>74</v>
      </c>
      <c r="J182" s="101" t="s">
        <v>27</v>
      </c>
      <c r="K182" s="20">
        <v>11.83</v>
      </c>
      <c r="L182" s="21">
        <v>1.66</v>
      </c>
      <c r="M182" s="22" t="s">
        <v>30</v>
      </c>
      <c r="N182" s="23">
        <v>1.66</v>
      </c>
      <c r="O182" s="24">
        <v>0.14032121724429417</v>
      </c>
      <c r="P182" s="25" t="str">
        <f>IF(P183="x","x","")</f>
        <v/>
      </c>
      <c r="Q182" s="25" t="str">
        <f>IF(Q183="x","x","")</f>
        <v/>
      </c>
      <c r="R182" s="25" t="str">
        <f>IF(R183="x","x","")</f>
        <v/>
      </c>
      <c r="S182" s="25" t="str">
        <f>IF(S183="x","x","")</f>
        <v/>
      </c>
      <c r="T182" s="25" t="s">
        <v>27</v>
      </c>
      <c r="U182" s="26"/>
      <c r="V182" s="27"/>
    </row>
    <row r="183" spans="1:22" ht="16.5" thickBot="1" x14ac:dyDescent="0.3">
      <c r="A183" s="28" t="str">
        <f>A182</f>
        <v>Bhutan</v>
      </c>
      <c r="B183" s="28" t="str">
        <f>B182</f>
        <v>South Asia</v>
      </c>
      <c r="C183" s="28" t="str">
        <f>C182</f>
        <v>P100332</v>
      </c>
      <c r="D183" s="28" t="s">
        <v>26</v>
      </c>
      <c r="E183" s="28" t="s">
        <v>27</v>
      </c>
      <c r="F183" s="28" t="str">
        <f>F182</f>
        <v>P100332C1S1</v>
      </c>
      <c r="G183" s="28" t="s">
        <v>16</v>
      </c>
      <c r="H183" s="29" t="str">
        <f>H181&amp;" / "&amp;H182</f>
        <v>2007 / 2013</v>
      </c>
      <c r="I183" s="29" t="str">
        <f>I182</f>
        <v>New 1L Road</v>
      </c>
      <c r="J183" s="97" t="str">
        <f>IFERROR(J182/J181,"")</f>
        <v/>
      </c>
      <c r="K183" s="32">
        <f>K182/K181</f>
        <v>0.86350364963503656</v>
      </c>
      <c r="L183" s="32">
        <f>L182/L181</f>
        <v>0.83</v>
      </c>
      <c r="M183" s="28"/>
      <c r="N183" s="32">
        <f>N182/N181</f>
        <v>0.83</v>
      </c>
      <c r="O183" s="32">
        <f>O182/O181</f>
        <v>0.96120033812341499</v>
      </c>
      <c r="P183" s="33" t="str">
        <f>IF(K183&lt;50%,"x","")</f>
        <v/>
      </c>
      <c r="Q183" s="33" t="str">
        <f>IF(K183&gt;150%,"x","")</f>
        <v/>
      </c>
      <c r="R183" s="33" t="str">
        <f>IF(O183&lt;50%,"x","")</f>
        <v/>
      </c>
      <c r="S183" s="33" t="str">
        <f>IF(O183&gt;150%,"x","")</f>
        <v/>
      </c>
      <c r="T183" s="33" t="s">
        <v>27</v>
      </c>
      <c r="U183" s="34" t="s">
        <v>27</v>
      </c>
      <c r="V183" s="35" t="s">
        <v>27</v>
      </c>
    </row>
    <row r="184" spans="1:22" ht="16.5" thickTop="1" x14ac:dyDescent="0.25">
      <c r="A184" s="18" t="s">
        <v>113</v>
      </c>
      <c r="B184" s="18" t="s">
        <v>948</v>
      </c>
      <c r="C184" s="18" t="s">
        <v>876</v>
      </c>
      <c r="D184" s="18" t="s">
        <v>26</v>
      </c>
      <c r="E184" s="18" t="s">
        <v>40</v>
      </c>
      <c r="F184" s="18" t="s">
        <v>879</v>
      </c>
      <c r="G184" s="18" t="s">
        <v>29</v>
      </c>
      <c r="H184" s="19">
        <v>2007</v>
      </c>
      <c r="I184" s="18" t="s">
        <v>74</v>
      </c>
      <c r="J184" s="101">
        <v>10</v>
      </c>
      <c r="K184" s="20">
        <v>22</v>
      </c>
      <c r="L184" s="21">
        <v>2.5</v>
      </c>
      <c r="M184" s="22" t="s">
        <v>30</v>
      </c>
      <c r="N184" s="23">
        <v>2.5</v>
      </c>
      <c r="O184" s="24">
        <v>0.11363636363636363</v>
      </c>
      <c r="P184" s="25" t="str">
        <f>IF(P186="x","x","")</f>
        <v/>
      </c>
      <c r="Q184" s="25" t="str">
        <f>IF(Q186="x","x","")</f>
        <v/>
      </c>
      <c r="R184" s="25" t="str">
        <f>IF(R186="x","x","")</f>
        <v/>
      </c>
      <c r="S184" s="25" t="str">
        <f>IF(S186="x","x","")</f>
        <v/>
      </c>
      <c r="T184" s="25" t="s">
        <v>27</v>
      </c>
      <c r="U184" s="26"/>
      <c r="V184" s="27"/>
    </row>
    <row r="185" spans="1:22" x14ac:dyDescent="0.25">
      <c r="A185" s="18" t="s">
        <v>113</v>
      </c>
      <c r="B185" s="18" t="s">
        <v>948</v>
      </c>
      <c r="C185" s="18" t="s">
        <v>876</v>
      </c>
      <c r="D185" s="18" t="s">
        <v>26</v>
      </c>
      <c r="E185" s="18" t="s">
        <v>40</v>
      </c>
      <c r="F185" s="18" t="s">
        <v>879</v>
      </c>
      <c r="G185" s="18" t="s">
        <v>32</v>
      </c>
      <c r="H185" s="19">
        <v>2013</v>
      </c>
      <c r="I185" s="18" t="s">
        <v>74</v>
      </c>
      <c r="J185" s="101" t="s">
        <v>27</v>
      </c>
      <c r="K185" s="20">
        <v>26.1</v>
      </c>
      <c r="L185" s="21">
        <v>3.19</v>
      </c>
      <c r="M185" s="22" t="s">
        <v>30</v>
      </c>
      <c r="N185" s="23">
        <v>3.19</v>
      </c>
      <c r="O185" s="24">
        <v>0.12222222222222222</v>
      </c>
      <c r="P185" s="25" t="str">
        <f>IF(P186="x","x","")</f>
        <v/>
      </c>
      <c r="Q185" s="25" t="str">
        <f>IF(Q186="x","x","")</f>
        <v/>
      </c>
      <c r="R185" s="25" t="str">
        <f>IF(R186="x","x","")</f>
        <v/>
      </c>
      <c r="S185" s="25" t="str">
        <f>IF(S186="x","x","")</f>
        <v/>
      </c>
      <c r="T185" s="25" t="s">
        <v>27</v>
      </c>
      <c r="U185" s="26"/>
      <c r="V185" s="27"/>
    </row>
    <row r="186" spans="1:22" ht="16.5" thickBot="1" x14ac:dyDescent="0.3">
      <c r="A186" s="28" t="str">
        <f>A185</f>
        <v>Bhutan</v>
      </c>
      <c r="B186" s="28" t="str">
        <f>B185</f>
        <v>South Asia</v>
      </c>
      <c r="C186" s="28" t="str">
        <f>C185</f>
        <v>P100332</v>
      </c>
      <c r="D186" s="28" t="s">
        <v>26</v>
      </c>
      <c r="E186" s="28" t="s">
        <v>27</v>
      </c>
      <c r="F186" s="28" t="str">
        <f>F185</f>
        <v>P100332C1S2</v>
      </c>
      <c r="G186" s="28" t="s">
        <v>16</v>
      </c>
      <c r="H186" s="29" t="str">
        <f>H184&amp;" / "&amp;H185</f>
        <v>2007 / 2013</v>
      </c>
      <c r="I186" s="29" t="str">
        <f>I185</f>
        <v>New 1L Road</v>
      </c>
      <c r="J186" s="97" t="str">
        <f>IFERROR(J185/J184,"")</f>
        <v/>
      </c>
      <c r="K186" s="32">
        <f>K185/K184</f>
        <v>1.1863636363636365</v>
      </c>
      <c r="L186" s="32">
        <f>L185/L184</f>
        <v>1.276</v>
      </c>
      <c r="M186" s="28"/>
      <c r="N186" s="32">
        <f>N185/N184</f>
        <v>1.276</v>
      </c>
      <c r="O186" s="32">
        <f>O185/O184</f>
        <v>1.0755555555555556</v>
      </c>
      <c r="P186" s="33" t="str">
        <f>IF(K186&lt;50%,"x","")</f>
        <v/>
      </c>
      <c r="Q186" s="33" t="str">
        <f>IF(K186&gt;150%,"x","")</f>
        <v/>
      </c>
      <c r="R186" s="33" t="str">
        <f>IF(O186&lt;50%,"x","")</f>
        <v/>
      </c>
      <c r="S186" s="33" t="str">
        <f>IF(O186&gt;150%,"x","")</f>
        <v/>
      </c>
      <c r="T186" s="33" t="s">
        <v>27</v>
      </c>
      <c r="U186" s="34" t="s">
        <v>27</v>
      </c>
      <c r="V186" s="35" t="s">
        <v>27</v>
      </c>
    </row>
    <row r="187" spans="1:22" ht="16.5" thickTop="1" x14ac:dyDescent="0.25">
      <c r="A187" s="18" t="s">
        <v>113</v>
      </c>
      <c r="B187" s="18" t="s">
        <v>948</v>
      </c>
      <c r="C187" s="18" t="s">
        <v>876</v>
      </c>
      <c r="D187" s="18" t="s">
        <v>26</v>
      </c>
      <c r="E187" s="18" t="s">
        <v>69</v>
      </c>
      <c r="F187" s="18" t="s">
        <v>880</v>
      </c>
      <c r="G187" s="18" t="s">
        <v>29</v>
      </c>
      <c r="H187" s="19">
        <v>2007</v>
      </c>
      <c r="I187" s="18" t="s">
        <v>74</v>
      </c>
      <c r="J187" s="101">
        <v>16</v>
      </c>
      <c r="K187" s="20">
        <v>29</v>
      </c>
      <c r="L187" s="21">
        <v>3.3</v>
      </c>
      <c r="M187" s="22" t="s">
        <v>30</v>
      </c>
      <c r="N187" s="23">
        <v>3.3</v>
      </c>
      <c r="O187" s="24">
        <v>0.11379310344827585</v>
      </c>
      <c r="P187" s="25" t="str">
        <f>IF(P189="x","x","")</f>
        <v/>
      </c>
      <c r="Q187" s="25" t="str">
        <f>IF(Q189="x","x","")</f>
        <v/>
      </c>
      <c r="R187" s="25" t="str">
        <f>IF(R189="x","x","")</f>
        <v/>
      </c>
      <c r="S187" s="25" t="str">
        <f>IF(S189="x","x","")</f>
        <v/>
      </c>
      <c r="T187" s="25" t="s">
        <v>27</v>
      </c>
      <c r="U187" s="26"/>
      <c r="V187" s="27"/>
    </row>
    <row r="188" spans="1:22" x14ac:dyDescent="0.25">
      <c r="A188" s="18" t="s">
        <v>113</v>
      </c>
      <c r="B188" s="18" t="s">
        <v>948</v>
      </c>
      <c r="C188" s="18" t="s">
        <v>876</v>
      </c>
      <c r="D188" s="18" t="s">
        <v>26</v>
      </c>
      <c r="E188" s="18" t="s">
        <v>69</v>
      </c>
      <c r="F188" s="18" t="s">
        <v>880</v>
      </c>
      <c r="G188" s="18" t="s">
        <v>32</v>
      </c>
      <c r="H188" s="19">
        <v>2013</v>
      </c>
      <c r="I188" s="18" t="s">
        <v>74</v>
      </c>
      <c r="J188" s="101" t="s">
        <v>27</v>
      </c>
      <c r="K188" s="20">
        <v>29</v>
      </c>
      <c r="L188" s="21">
        <v>4.04</v>
      </c>
      <c r="M188" s="22" t="s">
        <v>30</v>
      </c>
      <c r="N188" s="23">
        <v>4.04</v>
      </c>
      <c r="O188" s="24">
        <v>0.1393103448275862</v>
      </c>
      <c r="P188" s="25" t="str">
        <f>IF(P189="x","x","")</f>
        <v/>
      </c>
      <c r="Q188" s="25" t="str">
        <f>IF(Q189="x","x","")</f>
        <v/>
      </c>
      <c r="R188" s="25" t="str">
        <f>IF(R189="x","x","")</f>
        <v/>
      </c>
      <c r="S188" s="25" t="str">
        <f>IF(S189="x","x","")</f>
        <v/>
      </c>
      <c r="T188" s="25" t="s">
        <v>27</v>
      </c>
      <c r="U188" s="26"/>
      <c r="V188" s="27"/>
    </row>
    <row r="189" spans="1:22" ht="16.5" thickBot="1" x14ac:dyDescent="0.3">
      <c r="A189" s="28" t="str">
        <f>A188</f>
        <v>Bhutan</v>
      </c>
      <c r="B189" s="28" t="str">
        <f>B188</f>
        <v>South Asia</v>
      </c>
      <c r="C189" s="28" t="str">
        <f>C188</f>
        <v>P100332</v>
      </c>
      <c r="D189" s="28" t="s">
        <v>26</v>
      </c>
      <c r="E189" s="28" t="s">
        <v>27</v>
      </c>
      <c r="F189" s="28" t="str">
        <f>F188</f>
        <v>P100332C1S3</v>
      </c>
      <c r="G189" s="28" t="s">
        <v>16</v>
      </c>
      <c r="H189" s="29" t="str">
        <f>H187&amp;" / "&amp;H188</f>
        <v>2007 / 2013</v>
      </c>
      <c r="I189" s="29" t="str">
        <f>I188</f>
        <v>New 1L Road</v>
      </c>
      <c r="J189" s="97" t="str">
        <f>IFERROR(J188/J187,"")</f>
        <v/>
      </c>
      <c r="K189" s="32">
        <f>K188/K187</f>
        <v>1</v>
      </c>
      <c r="L189" s="32">
        <f>L188/L187</f>
        <v>1.2242424242424244</v>
      </c>
      <c r="M189" s="28"/>
      <c r="N189" s="32">
        <f>N188/N187</f>
        <v>1.2242424242424244</v>
      </c>
      <c r="O189" s="32">
        <f>O188/O187</f>
        <v>1.2242424242424244</v>
      </c>
      <c r="P189" s="33" t="str">
        <f>IF(K189&lt;50%,"x","")</f>
        <v/>
      </c>
      <c r="Q189" s="33" t="str">
        <f>IF(K189&gt;150%,"x","")</f>
        <v/>
      </c>
      <c r="R189" s="33" t="str">
        <f>IF(O189&lt;50%,"x","")</f>
        <v/>
      </c>
      <c r="S189" s="33" t="str">
        <f>IF(O189&gt;150%,"x","")</f>
        <v/>
      </c>
      <c r="T189" s="33" t="s">
        <v>27</v>
      </c>
      <c r="U189" s="34" t="s">
        <v>27</v>
      </c>
      <c r="V189" s="35" t="s">
        <v>27</v>
      </c>
    </row>
    <row r="190" spans="1:22" ht="16.5" thickTop="1" x14ac:dyDescent="0.25">
      <c r="A190" s="18" t="s">
        <v>594</v>
      </c>
      <c r="B190" s="18" t="s">
        <v>946</v>
      </c>
      <c r="C190" s="18" t="s">
        <v>595</v>
      </c>
      <c r="D190" s="18" t="s">
        <v>26</v>
      </c>
      <c r="E190" s="18" t="s">
        <v>27</v>
      </c>
      <c r="F190" s="18" t="s">
        <v>596</v>
      </c>
      <c r="G190" s="18" t="s">
        <v>29</v>
      </c>
      <c r="H190" s="19">
        <v>2002</v>
      </c>
      <c r="I190" s="18" t="s">
        <v>359</v>
      </c>
      <c r="J190" s="101" t="s">
        <v>27</v>
      </c>
      <c r="K190" s="20">
        <v>353</v>
      </c>
      <c r="L190" s="21">
        <v>36.39</v>
      </c>
      <c r="M190" s="22" t="s">
        <v>30</v>
      </c>
      <c r="N190" s="23">
        <v>36.39</v>
      </c>
      <c r="O190" s="24">
        <v>0.10308781869688385</v>
      </c>
      <c r="P190" s="25" t="str">
        <f>IF(P192="x","x","")</f>
        <v/>
      </c>
      <c r="Q190" s="25" t="str">
        <f>IF(Q192="x","x","")</f>
        <v/>
      </c>
      <c r="R190" s="25" t="str">
        <f>IF(R192="x","x","")</f>
        <v/>
      </c>
      <c r="S190" s="25" t="str">
        <f>IF(S192="x","x","")</f>
        <v/>
      </c>
      <c r="T190" s="25" t="s">
        <v>27</v>
      </c>
      <c r="U190" s="26"/>
      <c r="V190" s="27"/>
    </row>
    <row r="191" spans="1:22" x14ac:dyDescent="0.25">
      <c r="A191" s="18" t="s">
        <v>594</v>
      </c>
      <c r="B191" s="18" t="s">
        <v>946</v>
      </c>
      <c r="C191" s="18" t="s">
        <v>595</v>
      </c>
      <c r="D191" s="18" t="s">
        <v>26</v>
      </c>
      <c r="E191" s="18" t="s">
        <v>27</v>
      </c>
      <c r="F191" s="18" t="s">
        <v>596</v>
      </c>
      <c r="G191" s="18" t="s">
        <v>32</v>
      </c>
      <c r="H191" s="19">
        <v>2011</v>
      </c>
      <c r="I191" s="18" t="s">
        <v>359</v>
      </c>
      <c r="J191" s="101" t="s">
        <v>27</v>
      </c>
      <c r="K191" s="20">
        <v>353</v>
      </c>
      <c r="L191" s="21">
        <v>42.5</v>
      </c>
      <c r="M191" s="22" t="s">
        <v>30</v>
      </c>
      <c r="N191" s="23">
        <v>42.5</v>
      </c>
      <c r="O191" s="24">
        <v>0.12039660056657224</v>
      </c>
      <c r="P191" s="25" t="str">
        <f>IF(P192="x","x","")</f>
        <v/>
      </c>
      <c r="Q191" s="25" t="str">
        <f>IF(Q192="x","x","")</f>
        <v/>
      </c>
      <c r="R191" s="25" t="str">
        <f>IF(R192="x","x","")</f>
        <v/>
      </c>
      <c r="S191" s="25" t="str">
        <f>IF(S192="x","x","")</f>
        <v/>
      </c>
      <c r="T191" s="25" t="s">
        <v>27</v>
      </c>
      <c r="U191" s="26"/>
      <c r="V191" s="27"/>
    </row>
    <row r="192" spans="1:22" ht="16.5" thickBot="1" x14ac:dyDescent="0.3">
      <c r="A192" s="28" t="str">
        <f>A191</f>
        <v>Bolivia</v>
      </c>
      <c r="B192" s="28" t="str">
        <f>B191</f>
        <v>Latin America and Caribbean</v>
      </c>
      <c r="C192" s="28" t="str">
        <f>C191</f>
        <v>P068968</v>
      </c>
      <c r="D192" s="28" t="s">
        <v>26</v>
      </c>
      <c r="E192" s="28" t="s">
        <v>27</v>
      </c>
      <c r="F192" s="28" t="str">
        <f>F191</f>
        <v>P068968C1</v>
      </c>
      <c r="G192" s="28" t="s">
        <v>16</v>
      </c>
      <c r="H192" s="29" t="str">
        <f>H190&amp;" / "&amp;H191</f>
        <v>2002 / 2011</v>
      </c>
      <c r="I192" s="29" t="str">
        <f>I191</f>
        <v>Reconstruction</v>
      </c>
      <c r="J192" s="97" t="str">
        <f>IFERROR(J191/J190,"")</f>
        <v/>
      </c>
      <c r="K192" s="32">
        <f>K191/K190</f>
        <v>1</v>
      </c>
      <c r="L192" s="32">
        <f>L191/L190</f>
        <v>1.1679032701291563</v>
      </c>
      <c r="M192" s="28"/>
      <c r="N192" s="32">
        <f>N191/N190</f>
        <v>1.1679032701291563</v>
      </c>
      <c r="O192" s="32">
        <f>O191/O190</f>
        <v>1.1679032701291563</v>
      </c>
      <c r="P192" s="33" t="str">
        <f>IF(K192&lt;50%,"x","")</f>
        <v/>
      </c>
      <c r="Q192" s="33" t="str">
        <f>IF(K192&gt;150%,"x","")</f>
        <v/>
      </c>
      <c r="R192" s="33" t="str">
        <f>IF(O192&lt;50%,"x","")</f>
        <v/>
      </c>
      <c r="S192" s="33" t="str">
        <f>IF(O192&gt;150%,"x","")</f>
        <v/>
      </c>
      <c r="T192" s="33" t="s">
        <v>27</v>
      </c>
      <c r="U192" s="34" t="s">
        <v>27</v>
      </c>
      <c r="V192" s="35" t="s">
        <v>27</v>
      </c>
    </row>
    <row r="193" spans="1:22" ht="16.5" thickTop="1" x14ac:dyDescent="0.25">
      <c r="A193" s="18" t="s">
        <v>594</v>
      </c>
      <c r="B193" s="18" t="s">
        <v>946</v>
      </c>
      <c r="C193" s="18" t="s">
        <v>595</v>
      </c>
      <c r="D193" s="18" t="s">
        <v>42</v>
      </c>
      <c r="E193" s="18" t="s">
        <v>27</v>
      </c>
      <c r="F193" s="18" t="s">
        <v>597</v>
      </c>
      <c r="G193" s="18" t="s">
        <v>29</v>
      </c>
      <c r="H193" s="19">
        <v>2002</v>
      </c>
      <c r="I193" s="18" t="s">
        <v>68</v>
      </c>
      <c r="J193" s="101" t="s">
        <v>27</v>
      </c>
      <c r="K193" s="20">
        <v>3000</v>
      </c>
      <c r="L193" s="21">
        <v>108</v>
      </c>
      <c r="M193" s="22" t="s">
        <v>30</v>
      </c>
      <c r="N193" s="23">
        <v>108</v>
      </c>
      <c r="O193" s="24">
        <v>3.5999999999999997E-2</v>
      </c>
      <c r="P193" s="25" t="str">
        <f>IF(P195="x","x","")</f>
        <v>x</v>
      </c>
      <c r="Q193" s="25" t="str">
        <f>IF(Q195="x","x","")</f>
        <v/>
      </c>
      <c r="R193" s="25" t="str">
        <f>IF(R195="x","x","")</f>
        <v/>
      </c>
      <c r="S193" s="25" t="str">
        <f>IF(S195="x","x","")</f>
        <v/>
      </c>
      <c r="T193" s="25" t="s">
        <v>31</v>
      </c>
      <c r="U193" s="26"/>
      <c r="V193" s="27"/>
    </row>
    <row r="194" spans="1:22" x14ac:dyDescent="0.25">
      <c r="A194" s="18" t="s">
        <v>594</v>
      </c>
      <c r="B194" s="18" t="s">
        <v>946</v>
      </c>
      <c r="C194" s="18" t="s">
        <v>595</v>
      </c>
      <c r="D194" s="18" t="s">
        <v>42</v>
      </c>
      <c r="E194" s="18" t="s">
        <v>27</v>
      </c>
      <c r="F194" s="18" t="s">
        <v>597</v>
      </c>
      <c r="G194" s="18" t="s">
        <v>32</v>
      </c>
      <c r="H194" s="19">
        <v>2011</v>
      </c>
      <c r="I194" s="18" t="s">
        <v>68</v>
      </c>
      <c r="J194" s="101" t="s">
        <v>27</v>
      </c>
      <c r="K194" s="20">
        <v>1330</v>
      </c>
      <c r="L194" s="21">
        <v>61</v>
      </c>
      <c r="M194" s="22" t="s">
        <v>30</v>
      </c>
      <c r="N194" s="23">
        <v>61</v>
      </c>
      <c r="O194" s="24">
        <v>4.5864661654135337E-2</v>
      </c>
      <c r="P194" s="25" t="str">
        <f>IF(P195="x","x","")</f>
        <v>x</v>
      </c>
      <c r="Q194" s="25" t="str">
        <f>IF(Q195="x","x","")</f>
        <v/>
      </c>
      <c r="R194" s="25" t="str">
        <f>IF(R195="x","x","")</f>
        <v/>
      </c>
      <c r="S194" s="25" t="str">
        <f>IF(S195="x","x","")</f>
        <v/>
      </c>
      <c r="T194" s="25" t="s">
        <v>31</v>
      </c>
      <c r="U194" s="26"/>
      <c r="V194" s="27"/>
    </row>
    <row r="195" spans="1:22" ht="24" customHeight="1" thickBot="1" x14ac:dyDescent="0.3">
      <c r="A195" s="28" t="str">
        <f>A194</f>
        <v>Bolivia</v>
      </c>
      <c r="B195" s="28" t="str">
        <f>B194</f>
        <v>Latin America and Caribbean</v>
      </c>
      <c r="C195" s="28" t="str">
        <f>C194</f>
        <v>P068968</v>
      </c>
      <c r="D195" s="28" t="s">
        <v>26</v>
      </c>
      <c r="E195" s="28" t="s">
        <v>27</v>
      </c>
      <c r="F195" s="28" t="str">
        <f>F194</f>
        <v>P068968C2</v>
      </c>
      <c r="G195" s="28" t="s">
        <v>16</v>
      </c>
      <c r="H195" s="29" t="str">
        <f>H193&amp;" / "&amp;H194</f>
        <v>2002 / 2011</v>
      </c>
      <c r="I195" s="29" t="str">
        <f>I194</f>
        <v>Asphalt Mix Resurfacing</v>
      </c>
      <c r="J195" s="97" t="str">
        <f>IFERROR(J194/J193,"")</f>
        <v/>
      </c>
      <c r="K195" s="32">
        <f>K194/K193</f>
        <v>0.44333333333333336</v>
      </c>
      <c r="L195" s="32">
        <f>L194/L193</f>
        <v>0.56481481481481477</v>
      </c>
      <c r="M195" s="28"/>
      <c r="N195" s="32">
        <f>N194/N193</f>
        <v>0.56481481481481477</v>
      </c>
      <c r="O195" s="32">
        <f>O194/O193</f>
        <v>1.2740183792815372</v>
      </c>
      <c r="P195" s="33" t="str">
        <f>IF(K195&lt;50%,"x","")</f>
        <v>x</v>
      </c>
      <c r="Q195" s="33" t="str">
        <f>IF(K195&gt;150%,"x","")</f>
        <v/>
      </c>
      <c r="R195" s="33" t="str">
        <f>IF(O195&lt;50%,"x","")</f>
        <v/>
      </c>
      <c r="S195" s="33" t="str">
        <f>IF(O195&gt;150%,"x","")</f>
        <v/>
      </c>
      <c r="T195" s="33" t="s">
        <v>31</v>
      </c>
      <c r="U195" s="34" t="s">
        <v>1015</v>
      </c>
      <c r="V195" s="35" t="s">
        <v>1016</v>
      </c>
    </row>
    <row r="196" spans="1:22" ht="16.5" thickTop="1" x14ac:dyDescent="0.25">
      <c r="A196" s="18" t="s">
        <v>90</v>
      </c>
      <c r="B196" s="18" t="s">
        <v>946</v>
      </c>
      <c r="C196" s="18" t="s">
        <v>91</v>
      </c>
      <c r="D196" s="18" t="s">
        <v>26</v>
      </c>
      <c r="E196" s="18" t="s">
        <v>27</v>
      </c>
      <c r="F196" s="18" t="s">
        <v>92</v>
      </c>
      <c r="G196" s="18" t="s">
        <v>29</v>
      </c>
      <c r="H196" s="19">
        <v>2001</v>
      </c>
      <c r="I196" s="18" t="s">
        <v>78</v>
      </c>
      <c r="J196" s="101" t="s">
        <v>27</v>
      </c>
      <c r="K196" s="20">
        <v>1500</v>
      </c>
      <c r="L196" s="21">
        <v>62.2</v>
      </c>
      <c r="M196" s="22" t="s">
        <v>30</v>
      </c>
      <c r="N196" s="23">
        <v>62.2</v>
      </c>
      <c r="O196" s="24">
        <v>4.1466666666666666E-2</v>
      </c>
      <c r="P196" s="25" t="str">
        <f>IF(P198="x","x","")</f>
        <v/>
      </c>
      <c r="Q196" s="25" t="str">
        <f>IF(Q198="x","x","")</f>
        <v/>
      </c>
      <c r="R196" s="25" t="str">
        <f>IF(R198="x","x","")</f>
        <v/>
      </c>
      <c r="S196" s="25" t="str">
        <f>IF(S198="x","x","")</f>
        <v/>
      </c>
      <c r="T196" s="25" t="s">
        <v>27</v>
      </c>
      <c r="U196" s="26"/>
      <c r="V196" s="27"/>
    </row>
    <row r="197" spans="1:22" x14ac:dyDescent="0.25">
      <c r="A197" s="18" t="s">
        <v>90</v>
      </c>
      <c r="B197" s="18" t="s">
        <v>946</v>
      </c>
      <c r="C197" s="18" t="s">
        <v>91</v>
      </c>
      <c r="D197" s="18" t="s">
        <v>26</v>
      </c>
      <c r="E197" s="18" t="s">
        <v>27</v>
      </c>
      <c r="F197" s="18" t="s">
        <v>92</v>
      </c>
      <c r="G197" s="18" t="s">
        <v>32</v>
      </c>
      <c r="H197" s="19">
        <v>2006</v>
      </c>
      <c r="I197" s="18" t="s">
        <v>78</v>
      </c>
      <c r="J197" s="101" t="s">
        <v>27</v>
      </c>
      <c r="K197" s="20">
        <v>1250</v>
      </c>
      <c r="L197" s="21">
        <v>77.2</v>
      </c>
      <c r="M197" s="22" t="s">
        <v>30</v>
      </c>
      <c r="N197" s="23">
        <v>77.2</v>
      </c>
      <c r="O197" s="24">
        <v>6.1760000000000002E-2</v>
      </c>
      <c r="P197" s="25" t="str">
        <f>IF(P198="x","x","")</f>
        <v/>
      </c>
      <c r="Q197" s="25" t="str">
        <f>IF(Q198="x","x","")</f>
        <v/>
      </c>
      <c r="R197" s="25" t="str">
        <f>IF(R198="x","x","")</f>
        <v/>
      </c>
      <c r="S197" s="25" t="str">
        <f>IF(S198="x","x","")</f>
        <v/>
      </c>
      <c r="T197" s="25" t="s">
        <v>27</v>
      </c>
      <c r="U197" s="26"/>
      <c r="V197" s="27"/>
    </row>
    <row r="198" spans="1:22" ht="16.5" thickBot="1" x14ac:dyDescent="0.3">
      <c r="A198" s="28" t="str">
        <f>A197</f>
        <v>Brazil</v>
      </c>
      <c r="B198" s="28" t="str">
        <f>B197</f>
        <v>Latin America and Caribbean</v>
      </c>
      <c r="C198" s="28" t="str">
        <f>C197</f>
        <v>P055954</v>
      </c>
      <c r="D198" s="28" t="s">
        <v>26</v>
      </c>
      <c r="E198" s="28" t="s">
        <v>27</v>
      </c>
      <c r="F198" s="28" t="str">
        <f>F197</f>
        <v>P055954C1</v>
      </c>
      <c r="G198" s="28" t="s">
        <v>16</v>
      </c>
      <c r="H198" s="29" t="str">
        <f>H196&amp;" / "&amp;H197</f>
        <v>2001 / 2006</v>
      </c>
      <c r="I198" s="29" t="str">
        <f>I197</f>
        <v>Surface Treatment Resurfacing</v>
      </c>
      <c r="J198" s="97" t="str">
        <f>IFERROR(J197/J196,"")</f>
        <v/>
      </c>
      <c r="K198" s="32">
        <f>K197/K196</f>
        <v>0.83333333333333337</v>
      </c>
      <c r="L198" s="32">
        <f>L197/L196</f>
        <v>1.2411575562700965</v>
      </c>
      <c r="M198" s="28"/>
      <c r="N198" s="32">
        <f>N197/N196</f>
        <v>1.2411575562700965</v>
      </c>
      <c r="O198" s="32">
        <f>O197/O196</f>
        <v>1.4893890675241159</v>
      </c>
      <c r="P198" s="33" t="str">
        <f>IF(K198&lt;50%,"x","")</f>
        <v/>
      </c>
      <c r="Q198" s="33" t="str">
        <f>IF(K198&gt;150%,"x","")</f>
        <v/>
      </c>
      <c r="R198" s="33" t="str">
        <f>IF(O198&lt;50%,"x","")</f>
        <v/>
      </c>
      <c r="S198" s="33" t="str">
        <f>IF(O198&gt;150%,"x","")</f>
        <v/>
      </c>
      <c r="T198" s="33" t="s">
        <v>27</v>
      </c>
      <c r="U198" s="34" t="s">
        <v>27</v>
      </c>
      <c r="V198" s="35" t="s">
        <v>27</v>
      </c>
    </row>
    <row r="199" spans="1:22" ht="18.600000000000001" customHeight="1" thickTop="1" x14ac:dyDescent="0.25">
      <c r="A199" s="18" t="s">
        <v>90</v>
      </c>
      <c r="B199" s="18" t="s">
        <v>946</v>
      </c>
      <c r="C199" s="18" t="s">
        <v>91</v>
      </c>
      <c r="D199" s="18" t="s">
        <v>42</v>
      </c>
      <c r="E199" s="18" t="s">
        <v>27</v>
      </c>
      <c r="F199" s="18" t="s">
        <v>94</v>
      </c>
      <c r="G199" s="18" t="s">
        <v>29</v>
      </c>
      <c r="H199" s="19">
        <v>2001</v>
      </c>
      <c r="I199" s="18" t="s">
        <v>68</v>
      </c>
      <c r="J199" s="101" t="s">
        <v>27</v>
      </c>
      <c r="K199" s="20">
        <v>300</v>
      </c>
      <c r="L199" s="21">
        <v>40.1</v>
      </c>
      <c r="M199" s="22" t="s">
        <v>30</v>
      </c>
      <c r="N199" s="23">
        <v>40.1</v>
      </c>
      <c r="O199" s="24">
        <v>0.13366666666666668</v>
      </c>
      <c r="P199" s="25" t="str">
        <f>IF(P201="x","x","")</f>
        <v/>
      </c>
      <c r="Q199" s="25" t="str">
        <f>IF(Q201="x","x","")</f>
        <v/>
      </c>
      <c r="R199" s="25" t="str">
        <f>IF(R201="x","x","")</f>
        <v/>
      </c>
      <c r="S199" s="25" t="str">
        <f>IF(S201="x","x","")</f>
        <v/>
      </c>
      <c r="T199" s="25" t="s">
        <v>27</v>
      </c>
      <c r="U199" s="26"/>
      <c r="V199" s="27"/>
    </row>
    <row r="200" spans="1:22" ht="18.600000000000001" customHeight="1" x14ac:dyDescent="0.25">
      <c r="A200" s="18" t="s">
        <v>90</v>
      </c>
      <c r="B200" s="18" t="s">
        <v>946</v>
      </c>
      <c r="C200" s="18" t="s">
        <v>91</v>
      </c>
      <c r="D200" s="18" t="s">
        <v>42</v>
      </c>
      <c r="E200" s="18" t="s">
        <v>27</v>
      </c>
      <c r="F200" s="18" t="s">
        <v>94</v>
      </c>
      <c r="G200" s="18" t="s">
        <v>32</v>
      </c>
      <c r="H200" s="19">
        <v>2006</v>
      </c>
      <c r="I200" s="18" t="s">
        <v>68</v>
      </c>
      <c r="J200" s="101" t="s">
        <v>27</v>
      </c>
      <c r="K200" s="20">
        <v>270</v>
      </c>
      <c r="L200" s="21">
        <v>37.6</v>
      </c>
      <c r="M200" s="22" t="s">
        <v>30</v>
      </c>
      <c r="N200" s="23">
        <v>37.6</v>
      </c>
      <c r="O200" s="24">
        <v>0.13925925925925928</v>
      </c>
      <c r="P200" s="25" t="str">
        <f>IF(P201="x","x","")</f>
        <v/>
      </c>
      <c r="Q200" s="25" t="str">
        <f>IF(Q201="x","x","")</f>
        <v/>
      </c>
      <c r="R200" s="25" t="str">
        <f>IF(R201="x","x","")</f>
        <v/>
      </c>
      <c r="S200" s="25" t="str">
        <f>IF(S201="x","x","")</f>
        <v/>
      </c>
      <c r="T200" s="25" t="s">
        <v>27</v>
      </c>
      <c r="U200" s="26"/>
      <c r="V200" s="27"/>
    </row>
    <row r="201" spans="1:22" ht="18.600000000000001" customHeight="1" thickBot="1" x14ac:dyDescent="0.3">
      <c r="A201" s="28" t="str">
        <f>A200</f>
        <v>Brazil</v>
      </c>
      <c r="B201" s="28" t="str">
        <f>B200</f>
        <v>Latin America and Caribbean</v>
      </c>
      <c r="C201" s="28" t="str">
        <f>C200</f>
        <v>P055954</v>
      </c>
      <c r="D201" s="28" t="s">
        <v>26</v>
      </c>
      <c r="E201" s="28" t="s">
        <v>27</v>
      </c>
      <c r="F201" s="28" t="str">
        <f>F200</f>
        <v>P055954C2</v>
      </c>
      <c r="G201" s="28" t="s">
        <v>16</v>
      </c>
      <c r="H201" s="29" t="str">
        <f>H199&amp;" / "&amp;H200</f>
        <v>2001 / 2006</v>
      </c>
      <c r="I201" s="29" t="str">
        <f>I200</f>
        <v>Asphalt Mix Resurfacing</v>
      </c>
      <c r="J201" s="97" t="str">
        <f>IFERROR(J200/J199,"")</f>
        <v/>
      </c>
      <c r="K201" s="32">
        <f>K200/K199</f>
        <v>0.9</v>
      </c>
      <c r="L201" s="32">
        <f>L200/L199</f>
        <v>0.93765586034912718</v>
      </c>
      <c r="M201" s="28"/>
      <c r="N201" s="32">
        <f>N200/N199</f>
        <v>0.93765586034912718</v>
      </c>
      <c r="O201" s="32">
        <f>O200/O199</f>
        <v>1.0418398448323636</v>
      </c>
      <c r="P201" s="33" t="str">
        <f>IF(K201&lt;50%,"x","")</f>
        <v/>
      </c>
      <c r="Q201" s="33" t="str">
        <f>IF(K201&gt;150%,"x","")</f>
        <v/>
      </c>
      <c r="R201" s="33" t="str">
        <f>IF(O201&lt;50%,"x","")</f>
        <v/>
      </c>
      <c r="S201" s="33" t="str">
        <f>IF(O201&gt;150%,"x","")</f>
        <v/>
      </c>
      <c r="T201" s="33" t="s">
        <v>27</v>
      </c>
      <c r="U201" s="34" t="s">
        <v>27</v>
      </c>
      <c r="V201" s="35" t="s">
        <v>27</v>
      </c>
    </row>
    <row r="202" spans="1:22" ht="18.600000000000001" customHeight="1" thickTop="1" x14ac:dyDescent="0.25">
      <c r="A202" s="18" t="s">
        <v>90</v>
      </c>
      <c r="B202" s="18" t="s">
        <v>946</v>
      </c>
      <c r="C202" s="18" t="s">
        <v>306</v>
      </c>
      <c r="D202" s="18" t="s">
        <v>26</v>
      </c>
      <c r="E202" s="18" t="s">
        <v>27</v>
      </c>
      <c r="F202" s="18" t="s">
        <v>307</v>
      </c>
      <c r="G202" s="18" t="s">
        <v>29</v>
      </c>
      <c r="H202" s="19">
        <v>2006</v>
      </c>
      <c r="I202" s="18" t="s">
        <v>68</v>
      </c>
      <c r="J202" s="101" t="s">
        <v>27</v>
      </c>
      <c r="K202" s="20">
        <v>2000</v>
      </c>
      <c r="L202" s="21">
        <v>140.6</v>
      </c>
      <c r="M202" s="22" t="s">
        <v>30</v>
      </c>
      <c r="N202" s="23">
        <v>140.6</v>
      </c>
      <c r="O202" s="24">
        <v>7.0300000000000001E-2</v>
      </c>
      <c r="P202" s="25" t="str">
        <f>IF(P204="x","x","")</f>
        <v/>
      </c>
      <c r="Q202" s="25" t="str">
        <f>IF(Q204="x","x","")</f>
        <v/>
      </c>
      <c r="R202" s="25" t="str">
        <f>IF(R204="x","x","")</f>
        <v/>
      </c>
      <c r="S202" s="25" t="str">
        <f>IF(S204="x","x","")</f>
        <v>x</v>
      </c>
      <c r="T202" s="25" t="s">
        <v>31</v>
      </c>
      <c r="U202" s="26"/>
      <c r="V202" s="27"/>
    </row>
    <row r="203" spans="1:22" ht="18.600000000000001" customHeight="1" x14ac:dyDescent="0.25">
      <c r="A203" s="18" t="s">
        <v>90</v>
      </c>
      <c r="B203" s="18" t="s">
        <v>946</v>
      </c>
      <c r="C203" s="18" t="s">
        <v>306</v>
      </c>
      <c r="D203" s="18" t="s">
        <v>26</v>
      </c>
      <c r="E203" s="18" t="s">
        <v>27</v>
      </c>
      <c r="F203" s="18" t="s">
        <v>307</v>
      </c>
      <c r="G203" s="18" t="s">
        <v>32</v>
      </c>
      <c r="H203" s="19">
        <v>2014</v>
      </c>
      <c r="I203" s="18" t="s">
        <v>68</v>
      </c>
      <c r="J203" s="101" t="s">
        <v>27</v>
      </c>
      <c r="K203" s="20">
        <v>1196</v>
      </c>
      <c r="L203" s="21">
        <v>194.07</v>
      </c>
      <c r="M203" s="22" t="s">
        <v>30</v>
      </c>
      <c r="N203" s="23">
        <v>194.07</v>
      </c>
      <c r="O203" s="24">
        <v>0.16226588628762542</v>
      </c>
      <c r="P203" s="25" t="str">
        <f>IF(P204="x","x","")</f>
        <v/>
      </c>
      <c r="Q203" s="25" t="str">
        <f>IF(Q204="x","x","")</f>
        <v/>
      </c>
      <c r="R203" s="25" t="str">
        <f>IF(R204="x","x","")</f>
        <v/>
      </c>
      <c r="S203" s="25" t="str">
        <f>IF(S204="x","x","")</f>
        <v>x</v>
      </c>
      <c r="T203" s="25" t="s">
        <v>31</v>
      </c>
      <c r="U203" s="26"/>
      <c r="V203" s="27"/>
    </row>
    <row r="204" spans="1:22" ht="18.600000000000001" customHeight="1" thickBot="1" x14ac:dyDescent="0.3">
      <c r="A204" s="28" t="str">
        <f>A203</f>
        <v>Brazil</v>
      </c>
      <c r="B204" s="28" t="str">
        <f>B203</f>
        <v>Latin America and Caribbean</v>
      </c>
      <c r="C204" s="28" t="str">
        <f>C203</f>
        <v>P095460</v>
      </c>
      <c r="D204" s="28" t="s">
        <v>26</v>
      </c>
      <c r="E204" s="28" t="s">
        <v>27</v>
      </c>
      <c r="F204" s="28" t="str">
        <f>F203</f>
        <v>P095460C1</v>
      </c>
      <c r="G204" s="28" t="s">
        <v>16</v>
      </c>
      <c r="H204" s="29" t="str">
        <f>H202&amp;" / "&amp;H203</f>
        <v>2006 / 2014</v>
      </c>
      <c r="I204" s="29" t="str">
        <f>I203</f>
        <v>Asphalt Mix Resurfacing</v>
      </c>
      <c r="J204" s="97" t="str">
        <f>IFERROR(J203/J202,"")</f>
        <v/>
      </c>
      <c r="K204" s="32">
        <f>K203/K202</f>
        <v>0.59799999999999998</v>
      </c>
      <c r="L204" s="32">
        <f>L203/L202</f>
        <v>1.3802987197724039</v>
      </c>
      <c r="M204" s="28"/>
      <c r="N204" s="32">
        <f>N203/N202</f>
        <v>1.3802987197724039</v>
      </c>
      <c r="O204" s="32">
        <f>O203/O202</f>
        <v>2.3081918390842877</v>
      </c>
      <c r="P204" s="33" t="str">
        <f>IF(K204&lt;50%,"x","")</f>
        <v/>
      </c>
      <c r="Q204" s="33" t="str">
        <f>IF(K204&gt;150%,"x","")</f>
        <v/>
      </c>
      <c r="R204" s="33" t="str">
        <f>IF(O204&lt;50%,"x","")</f>
        <v/>
      </c>
      <c r="S204" s="33" t="str">
        <f>IF(O204&gt;150%,"x","")</f>
        <v>x</v>
      </c>
      <c r="T204" s="33" t="s">
        <v>31</v>
      </c>
      <c r="U204" s="34" t="s">
        <v>1186</v>
      </c>
      <c r="V204" s="35" t="s">
        <v>1187</v>
      </c>
    </row>
    <row r="205" spans="1:22" ht="18.600000000000001" customHeight="1" thickTop="1" x14ac:dyDescent="0.25">
      <c r="A205" s="18" t="s">
        <v>90</v>
      </c>
      <c r="B205" s="18" t="s">
        <v>946</v>
      </c>
      <c r="C205" s="18" t="s">
        <v>330</v>
      </c>
      <c r="D205" s="18" t="s">
        <v>26</v>
      </c>
      <c r="E205" s="18" t="s">
        <v>27</v>
      </c>
      <c r="F205" s="18" t="s">
        <v>331</v>
      </c>
      <c r="G205" s="18" t="s">
        <v>29</v>
      </c>
      <c r="H205" s="19">
        <v>2009</v>
      </c>
      <c r="I205" s="18" t="s">
        <v>359</v>
      </c>
      <c r="J205" s="101" t="s">
        <v>27</v>
      </c>
      <c r="K205" s="20">
        <v>3100</v>
      </c>
      <c r="L205" s="21">
        <v>477.04</v>
      </c>
      <c r="M205" s="22" t="s">
        <v>30</v>
      </c>
      <c r="N205" s="23">
        <v>477.04</v>
      </c>
      <c r="O205" s="24">
        <v>0.15388387096774195</v>
      </c>
      <c r="P205" s="25" t="str">
        <f>IF(P207="x","x","")</f>
        <v/>
      </c>
      <c r="Q205" s="25" t="str">
        <f>IF(Q207="x","x","")</f>
        <v>x</v>
      </c>
      <c r="R205" s="25" t="str">
        <f>IF(R207="x","x","")</f>
        <v/>
      </c>
      <c r="S205" s="25" t="str">
        <f>IF(S207="x","x","")</f>
        <v/>
      </c>
      <c r="T205" s="25" t="s">
        <v>31</v>
      </c>
      <c r="U205" s="26"/>
      <c r="V205" s="27"/>
    </row>
    <row r="206" spans="1:22" ht="18.600000000000001" customHeight="1" x14ac:dyDescent="0.25">
      <c r="A206" s="18" t="s">
        <v>90</v>
      </c>
      <c r="B206" s="18" t="s">
        <v>946</v>
      </c>
      <c r="C206" s="18" t="s">
        <v>330</v>
      </c>
      <c r="D206" s="18" t="s">
        <v>26</v>
      </c>
      <c r="E206" s="18" t="s">
        <v>27</v>
      </c>
      <c r="F206" s="18" t="s">
        <v>331</v>
      </c>
      <c r="G206" s="18" t="s">
        <v>32</v>
      </c>
      <c r="H206" s="19">
        <v>2015</v>
      </c>
      <c r="I206" s="18" t="s">
        <v>359</v>
      </c>
      <c r="J206" s="101" t="s">
        <v>27</v>
      </c>
      <c r="K206" s="20">
        <v>6409</v>
      </c>
      <c r="L206" s="21">
        <v>1010.25</v>
      </c>
      <c r="M206" s="22" t="s">
        <v>30</v>
      </c>
      <c r="N206" s="23">
        <v>1010.25</v>
      </c>
      <c r="O206" s="24">
        <v>0.15762989545951006</v>
      </c>
      <c r="P206" s="25" t="str">
        <f>IF(P207="x","x","")</f>
        <v/>
      </c>
      <c r="Q206" s="25" t="str">
        <f>IF(Q207="x","x","")</f>
        <v>x</v>
      </c>
      <c r="R206" s="25" t="str">
        <f>IF(R207="x","x","")</f>
        <v/>
      </c>
      <c r="S206" s="25" t="str">
        <f>IF(S207="x","x","")</f>
        <v/>
      </c>
      <c r="T206" s="25" t="s">
        <v>31</v>
      </c>
      <c r="U206" s="26"/>
      <c r="V206" s="27"/>
    </row>
    <row r="207" spans="1:22" ht="18.600000000000001" customHeight="1" thickBot="1" x14ac:dyDescent="0.3">
      <c r="A207" s="28" t="str">
        <f>A206</f>
        <v>Brazil</v>
      </c>
      <c r="B207" s="28" t="str">
        <f>B206</f>
        <v>Latin America and Caribbean</v>
      </c>
      <c r="C207" s="28" t="str">
        <f>C206</f>
        <v>P106663</v>
      </c>
      <c r="D207" s="28" t="s">
        <v>26</v>
      </c>
      <c r="E207" s="28" t="s">
        <v>27</v>
      </c>
      <c r="F207" s="28" t="str">
        <f>F206</f>
        <v>P106663C1</v>
      </c>
      <c r="G207" s="28" t="s">
        <v>16</v>
      </c>
      <c r="H207" s="29" t="str">
        <f>H205&amp;" / "&amp;H206</f>
        <v>2009 / 2015</v>
      </c>
      <c r="I207" s="29" t="str">
        <f>I206</f>
        <v>Reconstruction</v>
      </c>
      <c r="J207" s="97" t="str">
        <f>IFERROR(J206/J205,"")</f>
        <v/>
      </c>
      <c r="K207" s="32">
        <f>K206/K205</f>
        <v>2.0674193548387096</v>
      </c>
      <c r="L207" s="32">
        <f>L206/L205</f>
        <v>2.1177469394600035</v>
      </c>
      <c r="M207" s="28"/>
      <c r="N207" s="32">
        <f>N206/N205</f>
        <v>2.1177469394600035</v>
      </c>
      <c r="O207" s="32">
        <f>O206/O205</f>
        <v>1.0243431911883305</v>
      </c>
      <c r="P207" s="33" t="str">
        <f>IF(K207&lt;50%,"x","")</f>
        <v/>
      </c>
      <c r="Q207" s="33" t="str">
        <f>IF(K207&gt;150%,"x","")</f>
        <v>x</v>
      </c>
      <c r="R207" s="33" t="str">
        <f>IF(O207&lt;50%,"x","")</f>
        <v/>
      </c>
      <c r="S207" s="33" t="str">
        <f>IF(O207&gt;150%,"x","")</f>
        <v/>
      </c>
      <c r="T207" s="33" t="s">
        <v>31</v>
      </c>
      <c r="U207" s="34" t="s">
        <v>1164</v>
      </c>
      <c r="V207" s="35" t="s">
        <v>1194</v>
      </c>
    </row>
    <row r="208" spans="1:22" ht="18.600000000000001" customHeight="1" thickTop="1" x14ac:dyDescent="0.25">
      <c r="A208" s="18" t="s">
        <v>296</v>
      </c>
      <c r="B208" s="18" t="s">
        <v>947</v>
      </c>
      <c r="C208" s="18" t="s">
        <v>297</v>
      </c>
      <c r="D208" s="18" t="s">
        <v>26</v>
      </c>
      <c r="E208" s="18" t="s">
        <v>27</v>
      </c>
      <c r="F208" s="18" t="s">
        <v>298</v>
      </c>
      <c r="G208" s="18" t="s">
        <v>29</v>
      </c>
      <c r="H208" s="19">
        <v>2007</v>
      </c>
      <c r="I208" s="18" t="s">
        <v>111</v>
      </c>
      <c r="J208" s="101">
        <v>19</v>
      </c>
      <c r="K208" s="20">
        <v>3.4</v>
      </c>
      <c r="L208" s="21">
        <v>12.9</v>
      </c>
      <c r="M208" s="22" t="s">
        <v>30</v>
      </c>
      <c r="N208" s="23">
        <v>12.9</v>
      </c>
      <c r="O208" s="24">
        <v>3.7941176470588238</v>
      </c>
      <c r="P208" s="25" t="str">
        <f>IF(P210="x","x","")</f>
        <v/>
      </c>
      <c r="Q208" s="25" t="str">
        <f>IF(Q210="x","x","")</f>
        <v/>
      </c>
      <c r="R208" s="25" t="str">
        <f>IF(R210="x","x","")</f>
        <v/>
      </c>
      <c r="S208" s="25" t="str">
        <f>IF(S210="x","x","")</f>
        <v/>
      </c>
      <c r="T208" s="25" t="s">
        <v>27</v>
      </c>
      <c r="U208" s="26"/>
      <c r="V208" s="27"/>
    </row>
    <row r="209" spans="1:22" ht="18.600000000000001" customHeight="1" x14ac:dyDescent="0.25">
      <c r="A209" s="18" t="s">
        <v>296</v>
      </c>
      <c r="B209" s="18" t="s">
        <v>947</v>
      </c>
      <c r="C209" s="18" t="s">
        <v>297</v>
      </c>
      <c r="D209" s="18" t="s">
        <v>26</v>
      </c>
      <c r="E209" s="18" t="s">
        <v>27</v>
      </c>
      <c r="F209" s="18" t="s">
        <v>298</v>
      </c>
      <c r="G209" s="18" t="s">
        <v>32</v>
      </c>
      <c r="H209" s="19">
        <v>2014</v>
      </c>
      <c r="I209" s="18" t="s">
        <v>111</v>
      </c>
      <c r="J209" s="101">
        <v>26</v>
      </c>
      <c r="K209" s="20">
        <v>3.4</v>
      </c>
      <c r="L209" s="21">
        <v>14.71</v>
      </c>
      <c r="M209" s="22" t="s">
        <v>30</v>
      </c>
      <c r="N209" s="23">
        <v>14.71</v>
      </c>
      <c r="O209" s="24">
        <v>4.3264705882352947</v>
      </c>
      <c r="P209" s="25" t="str">
        <f>IF(P210="x","x","")</f>
        <v/>
      </c>
      <c r="Q209" s="25" t="str">
        <f>IF(Q210="x","x","")</f>
        <v/>
      </c>
      <c r="R209" s="25" t="str">
        <f>IF(R210="x","x","")</f>
        <v/>
      </c>
      <c r="S209" s="25" t="str">
        <f>IF(S210="x","x","")</f>
        <v/>
      </c>
      <c r="T209" s="25" t="s">
        <v>27</v>
      </c>
      <c r="U209" s="26"/>
      <c r="V209" s="27"/>
    </row>
    <row r="210" spans="1:22" ht="18.600000000000001" customHeight="1" thickBot="1" x14ac:dyDescent="0.3">
      <c r="A210" s="28" t="str">
        <f>A209</f>
        <v>Bulgaria</v>
      </c>
      <c r="B210" s="28" t="str">
        <f>B209</f>
        <v>Europe and Central Asia</v>
      </c>
      <c r="C210" s="28" t="str">
        <f>C209</f>
        <v>P094018</v>
      </c>
      <c r="D210" s="28" t="s">
        <v>26</v>
      </c>
      <c r="E210" s="28" t="s">
        <v>27</v>
      </c>
      <c r="F210" s="28" t="str">
        <f>F209</f>
        <v>P094018C1</v>
      </c>
      <c r="G210" s="28" t="s">
        <v>16</v>
      </c>
      <c r="H210" s="29" t="str">
        <f>H208&amp;" / "&amp;H209</f>
        <v>2007 / 2014</v>
      </c>
      <c r="I210" s="29" t="str">
        <f>I209</f>
        <v>New 4L Expressway</v>
      </c>
      <c r="J210" s="97">
        <f>IFERROR(J209/J208,"")</f>
        <v>1.368421052631579</v>
      </c>
      <c r="K210" s="32">
        <f>K209/K208</f>
        <v>1</v>
      </c>
      <c r="L210" s="32">
        <f>L209/L208</f>
        <v>1.14031007751938</v>
      </c>
      <c r="M210" s="28"/>
      <c r="N210" s="32">
        <f>N209/N208</f>
        <v>1.14031007751938</v>
      </c>
      <c r="O210" s="32">
        <f>O209/O208</f>
        <v>1.14031007751938</v>
      </c>
      <c r="P210" s="33" t="str">
        <f>IF(K210&lt;50%,"x","")</f>
        <v/>
      </c>
      <c r="Q210" s="33" t="str">
        <f>IF(K210&gt;150%,"x","")</f>
        <v/>
      </c>
      <c r="R210" s="33" t="str">
        <f>IF(O210&lt;50%,"x","")</f>
        <v/>
      </c>
      <c r="S210" s="33" t="str">
        <f>IF(O210&gt;150%,"x","")</f>
        <v/>
      </c>
      <c r="T210" s="33" t="s">
        <v>27</v>
      </c>
      <c r="U210" s="34" t="s">
        <v>27</v>
      </c>
      <c r="V210" s="35" t="s">
        <v>27</v>
      </c>
    </row>
    <row r="211" spans="1:22" ht="18.600000000000001" customHeight="1" thickTop="1" x14ac:dyDescent="0.25">
      <c r="A211" s="18" t="s">
        <v>296</v>
      </c>
      <c r="B211" s="18" t="s">
        <v>947</v>
      </c>
      <c r="C211" s="18" t="s">
        <v>867</v>
      </c>
      <c r="D211" s="18" t="s">
        <v>26</v>
      </c>
      <c r="E211" s="18" t="s">
        <v>27</v>
      </c>
      <c r="F211" s="18" t="s">
        <v>868</v>
      </c>
      <c r="G211" s="18" t="s">
        <v>29</v>
      </c>
      <c r="H211" s="19">
        <v>2007</v>
      </c>
      <c r="I211" s="18" t="s">
        <v>38</v>
      </c>
      <c r="J211" s="101" t="s">
        <v>27</v>
      </c>
      <c r="K211" s="20">
        <v>450</v>
      </c>
      <c r="L211" s="21">
        <v>140.15</v>
      </c>
      <c r="M211" s="22" t="s">
        <v>869</v>
      </c>
      <c r="N211" s="23">
        <v>190.60400000000001</v>
      </c>
      <c r="O211" s="24">
        <v>0.42356444444444447</v>
      </c>
      <c r="P211" s="25" t="str">
        <f>IF(P213="x","x","")</f>
        <v/>
      </c>
      <c r="Q211" s="25" t="str">
        <f>IF(Q213="x","x","")</f>
        <v/>
      </c>
      <c r="R211" s="25" t="str">
        <f>IF(R213="x","x","")</f>
        <v/>
      </c>
      <c r="S211" s="25" t="str">
        <f>IF(S213="x","x","")</f>
        <v/>
      </c>
      <c r="T211" s="25" t="s">
        <v>27</v>
      </c>
      <c r="U211" s="26"/>
      <c r="V211" s="27"/>
    </row>
    <row r="212" spans="1:22" ht="18.600000000000001" customHeight="1" x14ac:dyDescent="0.25">
      <c r="A212" s="18" t="s">
        <v>296</v>
      </c>
      <c r="B212" s="18" t="s">
        <v>947</v>
      </c>
      <c r="C212" s="18" t="s">
        <v>867</v>
      </c>
      <c r="D212" s="18" t="s">
        <v>26</v>
      </c>
      <c r="E212" s="18" t="s">
        <v>27</v>
      </c>
      <c r="F212" s="18" t="s">
        <v>868</v>
      </c>
      <c r="G212" s="18" t="s">
        <v>32</v>
      </c>
      <c r="H212" s="19">
        <v>2013</v>
      </c>
      <c r="I212" s="18" t="s">
        <v>38</v>
      </c>
      <c r="J212" s="101" t="s">
        <v>27</v>
      </c>
      <c r="K212" s="20">
        <v>307</v>
      </c>
      <c r="L212" s="21">
        <v>94.6</v>
      </c>
      <c r="M212" s="22" t="s">
        <v>869</v>
      </c>
      <c r="N212" s="23">
        <v>129.58904109589039</v>
      </c>
      <c r="O212" s="24">
        <v>0.42211414037749312</v>
      </c>
      <c r="P212" s="25" t="str">
        <f>IF(P213="x","x","")</f>
        <v/>
      </c>
      <c r="Q212" s="25" t="str">
        <f>IF(Q213="x","x","")</f>
        <v/>
      </c>
      <c r="R212" s="25" t="str">
        <f>IF(R213="x","x","")</f>
        <v/>
      </c>
      <c r="S212" s="25" t="str">
        <f>IF(S213="x","x","")</f>
        <v/>
      </c>
      <c r="T212" s="25" t="s">
        <v>27</v>
      </c>
      <c r="U212" s="26"/>
      <c r="V212" s="27"/>
    </row>
    <row r="213" spans="1:22" ht="18.600000000000001" customHeight="1" thickBot="1" x14ac:dyDescent="0.3">
      <c r="A213" s="28" t="str">
        <f>A212</f>
        <v>Bulgaria</v>
      </c>
      <c r="B213" s="28" t="str">
        <f>B212</f>
        <v>Europe and Central Asia</v>
      </c>
      <c r="C213" s="28" t="str">
        <f>C212</f>
        <v>P099894</v>
      </c>
      <c r="D213" s="28" t="s">
        <v>26</v>
      </c>
      <c r="E213" s="28" t="s">
        <v>27</v>
      </c>
      <c r="F213" s="28" t="str">
        <f>F212</f>
        <v>P099894C1</v>
      </c>
      <c r="G213" s="28" t="s">
        <v>16</v>
      </c>
      <c r="H213" s="29" t="str">
        <f>H211&amp;" / "&amp;H212</f>
        <v>2007 / 2013</v>
      </c>
      <c r="I213" s="29" t="str">
        <f>I212</f>
        <v>Strengthening</v>
      </c>
      <c r="J213" s="97" t="str">
        <f>IFERROR(J212/J211,"")</f>
        <v/>
      </c>
      <c r="K213" s="32">
        <f>K212/K211</f>
        <v>0.68222222222222217</v>
      </c>
      <c r="L213" s="32">
        <f>L212/L211</f>
        <v>0.67499108098465921</v>
      </c>
      <c r="M213" s="28"/>
      <c r="N213" s="32">
        <f>N212/N211</f>
        <v>0.67988626207157454</v>
      </c>
      <c r="O213" s="32">
        <f>O212/O211</f>
        <v>0.99657595417657496</v>
      </c>
      <c r="P213" s="33" t="str">
        <f>IF(K213&lt;50%,"x","")</f>
        <v/>
      </c>
      <c r="Q213" s="33" t="str">
        <f>IF(K213&gt;150%,"x","")</f>
        <v/>
      </c>
      <c r="R213" s="33" t="str">
        <f>IF(O213&lt;50%,"x","")</f>
        <v/>
      </c>
      <c r="S213" s="33" t="str">
        <f>IF(O213&gt;150%,"x","")</f>
        <v/>
      </c>
      <c r="T213" s="33" t="s">
        <v>27</v>
      </c>
      <c r="U213" s="34" t="s">
        <v>27</v>
      </c>
      <c r="V213" s="35" t="s">
        <v>27</v>
      </c>
    </row>
    <row r="214" spans="1:22" ht="18.600000000000001" customHeight="1" thickTop="1" x14ac:dyDescent="0.25">
      <c r="A214" s="18" t="s">
        <v>296</v>
      </c>
      <c r="B214" s="18" t="s">
        <v>947</v>
      </c>
      <c r="C214" s="18" t="s">
        <v>867</v>
      </c>
      <c r="D214" s="18" t="s">
        <v>26</v>
      </c>
      <c r="E214" s="18" t="s">
        <v>36</v>
      </c>
      <c r="F214" s="18" t="s">
        <v>870</v>
      </c>
      <c r="G214" s="18" t="s">
        <v>29</v>
      </c>
      <c r="H214" s="19">
        <v>2007</v>
      </c>
      <c r="I214" s="18" t="s">
        <v>38</v>
      </c>
      <c r="J214" s="101">
        <v>15</v>
      </c>
      <c r="K214" s="20">
        <v>37.14</v>
      </c>
      <c r="L214" s="21">
        <v>7.4</v>
      </c>
      <c r="M214" s="22" t="s">
        <v>869</v>
      </c>
      <c r="N214" s="23">
        <v>10.064000000000002</v>
      </c>
      <c r="O214" s="24">
        <v>0.27097469036079702</v>
      </c>
      <c r="P214" s="25" t="str">
        <f>IF(P216="x","x","")</f>
        <v/>
      </c>
      <c r="Q214" s="25" t="str">
        <f>IF(Q216="x","x","")</f>
        <v/>
      </c>
      <c r="R214" s="25" t="str">
        <f>IF(R216="x","x","")</f>
        <v/>
      </c>
      <c r="S214" s="25" t="str">
        <f>IF(S216="x","x","")</f>
        <v/>
      </c>
      <c r="T214" s="25" t="s">
        <v>27</v>
      </c>
      <c r="U214" s="26"/>
      <c r="V214" s="27"/>
    </row>
    <row r="215" spans="1:22" ht="18.600000000000001" customHeight="1" x14ac:dyDescent="0.25">
      <c r="A215" s="18" t="s">
        <v>296</v>
      </c>
      <c r="B215" s="18" t="s">
        <v>947</v>
      </c>
      <c r="C215" s="18" t="s">
        <v>867</v>
      </c>
      <c r="D215" s="18" t="s">
        <v>26</v>
      </c>
      <c r="E215" s="18" t="s">
        <v>36</v>
      </c>
      <c r="F215" s="18" t="s">
        <v>870</v>
      </c>
      <c r="G215" s="18" t="s">
        <v>32</v>
      </c>
      <c r="H215" s="19">
        <v>2013</v>
      </c>
      <c r="I215" s="18" t="s">
        <v>38</v>
      </c>
      <c r="J215" s="101" t="s">
        <v>27</v>
      </c>
      <c r="K215" s="20">
        <v>36.6</v>
      </c>
      <c r="L215" s="21">
        <v>11.9</v>
      </c>
      <c r="M215" s="22" t="s">
        <v>30</v>
      </c>
      <c r="N215" s="23">
        <v>11.9</v>
      </c>
      <c r="O215" s="24">
        <v>0.3251366120218579</v>
      </c>
      <c r="P215" s="25" t="str">
        <f>IF(P216="x","x","")</f>
        <v/>
      </c>
      <c r="Q215" s="25" t="str">
        <f>IF(Q216="x","x","")</f>
        <v/>
      </c>
      <c r="R215" s="25" t="str">
        <f>IF(R216="x","x","")</f>
        <v/>
      </c>
      <c r="S215" s="25" t="str">
        <f>IF(S216="x","x","")</f>
        <v/>
      </c>
      <c r="T215" s="25" t="s">
        <v>27</v>
      </c>
      <c r="U215" s="26"/>
      <c r="V215" s="27"/>
    </row>
    <row r="216" spans="1:22" ht="18.600000000000001" customHeight="1" thickBot="1" x14ac:dyDescent="0.3">
      <c r="A216" s="28" t="str">
        <f>A215</f>
        <v>Bulgaria</v>
      </c>
      <c r="B216" s="28" t="str">
        <f>B215</f>
        <v>Europe and Central Asia</v>
      </c>
      <c r="C216" s="28" t="str">
        <f>C215</f>
        <v>P099894</v>
      </c>
      <c r="D216" s="28" t="s">
        <v>26</v>
      </c>
      <c r="E216" s="28" t="s">
        <v>27</v>
      </c>
      <c r="F216" s="28" t="str">
        <f>F215</f>
        <v>P099894C1S1</v>
      </c>
      <c r="G216" s="28" t="s">
        <v>16</v>
      </c>
      <c r="H216" s="29" t="str">
        <f>H214&amp;" / "&amp;H215</f>
        <v>2007 / 2013</v>
      </c>
      <c r="I216" s="29" t="str">
        <f>I215</f>
        <v>Strengthening</v>
      </c>
      <c r="J216" s="97" t="str">
        <f>IFERROR(J215/J214,"")</f>
        <v/>
      </c>
      <c r="K216" s="32">
        <f>K215/K214</f>
        <v>0.98546042003231016</v>
      </c>
      <c r="L216" s="32">
        <f>L215/L214</f>
        <v>1.6081081081081081</v>
      </c>
      <c r="M216" s="28"/>
      <c r="N216" s="32">
        <f>N215/N214</f>
        <v>1.1824324324324322</v>
      </c>
      <c r="O216" s="32">
        <f>O215/O214</f>
        <v>1.1998781568453698</v>
      </c>
      <c r="P216" s="33" t="str">
        <f>IF(K216&lt;50%,"x","")</f>
        <v/>
      </c>
      <c r="Q216" s="33" t="str">
        <f>IF(K216&gt;150%,"x","")</f>
        <v/>
      </c>
      <c r="R216" s="33" t="str">
        <f>IF(O216&lt;50%,"x","")</f>
        <v/>
      </c>
      <c r="S216" s="33" t="str">
        <f>IF(O216&gt;150%,"x","")</f>
        <v/>
      </c>
      <c r="T216" s="33" t="s">
        <v>27</v>
      </c>
      <c r="U216" s="34" t="s">
        <v>27</v>
      </c>
      <c r="V216" s="35" t="s">
        <v>27</v>
      </c>
    </row>
    <row r="217" spans="1:22" ht="18.600000000000001" customHeight="1" thickTop="1" x14ac:dyDescent="0.25">
      <c r="A217" s="18" t="s">
        <v>296</v>
      </c>
      <c r="B217" s="18" t="s">
        <v>947</v>
      </c>
      <c r="C217" s="18" t="s">
        <v>867</v>
      </c>
      <c r="D217" s="18" t="s">
        <v>26</v>
      </c>
      <c r="E217" s="18" t="s">
        <v>40</v>
      </c>
      <c r="F217" s="18" t="s">
        <v>871</v>
      </c>
      <c r="G217" s="18" t="s">
        <v>29</v>
      </c>
      <c r="H217" s="19">
        <v>2007</v>
      </c>
      <c r="I217" s="18" t="s">
        <v>38</v>
      </c>
      <c r="J217" s="101">
        <v>15</v>
      </c>
      <c r="K217" s="20">
        <v>44.5</v>
      </c>
      <c r="L217" s="21">
        <v>14.3</v>
      </c>
      <c r="M217" s="22" t="s">
        <v>869</v>
      </c>
      <c r="N217" s="23">
        <v>19.448000000000004</v>
      </c>
      <c r="O217" s="24">
        <v>0.43703370786516865</v>
      </c>
      <c r="P217" s="25" t="str">
        <f>IF(P219="x","x","")</f>
        <v/>
      </c>
      <c r="Q217" s="25" t="str">
        <f>IF(Q219="x","x","")</f>
        <v/>
      </c>
      <c r="R217" s="25" t="str">
        <f>IF(R219="x","x","")</f>
        <v/>
      </c>
      <c r="S217" s="25" t="str">
        <f>IF(S219="x","x","")</f>
        <v/>
      </c>
      <c r="T217" s="25" t="s">
        <v>27</v>
      </c>
      <c r="U217" s="26"/>
      <c r="V217" s="27"/>
    </row>
    <row r="218" spans="1:22" ht="18.600000000000001" customHeight="1" x14ac:dyDescent="0.25">
      <c r="A218" s="18" t="s">
        <v>296</v>
      </c>
      <c r="B218" s="18" t="s">
        <v>947</v>
      </c>
      <c r="C218" s="18" t="s">
        <v>867</v>
      </c>
      <c r="D218" s="18" t="s">
        <v>26</v>
      </c>
      <c r="E218" s="18" t="s">
        <v>40</v>
      </c>
      <c r="F218" s="18" t="s">
        <v>871</v>
      </c>
      <c r="G218" s="18" t="s">
        <v>32</v>
      </c>
      <c r="H218" s="19">
        <v>2013</v>
      </c>
      <c r="I218" s="18" t="s">
        <v>38</v>
      </c>
      <c r="J218" s="101" t="s">
        <v>27</v>
      </c>
      <c r="K218" s="20">
        <v>47.3</v>
      </c>
      <c r="L218" s="21">
        <v>17.3</v>
      </c>
      <c r="M218" s="22" t="s">
        <v>30</v>
      </c>
      <c r="N218" s="23">
        <v>17.3</v>
      </c>
      <c r="O218" s="24">
        <v>0.36575052854122625</v>
      </c>
      <c r="P218" s="25" t="str">
        <f>IF(P219="x","x","")</f>
        <v/>
      </c>
      <c r="Q218" s="25" t="str">
        <f>IF(Q219="x","x","")</f>
        <v/>
      </c>
      <c r="R218" s="25" t="str">
        <f>IF(R219="x","x","")</f>
        <v/>
      </c>
      <c r="S218" s="25" t="str">
        <f>IF(S219="x","x","")</f>
        <v/>
      </c>
      <c r="T218" s="25" t="s">
        <v>27</v>
      </c>
      <c r="U218" s="26"/>
      <c r="V218" s="27"/>
    </row>
    <row r="219" spans="1:22" ht="18.600000000000001" customHeight="1" thickBot="1" x14ac:dyDescent="0.3">
      <c r="A219" s="28" t="str">
        <f>A218</f>
        <v>Bulgaria</v>
      </c>
      <c r="B219" s="28" t="str">
        <f>B218</f>
        <v>Europe and Central Asia</v>
      </c>
      <c r="C219" s="28" t="str">
        <f>C218</f>
        <v>P099894</v>
      </c>
      <c r="D219" s="28" t="s">
        <v>26</v>
      </c>
      <c r="E219" s="28" t="s">
        <v>27</v>
      </c>
      <c r="F219" s="28" t="str">
        <f>F218</f>
        <v>P099894C1S2</v>
      </c>
      <c r="G219" s="28" t="s">
        <v>16</v>
      </c>
      <c r="H219" s="29" t="str">
        <f>H217&amp;" / "&amp;H218</f>
        <v>2007 / 2013</v>
      </c>
      <c r="I219" s="29" t="str">
        <f>I218</f>
        <v>Strengthening</v>
      </c>
      <c r="J219" s="97" t="str">
        <f>IFERROR(J218/J217,"")</f>
        <v/>
      </c>
      <c r="K219" s="32">
        <f>K218/K217</f>
        <v>1.0629213483146067</v>
      </c>
      <c r="L219" s="32">
        <f>L218/L217</f>
        <v>1.2097902097902098</v>
      </c>
      <c r="M219" s="28"/>
      <c r="N219" s="32">
        <f>N218/N217</f>
        <v>0.88955162484574235</v>
      </c>
      <c r="O219" s="32">
        <f>O218/O217</f>
        <v>0.83689317770899652</v>
      </c>
      <c r="P219" s="33" t="str">
        <f>IF(K219&lt;50%,"x","")</f>
        <v/>
      </c>
      <c r="Q219" s="33" t="str">
        <f>IF(K219&gt;150%,"x","")</f>
        <v/>
      </c>
      <c r="R219" s="33" t="str">
        <f>IF(O219&lt;50%,"x","")</f>
        <v/>
      </c>
      <c r="S219" s="33" t="str">
        <f>IF(O219&gt;150%,"x","")</f>
        <v/>
      </c>
      <c r="T219" s="33" t="s">
        <v>27</v>
      </c>
      <c r="U219" s="34" t="s">
        <v>27</v>
      </c>
      <c r="V219" s="35" t="s">
        <v>27</v>
      </c>
    </row>
    <row r="220" spans="1:22" ht="18.600000000000001" customHeight="1" thickTop="1" x14ac:dyDescent="0.25">
      <c r="A220" s="18" t="s">
        <v>296</v>
      </c>
      <c r="B220" s="18" t="s">
        <v>947</v>
      </c>
      <c r="C220" s="18" t="s">
        <v>867</v>
      </c>
      <c r="D220" s="18" t="s">
        <v>26</v>
      </c>
      <c r="E220" s="18" t="s">
        <v>69</v>
      </c>
      <c r="F220" s="18" t="s">
        <v>872</v>
      </c>
      <c r="G220" s="18" t="s">
        <v>29</v>
      </c>
      <c r="H220" s="19">
        <v>2007</v>
      </c>
      <c r="I220" s="18" t="s">
        <v>38</v>
      </c>
      <c r="J220" s="101">
        <v>19</v>
      </c>
      <c r="K220" s="20">
        <v>61</v>
      </c>
      <c r="L220" s="21">
        <v>18.3</v>
      </c>
      <c r="M220" s="22" t="s">
        <v>869</v>
      </c>
      <c r="N220" s="23">
        <v>24.888000000000002</v>
      </c>
      <c r="O220" s="24">
        <v>0.40800000000000003</v>
      </c>
      <c r="P220" s="25" t="str">
        <f>IF(P222="x","x","")</f>
        <v/>
      </c>
      <c r="Q220" s="25" t="str">
        <f>IF(Q222="x","x","")</f>
        <v/>
      </c>
      <c r="R220" s="25" t="str">
        <f>IF(R222="x","x","")</f>
        <v/>
      </c>
      <c r="S220" s="25" t="str">
        <f>IF(S222="x","x","")</f>
        <v/>
      </c>
      <c r="T220" s="25" t="s">
        <v>27</v>
      </c>
      <c r="U220" s="26"/>
      <c r="V220" s="27"/>
    </row>
    <row r="221" spans="1:22" ht="18.600000000000001" customHeight="1" x14ac:dyDescent="0.25">
      <c r="A221" s="18" t="s">
        <v>296</v>
      </c>
      <c r="B221" s="18" t="s">
        <v>947</v>
      </c>
      <c r="C221" s="18" t="s">
        <v>867</v>
      </c>
      <c r="D221" s="18" t="s">
        <v>26</v>
      </c>
      <c r="E221" s="18" t="s">
        <v>69</v>
      </c>
      <c r="F221" s="18" t="s">
        <v>872</v>
      </c>
      <c r="G221" s="18" t="s">
        <v>32</v>
      </c>
      <c r="H221" s="19">
        <v>2013</v>
      </c>
      <c r="I221" s="18" t="s">
        <v>38</v>
      </c>
      <c r="J221" s="101" t="s">
        <v>27</v>
      </c>
      <c r="K221" s="20">
        <v>46.1</v>
      </c>
      <c r="L221" s="21">
        <v>17.5</v>
      </c>
      <c r="M221" s="22" t="s">
        <v>30</v>
      </c>
      <c r="N221" s="23">
        <v>17.5</v>
      </c>
      <c r="O221" s="24">
        <v>0.37960954446854661</v>
      </c>
      <c r="P221" s="25" t="str">
        <f>IF(P222="x","x","")</f>
        <v/>
      </c>
      <c r="Q221" s="25" t="str">
        <f>IF(Q222="x","x","")</f>
        <v/>
      </c>
      <c r="R221" s="25" t="str">
        <f>IF(R222="x","x","")</f>
        <v/>
      </c>
      <c r="S221" s="25" t="str">
        <f>IF(S222="x","x","")</f>
        <v/>
      </c>
      <c r="T221" s="25" t="s">
        <v>27</v>
      </c>
      <c r="U221" s="26"/>
      <c r="V221" s="27"/>
    </row>
    <row r="222" spans="1:22" ht="18.600000000000001" customHeight="1" thickBot="1" x14ac:dyDescent="0.3">
      <c r="A222" s="28" t="str">
        <f>A221</f>
        <v>Bulgaria</v>
      </c>
      <c r="B222" s="28" t="str">
        <f>B221</f>
        <v>Europe and Central Asia</v>
      </c>
      <c r="C222" s="28" t="str">
        <f>C221</f>
        <v>P099894</v>
      </c>
      <c r="D222" s="28" t="s">
        <v>26</v>
      </c>
      <c r="E222" s="28" t="s">
        <v>27</v>
      </c>
      <c r="F222" s="28" t="str">
        <f>F221</f>
        <v>P099894C1S3</v>
      </c>
      <c r="G222" s="28" t="s">
        <v>16</v>
      </c>
      <c r="H222" s="29" t="str">
        <f>H220&amp;" / "&amp;H221</f>
        <v>2007 / 2013</v>
      </c>
      <c r="I222" s="29" t="str">
        <f>I221</f>
        <v>Strengthening</v>
      </c>
      <c r="J222" s="97" t="str">
        <f>IFERROR(J221/J220,"")</f>
        <v/>
      </c>
      <c r="K222" s="32">
        <f>K221/K220</f>
        <v>0.75573770491803283</v>
      </c>
      <c r="L222" s="32">
        <f>L221/L220</f>
        <v>0.95628415300546443</v>
      </c>
      <c r="M222" s="28"/>
      <c r="N222" s="32">
        <f>N221/N220</f>
        <v>0.70315011250401793</v>
      </c>
      <c r="O222" s="32">
        <f>O221/O220</f>
        <v>0.93041555016800637</v>
      </c>
      <c r="P222" s="33" t="str">
        <f>IF(K222&lt;50%,"x","")</f>
        <v/>
      </c>
      <c r="Q222" s="33" t="str">
        <f>IF(K222&gt;150%,"x","")</f>
        <v/>
      </c>
      <c r="R222" s="33" t="str">
        <f>IF(O222&lt;50%,"x","")</f>
        <v/>
      </c>
      <c r="S222" s="33" t="str">
        <f>IF(O222&gt;150%,"x","")</f>
        <v/>
      </c>
      <c r="T222" s="33" t="s">
        <v>27</v>
      </c>
      <c r="U222" s="34" t="s">
        <v>27</v>
      </c>
      <c r="V222" s="35" t="s">
        <v>27</v>
      </c>
    </row>
    <row r="223" spans="1:22" ht="16.5" thickTop="1" x14ac:dyDescent="0.25">
      <c r="A223" s="18" t="s">
        <v>296</v>
      </c>
      <c r="B223" s="18" t="s">
        <v>947</v>
      </c>
      <c r="C223" s="18" t="s">
        <v>867</v>
      </c>
      <c r="D223" s="18" t="s">
        <v>26</v>
      </c>
      <c r="E223" s="18" t="s">
        <v>71</v>
      </c>
      <c r="F223" s="18" t="s">
        <v>873</v>
      </c>
      <c r="G223" s="18" t="s">
        <v>29</v>
      </c>
      <c r="H223" s="19">
        <v>2007</v>
      </c>
      <c r="I223" s="18" t="s">
        <v>38</v>
      </c>
      <c r="J223" s="101">
        <v>26</v>
      </c>
      <c r="K223" s="20">
        <v>55.9</v>
      </c>
      <c r="L223" s="21">
        <v>23.4</v>
      </c>
      <c r="M223" s="22" t="s">
        <v>869</v>
      </c>
      <c r="N223" s="23">
        <v>31.824000000000002</v>
      </c>
      <c r="O223" s="24">
        <v>0.56930232558139537</v>
      </c>
      <c r="P223" s="25" t="str">
        <f>IF(P225="x","x","")</f>
        <v/>
      </c>
      <c r="Q223" s="25" t="str">
        <f>IF(Q225="x","x","")</f>
        <v/>
      </c>
      <c r="R223" s="25" t="str">
        <f>IF(R225="x","x","")</f>
        <v/>
      </c>
      <c r="S223" s="25" t="str">
        <f>IF(S225="x","x","")</f>
        <v/>
      </c>
      <c r="T223" s="25" t="s">
        <v>27</v>
      </c>
      <c r="U223" s="26"/>
      <c r="V223" s="27"/>
    </row>
    <row r="224" spans="1:22" x14ac:dyDescent="0.25">
      <c r="A224" s="18" t="s">
        <v>296</v>
      </c>
      <c r="B224" s="18" t="s">
        <v>947</v>
      </c>
      <c r="C224" s="18" t="s">
        <v>867</v>
      </c>
      <c r="D224" s="18" t="s">
        <v>26</v>
      </c>
      <c r="E224" s="18" t="s">
        <v>71</v>
      </c>
      <c r="F224" s="18" t="s">
        <v>873</v>
      </c>
      <c r="G224" s="18" t="s">
        <v>32</v>
      </c>
      <c r="H224" s="19">
        <v>2013</v>
      </c>
      <c r="I224" s="18" t="s">
        <v>38</v>
      </c>
      <c r="J224" s="101" t="s">
        <v>27</v>
      </c>
      <c r="K224" s="20">
        <v>55.4</v>
      </c>
      <c r="L224" s="21">
        <v>18.7</v>
      </c>
      <c r="M224" s="22" t="s">
        <v>30</v>
      </c>
      <c r="N224" s="23">
        <v>18.7</v>
      </c>
      <c r="O224" s="24">
        <v>0.33754512635379064</v>
      </c>
      <c r="P224" s="25" t="str">
        <f>IF(P225="x","x","")</f>
        <v/>
      </c>
      <c r="Q224" s="25" t="str">
        <f>IF(Q225="x","x","")</f>
        <v/>
      </c>
      <c r="R224" s="25" t="str">
        <f>IF(R225="x","x","")</f>
        <v/>
      </c>
      <c r="S224" s="25" t="str">
        <f>IF(S225="x","x","")</f>
        <v/>
      </c>
      <c r="T224" s="25" t="s">
        <v>27</v>
      </c>
      <c r="U224" s="26"/>
      <c r="V224" s="27"/>
    </row>
    <row r="225" spans="1:22" ht="16.5" thickBot="1" x14ac:dyDescent="0.3">
      <c r="A225" s="28" t="str">
        <f>A224</f>
        <v>Bulgaria</v>
      </c>
      <c r="B225" s="28" t="str">
        <f>B224</f>
        <v>Europe and Central Asia</v>
      </c>
      <c r="C225" s="28" t="str">
        <f>C224</f>
        <v>P099894</v>
      </c>
      <c r="D225" s="28" t="s">
        <v>26</v>
      </c>
      <c r="E225" s="28" t="s">
        <v>27</v>
      </c>
      <c r="F225" s="28" t="str">
        <f>F224</f>
        <v>P099894C1S4</v>
      </c>
      <c r="G225" s="28" t="s">
        <v>16</v>
      </c>
      <c r="H225" s="29" t="str">
        <f>H223&amp;" / "&amp;H224</f>
        <v>2007 / 2013</v>
      </c>
      <c r="I225" s="29" t="str">
        <f>I224</f>
        <v>Strengthening</v>
      </c>
      <c r="J225" s="97" t="str">
        <f>IFERROR(J224/J223,"")</f>
        <v/>
      </c>
      <c r="K225" s="32">
        <f>K224/K223</f>
        <v>0.99105545617173529</v>
      </c>
      <c r="L225" s="32">
        <f>L224/L223</f>
        <v>0.79914529914529919</v>
      </c>
      <c r="M225" s="28"/>
      <c r="N225" s="32">
        <f>N224/N223</f>
        <v>0.58760683760683752</v>
      </c>
      <c r="O225" s="32">
        <f>O224/O223</f>
        <v>0.59291014841556355</v>
      </c>
      <c r="P225" s="33" t="str">
        <f>IF(K225&lt;50%,"x","")</f>
        <v/>
      </c>
      <c r="Q225" s="33" t="str">
        <f>IF(K225&gt;150%,"x","")</f>
        <v/>
      </c>
      <c r="R225" s="33" t="str">
        <f>IF(O225&lt;50%,"x","")</f>
        <v/>
      </c>
      <c r="S225" s="33" t="str">
        <f>IF(O225&gt;150%,"x","")</f>
        <v/>
      </c>
      <c r="T225" s="33" t="s">
        <v>27</v>
      </c>
      <c r="U225" s="34" t="s">
        <v>27</v>
      </c>
      <c r="V225" s="35" t="s">
        <v>27</v>
      </c>
    </row>
    <row r="226" spans="1:22" ht="16.5" thickTop="1" x14ac:dyDescent="0.25">
      <c r="A226" s="18" t="s">
        <v>296</v>
      </c>
      <c r="B226" s="18" t="s">
        <v>947</v>
      </c>
      <c r="C226" s="18" t="s">
        <v>867</v>
      </c>
      <c r="D226" s="18" t="s">
        <v>26</v>
      </c>
      <c r="E226" s="18" t="s">
        <v>141</v>
      </c>
      <c r="F226" s="18" t="s">
        <v>874</v>
      </c>
      <c r="G226" s="18" t="s">
        <v>29</v>
      </c>
      <c r="H226" s="19">
        <v>2007</v>
      </c>
      <c r="I226" s="18" t="s">
        <v>38</v>
      </c>
      <c r="J226" s="101">
        <v>24</v>
      </c>
      <c r="K226" s="20">
        <v>65</v>
      </c>
      <c r="L226" s="21">
        <v>17.100000000000001</v>
      </c>
      <c r="M226" s="22" t="s">
        <v>869</v>
      </c>
      <c r="N226" s="23">
        <v>23.256000000000004</v>
      </c>
      <c r="O226" s="24">
        <v>0.35778461538461542</v>
      </c>
      <c r="P226" s="25" t="str">
        <f>IF(P228="x","x","")</f>
        <v/>
      </c>
      <c r="Q226" s="25" t="str">
        <f>IF(Q228="x","x","")</f>
        <v/>
      </c>
      <c r="R226" s="25" t="str">
        <f>IF(R228="x","x","")</f>
        <v/>
      </c>
      <c r="S226" s="25" t="str">
        <f>IF(S228="x","x","")</f>
        <v/>
      </c>
      <c r="T226" s="25" t="s">
        <v>27</v>
      </c>
      <c r="U226" s="26"/>
      <c r="V226" s="27"/>
    </row>
    <row r="227" spans="1:22" x14ac:dyDescent="0.25">
      <c r="A227" s="18" t="s">
        <v>296</v>
      </c>
      <c r="B227" s="18" t="s">
        <v>947</v>
      </c>
      <c r="C227" s="18" t="s">
        <v>867</v>
      </c>
      <c r="D227" s="18" t="s">
        <v>26</v>
      </c>
      <c r="E227" s="18" t="s">
        <v>141</v>
      </c>
      <c r="F227" s="18" t="s">
        <v>874</v>
      </c>
      <c r="G227" s="18" t="s">
        <v>32</v>
      </c>
      <c r="H227" s="19">
        <v>2013</v>
      </c>
      <c r="I227" s="18" t="s">
        <v>38</v>
      </c>
      <c r="J227" s="101" t="s">
        <v>27</v>
      </c>
      <c r="K227" s="20">
        <v>62.9</v>
      </c>
      <c r="L227" s="21">
        <v>21.1</v>
      </c>
      <c r="M227" s="22" t="s">
        <v>30</v>
      </c>
      <c r="N227" s="23">
        <v>21.1</v>
      </c>
      <c r="O227" s="24">
        <v>0.33545310015898255</v>
      </c>
      <c r="P227" s="25" t="str">
        <f>IF(P228="x","x","")</f>
        <v/>
      </c>
      <c r="Q227" s="25" t="str">
        <f>IF(Q228="x","x","")</f>
        <v/>
      </c>
      <c r="R227" s="25" t="str">
        <f>IF(R228="x","x","")</f>
        <v/>
      </c>
      <c r="S227" s="25" t="str">
        <f>IF(S228="x","x","")</f>
        <v/>
      </c>
      <c r="T227" s="25" t="s">
        <v>27</v>
      </c>
      <c r="U227" s="26"/>
      <c r="V227" s="27"/>
    </row>
    <row r="228" spans="1:22" ht="16.5" thickBot="1" x14ac:dyDescent="0.3">
      <c r="A228" s="28" t="str">
        <f>A227</f>
        <v>Bulgaria</v>
      </c>
      <c r="B228" s="28" t="str">
        <f>B227</f>
        <v>Europe and Central Asia</v>
      </c>
      <c r="C228" s="28" t="str">
        <f>C227</f>
        <v>P099894</v>
      </c>
      <c r="D228" s="28" t="s">
        <v>26</v>
      </c>
      <c r="E228" s="28" t="s">
        <v>27</v>
      </c>
      <c r="F228" s="28" t="str">
        <f>F227</f>
        <v>P099894C1S5</v>
      </c>
      <c r="G228" s="28" t="s">
        <v>16</v>
      </c>
      <c r="H228" s="29" t="str">
        <f>H226&amp;" / "&amp;H227</f>
        <v>2007 / 2013</v>
      </c>
      <c r="I228" s="29" t="str">
        <f>I227</f>
        <v>Strengthening</v>
      </c>
      <c r="J228" s="97" t="str">
        <f>IFERROR(J227/J226,"")</f>
        <v/>
      </c>
      <c r="K228" s="32">
        <f>K227/K226</f>
        <v>0.96769230769230763</v>
      </c>
      <c r="L228" s="32">
        <f>L227/L226</f>
        <v>1.2339181286549707</v>
      </c>
      <c r="M228" s="28"/>
      <c r="N228" s="32">
        <f>N227/N226</f>
        <v>0.90729274165806661</v>
      </c>
      <c r="O228" s="32">
        <f>O227/O226</f>
        <v>0.937583914273042</v>
      </c>
      <c r="P228" s="33" t="str">
        <f>IF(K228&lt;50%,"x","")</f>
        <v/>
      </c>
      <c r="Q228" s="33" t="str">
        <f>IF(K228&gt;150%,"x","")</f>
        <v/>
      </c>
      <c r="R228" s="33" t="str">
        <f>IF(O228&lt;50%,"x","")</f>
        <v/>
      </c>
      <c r="S228" s="33" t="str">
        <f>IF(O228&gt;150%,"x","")</f>
        <v/>
      </c>
      <c r="T228" s="33" t="s">
        <v>27</v>
      </c>
      <c r="U228" s="34" t="s">
        <v>27</v>
      </c>
      <c r="V228" s="35" t="s">
        <v>27</v>
      </c>
    </row>
    <row r="229" spans="1:22" ht="16.5" thickTop="1" x14ac:dyDescent="0.25">
      <c r="A229" s="18" t="s">
        <v>296</v>
      </c>
      <c r="B229" s="18" t="s">
        <v>947</v>
      </c>
      <c r="C229" s="18" t="s">
        <v>867</v>
      </c>
      <c r="D229" s="18" t="s">
        <v>26</v>
      </c>
      <c r="E229" s="18" t="s">
        <v>143</v>
      </c>
      <c r="F229" s="18" t="s">
        <v>875</v>
      </c>
      <c r="G229" s="18" t="s">
        <v>29</v>
      </c>
      <c r="H229" s="19">
        <v>2007</v>
      </c>
      <c r="I229" s="18" t="s">
        <v>38</v>
      </c>
      <c r="J229" s="101">
        <v>25</v>
      </c>
      <c r="K229" s="20">
        <v>65</v>
      </c>
      <c r="L229" s="21">
        <v>24.9</v>
      </c>
      <c r="M229" s="22" t="s">
        <v>869</v>
      </c>
      <c r="N229" s="23">
        <v>33.864000000000004</v>
      </c>
      <c r="O229" s="24">
        <v>0.52098461538461549</v>
      </c>
      <c r="P229" s="25" t="str">
        <f>IF(P231="x","x","")</f>
        <v/>
      </c>
      <c r="Q229" s="25" t="str">
        <f>IF(Q231="x","x","")</f>
        <v/>
      </c>
      <c r="R229" s="25" t="str">
        <f>IF(R231="x","x","")</f>
        <v/>
      </c>
      <c r="S229" s="25" t="str">
        <f>IF(S231="x","x","")</f>
        <v/>
      </c>
      <c r="T229" s="25" t="s">
        <v>27</v>
      </c>
      <c r="U229" s="26"/>
      <c r="V229" s="27"/>
    </row>
    <row r="230" spans="1:22" x14ac:dyDescent="0.25">
      <c r="A230" s="18" t="s">
        <v>296</v>
      </c>
      <c r="B230" s="18" t="s">
        <v>947</v>
      </c>
      <c r="C230" s="18" t="s">
        <v>867</v>
      </c>
      <c r="D230" s="18" t="s">
        <v>26</v>
      </c>
      <c r="E230" s="18" t="s">
        <v>143</v>
      </c>
      <c r="F230" s="18" t="s">
        <v>875</v>
      </c>
      <c r="G230" s="18" t="s">
        <v>32</v>
      </c>
      <c r="H230" s="19">
        <v>2013</v>
      </c>
      <c r="I230" s="18" t="s">
        <v>38</v>
      </c>
      <c r="J230" s="101" t="s">
        <v>27</v>
      </c>
      <c r="K230" s="20">
        <v>61.8</v>
      </c>
      <c r="L230" s="21">
        <v>22.1</v>
      </c>
      <c r="M230" s="22" t="s">
        <v>30</v>
      </c>
      <c r="N230" s="23">
        <v>22.1</v>
      </c>
      <c r="O230" s="24">
        <v>0.35760517799352753</v>
      </c>
      <c r="P230" s="25" t="str">
        <f>IF(P231="x","x","")</f>
        <v/>
      </c>
      <c r="Q230" s="25" t="str">
        <f>IF(Q231="x","x","")</f>
        <v/>
      </c>
      <c r="R230" s="25" t="str">
        <f>IF(R231="x","x","")</f>
        <v/>
      </c>
      <c r="S230" s="25" t="str">
        <f>IF(S231="x","x","")</f>
        <v/>
      </c>
      <c r="T230" s="25" t="s">
        <v>27</v>
      </c>
      <c r="U230" s="26"/>
      <c r="V230" s="27"/>
    </row>
    <row r="231" spans="1:22" ht="16.5" thickBot="1" x14ac:dyDescent="0.3">
      <c r="A231" s="28" t="str">
        <f>A230</f>
        <v>Bulgaria</v>
      </c>
      <c r="B231" s="28" t="str">
        <f>B230</f>
        <v>Europe and Central Asia</v>
      </c>
      <c r="C231" s="28" t="str">
        <f>C230</f>
        <v>P099894</v>
      </c>
      <c r="D231" s="28" t="s">
        <v>26</v>
      </c>
      <c r="E231" s="28" t="s">
        <v>27</v>
      </c>
      <c r="F231" s="28" t="str">
        <f>F230</f>
        <v>P099894C1S6</v>
      </c>
      <c r="G231" s="28" t="s">
        <v>16</v>
      </c>
      <c r="H231" s="29" t="str">
        <f>H229&amp;" / "&amp;H230</f>
        <v>2007 / 2013</v>
      </c>
      <c r="I231" s="29" t="str">
        <f>I230</f>
        <v>Strengthening</v>
      </c>
      <c r="J231" s="97" t="str">
        <f>IFERROR(J230/J229,"")</f>
        <v/>
      </c>
      <c r="K231" s="32">
        <f>K230/K229</f>
        <v>0.9507692307692307</v>
      </c>
      <c r="L231" s="32">
        <f>L230/L229</f>
        <v>0.88755020080321301</v>
      </c>
      <c r="M231" s="28"/>
      <c r="N231" s="32">
        <f>N230/N229</f>
        <v>0.65261044176706828</v>
      </c>
      <c r="O231" s="32">
        <f>O230/O229</f>
        <v>0.68640256820160894</v>
      </c>
      <c r="P231" s="33" t="str">
        <f>IF(K231&lt;50%,"x","")</f>
        <v/>
      </c>
      <c r="Q231" s="33" t="str">
        <f>IF(K231&gt;150%,"x","")</f>
        <v/>
      </c>
      <c r="R231" s="33" t="str">
        <f>IF(O231&lt;50%,"x","")</f>
        <v/>
      </c>
      <c r="S231" s="33" t="str">
        <f>IF(O231&gt;150%,"x","")</f>
        <v/>
      </c>
      <c r="T231" s="33" t="s">
        <v>27</v>
      </c>
      <c r="U231" s="34" t="s">
        <v>27</v>
      </c>
      <c r="V231" s="35" t="s">
        <v>27</v>
      </c>
    </row>
    <row r="232" spans="1:22" ht="16.5" thickTop="1" x14ac:dyDescent="0.25">
      <c r="A232" s="18" t="s">
        <v>651</v>
      </c>
      <c r="B232" s="18" t="s">
        <v>950</v>
      </c>
      <c r="C232" s="18" t="s">
        <v>652</v>
      </c>
      <c r="D232" s="18" t="s">
        <v>26</v>
      </c>
      <c r="E232" s="18" t="s">
        <v>27</v>
      </c>
      <c r="F232" s="18" t="s">
        <v>653</v>
      </c>
      <c r="G232" s="18" t="s">
        <v>29</v>
      </c>
      <c r="H232" s="19">
        <v>2003</v>
      </c>
      <c r="I232" s="18" t="s">
        <v>359</v>
      </c>
      <c r="J232" s="101" t="s">
        <v>27</v>
      </c>
      <c r="K232" s="20">
        <v>7057</v>
      </c>
      <c r="L232" s="21">
        <v>129.26</v>
      </c>
      <c r="M232" s="22" t="s">
        <v>30</v>
      </c>
      <c r="N232" s="23">
        <v>129.26</v>
      </c>
      <c r="O232" s="24">
        <v>1.8316565112654101E-2</v>
      </c>
      <c r="P232" s="25" t="str">
        <f>IF(P234="x","x","")</f>
        <v>x</v>
      </c>
      <c r="Q232" s="25" t="str">
        <f>IF(Q234="x","x","")</f>
        <v/>
      </c>
      <c r="R232" s="25" t="str">
        <f>IF(R234="x","x","")</f>
        <v/>
      </c>
      <c r="S232" s="25" t="str">
        <f>IF(S234="x","x","")</f>
        <v>x</v>
      </c>
      <c r="T232" s="25" t="s">
        <v>31</v>
      </c>
      <c r="U232" s="26"/>
      <c r="V232" s="27"/>
    </row>
    <row r="233" spans="1:22" x14ac:dyDescent="0.25">
      <c r="A233" s="18" t="s">
        <v>651</v>
      </c>
      <c r="B233" s="18" t="s">
        <v>950</v>
      </c>
      <c r="C233" s="18" t="s">
        <v>652</v>
      </c>
      <c r="D233" s="18" t="s">
        <v>26</v>
      </c>
      <c r="E233" s="18" t="s">
        <v>27</v>
      </c>
      <c r="F233" s="18" t="s">
        <v>653</v>
      </c>
      <c r="G233" s="18" t="s">
        <v>32</v>
      </c>
      <c r="H233" s="19">
        <v>2014</v>
      </c>
      <c r="I233" s="18" t="s">
        <v>359</v>
      </c>
      <c r="J233" s="101" t="s">
        <v>27</v>
      </c>
      <c r="K233" s="20">
        <v>2678</v>
      </c>
      <c r="L233" s="21">
        <v>130.1</v>
      </c>
      <c r="M233" s="22" t="s">
        <v>30</v>
      </c>
      <c r="N233" s="23">
        <v>130.1</v>
      </c>
      <c r="O233" s="24">
        <v>4.8581030619865566E-2</v>
      </c>
      <c r="P233" s="25" t="str">
        <f>IF(P234="x","x","")</f>
        <v>x</v>
      </c>
      <c r="Q233" s="25" t="str">
        <f>IF(Q234="x","x","")</f>
        <v/>
      </c>
      <c r="R233" s="25" t="str">
        <f>IF(R234="x","x","")</f>
        <v/>
      </c>
      <c r="S233" s="25" t="str">
        <f>IF(S234="x","x","")</f>
        <v>x</v>
      </c>
      <c r="T233" s="25" t="s">
        <v>31</v>
      </c>
      <c r="U233" s="26"/>
      <c r="V233" s="27"/>
    </row>
    <row r="234" spans="1:22" ht="22.5" customHeight="1" thickBot="1" x14ac:dyDescent="0.3">
      <c r="A234" s="28" t="str">
        <f>A233</f>
        <v>Burkina Faso</v>
      </c>
      <c r="B234" s="28" t="str">
        <f>B233</f>
        <v>Sub-Saharan Africa</v>
      </c>
      <c r="C234" s="28" t="str">
        <f>C233</f>
        <v>P074030</v>
      </c>
      <c r="D234" s="28" t="s">
        <v>26</v>
      </c>
      <c r="E234" s="28" t="s">
        <v>27</v>
      </c>
      <c r="F234" s="28" t="str">
        <f>F233</f>
        <v>P074030C1</v>
      </c>
      <c r="G234" s="28" t="s">
        <v>16</v>
      </c>
      <c r="H234" s="29" t="str">
        <f>H232&amp;" / "&amp;H233</f>
        <v>2003 / 2014</v>
      </c>
      <c r="I234" s="29" t="str">
        <f>I233</f>
        <v>Reconstruction</v>
      </c>
      <c r="J234" s="97" t="str">
        <f>IFERROR(J233/J232,"")</f>
        <v/>
      </c>
      <c r="K234" s="32">
        <f>K233/K232</f>
        <v>0.37948136601955507</v>
      </c>
      <c r="L234" s="32">
        <f>L233/L232</f>
        <v>1.0064985300943834</v>
      </c>
      <c r="M234" s="28"/>
      <c r="N234" s="32">
        <f>N233/N232</f>
        <v>1.0064985300943834</v>
      </c>
      <c r="O234" s="32">
        <f>O233/O232</f>
        <v>2.6523002714249677</v>
      </c>
      <c r="P234" s="33" t="str">
        <f>IF(K234&lt;50%,"x","")</f>
        <v>x</v>
      </c>
      <c r="Q234" s="33" t="str">
        <f>IF(K234&gt;150%,"x","")</f>
        <v/>
      </c>
      <c r="R234" s="33" t="str">
        <f>IF(O234&lt;50%,"x","")</f>
        <v/>
      </c>
      <c r="S234" s="33" t="str">
        <f>IF(O234&gt;150%,"x","")</f>
        <v>x</v>
      </c>
      <c r="T234" s="33" t="s">
        <v>31</v>
      </c>
      <c r="U234" s="34" t="s">
        <v>1015</v>
      </c>
      <c r="V234" s="35" t="s">
        <v>1034</v>
      </c>
    </row>
    <row r="235" spans="1:22" ht="16.5" thickTop="1" x14ac:dyDescent="0.25">
      <c r="A235" s="18" t="s">
        <v>651</v>
      </c>
      <c r="B235" s="18" t="s">
        <v>950</v>
      </c>
      <c r="C235" s="18" t="s">
        <v>1250</v>
      </c>
      <c r="D235" s="18" t="s">
        <v>26</v>
      </c>
      <c r="E235" s="18" t="s">
        <v>27</v>
      </c>
      <c r="F235" s="18" t="s">
        <v>1278</v>
      </c>
      <c r="G235" s="18" t="s">
        <v>29</v>
      </c>
      <c r="H235" s="19">
        <v>1990</v>
      </c>
      <c r="I235" s="18" t="s">
        <v>387</v>
      </c>
      <c r="J235" s="101">
        <v>20</v>
      </c>
      <c r="K235" s="20">
        <v>76.400000000000006</v>
      </c>
      <c r="L235" s="21">
        <v>3751</v>
      </c>
      <c r="M235" s="22" t="s">
        <v>1239</v>
      </c>
      <c r="N235" s="23">
        <v>13.777271725556453</v>
      </c>
      <c r="O235" s="24">
        <v>0.18033078174812109</v>
      </c>
      <c r="P235" s="25" t="s">
        <v>31</v>
      </c>
      <c r="Q235" s="25" t="s">
        <v>31</v>
      </c>
      <c r="R235" s="25" t="s">
        <v>31</v>
      </c>
      <c r="S235" s="25"/>
      <c r="T235" s="25"/>
      <c r="U235" s="26"/>
      <c r="V235" s="27"/>
    </row>
    <row r="236" spans="1:22" x14ac:dyDescent="0.25">
      <c r="A236" s="18" t="s">
        <v>651</v>
      </c>
      <c r="B236" s="18" t="s">
        <v>950</v>
      </c>
      <c r="C236" s="18" t="s">
        <v>1250</v>
      </c>
      <c r="D236" s="18" t="s">
        <v>26</v>
      </c>
      <c r="E236" s="18" t="s">
        <v>27</v>
      </c>
      <c r="F236" s="18" t="s">
        <v>1278</v>
      </c>
      <c r="G236" s="18" t="s">
        <v>32</v>
      </c>
      <c r="H236" s="19">
        <v>1999</v>
      </c>
      <c r="I236" s="18" t="s">
        <v>387</v>
      </c>
      <c r="J236" s="101">
        <v>44</v>
      </c>
      <c r="K236" s="20">
        <v>134.4</v>
      </c>
      <c r="L236" s="21">
        <v>4502</v>
      </c>
      <c r="M236" s="22" t="s">
        <v>1239</v>
      </c>
      <c r="N236" s="23">
        <v>7.3121213597752108</v>
      </c>
      <c r="O236" s="24">
        <v>5.4405664879279843E-2</v>
      </c>
      <c r="P236" s="25" t="s">
        <v>31</v>
      </c>
      <c r="Q236" s="25" t="s">
        <v>31</v>
      </c>
      <c r="R236" s="25" t="s">
        <v>31</v>
      </c>
      <c r="S236" s="25"/>
      <c r="T236" s="25"/>
      <c r="U236" s="26"/>
      <c r="V236" s="27"/>
    </row>
    <row r="237" spans="1:22" ht="32.25" thickBot="1" x14ac:dyDescent="0.3">
      <c r="A237" s="28" t="str">
        <f>A236</f>
        <v>Burkina Faso</v>
      </c>
      <c r="B237" s="28" t="str">
        <f>B236</f>
        <v>Sub-Saharan Africa</v>
      </c>
      <c r="C237" s="28" t="str">
        <f>C236</f>
        <v>AfDB loan number: F/BUF/RTE/92/19</v>
      </c>
      <c r="D237" s="28" t="s">
        <v>26</v>
      </c>
      <c r="E237" s="28" t="s">
        <v>27</v>
      </c>
      <c r="F237" s="28" t="str">
        <f>F236</f>
        <v>AfDB loan number: F/BUF/RTE/92/19C1</v>
      </c>
      <c r="G237" s="28" t="s">
        <v>16</v>
      </c>
      <c r="H237" s="29" t="str">
        <f>H235&amp;" / "&amp;H236</f>
        <v>1990 / 1999</v>
      </c>
      <c r="I237" s="29" t="str">
        <f>I236</f>
        <v>Upgrading</v>
      </c>
      <c r="J237" s="97">
        <f>IFERROR(J236/J235,"")</f>
        <v>2.2000000000000002</v>
      </c>
      <c r="K237" s="32">
        <f>K236/K235</f>
        <v>1.7591623036649213</v>
      </c>
      <c r="L237" s="32">
        <f>L236/L235</f>
        <v>1.2002132764596107</v>
      </c>
      <c r="M237" s="28"/>
      <c r="N237" s="32">
        <f>N236/N235</f>
        <v>0.53073797958208446</v>
      </c>
      <c r="O237" s="32">
        <f>O236/O235</f>
        <v>0.30169926815529213</v>
      </c>
      <c r="P237" s="33" t="s">
        <v>31</v>
      </c>
      <c r="Q237" s="33" t="s">
        <v>31</v>
      </c>
      <c r="R237" s="33" t="s">
        <v>31</v>
      </c>
      <c r="S237" s="33" t="s">
        <v>20</v>
      </c>
      <c r="T237" s="33"/>
      <c r="U237" s="34" t="s">
        <v>1342</v>
      </c>
      <c r="V237" s="35" t="s">
        <v>27</v>
      </c>
    </row>
    <row r="238" spans="1:22" ht="16.5" thickTop="1" x14ac:dyDescent="0.25">
      <c r="A238" s="18" t="s">
        <v>651</v>
      </c>
      <c r="B238" s="18" t="s">
        <v>950</v>
      </c>
      <c r="C238" s="18" t="s">
        <v>1261</v>
      </c>
      <c r="D238" s="18" t="s">
        <v>26</v>
      </c>
      <c r="E238" s="18" t="s">
        <v>27</v>
      </c>
      <c r="F238" s="18" t="s">
        <v>1286</v>
      </c>
      <c r="G238" s="18" t="s">
        <v>29</v>
      </c>
      <c r="H238" s="19">
        <v>2004</v>
      </c>
      <c r="I238" s="18" t="s">
        <v>38</v>
      </c>
      <c r="J238" s="101" t="s">
        <v>27</v>
      </c>
      <c r="K238" s="20">
        <v>975</v>
      </c>
      <c r="L238" s="21">
        <v>8912.01</v>
      </c>
      <c r="M238" s="22" t="s">
        <v>1239</v>
      </c>
      <c r="N238" s="23">
        <v>16.869860679942455</v>
      </c>
      <c r="O238" s="24">
        <v>1.7302421210197389E-2</v>
      </c>
      <c r="P238" s="25" t="s">
        <v>27</v>
      </c>
      <c r="Q238" s="25" t="s">
        <v>27</v>
      </c>
      <c r="R238" s="25" t="s">
        <v>27</v>
      </c>
      <c r="S238" s="25"/>
      <c r="T238" s="25"/>
      <c r="U238" s="26"/>
      <c r="V238" s="27"/>
    </row>
    <row r="239" spans="1:22" x14ac:dyDescent="0.25">
      <c r="A239" s="18" t="s">
        <v>651</v>
      </c>
      <c r="B239" s="18" t="s">
        <v>950</v>
      </c>
      <c r="C239" s="18" t="s">
        <v>1261</v>
      </c>
      <c r="D239" s="18" t="s">
        <v>26</v>
      </c>
      <c r="E239" s="18" t="s">
        <v>27</v>
      </c>
      <c r="F239" s="18" t="s">
        <v>1286</v>
      </c>
      <c r="G239" s="18" t="s">
        <v>32</v>
      </c>
      <c r="H239" s="19">
        <v>2011</v>
      </c>
      <c r="I239" s="18" t="s">
        <v>38</v>
      </c>
      <c r="J239" s="101" t="s">
        <v>27</v>
      </c>
      <c r="K239" s="20">
        <v>919</v>
      </c>
      <c r="L239" s="21">
        <v>8286.41</v>
      </c>
      <c r="M239" s="22" t="s">
        <v>1239</v>
      </c>
      <c r="N239" s="23">
        <v>17.561162209129826</v>
      </c>
      <c r="O239" s="24">
        <v>1.9108990434308842E-2</v>
      </c>
      <c r="P239" s="25" t="s">
        <v>27</v>
      </c>
      <c r="Q239" s="25" t="s">
        <v>27</v>
      </c>
      <c r="R239" s="25" t="s">
        <v>27</v>
      </c>
      <c r="S239" s="25"/>
      <c r="T239" s="25"/>
      <c r="U239" s="26"/>
      <c r="V239" s="27"/>
    </row>
    <row r="240" spans="1:22" ht="16.5" thickBot="1" x14ac:dyDescent="0.3">
      <c r="A240" s="28" t="str">
        <f>A239</f>
        <v>Burkina Faso</v>
      </c>
      <c r="B240" s="28" t="str">
        <f>B239</f>
        <v>Sub-Saharan Africa</v>
      </c>
      <c r="C240" s="28" t="str">
        <f>C239</f>
        <v>AfDB P-BF-DB0-012</v>
      </c>
      <c r="D240" s="28" t="s">
        <v>26</v>
      </c>
      <c r="E240" s="28" t="s">
        <v>27</v>
      </c>
      <c r="F240" s="28" t="str">
        <f>F239</f>
        <v>AfDB P-BF-DB0-012C1</v>
      </c>
      <c r="G240" s="28" t="s">
        <v>16</v>
      </c>
      <c r="H240" s="29" t="str">
        <f>H238&amp;" / "&amp;H239</f>
        <v>2004 / 2011</v>
      </c>
      <c r="I240" s="29" t="str">
        <f>I239</f>
        <v>Strengthening</v>
      </c>
      <c r="J240" s="97" t="str">
        <f>IFERROR(J239/J238,"")</f>
        <v/>
      </c>
      <c r="K240" s="32">
        <f>K239/K238</f>
        <v>0.94256410256410261</v>
      </c>
      <c r="L240" s="32">
        <f>L239/L238</f>
        <v>0.92980259223227979</v>
      </c>
      <c r="M240" s="28"/>
      <c r="N240" s="32">
        <f>N239/N238</f>
        <v>1.040978496639827</v>
      </c>
      <c r="O240" s="32">
        <f>O239/O238</f>
        <v>1.1044113538888263</v>
      </c>
      <c r="P240" s="33" t="s">
        <v>27</v>
      </c>
      <c r="Q240" s="33" t="s">
        <v>27</v>
      </c>
      <c r="R240" s="33" t="s">
        <v>27</v>
      </c>
      <c r="S240" s="33"/>
      <c r="T240" s="33"/>
      <c r="U240" s="34" t="s">
        <v>27</v>
      </c>
      <c r="V240" s="35" t="s">
        <v>27</v>
      </c>
    </row>
    <row r="241" spans="1:22" ht="16.5" thickTop="1" x14ac:dyDescent="0.25">
      <c r="A241" s="18" t="s">
        <v>117</v>
      </c>
      <c r="B241" s="18" t="s">
        <v>950</v>
      </c>
      <c r="C241" s="18" t="s">
        <v>118</v>
      </c>
      <c r="D241" s="18" t="s">
        <v>26</v>
      </c>
      <c r="E241" s="18" t="s">
        <v>27</v>
      </c>
      <c r="F241" s="18" t="s">
        <v>119</v>
      </c>
      <c r="G241" s="18" t="s">
        <v>29</v>
      </c>
      <c r="H241" s="19">
        <v>2004</v>
      </c>
      <c r="I241" s="18" t="s">
        <v>359</v>
      </c>
      <c r="J241" s="101">
        <v>9</v>
      </c>
      <c r="K241" s="20">
        <v>161.80000000000001</v>
      </c>
      <c r="L241" s="21">
        <v>29.167000000000002</v>
      </c>
      <c r="M241" s="22" t="s">
        <v>30</v>
      </c>
      <c r="N241" s="23">
        <v>29.167000000000002</v>
      </c>
      <c r="O241" s="24">
        <v>0.18026576019777502</v>
      </c>
      <c r="P241" s="25" t="str">
        <f>IF(P243="x","x","")</f>
        <v/>
      </c>
      <c r="Q241" s="25" t="str">
        <f>IF(Q243="x","x","")</f>
        <v/>
      </c>
      <c r="R241" s="25" t="str">
        <f>IF(R243="x","x","")</f>
        <v/>
      </c>
      <c r="S241" s="25" t="str">
        <f>IF(S243="x","x","")</f>
        <v/>
      </c>
      <c r="T241" s="25" t="s">
        <v>27</v>
      </c>
      <c r="U241" s="26"/>
      <c r="V241" s="27"/>
    </row>
    <row r="242" spans="1:22" x14ac:dyDescent="0.25">
      <c r="A242" s="18" t="s">
        <v>117</v>
      </c>
      <c r="B242" s="18" t="s">
        <v>950</v>
      </c>
      <c r="C242" s="18" t="s">
        <v>118</v>
      </c>
      <c r="D242" s="18" t="s">
        <v>26</v>
      </c>
      <c r="E242" s="18" t="s">
        <v>27</v>
      </c>
      <c r="F242" s="18" t="s">
        <v>119</v>
      </c>
      <c r="G242" s="18" t="s">
        <v>32</v>
      </c>
      <c r="H242" s="19">
        <v>2016</v>
      </c>
      <c r="I242" s="18" t="s">
        <v>359</v>
      </c>
      <c r="J242" s="101" t="s">
        <v>27</v>
      </c>
      <c r="K242" s="20">
        <v>161.80000000000001</v>
      </c>
      <c r="L242" s="21">
        <v>42.387999999999998</v>
      </c>
      <c r="M242" s="22" t="s">
        <v>30</v>
      </c>
      <c r="N242" s="23">
        <v>42.387999999999998</v>
      </c>
      <c r="O242" s="24">
        <v>0.26197775030902348</v>
      </c>
      <c r="P242" s="25" t="str">
        <f>IF(P243="x","x","")</f>
        <v/>
      </c>
      <c r="Q242" s="25" t="str">
        <f>IF(Q243="x","x","")</f>
        <v/>
      </c>
      <c r="R242" s="25" t="str">
        <f>IF(R243="x","x","")</f>
        <v/>
      </c>
      <c r="S242" s="25" t="str">
        <f>IF(S243="x","x","")</f>
        <v/>
      </c>
      <c r="T242" s="25" t="s">
        <v>27</v>
      </c>
      <c r="U242" s="26"/>
      <c r="V242" s="27"/>
    </row>
    <row r="243" spans="1:22" ht="16.5" thickBot="1" x14ac:dyDescent="0.3">
      <c r="A243" s="28" t="str">
        <f>A242</f>
        <v>Burundi</v>
      </c>
      <c r="B243" s="28" t="str">
        <f>B242</f>
        <v>Sub-Saharan Africa</v>
      </c>
      <c r="C243" s="28" t="str">
        <f>C242</f>
        <v>P064876</v>
      </c>
      <c r="D243" s="28" t="s">
        <v>26</v>
      </c>
      <c r="E243" s="28" t="s">
        <v>27</v>
      </c>
      <c r="F243" s="28" t="str">
        <f>F242</f>
        <v>P064876C1</v>
      </c>
      <c r="G243" s="28" t="s">
        <v>16</v>
      </c>
      <c r="H243" s="29" t="str">
        <f>H241&amp;" / "&amp;H242</f>
        <v>2004 / 2016</v>
      </c>
      <c r="I243" s="29" t="str">
        <f>I242</f>
        <v>Reconstruction</v>
      </c>
      <c r="J243" s="97" t="str">
        <f>IFERROR(J242/J241,"")</f>
        <v/>
      </c>
      <c r="K243" s="32">
        <f>K242/K241</f>
        <v>1</v>
      </c>
      <c r="L243" s="32">
        <f>L242/L241</f>
        <v>1.4532862481571638</v>
      </c>
      <c r="M243" s="28"/>
      <c r="N243" s="32">
        <f>N242/N241</f>
        <v>1.4532862481571638</v>
      </c>
      <c r="O243" s="32">
        <f>O242/O241</f>
        <v>1.453286248157164</v>
      </c>
      <c r="P243" s="33" t="str">
        <f>IF(K243&lt;50%,"x","")</f>
        <v/>
      </c>
      <c r="Q243" s="33" t="str">
        <f>IF(K243&gt;150%,"x","")</f>
        <v/>
      </c>
      <c r="R243" s="33" t="str">
        <f>IF(O243&lt;50%,"x","")</f>
        <v/>
      </c>
      <c r="S243" s="33" t="str">
        <f>IF(O243&gt;150%,"x","")</f>
        <v/>
      </c>
      <c r="T243" s="33" t="s">
        <v>27</v>
      </c>
      <c r="U243" s="34" t="s">
        <v>27</v>
      </c>
      <c r="V243" s="35" t="s">
        <v>27</v>
      </c>
    </row>
    <row r="244" spans="1:22" ht="16.5" thickTop="1" x14ac:dyDescent="0.25">
      <c r="A244" s="18" t="s">
        <v>117</v>
      </c>
      <c r="B244" s="18" t="s">
        <v>950</v>
      </c>
      <c r="C244" s="18" t="s">
        <v>118</v>
      </c>
      <c r="D244" s="18" t="s">
        <v>42</v>
      </c>
      <c r="E244" s="18" t="s">
        <v>27</v>
      </c>
      <c r="F244" s="18" t="s">
        <v>121</v>
      </c>
      <c r="G244" s="18" t="s">
        <v>29</v>
      </c>
      <c r="H244" s="19">
        <v>2004</v>
      </c>
      <c r="I244" s="18" t="s">
        <v>122</v>
      </c>
      <c r="J244" s="101">
        <v>5</v>
      </c>
      <c r="K244" s="20">
        <v>350</v>
      </c>
      <c r="L244" s="21">
        <v>9.5229999999999997</v>
      </c>
      <c r="M244" s="22" t="s">
        <v>30</v>
      </c>
      <c r="N244" s="23">
        <v>9.5229999999999997</v>
      </c>
      <c r="O244" s="24">
        <v>2.7208571428571429E-2</v>
      </c>
      <c r="P244" s="25" t="str">
        <f>IF(P246="x","x","")</f>
        <v/>
      </c>
      <c r="Q244" s="25" t="str">
        <f>IF(Q246="x","x","")</f>
        <v/>
      </c>
      <c r="R244" s="25" t="str">
        <f>IF(R246="x","x","")</f>
        <v/>
      </c>
      <c r="S244" s="25" t="str">
        <f>IF(S246="x","x","")</f>
        <v/>
      </c>
      <c r="T244" s="25" t="s">
        <v>27</v>
      </c>
      <c r="U244" s="26"/>
      <c r="V244" s="27"/>
    </row>
    <row r="245" spans="1:22" x14ac:dyDescent="0.25">
      <c r="A245" s="18" t="s">
        <v>117</v>
      </c>
      <c r="B245" s="18" t="s">
        <v>950</v>
      </c>
      <c r="C245" s="18" t="s">
        <v>118</v>
      </c>
      <c r="D245" s="18" t="s">
        <v>42</v>
      </c>
      <c r="E245" s="18" t="s">
        <v>27</v>
      </c>
      <c r="F245" s="18" t="s">
        <v>121</v>
      </c>
      <c r="G245" s="18" t="s">
        <v>32</v>
      </c>
      <c r="H245" s="19">
        <v>2016</v>
      </c>
      <c r="I245" s="18" t="s">
        <v>122</v>
      </c>
      <c r="J245" s="101" t="s">
        <v>27</v>
      </c>
      <c r="K245" s="20">
        <v>355</v>
      </c>
      <c r="L245" s="21">
        <v>8.1189999999999998</v>
      </c>
      <c r="M245" s="22" t="s">
        <v>30</v>
      </c>
      <c r="N245" s="23">
        <v>8.1189999999999998</v>
      </c>
      <c r="O245" s="24">
        <v>2.2870422535211266E-2</v>
      </c>
      <c r="P245" s="25" t="str">
        <f>IF(P246="x","x","")</f>
        <v/>
      </c>
      <c r="Q245" s="25" t="str">
        <f>IF(Q246="x","x","")</f>
        <v/>
      </c>
      <c r="R245" s="25" t="str">
        <f>IF(R246="x","x","")</f>
        <v/>
      </c>
      <c r="S245" s="25" t="str">
        <f>IF(S246="x","x","")</f>
        <v/>
      </c>
      <c r="T245" s="25" t="s">
        <v>27</v>
      </c>
      <c r="U245" s="26"/>
      <c r="V245" s="27"/>
    </row>
    <row r="246" spans="1:22" ht="16.5" thickBot="1" x14ac:dyDescent="0.3">
      <c r="A246" s="28" t="str">
        <f>A245</f>
        <v>Burundi</v>
      </c>
      <c r="B246" s="28" t="str">
        <f>B245</f>
        <v>Sub-Saharan Africa</v>
      </c>
      <c r="C246" s="28" t="str">
        <f>C245</f>
        <v>P064876</v>
      </c>
      <c r="D246" s="28" t="s">
        <v>26</v>
      </c>
      <c r="E246" s="28" t="s">
        <v>27</v>
      </c>
      <c r="F246" s="28" t="str">
        <f>F245</f>
        <v>P064876C2</v>
      </c>
      <c r="G246" s="28" t="s">
        <v>16</v>
      </c>
      <c r="H246" s="29" t="str">
        <f>H244&amp;" / "&amp;H245</f>
        <v>2004 / 2016</v>
      </c>
      <c r="I246" s="29" t="str">
        <f>I245</f>
        <v>Gravel Resurfacing</v>
      </c>
      <c r="J246" s="97" t="str">
        <f>IFERROR(J245/J244,"")</f>
        <v/>
      </c>
      <c r="K246" s="32">
        <f>K245/K244</f>
        <v>1.0142857142857142</v>
      </c>
      <c r="L246" s="32">
        <f>L245/L244</f>
        <v>0.85256746823480001</v>
      </c>
      <c r="M246" s="28"/>
      <c r="N246" s="32">
        <f>N245/N244</f>
        <v>0.85256746823480001</v>
      </c>
      <c r="O246" s="32">
        <f>O245/O244</f>
        <v>0.84055947572445056</v>
      </c>
      <c r="P246" s="33" t="str">
        <f>IF(K246&lt;50%,"x","")</f>
        <v/>
      </c>
      <c r="Q246" s="33" t="str">
        <f>IF(K246&gt;150%,"x","")</f>
        <v/>
      </c>
      <c r="R246" s="33" t="str">
        <f>IF(O246&lt;50%,"x","")</f>
        <v/>
      </c>
      <c r="S246" s="33" t="str">
        <f>IF(O246&gt;150%,"x","")</f>
        <v/>
      </c>
      <c r="T246" s="33" t="s">
        <v>27</v>
      </c>
      <c r="U246" s="34" t="s">
        <v>27</v>
      </c>
      <c r="V246" s="35" t="s">
        <v>27</v>
      </c>
    </row>
    <row r="247" spans="1:22" ht="16.5" thickTop="1" x14ac:dyDescent="0.25">
      <c r="A247" s="18" t="s">
        <v>629</v>
      </c>
      <c r="B247" s="18" t="s">
        <v>945</v>
      </c>
      <c r="C247" s="18" t="s">
        <v>630</v>
      </c>
      <c r="D247" s="18" t="s">
        <v>26</v>
      </c>
      <c r="E247" s="18" t="s">
        <v>36</v>
      </c>
      <c r="F247" s="18" t="s">
        <v>631</v>
      </c>
      <c r="G247" s="18" t="s">
        <v>29</v>
      </c>
      <c r="H247" s="19">
        <v>2003</v>
      </c>
      <c r="I247" s="18" t="s">
        <v>387</v>
      </c>
      <c r="J247" s="101">
        <v>12</v>
      </c>
      <c r="K247" s="20">
        <v>21.8</v>
      </c>
      <c r="L247" s="21">
        <v>1.78</v>
      </c>
      <c r="M247" s="22" t="s">
        <v>30</v>
      </c>
      <c r="N247" s="23">
        <v>1.78</v>
      </c>
      <c r="O247" s="24">
        <v>8.1651376146788995E-2</v>
      </c>
      <c r="P247" s="25" t="str">
        <f>IF(P249="x","x","")</f>
        <v/>
      </c>
      <c r="Q247" s="25" t="str">
        <f>IF(Q249="x","x","")</f>
        <v/>
      </c>
      <c r="R247" s="25" t="str">
        <f>IF(R249="x","x","")</f>
        <v/>
      </c>
      <c r="S247" s="25" t="str">
        <f>IF(S249="x","x","")</f>
        <v/>
      </c>
      <c r="T247" s="25" t="s">
        <v>27</v>
      </c>
      <c r="U247" s="26"/>
      <c r="V247" s="27"/>
    </row>
    <row r="248" spans="1:22" x14ac:dyDescent="0.25">
      <c r="A248" s="18" t="s">
        <v>629</v>
      </c>
      <c r="B248" s="18" t="s">
        <v>945</v>
      </c>
      <c r="C248" s="18" t="s">
        <v>630</v>
      </c>
      <c r="D248" s="18" t="s">
        <v>26</v>
      </c>
      <c r="E248" s="18" t="s">
        <v>36</v>
      </c>
      <c r="F248" s="18" t="s">
        <v>631</v>
      </c>
      <c r="G248" s="18" t="s">
        <v>32</v>
      </c>
      <c r="H248" s="19">
        <v>2012</v>
      </c>
      <c r="I248" s="18" t="s">
        <v>387</v>
      </c>
      <c r="J248" s="101" t="s">
        <v>27</v>
      </c>
      <c r="K248" s="20">
        <v>19.8</v>
      </c>
      <c r="L248" s="21">
        <v>1.61</v>
      </c>
      <c r="M248" s="22" t="s">
        <v>30</v>
      </c>
      <c r="N248" s="23">
        <v>1.61</v>
      </c>
      <c r="O248" s="24">
        <v>8.1313131313131309E-2</v>
      </c>
      <c r="P248" s="25" t="str">
        <f>IF(P249="x","x","")</f>
        <v/>
      </c>
      <c r="Q248" s="25" t="str">
        <f>IF(Q249="x","x","")</f>
        <v/>
      </c>
      <c r="R248" s="25" t="str">
        <f>IF(R249="x","x","")</f>
        <v/>
      </c>
      <c r="S248" s="25" t="str">
        <f>IF(S249="x","x","")</f>
        <v/>
      </c>
      <c r="T248" s="25" t="s">
        <v>27</v>
      </c>
      <c r="U248" s="26"/>
      <c r="V248" s="27"/>
    </row>
    <row r="249" spans="1:22" ht="16.5" thickBot="1" x14ac:dyDescent="0.3">
      <c r="A249" s="28" t="str">
        <f>A248</f>
        <v>Cambodia</v>
      </c>
      <c r="B249" s="28" t="str">
        <f>B248</f>
        <v>East Asia and Pacific</v>
      </c>
      <c r="C249" s="28" t="str">
        <f>C248</f>
        <v>P071207</v>
      </c>
      <c r="D249" s="28" t="s">
        <v>26</v>
      </c>
      <c r="E249" s="28" t="s">
        <v>27</v>
      </c>
      <c r="F249" s="28" t="str">
        <f>F248</f>
        <v>P071207C1S1</v>
      </c>
      <c r="G249" s="28" t="s">
        <v>16</v>
      </c>
      <c r="H249" s="29" t="str">
        <f>H247&amp;" / "&amp;H248</f>
        <v>2003 / 2012</v>
      </c>
      <c r="I249" s="29" t="str">
        <f>I248</f>
        <v>Upgrading</v>
      </c>
      <c r="J249" s="97" t="str">
        <f>IFERROR(J248/J247,"")</f>
        <v/>
      </c>
      <c r="K249" s="32">
        <f>K248/K247</f>
        <v>0.90825688073394495</v>
      </c>
      <c r="L249" s="32">
        <f>L248/L247</f>
        <v>0.9044943820224719</v>
      </c>
      <c r="M249" s="28"/>
      <c r="N249" s="32">
        <f>N248/N247</f>
        <v>0.9044943820224719</v>
      </c>
      <c r="O249" s="32">
        <f>O248/O247</f>
        <v>0.99585745091363054</v>
      </c>
      <c r="P249" s="33" t="str">
        <f>IF(K249&lt;50%,"x","")</f>
        <v/>
      </c>
      <c r="Q249" s="33" t="str">
        <f>IF(K249&gt;150%,"x","")</f>
        <v/>
      </c>
      <c r="R249" s="33" t="str">
        <f>IF(O249&lt;50%,"x","")</f>
        <v/>
      </c>
      <c r="S249" s="33" t="str">
        <f>IF(O249&gt;150%,"x","")</f>
        <v/>
      </c>
      <c r="T249" s="33" t="s">
        <v>27</v>
      </c>
      <c r="U249" s="34" t="s">
        <v>27</v>
      </c>
      <c r="V249" s="35" t="s">
        <v>27</v>
      </c>
    </row>
    <row r="250" spans="1:22" ht="16.5" thickTop="1" x14ac:dyDescent="0.25">
      <c r="A250" s="18" t="s">
        <v>629</v>
      </c>
      <c r="B250" s="18" t="s">
        <v>945</v>
      </c>
      <c r="C250" s="18" t="s">
        <v>630</v>
      </c>
      <c r="D250" s="18" t="s">
        <v>26</v>
      </c>
      <c r="E250" s="18" t="s">
        <v>234</v>
      </c>
      <c r="F250" s="18" t="s">
        <v>632</v>
      </c>
      <c r="G250" s="18" t="s">
        <v>29</v>
      </c>
      <c r="H250" s="19">
        <v>2003</v>
      </c>
      <c r="I250" s="18" t="s">
        <v>387</v>
      </c>
      <c r="J250" s="101">
        <v>12</v>
      </c>
      <c r="K250" s="20">
        <v>10.8</v>
      </c>
      <c r="L250" s="21">
        <v>0.39</v>
      </c>
      <c r="M250" s="22" t="s">
        <v>30</v>
      </c>
      <c r="N250" s="23">
        <v>0.39</v>
      </c>
      <c r="O250" s="24">
        <v>3.6111111111111108E-2</v>
      </c>
      <c r="P250" s="25" t="str">
        <f>IF(P252="x","x","")</f>
        <v/>
      </c>
      <c r="Q250" s="25" t="str">
        <f>IF(Q252="x","x","")</f>
        <v/>
      </c>
      <c r="R250" s="25" t="str">
        <f>IF(R252="x","x","")</f>
        <v/>
      </c>
      <c r="S250" s="25" t="str">
        <f>IF(S252="x","x","")</f>
        <v/>
      </c>
      <c r="T250" s="25" t="s">
        <v>27</v>
      </c>
      <c r="U250" s="26"/>
      <c r="V250" s="27"/>
    </row>
    <row r="251" spans="1:22" x14ac:dyDescent="0.25">
      <c r="A251" s="18" t="s">
        <v>629</v>
      </c>
      <c r="B251" s="18" t="s">
        <v>945</v>
      </c>
      <c r="C251" s="18" t="s">
        <v>630</v>
      </c>
      <c r="D251" s="18" t="s">
        <v>26</v>
      </c>
      <c r="E251" s="18" t="s">
        <v>234</v>
      </c>
      <c r="F251" s="18" t="s">
        <v>632</v>
      </c>
      <c r="G251" s="18" t="s">
        <v>32</v>
      </c>
      <c r="H251" s="19">
        <v>2012</v>
      </c>
      <c r="I251" s="18" t="s">
        <v>387</v>
      </c>
      <c r="J251" s="101" t="s">
        <v>27</v>
      </c>
      <c r="K251" s="20">
        <v>8</v>
      </c>
      <c r="L251" s="21">
        <v>0.42</v>
      </c>
      <c r="M251" s="22" t="s">
        <v>30</v>
      </c>
      <c r="N251" s="23">
        <v>0.42</v>
      </c>
      <c r="O251" s="24">
        <v>5.2499999999999998E-2</v>
      </c>
      <c r="P251" s="25" t="str">
        <f>IF(P252="x","x","")</f>
        <v/>
      </c>
      <c r="Q251" s="25" t="str">
        <f>IF(Q252="x","x","")</f>
        <v/>
      </c>
      <c r="R251" s="25" t="str">
        <f>IF(R252="x","x","")</f>
        <v/>
      </c>
      <c r="S251" s="25" t="str">
        <f>IF(S252="x","x","")</f>
        <v/>
      </c>
      <c r="T251" s="25" t="s">
        <v>27</v>
      </c>
      <c r="U251" s="26"/>
      <c r="V251" s="27"/>
    </row>
    <row r="252" spans="1:22" ht="16.5" thickBot="1" x14ac:dyDescent="0.3">
      <c r="A252" s="28" t="str">
        <f>A251</f>
        <v>Cambodia</v>
      </c>
      <c r="B252" s="28" t="str">
        <f>B251</f>
        <v>East Asia and Pacific</v>
      </c>
      <c r="C252" s="28" t="str">
        <f>C251</f>
        <v>P071207</v>
      </c>
      <c r="D252" s="28" t="s">
        <v>26</v>
      </c>
      <c r="E252" s="28" t="s">
        <v>27</v>
      </c>
      <c r="F252" s="28" t="str">
        <f>F251</f>
        <v>P071207C1S10</v>
      </c>
      <c r="G252" s="28" t="s">
        <v>16</v>
      </c>
      <c r="H252" s="29" t="str">
        <f>H250&amp;" / "&amp;H251</f>
        <v>2003 / 2012</v>
      </c>
      <c r="I252" s="29" t="str">
        <f>I251</f>
        <v>Upgrading</v>
      </c>
      <c r="J252" s="97" t="str">
        <f>IFERROR(J251/J250,"")</f>
        <v/>
      </c>
      <c r="K252" s="32">
        <f>K251/K250</f>
        <v>0.7407407407407407</v>
      </c>
      <c r="L252" s="32">
        <f>L251/L250</f>
        <v>1.0769230769230769</v>
      </c>
      <c r="M252" s="28"/>
      <c r="N252" s="32">
        <f>N251/N250</f>
        <v>1.0769230769230769</v>
      </c>
      <c r="O252" s="32">
        <f>O251/O250</f>
        <v>1.453846153846154</v>
      </c>
      <c r="P252" s="33" t="str">
        <f>IF(K252&lt;50%,"x","")</f>
        <v/>
      </c>
      <c r="Q252" s="33" t="str">
        <f>IF(K252&gt;150%,"x","")</f>
        <v/>
      </c>
      <c r="R252" s="33" t="str">
        <f>IF(O252&lt;50%,"x","")</f>
        <v/>
      </c>
      <c r="S252" s="33" t="str">
        <f>IF(O252&gt;150%,"x","")</f>
        <v/>
      </c>
      <c r="T252" s="33" t="s">
        <v>27</v>
      </c>
      <c r="U252" s="34" t="s">
        <v>27</v>
      </c>
      <c r="V252" s="35" t="s">
        <v>27</v>
      </c>
    </row>
    <row r="253" spans="1:22" ht="16.5" thickTop="1" x14ac:dyDescent="0.25">
      <c r="A253" s="18" t="s">
        <v>629</v>
      </c>
      <c r="B253" s="18" t="s">
        <v>945</v>
      </c>
      <c r="C253" s="18" t="s">
        <v>630</v>
      </c>
      <c r="D253" s="18" t="s">
        <v>26</v>
      </c>
      <c r="E253" s="18" t="s">
        <v>40</v>
      </c>
      <c r="F253" s="18" t="s">
        <v>633</v>
      </c>
      <c r="G253" s="18" t="s">
        <v>29</v>
      </c>
      <c r="H253" s="19">
        <v>2003</v>
      </c>
      <c r="I253" s="18" t="s">
        <v>387</v>
      </c>
      <c r="J253" s="101">
        <v>12</v>
      </c>
      <c r="K253" s="20">
        <v>11.8</v>
      </c>
      <c r="L253" s="21">
        <v>0.92</v>
      </c>
      <c r="M253" s="22" t="s">
        <v>30</v>
      </c>
      <c r="N253" s="23">
        <v>0.92</v>
      </c>
      <c r="O253" s="24">
        <v>7.7966101694915246E-2</v>
      </c>
      <c r="P253" s="25" t="str">
        <f>IF(P255="x","x","")</f>
        <v/>
      </c>
      <c r="Q253" s="25" t="str">
        <f>IF(Q255="x","x","")</f>
        <v/>
      </c>
      <c r="R253" s="25" t="str">
        <f>IF(R255="x","x","")</f>
        <v/>
      </c>
      <c r="S253" s="25" t="str">
        <f>IF(S255="x","x","")</f>
        <v/>
      </c>
      <c r="T253" s="25" t="s">
        <v>27</v>
      </c>
      <c r="U253" s="26"/>
      <c r="V253" s="27"/>
    </row>
    <row r="254" spans="1:22" x14ac:dyDescent="0.25">
      <c r="A254" s="18" t="s">
        <v>629</v>
      </c>
      <c r="B254" s="18" t="s">
        <v>945</v>
      </c>
      <c r="C254" s="18" t="s">
        <v>630</v>
      </c>
      <c r="D254" s="18" t="s">
        <v>26</v>
      </c>
      <c r="E254" s="18" t="s">
        <v>40</v>
      </c>
      <c r="F254" s="18" t="s">
        <v>633</v>
      </c>
      <c r="G254" s="18" t="s">
        <v>32</v>
      </c>
      <c r="H254" s="19">
        <v>2012</v>
      </c>
      <c r="I254" s="18" t="s">
        <v>387</v>
      </c>
      <c r="J254" s="101" t="s">
        <v>27</v>
      </c>
      <c r="K254" s="20">
        <v>12</v>
      </c>
      <c r="L254" s="21">
        <v>1.29</v>
      </c>
      <c r="M254" s="22" t="s">
        <v>30</v>
      </c>
      <c r="N254" s="23">
        <v>1.29</v>
      </c>
      <c r="O254" s="24">
        <v>0.1075</v>
      </c>
      <c r="P254" s="25" t="str">
        <f>IF(P255="x","x","")</f>
        <v/>
      </c>
      <c r="Q254" s="25" t="str">
        <f>IF(Q255="x","x","")</f>
        <v/>
      </c>
      <c r="R254" s="25" t="str">
        <f>IF(R255="x","x","")</f>
        <v/>
      </c>
      <c r="S254" s="25" t="str">
        <f>IF(S255="x","x","")</f>
        <v/>
      </c>
      <c r="T254" s="25" t="s">
        <v>27</v>
      </c>
      <c r="U254" s="26"/>
      <c r="V254" s="27"/>
    </row>
    <row r="255" spans="1:22" ht="16.5" thickBot="1" x14ac:dyDescent="0.3">
      <c r="A255" s="28" t="str">
        <f>A254</f>
        <v>Cambodia</v>
      </c>
      <c r="B255" s="28" t="str">
        <f>B254</f>
        <v>East Asia and Pacific</v>
      </c>
      <c r="C255" s="28" t="str">
        <f>C254</f>
        <v>P071207</v>
      </c>
      <c r="D255" s="28" t="s">
        <v>26</v>
      </c>
      <c r="E255" s="28" t="s">
        <v>27</v>
      </c>
      <c r="F255" s="28" t="str">
        <f>F254</f>
        <v>P071207C1S2</v>
      </c>
      <c r="G255" s="28" t="s">
        <v>16</v>
      </c>
      <c r="H255" s="29" t="str">
        <f>H253&amp;" / "&amp;H254</f>
        <v>2003 / 2012</v>
      </c>
      <c r="I255" s="29" t="str">
        <f>I254</f>
        <v>Upgrading</v>
      </c>
      <c r="J255" s="97" t="str">
        <f>IFERROR(J254/J253,"")</f>
        <v/>
      </c>
      <c r="K255" s="32">
        <f>K254/K253</f>
        <v>1.0169491525423728</v>
      </c>
      <c r="L255" s="32">
        <f>L254/L253</f>
        <v>1.4021739130434783</v>
      </c>
      <c r="M255" s="28"/>
      <c r="N255" s="32">
        <f>N254/N253</f>
        <v>1.4021739130434783</v>
      </c>
      <c r="O255" s="32">
        <f>O254/O253</f>
        <v>1.3788043478260872</v>
      </c>
      <c r="P255" s="33" t="str">
        <f>IF(K255&lt;50%,"x","")</f>
        <v/>
      </c>
      <c r="Q255" s="33" t="str">
        <f>IF(K255&gt;150%,"x","")</f>
        <v/>
      </c>
      <c r="R255" s="33" t="str">
        <f>IF(O255&lt;50%,"x","")</f>
        <v/>
      </c>
      <c r="S255" s="33" t="str">
        <f>IF(O255&gt;150%,"x","")</f>
        <v/>
      </c>
      <c r="T255" s="33" t="s">
        <v>27</v>
      </c>
      <c r="U255" s="34" t="s">
        <v>27</v>
      </c>
      <c r="V255" s="35" t="s">
        <v>27</v>
      </c>
    </row>
    <row r="256" spans="1:22" ht="16.5" thickTop="1" x14ac:dyDescent="0.25">
      <c r="A256" s="18" t="s">
        <v>629</v>
      </c>
      <c r="B256" s="18" t="s">
        <v>945</v>
      </c>
      <c r="C256" s="18" t="s">
        <v>630</v>
      </c>
      <c r="D256" s="18" t="s">
        <v>26</v>
      </c>
      <c r="E256" s="18" t="s">
        <v>69</v>
      </c>
      <c r="F256" s="18" t="s">
        <v>634</v>
      </c>
      <c r="G256" s="18" t="s">
        <v>29</v>
      </c>
      <c r="H256" s="19">
        <v>2003</v>
      </c>
      <c r="I256" s="18" t="s">
        <v>387</v>
      </c>
      <c r="J256" s="101">
        <v>12</v>
      </c>
      <c r="K256" s="20">
        <v>8.9</v>
      </c>
      <c r="L256" s="21">
        <v>0.59</v>
      </c>
      <c r="M256" s="22" t="s">
        <v>30</v>
      </c>
      <c r="N256" s="23">
        <v>0.59</v>
      </c>
      <c r="O256" s="24">
        <v>6.6292134831460667E-2</v>
      </c>
      <c r="P256" s="25" t="str">
        <f>IF(P258="x","x","")</f>
        <v/>
      </c>
      <c r="Q256" s="25" t="str">
        <f>IF(Q258="x","x","")</f>
        <v>x</v>
      </c>
      <c r="R256" s="25" t="str">
        <f>IF(R258="x","x","")</f>
        <v/>
      </c>
      <c r="S256" s="25" t="str">
        <f>IF(S258="x","x","")</f>
        <v/>
      </c>
      <c r="T256" s="25" t="s">
        <v>31</v>
      </c>
      <c r="U256" s="26"/>
      <c r="V256" s="27"/>
    </row>
    <row r="257" spans="1:22" x14ac:dyDescent="0.25">
      <c r="A257" s="18" t="s">
        <v>629</v>
      </c>
      <c r="B257" s="18" t="s">
        <v>945</v>
      </c>
      <c r="C257" s="18" t="s">
        <v>630</v>
      </c>
      <c r="D257" s="18" t="s">
        <v>26</v>
      </c>
      <c r="E257" s="18" t="s">
        <v>69</v>
      </c>
      <c r="F257" s="18" t="s">
        <v>634</v>
      </c>
      <c r="G257" s="18" t="s">
        <v>32</v>
      </c>
      <c r="H257" s="19">
        <v>2012</v>
      </c>
      <c r="I257" s="18" t="s">
        <v>387</v>
      </c>
      <c r="J257" s="101" t="s">
        <v>27</v>
      </c>
      <c r="K257" s="20">
        <v>13.5</v>
      </c>
      <c r="L257" s="21">
        <v>0.95</v>
      </c>
      <c r="M257" s="22" t="s">
        <v>30</v>
      </c>
      <c r="N257" s="23">
        <v>0.95</v>
      </c>
      <c r="O257" s="24">
        <v>7.0370370370370361E-2</v>
      </c>
      <c r="P257" s="25" t="str">
        <f>IF(P258="x","x","")</f>
        <v/>
      </c>
      <c r="Q257" s="25" t="str">
        <f>IF(Q258="x","x","")</f>
        <v>x</v>
      </c>
      <c r="R257" s="25" t="str">
        <f>IF(R258="x","x","")</f>
        <v/>
      </c>
      <c r="S257" s="25" t="str">
        <f>IF(S258="x","x","")</f>
        <v/>
      </c>
      <c r="T257" s="25" t="s">
        <v>31</v>
      </c>
      <c r="U257" s="26"/>
      <c r="V257" s="27"/>
    </row>
    <row r="258" spans="1:22" ht="63.75" thickBot="1" x14ac:dyDescent="0.3">
      <c r="A258" s="28" t="str">
        <f>A257</f>
        <v>Cambodia</v>
      </c>
      <c r="B258" s="28" t="str">
        <f>B257</f>
        <v>East Asia and Pacific</v>
      </c>
      <c r="C258" s="28" t="str">
        <f>C257</f>
        <v>P071207</v>
      </c>
      <c r="D258" s="28" t="s">
        <v>26</v>
      </c>
      <c r="E258" s="28" t="s">
        <v>27</v>
      </c>
      <c r="F258" s="28" t="str">
        <f>F257</f>
        <v>P071207C1S3</v>
      </c>
      <c r="G258" s="28" t="s">
        <v>16</v>
      </c>
      <c r="H258" s="29" t="str">
        <f>H256&amp;" / "&amp;H257</f>
        <v>2003 / 2012</v>
      </c>
      <c r="I258" s="29" t="str">
        <f>I257</f>
        <v>Upgrading</v>
      </c>
      <c r="J258" s="97" t="str">
        <f>IFERROR(J257/J256,"")</f>
        <v/>
      </c>
      <c r="K258" s="32">
        <f>K257/K256</f>
        <v>1.5168539325842696</v>
      </c>
      <c r="L258" s="32">
        <f>L257/L256</f>
        <v>1.6101694915254237</v>
      </c>
      <c r="M258" s="28"/>
      <c r="N258" s="32">
        <f>N257/N256</f>
        <v>1.6101694915254237</v>
      </c>
      <c r="O258" s="32">
        <f>O257/O256</f>
        <v>1.061519146264909</v>
      </c>
      <c r="P258" s="33" t="str">
        <f>IF(K258&lt;50%,"x","")</f>
        <v/>
      </c>
      <c r="Q258" s="33" t="str">
        <f>IF(K258&gt;150%,"x","")</f>
        <v>x</v>
      </c>
      <c r="R258" s="33" t="str">
        <f>IF(O258&lt;50%,"x","")</f>
        <v/>
      </c>
      <c r="S258" s="33" t="str">
        <f>IF(O258&gt;150%,"x","")</f>
        <v/>
      </c>
      <c r="T258" s="33" t="s">
        <v>31</v>
      </c>
      <c r="U258" s="34" t="s">
        <v>1025</v>
      </c>
      <c r="V258" s="35" t="s">
        <v>1026</v>
      </c>
    </row>
    <row r="259" spans="1:22" ht="16.5" thickTop="1" x14ac:dyDescent="0.25">
      <c r="A259" s="18" t="s">
        <v>629</v>
      </c>
      <c r="B259" s="18" t="s">
        <v>945</v>
      </c>
      <c r="C259" s="18" t="s">
        <v>630</v>
      </c>
      <c r="D259" s="18" t="s">
        <v>26</v>
      </c>
      <c r="E259" s="18" t="s">
        <v>71</v>
      </c>
      <c r="F259" s="18" t="s">
        <v>635</v>
      </c>
      <c r="G259" s="18" t="s">
        <v>29</v>
      </c>
      <c r="H259" s="19">
        <v>2003</v>
      </c>
      <c r="I259" s="18" t="s">
        <v>387</v>
      </c>
      <c r="J259" s="101">
        <v>12</v>
      </c>
      <c r="K259" s="20">
        <v>18.2</v>
      </c>
      <c r="L259" s="21">
        <v>1.3</v>
      </c>
      <c r="M259" s="22" t="s">
        <v>30</v>
      </c>
      <c r="N259" s="23">
        <v>1.3</v>
      </c>
      <c r="O259" s="24">
        <v>7.1428571428571438E-2</v>
      </c>
      <c r="P259" s="25" t="str">
        <f>IF(P261="x","x","")</f>
        <v/>
      </c>
      <c r="Q259" s="25" t="str">
        <f>IF(Q261="x","x","")</f>
        <v/>
      </c>
      <c r="R259" s="25" t="str">
        <f>IF(R261="x","x","")</f>
        <v/>
      </c>
      <c r="S259" s="25" t="str">
        <f>IF(S261="x","x","")</f>
        <v/>
      </c>
      <c r="T259" s="25" t="s">
        <v>27</v>
      </c>
      <c r="U259" s="26"/>
      <c r="V259" s="27"/>
    </row>
    <row r="260" spans="1:22" x14ac:dyDescent="0.25">
      <c r="A260" s="18" t="s">
        <v>629</v>
      </c>
      <c r="B260" s="18" t="s">
        <v>945</v>
      </c>
      <c r="C260" s="18" t="s">
        <v>630</v>
      </c>
      <c r="D260" s="18" t="s">
        <v>26</v>
      </c>
      <c r="E260" s="18" t="s">
        <v>71</v>
      </c>
      <c r="F260" s="18" t="s">
        <v>635</v>
      </c>
      <c r="G260" s="18" t="s">
        <v>32</v>
      </c>
      <c r="H260" s="19">
        <v>2012</v>
      </c>
      <c r="I260" s="18" t="s">
        <v>387</v>
      </c>
      <c r="J260" s="101" t="s">
        <v>27</v>
      </c>
      <c r="K260" s="20">
        <v>15.2</v>
      </c>
      <c r="L260" s="21">
        <v>1.06</v>
      </c>
      <c r="M260" s="22" t="s">
        <v>30</v>
      </c>
      <c r="N260" s="23">
        <v>1.06</v>
      </c>
      <c r="O260" s="24">
        <v>6.9736842105263167E-2</v>
      </c>
      <c r="P260" s="25" t="str">
        <f>IF(P261="x","x","")</f>
        <v/>
      </c>
      <c r="Q260" s="25" t="str">
        <f>IF(Q261="x","x","")</f>
        <v/>
      </c>
      <c r="R260" s="25" t="str">
        <f>IF(R261="x","x","")</f>
        <v/>
      </c>
      <c r="S260" s="25" t="str">
        <f>IF(S261="x","x","")</f>
        <v/>
      </c>
      <c r="T260" s="25" t="s">
        <v>27</v>
      </c>
      <c r="U260" s="26"/>
      <c r="V260" s="27"/>
    </row>
    <row r="261" spans="1:22" ht="16.5" thickBot="1" x14ac:dyDescent="0.3">
      <c r="A261" s="28" t="str">
        <f>A260</f>
        <v>Cambodia</v>
      </c>
      <c r="B261" s="28" t="str">
        <f>B260</f>
        <v>East Asia and Pacific</v>
      </c>
      <c r="C261" s="28" t="str">
        <f>C260</f>
        <v>P071207</v>
      </c>
      <c r="D261" s="28" t="s">
        <v>26</v>
      </c>
      <c r="E261" s="28" t="s">
        <v>27</v>
      </c>
      <c r="F261" s="28" t="str">
        <f>F260</f>
        <v>P071207C1S4</v>
      </c>
      <c r="G261" s="28" t="s">
        <v>16</v>
      </c>
      <c r="H261" s="29" t="str">
        <f>H259&amp;" / "&amp;H260</f>
        <v>2003 / 2012</v>
      </c>
      <c r="I261" s="29" t="str">
        <f>I260</f>
        <v>Upgrading</v>
      </c>
      <c r="J261" s="97" t="str">
        <f>IFERROR(J260/J259,"")</f>
        <v/>
      </c>
      <c r="K261" s="32">
        <f>K260/K259</f>
        <v>0.8351648351648352</v>
      </c>
      <c r="L261" s="32">
        <f>L260/L259</f>
        <v>0.81538461538461537</v>
      </c>
      <c r="M261" s="28"/>
      <c r="N261" s="32">
        <f>N260/N259</f>
        <v>0.81538461538461537</v>
      </c>
      <c r="O261" s="32">
        <f>O260/O259</f>
        <v>0.97631578947368425</v>
      </c>
      <c r="P261" s="33" t="str">
        <f>IF(K261&lt;50%,"x","")</f>
        <v/>
      </c>
      <c r="Q261" s="33" t="str">
        <f>IF(K261&gt;150%,"x","")</f>
        <v/>
      </c>
      <c r="R261" s="33" t="str">
        <f>IF(O261&lt;50%,"x","")</f>
        <v/>
      </c>
      <c r="S261" s="33" t="str">
        <f>IF(O261&gt;150%,"x","")</f>
        <v/>
      </c>
      <c r="T261" s="33" t="s">
        <v>27</v>
      </c>
      <c r="U261" s="34" t="s">
        <v>27</v>
      </c>
      <c r="V261" s="35" t="s">
        <v>27</v>
      </c>
    </row>
    <row r="262" spans="1:22" ht="16.5" thickTop="1" x14ac:dyDescent="0.25">
      <c r="A262" s="18" t="s">
        <v>629</v>
      </c>
      <c r="B262" s="18" t="s">
        <v>945</v>
      </c>
      <c r="C262" s="18" t="s">
        <v>630</v>
      </c>
      <c r="D262" s="18" t="s">
        <v>26</v>
      </c>
      <c r="E262" s="18" t="s">
        <v>141</v>
      </c>
      <c r="F262" s="18" t="s">
        <v>636</v>
      </c>
      <c r="G262" s="18" t="s">
        <v>29</v>
      </c>
      <c r="H262" s="19">
        <v>2003</v>
      </c>
      <c r="I262" s="18" t="s">
        <v>387</v>
      </c>
      <c r="J262" s="101">
        <v>12</v>
      </c>
      <c r="K262" s="20">
        <v>15.3</v>
      </c>
      <c r="L262" s="21">
        <v>1.23</v>
      </c>
      <c r="M262" s="22" t="s">
        <v>30</v>
      </c>
      <c r="N262" s="23">
        <v>1.23</v>
      </c>
      <c r="O262" s="24">
        <v>8.039215686274509E-2</v>
      </c>
      <c r="P262" s="25" t="str">
        <f>IF(P264="x","x","")</f>
        <v/>
      </c>
      <c r="Q262" s="25" t="str">
        <f>IF(Q264="x","x","")</f>
        <v/>
      </c>
      <c r="R262" s="25" t="str">
        <f>IF(R264="x","x","")</f>
        <v/>
      </c>
      <c r="S262" s="25" t="str">
        <f>IF(S264="x","x","")</f>
        <v/>
      </c>
      <c r="T262" s="25" t="s">
        <v>27</v>
      </c>
      <c r="U262" s="26"/>
      <c r="V262" s="27"/>
    </row>
    <row r="263" spans="1:22" x14ac:dyDescent="0.25">
      <c r="A263" s="18" t="s">
        <v>629</v>
      </c>
      <c r="B263" s="18" t="s">
        <v>945</v>
      </c>
      <c r="C263" s="18" t="s">
        <v>630</v>
      </c>
      <c r="D263" s="18" t="s">
        <v>26</v>
      </c>
      <c r="E263" s="18" t="s">
        <v>141</v>
      </c>
      <c r="F263" s="18" t="s">
        <v>636</v>
      </c>
      <c r="G263" s="18" t="s">
        <v>32</v>
      </c>
      <c r="H263" s="19">
        <v>2012</v>
      </c>
      <c r="I263" s="18" t="s">
        <v>387</v>
      </c>
      <c r="J263" s="101" t="s">
        <v>27</v>
      </c>
      <c r="K263" s="20">
        <v>15.5</v>
      </c>
      <c r="L263" s="21">
        <v>1.31</v>
      </c>
      <c r="M263" s="22" t="s">
        <v>30</v>
      </c>
      <c r="N263" s="23">
        <v>1.31</v>
      </c>
      <c r="O263" s="24">
        <v>8.4516129032258067E-2</v>
      </c>
      <c r="P263" s="25" t="str">
        <f>IF(P264="x","x","")</f>
        <v/>
      </c>
      <c r="Q263" s="25" t="str">
        <f>IF(Q264="x","x","")</f>
        <v/>
      </c>
      <c r="R263" s="25" t="str">
        <f>IF(R264="x","x","")</f>
        <v/>
      </c>
      <c r="S263" s="25" t="str">
        <f>IF(S264="x","x","")</f>
        <v/>
      </c>
      <c r="T263" s="25" t="s">
        <v>27</v>
      </c>
      <c r="U263" s="26"/>
      <c r="V263" s="27"/>
    </row>
    <row r="264" spans="1:22" ht="16.5" thickBot="1" x14ac:dyDescent="0.3">
      <c r="A264" s="28" t="str">
        <f>A263</f>
        <v>Cambodia</v>
      </c>
      <c r="B264" s="28" t="str">
        <f>B263</f>
        <v>East Asia and Pacific</v>
      </c>
      <c r="C264" s="28" t="str">
        <f>C263</f>
        <v>P071207</v>
      </c>
      <c r="D264" s="28" t="s">
        <v>26</v>
      </c>
      <c r="E264" s="28" t="s">
        <v>27</v>
      </c>
      <c r="F264" s="28" t="str">
        <f>F263</f>
        <v>P071207C1S5</v>
      </c>
      <c r="G264" s="28" t="s">
        <v>16</v>
      </c>
      <c r="H264" s="29" t="str">
        <f>H262&amp;" / "&amp;H263</f>
        <v>2003 / 2012</v>
      </c>
      <c r="I264" s="29" t="str">
        <f>I263</f>
        <v>Upgrading</v>
      </c>
      <c r="J264" s="97" t="str">
        <f>IFERROR(J263/J262,"")</f>
        <v/>
      </c>
      <c r="K264" s="32">
        <f>K263/K262</f>
        <v>1.0130718954248366</v>
      </c>
      <c r="L264" s="32">
        <f>L263/L262</f>
        <v>1.0650406504065042</v>
      </c>
      <c r="M264" s="28"/>
      <c r="N264" s="32">
        <f>N263/N262</f>
        <v>1.0650406504065042</v>
      </c>
      <c r="O264" s="32">
        <f>O263/O262</f>
        <v>1.051298190401259</v>
      </c>
      <c r="P264" s="33" t="str">
        <f>IF(K264&lt;50%,"x","")</f>
        <v/>
      </c>
      <c r="Q264" s="33" t="str">
        <f>IF(K264&gt;150%,"x","")</f>
        <v/>
      </c>
      <c r="R264" s="33" t="str">
        <f>IF(O264&lt;50%,"x","")</f>
        <v/>
      </c>
      <c r="S264" s="33" t="str">
        <f>IF(O264&gt;150%,"x","")</f>
        <v/>
      </c>
      <c r="T264" s="33" t="s">
        <v>27</v>
      </c>
      <c r="U264" s="34" t="s">
        <v>27</v>
      </c>
      <c r="V264" s="35" t="s">
        <v>27</v>
      </c>
    </row>
    <row r="265" spans="1:22" ht="16.5" thickTop="1" x14ac:dyDescent="0.25">
      <c r="A265" s="18" t="s">
        <v>629</v>
      </c>
      <c r="B265" s="18" t="s">
        <v>945</v>
      </c>
      <c r="C265" s="18" t="s">
        <v>630</v>
      </c>
      <c r="D265" s="18" t="s">
        <v>26</v>
      </c>
      <c r="E265" s="18" t="s">
        <v>143</v>
      </c>
      <c r="F265" s="18" t="s">
        <v>637</v>
      </c>
      <c r="G265" s="18" t="s">
        <v>29</v>
      </c>
      <c r="H265" s="19">
        <v>2003</v>
      </c>
      <c r="I265" s="18" t="s">
        <v>387</v>
      </c>
      <c r="J265" s="101">
        <v>12</v>
      </c>
      <c r="K265" s="20">
        <v>18.399999999999999</v>
      </c>
      <c r="L265" s="21">
        <v>1.0900000000000001</v>
      </c>
      <c r="M265" s="22" t="s">
        <v>30</v>
      </c>
      <c r="N265" s="23">
        <v>1.0900000000000001</v>
      </c>
      <c r="O265" s="24">
        <v>5.9239130434782621E-2</v>
      </c>
      <c r="P265" s="25" t="str">
        <f>IF(P267="x","x","")</f>
        <v/>
      </c>
      <c r="Q265" s="25" t="str">
        <f>IF(Q267="x","x","")</f>
        <v/>
      </c>
      <c r="R265" s="25" t="str">
        <f>IF(R267="x","x","")</f>
        <v/>
      </c>
      <c r="S265" s="25" t="str">
        <f>IF(S267="x","x","")</f>
        <v/>
      </c>
      <c r="T265" s="25" t="s">
        <v>27</v>
      </c>
      <c r="U265" s="26"/>
      <c r="V265" s="27"/>
    </row>
    <row r="266" spans="1:22" x14ac:dyDescent="0.25">
      <c r="A266" s="18" t="s">
        <v>629</v>
      </c>
      <c r="B266" s="18" t="s">
        <v>945</v>
      </c>
      <c r="C266" s="18" t="s">
        <v>630</v>
      </c>
      <c r="D266" s="18" t="s">
        <v>26</v>
      </c>
      <c r="E266" s="18" t="s">
        <v>143</v>
      </c>
      <c r="F266" s="18" t="s">
        <v>637</v>
      </c>
      <c r="G266" s="18" t="s">
        <v>32</v>
      </c>
      <c r="H266" s="19">
        <v>2012</v>
      </c>
      <c r="I266" s="18" t="s">
        <v>387</v>
      </c>
      <c r="J266" s="101" t="s">
        <v>27</v>
      </c>
      <c r="K266" s="20">
        <v>18.5</v>
      </c>
      <c r="L266" s="21">
        <v>1.49</v>
      </c>
      <c r="M266" s="22" t="s">
        <v>30</v>
      </c>
      <c r="N266" s="23">
        <v>1.49</v>
      </c>
      <c r="O266" s="24">
        <v>8.0540540540540537E-2</v>
      </c>
      <c r="P266" s="25" t="str">
        <f>IF(P267="x","x","")</f>
        <v/>
      </c>
      <c r="Q266" s="25" t="str">
        <f>IF(Q267="x","x","")</f>
        <v/>
      </c>
      <c r="R266" s="25" t="str">
        <f>IF(R267="x","x","")</f>
        <v/>
      </c>
      <c r="S266" s="25" t="str">
        <f>IF(S267="x","x","")</f>
        <v/>
      </c>
      <c r="T266" s="25" t="s">
        <v>27</v>
      </c>
      <c r="U266" s="26"/>
      <c r="V266" s="27"/>
    </row>
    <row r="267" spans="1:22" ht="16.5" thickBot="1" x14ac:dyDescent="0.3">
      <c r="A267" s="28" t="str">
        <f>A266</f>
        <v>Cambodia</v>
      </c>
      <c r="B267" s="28" t="str">
        <f>B266</f>
        <v>East Asia and Pacific</v>
      </c>
      <c r="C267" s="28" t="str">
        <f>C266</f>
        <v>P071207</v>
      </c>
      <c r="D267" s="28" t="s">
        <v>26</v>
      </c>
      <c r="E267" s="28" t="s">
        <v>27</v>
      </c>
      <c r="F267" s="28" t="str">
        <f>F266</f>
        <v>P071207C1S6</v>
      </c>
      <c r="G267" s="28" t="s">
        <v>16</v>
      </c>
      <c r="H267" s="29" t="str">
        <f>H265&amp;" / "&amp;H266</f>
        <v>2003 / 2012</v>
      </c>
      <c r="I267" s="29" t="str">
        <f>I266</f>
        <v>Upgrading</v>
      </c>
      <c r="J267" s="97" t="str">
        <f>IFERROR(J266/J265,"")</f>
        <v/>
      </c>
      <c r="K267" s="32">
        <f>K266/K265</f>
        <v>1.0054347826086958</v>
      </c>
      <c r="L267" s="32">
        <f>L266/L265</f>
        <v>1.36697247706422</v>
      </c>
      <c r="M267" s="28"/>
      <c r="N267" s="32">
        <f>N266/N265</f>
        <v>1.36697247706422</v>
      </c>
      <c r="O267" s="32">
        <f>O266/O265</f>
        <v>1.3595834366476565</v>
      </c>
      <c r="P267" s="33" t="str">
        <f>IF(K267&lt;50%,"x","")</f>
        <v/>
      </c>
      <c r="Q267" s="33" t="str">
        <f>IF(K267&gt;150%,"x","")</f>
        <v/>
      </c>
      <c r="R267" s="33" t="str">
        <f>IF(O267&lt;50%,"x","")</f>
        <v/>
      </c>
      <c r="S267" s="33" t="str">
        <f>IF(O267&gt;150%,"x","")</f>
        <v/>
      </c>
      <c r="T267" s="33" t="s">
        <v>27</v>
      </c>
      <c r="U267" s="34" t="s">
        <v>27</v>
      </c>
      <c r="V267" s="35" t="s">
        <v>27</v>
      </c>
    </row>
    <row r="268" spans="1:22" ht="16.5" thickTop="1" x14ac:dyDescent="0.25">
      <c r="A268" s="18" t="s">
        <v>629</v>
      </c>
      <c r="B268" s="18" t="s">
        <v>945</v>
      </c>
      <c r="C268" s="18" t="s">
        <v>630</v>
      </c>
      <c r="D268" s="18" t="s">
        <v>26</v>
      </c>
      <c r="E268" s="18" t="s">
        <v>245</v>
      </c>
      <c r="F268" s="18" t="s">
        <v>638</v>
      </c>
      <c r="G268" s="18" t="s">
        <v>29</v>
      </c>
      <c r="H268" s="19">
        <v>2003</v>
      </c>
      <c r="I268" s="18" t="s">
        <v>387</v>
      </c>
      <c r="J268" s="101">
        <v>12</v>
      </c>
      <c r="K268" s="20">
        <v>17.8</v>
      </c>
      <c r="L268" s="21">
        <v>0.57999999999999996</v>
      </c>
      <c r="M268" s="22" t="s">
        <v>30</v>
      </c>
      <c r="N268" s="23">
        <v>0.57999999999999996</v>
      </c>
      <c r="O268" s="24">
        <v>3.2584269662921342E-2</v>
      </c>
      <c r="P268" s="25" t="str">
        <f>IF(P270="x","x","")</f>
        <v/>
      </c>
      <c r="Q268" s="25" t="str">
        <f>IF(Q270="x","x","")</f>
        <v>x</v>
      </c>
      <c r="R268" s="25" t="str">
        <f>IF(R270="x","x","")</f>
        <v/>
      </c>
      <c r="S268" s="25" t="str">
        <f>IF(S270="x","x","")</f>
        <v/>
      </c>
      <c r="T268" s="25" t="s">
        <v>31</v>
      </c>
      <c r="U268" s="26"/>
      <c r="V268" s="27"/>
    </row>
    <row r="269" spans="1:22" x14ac:dyDescent="0.25">
      <c r="A269" s="18" t="s">
        <v>629</v>
      </c>
      <c r="B269" s="18" t="s">
        <v>945</v>
      </c>
      <c r="C269" s="18" t="s">
        <v>630</v>
      </c>
      <c r="D269" s="18" t="s">
        <v>26</v>
      </c>
      <c r="E269" s="18" t="s">
        <v>245</v>
      </c>
      <c r="F269" s="18" t="s">
        <v>638</v>
      </c>
      <c r="G269" s="18" t="s">
        <v>32</v>
      </c>
      <c r="H269" s="19">
        <v>2012</v>
      </c>
      <c r="I269" s="18" t="s">
        <v>387</v>
      </c>
      <c r="J269" s="101" t="s">
        <v>27</v>
      </c>
      <c r="K269" s="20">
        <v>29</v>
      </c>
      <c r="L269" s="21">
        <v>1.1000000000000001</v>
      </c>
      <c r="M269" s="22" t="s">
        <v>30</v>
      </c>
      <c r="N269" s="23">
        <v>1.1000000000000001</v>
      </c>
      <c r="O269" s="24">
        <v>3.7931034482758627E-2</v>
      </c>
      <c r="P269" s="25" t="str">
        <f>IF(P270="x","x","")</f>
        <v/>
      </c>
      <c r="Q269" s="25" t="str">
        <f>IF(Q270="x","x","")</f>
        <v>x</v>
      </c>
      <c r="R269" s="25" t="str">
        <f>IF(R270="x","x","")</f>
        <v/>
      </c>
      <c r="S269" s="25" t="str">
        <f>IF(S270="x","x","")</f>
        <v/>
      </c>
      <c r="T269" s="25" t="s">
        <v>31</v>
      </c>
      <c r="U269" s="26"/>
      <c r="V269" s="27"/>
    </row>
    <row r="270" spans="1:22" ht="63.75" thickBot="1" x14ac:dyDescent="0.3">
      <c r="A270" s="28" t="str">
        <f>A269</f>
        <v>Cambodia</v>
      </c>
      <c r="B270" s="28" t="str">
        <f>B269</f>
        <v>East Asia and Pacific</v>
      </c>
      <c r="C270" s="28" t="str">
        <f>C269</f>
        <v>P071207</v>
      </c>
      <c r="D270" s="28" t="s">
        <v>26</v>
      </c>
      <c r="E270" s="28" t="s">
        <v>27</v>
      </c>
      <c r="F270" s="28" t="str">
        <f>F269</f>
        <v>P071207C1S7</v>
      </c>
      <c r="G270" s="28" t="s">
        <v>16</v>
      </c>
      <c r="H270" s="29" t="str">
        <f>H268&amp;" / "&amp;H269</f>
        <v>2003 / 2012</v>
      </c>
      <c r="I270" s="29" t="str">
        <f>I269</f>
        <v>Upgrading</v>
      </c>
      <c r="J270" s="97" t="str">
        <f>IFERROR(J269/J268,"")</f>
        <v/>
      </c>
      <c r="K270" s="32">
        <f>K269/K268</f>
        <v>1.6292134831460674</v>
      </c>
      <c r="L270" s="32">
        <f>L269/L268</f>
        <v>1.8965517241379313</v>
      </c>
      <c r="M270" s="28"/>
      <c r="N270" s="32">
        <f>N269/N268</f>
        <v>1.8965517241379313</v>
      </c>
      <c r="O270" s="32">
        <f>O269/O268</f>
        <v>1.1640903686087996</v>
      </c>
      <c r="P270" s="33" t="str">
        <f>IF(K270&lt;50%,"x","")</f>
        <v/>
      </c>
      <c r="Q270" s="33" t="str">
        <f>IF(K270&gt;150%,"x","")</f>
        <v>x</v>
      </c>
      <c r="R270" s="33" t="str">
        <f>IF(O270&lt;50%,"x","")</f>
        <v/>
      </c>
      <c r="S270" s="33" t="str">
        <f>IF(O270&gt;150%,"x","")</f>
        <v/>
      </c>
      <c r="T270" s="33" t="s">
        <v>31</v>
      </c>
      <c r="U270" s="34" t="s">
        <v>1025</v>
      </c>
      <c r="V270" s="35" t="s">
        <v>1026</v>
      </c>
    </row>
    <row r="271" spans="1:22" ht="16.5" thickTop="1" x14ac:dyDescent="0.25">
      <c r="A271" s="18" t="s">
        <v>629</v>
      </c>
      <c r="B271" s="18" t="s">
        <v>945</v>
      </c>
      <c r="C271" s="18" t="s">
        <v>630</v>
      </c>
      <c r="D271" s="18" t="s">
        <v>26</v>
      </c>
      <c r="E271" s="18" t="s">
        <v>247</v>
      </c>
      <c r="F271" s="18" t="s">
        <v>639</v>
      </c>
      <c r="G271" s="18" t="s">
        <v>29</v>
      </c>
      <c r="H271" s="19">
        <v>2003</v>
      </c>
      <c r="I271" s="18" t="s">
        <v>387</v>
      </c>
      <c r="J271" s="101">
        <v>12</v>
      </c>
      <c r="K271" s="20">
        <v>12.7</v>
      </c>
      <c r="L271" s="21">
        <v>0.42</v>
      </c>
      <c r="M271" s="22" t="s">
        <v>30</v>
      </c>
      <c r="N271" s="23">
        <v>0.42</v>
      </c>
      <c r="O271" s="24">
        <v>3.3070866141732283E-2</v>
      </c>
      <c r="P271" s="25" t="str">
        <f>IF(P273="x","x","")</f>
        <v/>
      </c>
      <c r="Q271" s="25" t="str">
        <f>IF(Q273="x","x","")</f>
        <v/>
      </c>
      <c r="R271" s="25" t="str">
        <f>IF(R273="x","x","")</f>
        <v/>
      </c>
      <c r="S271" s="25" t="str">
        <f>IF(S273="x","x","")</f>
        <v>x</v>
      </c>
      <c r="T271" s="25" t="s">
        <v>31</v>
      </c>
      <c r="U271" s="26"/>
      <c r="V271" s="27"/>
    </row>
    <row r="272" spans="1:22" x14ac:dyDescent="0.25">
      <c r="A272" s="18" t="s">
        <v>629</v>
      </c>
      <c r="B272" s="18" t="s">
        <v>945</v>
      </c>
      <c r="C272" s="18" t="s">
        <v>630</v>
      </c>
      <c r="D272" s="18" t="s">
        <v>26</v>
      </c>
      <c r="E272" s="18" t="s">
        <v>247</v>
      </c>
      <c r="F272" s="18" t="s">
        <v>639</v>
      </c>
      <c r="G272" s="18" t="s">
        <v>32</v>
      </c>
      <c r="H272" s="19">
        <v>2012</v>
      </c>
      <c r="I272" s="18" t="s">
        <v>387</v>
      </c>
      <c r="J272" s="101" t="s">
        <v>27</v>
      </c>
      <c r="K272" s="20">
        <v>12.6</v>
      </c>
      <c r="L272" s="21">
        <v>0.71</v>
      </c>
      <c r="M272" s="22" t="s">
        <v>30</v>
      </c>
      <c r="N272" s="23">
        <v>0.71</v>
      </c>
      <c r="O272" s="24">
        <v>5.634920634920635E-2</v>
      </c>
      <c r="P272" s="25" t="str">
        <f>IF(P273="x","x","")</f>
        <v/>
      </c>
      <c r="Q272" s="25" t="str">
        <f>IF(Q273="x","x","")</f>
        <v/>
      </c>
      <c r="R272" s="25" t="str">
        <f>IF(R273="x","x","")</f>
        <v/>
      </c>
      <c r="S272" s="25" t="str">
        <f>IF(S273="x","x","")</f>
        <v>x</v>
      </c>
      <c r="T272" s="25" t="s">
        <v>31</v>
      </c>
      <c r="U272" s="26"/>
      <c r="V272" s="27"/>
    </row>
    <row r="273" spans="1:22" ht="63.75" thickBot="1" x14ac:dyDescent="0.3">
      <c r="A273" s="28" t="str">
        <f>A272</f>
        <v>Cambodia</v>
      </c>
      <c r="B273" s="28" t="str">
        <f>B272</f>
        <v>East Asia and Pacific</v>
      </c>
      <c r="C273" s="28" t="str">
        <f>C272</f>
        <v>P071207</v>
      </c>
      <c r="D273" s="28" t="s">
        <v>26</v>
      </c>
      <c r="E273" s="28" t="s">
        <v>27</v>
      </c>
      <c r="F273" s="28" t="str">
        <f>F272</f>
        <v>P071207C1S8</v>
      </c>
      <c r="G273" s="28" t="s">
        <v>16</v>
      </c>
      <c r="H273" s="29" t="str">
        <f>H271&amp;" / "&amp;H272</f>
        <v>2003 / 2012</v>
      </c>
      <c r="I273" s="29" t="str">
        <f>I272</f>
        <v>Upgrading</v>
      </c>
      <c r="J273" s="97" t="str">
        <f>IFERROR(J272/J271,"")</f>
        <v/>
      </c>
      <c r="K273" s="32">
        <f>K272/K271</f>
        <v>0.99212598425196852</v>
      </c>
      <c r="L273" s="32">
        <f>L272/L271</f>
        <v>1.6904761904761905</v>
      </c>
      <c r="M273" s="28"/>
      <c r="N273" s="32">
        <f>N272/N271</f>
        <v>1.6904761904761905</v>
      </c>
      <c r="O273" s="32">
        <f>O272/O271</f>
        <v>1.7038926681783826</v>
      </c>
      <c r="P273" s="33" t="str">
        <f>IF(K273&lt;50%,"x","")</f>
        <v/>
      </c>
      <c r="Q273" s="33" t="str">
        <f>IF(K273&gt;150%,"x","")</f>
        <v/>
      </c>
      <c r="R273" s="33" t="str">
        <f>IF(O273&lt;50%,"x","")</f>
        <v/>
      </c>
      <c r="S273" s="33" t="str">
        <f>IF(O273&gt;150%,"x","")</f>
        <v>x</v>
      </c>
      <c r="T273" s="33" t="s">
        <v>31</v>
      </c>
      <c r="U273" s="34" t="s">
        <v>1027</v>
      </c>
      <c r="V273" s="35" t="s">
        <v>1028</v>
      </c>
    </row>
    <row r="274" spans="1:22" ht="16.5" thickTop="1" x14ac:dyDescent="0.25">
      <c r="A274" s="18" t="s">
        <v>629</v>
      </c>
      <c r="B274" s="18" t="s">
        <v>945</v>
      </c>
      <c r="C274" s="18" t="s">
        <v>630</v>
      </c>
      <c r="D274" s="18" t="s">
        <v>26</v>
      </c>
      <c r="E274" s="18" t="s">
        <v>249</v>
      </c>
      <c r="F274" s="18" t="s">
        <v>640</v>
      </c>
      <c r="G274" s="18" t="s">
        <v>29</v>
      </c>
      <c r="H274" s="19">
        <v>2003</v>
      </c>
      <c r="I274" s="18" t="s">
        <v>359</v>
      </c>
      <c r="J274" s="101">
        <v>12</v>
      </c>
      <c r="K274" s="20">
        <v>16.7</v>
      </c>
      <c r="L274" s="21">
        <v>0.36</v>
      </c>
      <c r="M274" s="22" t="s">
        <v>30</v>
      </c>
      <c r="N274" s="23">
        <v>0.36</v>
      </c>
      <c r="O274" s="24">
        <v>2.1556886227544911E-2</v>
      </c>
      <c r="P274" s="25" t="str">
        <f>IF(P276="x","x","")</f>
        <v/>
      </c>
      <c r="Q274" s="25" t="str">
        <f>IF(Q276="x","x","")</f>
        <v/>
      </c>
      <c r="R274" s="25" t="str">
        <f>IF(R276="x","x","")</f>
        <v/>
      </c>
      <c r="S274" s="25" t="str">
        <f>IF(S276="x","x","")</f>
        <v>x</v>
      </c>
      <c r="T274" s="25" t="s">
        <v>31</v>
      </c>
      <c r="U274" s="26"/>
      <c r="V274" s="27"/>
    </row>
    <row r="275" spans="1:22" x14ac:dyDescent="0.25">
      <c r="A275" s="18" t="s">
        <v>629</v>
      </c>
      <c r="B275" s="18" t="s">
        <v>945</v>
      </c>
      <c r="C275" s="18" t="s">
        <v>630</v>
      </c>
      <c r="D275" s="18" t="s">
        <v>26</v>
      </c>
      <c r="E275" s="18" t="s">
        <v>249</v>
      </c>
      <c r="F275" s="18" t="s">
        <v>640</v>
      </c>
      <c r="G275" s="18" t="s">
        <v>32</v>
      </c>
      <c r="H275" s="19">
        <v>2012</v>
      </c>
      <c r="I275" s="18" t="s">
        <v>359</v>
      </c>
      <c r="J275" s="101" t="s">
        <v>27</v>
      </c>
      <c r="K275" s="20">
        <v>17</v>
      </c>
      <c r="L275" s="21">
        <v>0.63</v>
      </c>
      <c r="M275" s="22" t="s">
        <v>30</v>
      </c>
      <c r="N275" s="23">
        <v>0.63</v>
      </c>
      <c r="O275" s="24">
        <v>3.7058823529411762E-2</v>
      </c>
      <c r="P275" s="25" t="str">
        <f>IF(P276="x","x","")</f>
        <v/>
      </c>
      <c r="Q275" s="25" t="str">
        <f>IF(Q276="x","x","")</f>
        <v/>
      </c>
      <c r="R275" s="25" t="str">
        <f>IF(R276="x","x","")</f>
        <v/>
      </c>
      <c r="S275" s="25" t="str">
        <f>IF(S276="x","x","")</f>
        <v>x</v>
      </c>
      <c r="T275" s="25" t="s">
        <v>31</v>
      </c>
      <c r="U275" s="26"/>
      <c r="V275" s="27"/>
    </row>
    <row r="276" spans="1:22" ht="63.75" thickBot="1" x14ac:dyDescent="0.3">
      <c r="A276" s="28" t="str">
        <f>A275</f>
        <v>Cambodia</v>
      </c>
      <c r="B276" s="28" t="str">
        <f>B275</f>
        <v>East Asia and Pacific</v>
      </c>
      <c r="C276" s="28" t="str">
        <f>C275</f>
        <v>P071207</v>
      </c>
      <c r="D276" s="28" t="s">
        <v>26</v>
      </c>
      <c r="E276" s="28" t="s">
        <v>27</v>
      </c>
      <c r="F276" s="28" t="str">
        <f>F275</f>
        <v>P071207C1S9</v>
      </c>
      <c r="G276" s="28" t="s">
        <v>16</v>
      </c>
      <c r="H276" s="29" t="str">
        <f>H274&amp;" / "&amp;H275</f>
        <v>2003 / 2012</v>
      </c>
      <c r="I276" s="29" t="str">
        <f>I275</f>
        <v>Reconstruction</v>
      </c>
      <c r="J276" s="97" t="str">
        <f>IFERROR(J275/J274,"")</f>
        <v/>
      </c>
      <c r="K276" s="32">
        <f>K275/K274</f>
        <v>1.0179640718562875</v>
      </c>
      <c r="L276" s="32">
        <f>L275/L274</f>
        <v>1.75</v>
      </c>
      <c r="M276" s="28"/>
      <c r="N276" s="32">
        <f>N275/N274</f>
        <v>1.75</v>
      </c>
      <c r="O276" s="32">
        <f>O275/O274</f>
        <v>1.7191176470588234</v>
      </c>
      <c r="P276" s="33" t="str">
        <f>IF(K276&lt;50%,"x","")</f>
        <v/>
      </c>
      <c r="Q276" s="33" t="str">
        <f>IF(K276&gt;150%,"x","")</f>
        <v/>
      </c>
      <c r="R276" s="33" t="str">
        <f>IF(O276&lt;50%,"x","")</f>
        <v/>
      </c>
      <c r="S276" s="33" t="str">
        <f>IF(O276&gt;150%,"x","")</f>
        <v>x</v>
      </c>
      <c r="T276" s="33" t="s">
        <v>31</v>
      </c>
      <c r="U276" s="34" t="s">
        <v>1027</v>
      </c>
      <c r="V276" s="35" t="s">
        <v>1028</v>
      </c>
    </row>
    <row r="277" spans="1:22" ht="16.5" thickTop="1" x14ac:dyDescent="0.25">
      <c r="A277" s="18" t="s">
        <v>629</v>
      </c>
      <c r="B277" s="18" t="s">
        <v>945</v>
      </c>
      <c r="C277" s="18" t="s">
        <v>1267</v>
      </c>
      <c r="D277" s="18" t="s">
        <v>26</v>
      </c>
      <c r="E277" s="18" t="s">
        <v>27</v>
      </c>
      <c r="F277" s="18" t="s">
        <v>1291</v>
      </c>
      <c r="G277" s="18" t="s">
        <v>29</v>
      </c>
      <c r="H277" s="19">
        <v>2009</v>
      </c>
      <c r="I277" s="18" t="s">
        <v>387</v>
      </c>
      <c r="J277" s="101" t="s">
        <v>27</v>
      </c>
      <c r="K277" s="20">
        <v>113</v>
      </c>
      <c r="L277" s="21">
        <v>23.78</v>
      </c>
      <c r="M277" s="22" t="s">
        <v>1307</v>
      </c>
      <c r="N277" s="23">
        <v>5.6646696601912842E-3</v>
      </c>
      <c r="O277" s="24">
        <v>5.0129820001692782E-5</v>
      </c>
      <c r="P277" s="25" t="s">
        <v>31</v>
      </c>
      <c r="Q277" s="25" t="s">
        <v>27</v>
      </c>
      <c r="R277" s="25" t="s">
        <v>31</v>
      </c>
      <c r="S277" s="25"/>
      <c r="T277" s="25"/>
      <c r="U277" s="26"/>
      <c r="V277" s="27"/>
    </row>
    <row r="278" spans="1:22" x14ac:dyDescent="0.25">
      <c r="A278" s="18" t="s">
        <v>629</v>
      </c>
      <c r="B278" s="18" t="s">
        <v>945</v>
      </c>
      <c r="C278" s="18" t="s">
        <v>1267</v>
      </c>
      <c r="D278" s="18" t="s">
        <v>26</v>
      </c>
      <c r="E278" s="18" t="s">
        <v>27</v>
      </c>
      <c r="F278" s="18" t="s">
        <v>1291</v>
      </c>
      <c r="G278" s="18" t="s">
        <v>32</v>
      </c>
      <c r="H278" s="19">
        <v>2014</v>
      </c>
      <c r="I278" s="18" t="s">
        <v>1308</v>
      </c>
      <c r="J278" s="101" t="s">
        <v>27</v>
      </c>
      <c r="K278" s="20">
        <v>113</v>
      </c>
      <c r="L278" s="21">
        <v>35.93</v>
      </c>
      <c r="M278" s="22" t="s">
        <v>1307</v>
      </c>
      <c r="N278" s="23">
        <v>8.89907120743034E-3</v>
      </c>
      <c r="O278" s="24">
        <v>7.8752842543631333E-5</v>
      </c>
      <c r="P278" s="25" t="s">
        <v>31</v>
      </c>
      <c r="Q278" s="25" t="s">
        <v>27</v>
      </c>
      <c r="R278" s="25" t="s">
        <v>31</v>
      </c>
      <c r="S278" s="25"/>
      <c r="T278" s="25"/>
      <c r="U278" s="26"/>
      <c r="V278" s="27"/>
    </row>
    <row r="279" spans="1:22" ht="48" thickBot="1" x14ac:dyDescent="0.3">
      <c r="A279" s="28" t="str">
        <f>A278</f>
        <v>Cambodia</v>
      </c>
      <c r="B279" s="28" t="str">
        <f>B278</f>
        <v>East Asia and Pacific</v>
      </c>
      <c r="C279" s="28" t="str">
        <f>C278</f>
        <v>Project Number: 42358-013</v>
      </c>
      <c r="D279" s="28" t="s">
        <v>26</v>
      </c>
      <c r="E279" s="28" t="s">
        <v>27</v>
      </c>
      <c r="F279" s="28" t="str">
        <f>F278</f>
        <v>Project Number: 42358-013C1</v>
      </c>
      <c r="G279" s="28" t="s">
        <v>16</v>
      </c>
      <c r="H279" s="29" t="str">
        <f>H277&amp;" / "&amp;H278</f>
        <v>2009 / 2014</v>
      </c>
      <c r="I279" s="29" t="str">
        <f>I278</f>
        <v>upgrading</v>
      </c>
      <c r="J279" s="97" t="str">
        <f>IFERROR(J278/J277,"")</f>
        <v/>
      </c>
      <c r="K279" s="32">
        <f>K278/K277</f>
        <v>1</v>
      </c>
      <c r="L279" s="32">
        <f>L278/L277</f>
        <v>1.510933557611438</v>
      </c>
      <c r="M279" s="28"/>
      <c r="N279" s="32">
        <f>N278/N277</f>
        <v>1.570977963634659</v>
      </c>
      <c r="O279" s="32">
        <f>O278/O277</f>
        <v>1.5709779636346592</v>
      </c>
      <c r="P279" s="33" t="s">
        <v>31</v>
      </c>
      <c r="Q279" s="33" t="s">
        <v>27</v>
      </c>
      <c r="R279" s="33" t="s">
        <v>31</v>
      </c>
      <c r="S279" s="33" t="s">
        <v>1321</v>
      </c>
      <c r="T279" s="33" t="s">
        <v>1339</v>
      </c>
      <c r="U279" s="34" t="s">
        <v>1337</v>
      </c>
      <c r="V279" s="35" t="s">
        <v>1340</v>
      </c>
    </row>
    <row r="280" spans="1:22" ht="16.5" thickTop="1" x14ac:dyDescent="0.25">
      <c r="A280" s="18" t="s">
        <v>177</v>
      </c>
      <c r="B280" s="18" t="s">
        <v>950</v>
      </c>
      <c r="C280" s="18" t="s">
        <v>178</v>
      </c>
      <c r="D280" s="18" t="s">
        <v>26</v>
      </c>
      <c r="E280" s="18" t="s">
        <v>27</v>
      </c>
      <c r="F280" s="18" t="s">
        <v>179</v>
      </c>
      <c r="G280" s="18" t="s">
        <v>29</v>
      </c>
      <c r="H280" s="19">
        <v>2002</v>
      </c>
      <c r="I280" s="18" t="s">
        <v>364</v>
      </c>
      <c r="J280" s="101" t="s">
        <v>27</v>
      </c>
      <c r="K280" s="20">
        <v>23</v>
      </c>
      <c r="L280" s="21">
        <v>58.13</v>
      </c>
      <c r="M280" s="22" t="s">
        <v>30</v>
      </c>
      <c r="N280" s="23">
        <v>58.13</v>
      </c>
      <c r="O280" s="24">
        <v>2.5273913043478262</v>
      </c>
      <c r="P280" s="25" t="str">
        <f>IF(P282="x","x","")</f>
        <v/>
      </c>
      <c r="Q280" s="25" t="str">
        <f>IF(Q282="x","x","")</f>
        <v/>
      </c>
      <c r="R280" s="25" t="str">
        <f>IF(R282="x","x","")</f>
        <v/>
      </c>
      <c r="S280" s="25" t="str">
        <f>IF(S282="x","x","")</f>
        <v/>
      </c>
      <c r="T280" s="25" t="s">
        <v>27</v>
      </c>
      <c r="U280" s="26"/>
      <c r="V280" s="27"/>
    </row>
    <row r="281" spans="1:22" x14ac:dyDescent="0.25">
      <c r="A281" s="18" t="s">
        <v>177</v>
      </c>
      <c r="B281" s="18" t="s">
        <v>950</v>
      </c>
      <c r="C281" s="18" t="s">
        <v>178</v>
      </c>
      <c r="D281" s="18" t="s">
        <v>26</v>
      </c>
      <c r="E281" s="18" t="s">
        <v>27</v>
      </c>
      <c r="F281" s="18" t="s">
        <v>179</v>
      </c>
      <c r="G281" s="18" t="s">
        <v>32</v>
      </c>
      <c r="H281" s="19">
        <v>2010</v>
      </c>
      <c r="I281" s="18" t="s">
        <v>364</v>
      </c>
      <c r="J281" s="101">
        <v>48</v>
      </c>
      <c r="K281" s="20">
        <v>27</v>
      </c>
      <c r="L281" s="21">
        <v>67.88</v>
      </c>
      <c r="M281" s="22" t="s">
        <v>30</v>
      </c>
      <c r="N281" s="23">
        <v>67.88</v>
      </c>
      <c r="O281" s="24">
        <v>2.5140740740740739</v>
      </c>
      <c r="P281" s="25" t="str">
        <f>IF(P282="x","x","")</f>
        <v/>
      </c>
      <c r="Q281" s="25" t="str">
        <f>IF(Q282="x","x","")</f>
        <v/>
      </c>
      <c r="R281" s="25" t="str">
        <f>IF(R282="x","x","")</f>
        <v/>
      </c>
      <c r="S281" s="25" t="str">
        <f>IF(S282="x","x","")</f>
        <v/>
      </c>
      <c r="T281" s="25" t="s">
        <v>27</v>
      </c>
      <c r="U281" s="26"/>
      <c r="V281" s="27"/>
    </row>
    <row r="282" spans="1:22" ht="16.5" thickBot="1" x14ac:dyDescent="0.3">
      <c r="A282" s="28" t="str">
        <f>A281</f>
        <v>Cameroon</v>
      </c>
      <c r="B282" s="28" t="str">
        <f>B281</f>
        <v>Sub-Saharan Africa</v>
      </c>
      <c r="C282" s="28" t="str">
        <f>C281</f>
        <v>P074490</v>
      </c>
      <c r="D282" s="28" t="s">
        <v>26</v>
      </c>
      <c r="E282" s="28" t="s">
        <v>27</v>
      </c>
      <c r="F282" s="28" t="str">
        <f>F281</f>
        <v>P074490C1</v>
      </c>
      <c r="G282" s="28" t="s">
        <v>16</v>
      </c>
      <c r="H282" s="29" t="str">
        <f>H280&amp;" / "&amp;H281</f>
        <v>2002 / 2010</v>
      </c>
      <c r="I282" s="29" t="str">
        <f>I281</f>
        <v>Widening and Reconstruction</v>
      </c>
      <c r="J282" s="97" t="str">
        <f>IFERROR(J281/J280,"")</f>
        <v/>
      </c>
      <c r="K282" s="32">
        <f>K281/K280</f>
        <v>1.173913043478261</v>
      </c>
      <c r="L282" s="32">
        <f>L281/L280</f>
        <v>1.167727507311199</v>
      </c>
      <c r="M282" s="28"/>
      <c r="N282" s="32">
        <f>N281/N280</f>
        <v>1.167727507311199</v>
      </c>
      <c r="O282" s="32">
        <f>O281/O280</f>
        <v>0.99473083956139163</v>
      </c>
      <c r="P282" s="33" t="str">
        <f>IF(K282&lt;50%,"x","")</f>
        <v/>
      </c>
      <c r="Q282" s="33" t="str">
        <f>IF(K282&gt;150%,"x","")</f>
        <v/>
      </c>
      <c r="R282" s="33" t="str">
        <f>IF(O282&lt;50%,"x","")</f>
        <v/>
      </c>
      <c r="S282" s="33" t="str">
        <f>IF(O282&gt;150%,"x","")</f>
        <v/>
      </c>
      <c r="T282" s="33" t="s">
        <v>27</v>
      </c>
      <c r="U282" s="34" t="s">
        <v>27</v>
      </c>
      <c r="V282" s="35" t="s">
        <v>27</v>
      </c>
    </row>
    <row r="283" spans="1:22" ht="16.5" thickTop="1" x14ac:dyDescent="0.25">
      <c r="A283" s="18" t="s">
        <v>177</v>
      </c>
      <c r="B283" s="18" t="s">
        <v>950</v>
      </c>
      <c r="C283" s="18" t="s">
        <v>1249</v>
      </c>
      <c r="D283" s="18" t="s">
        <v>26</v>
      </c>
      <c r="E283" s="18" t="s">
        <v>36</v>
      </c>
      <c r="F283" s="18" t="s">
        <v>1276</v>
      </c>
      <c r="G283" s="18" t="s">
        <v>29</v>
      </c>
      <c r="H283" s="19">
        <v>1988</v>
      </c>
      <c r="I283" s="18" t="s">
        <v>387</v>
      </c>
      <c r="J283" s="101">
        <v>22</v>
      </c>
      <c r="K283" s="20">
        <v>15.8</v>
      </c>
      <c r="L283" s="21">
        <v>2354.1999999999998</v>
      </c>
      <c r="M283" s="22" t="s">
        <v>1239</v>
      </c>
      <c r="N283" s="23">
        <v>7.9042438893365565</v>
      </c>
      <c r="O283" s="24">
        <v>0.50026860059092126</v>
      </c>
      <c r="P283" s="25" t="s">
        <v>27</v>
      </c>
      <c r="Q283" s="25" t="s">
        <v>27</v>
      </c>
      <c r="R283" s="25" t="s">
        <v>27</v>
      </c>
      <c r="S283" s="25"/>
      <c r="T283" s="25"/>
      <c r="U283" s="26"/>
      <c r="V283" s="27"/>
    </row>
    <row r="284" spans="1:22" x14ac:dyDescent="0.25">
      <c r="A284" s="18" t="s">
        <v>177</v>
      </c>
      <c r="B284" s="18" t="s">
        <v>950</v>
      </c>
      <c r="C284" s="18" t="s">
        <v>1249</v>
      </c>
      <c r="D284" s="18" t="s">
        <v>26</v>
      </c>
      <c r="E284" s="18" t="s">
        <v>36</v>
      </c>
      <c r="F284" s="18" t="s">
        <v>1276</v>
      </c>
      <c r="G284" s="18" t="s">
        <v>32</v>
      </c>
      <c r="H284" s="19">
        <v>1998</v>
      </c>
      <c r="I284" s="18" t="s">
        <v>387</v>
      </c>
      <c r="J284" s="101">
        <v>44</v>
      </c>
      <c r="K284" s="20">
        <v>15.8</v>
      </c>
      <c r="L284" s="21">
        <v>2402.71</v>
      </c>
      <c r="M284" s="22" t="s">
        <v>1239</v>
      </c>
      <c r="N284" s="23">
        <v>4.0727349775404695</v>
      </c>
      <c r="O284" s="24">
        <v>0.25776803655319425</v>
      </c>
      <c r="P284" s="25" t="s">
        <v>27</v>
      </c>
      <c r="Q284" s="25" t="s">
        <v>27</v>
      </c>
      <c r="R284" s="25" t="s">
        <v>27</v>
      </c>
      <c r="S284" s="25"/>
      <c r="T284" s="25"/>
      <c r="U284" s="26"/>
      <c r="V284" s="27"/>
    </row>
    <row r="285" spans="1:22" ht="16.5" thickBot="1" x14ac:dyDescent="0.3">
      <c r="A285" s="28" t="str">
        <f>A284</f>
        <v>Cameroon</v>
      </c>
      <c r="B285" s="28" t="str">
        <f>B284</f>
        <v>Sub-Saharan Africa</v>
      </c>
      <c r="C285" s="28" t="str">
        <f>C284</f>
        <v>AfDB loan number: B/CAM/RTE/89/16</v>
      </c>
      <c r="D285" s="28" t="s">
        <v>26</v>
      </c>
      <c r="E285" s="28" t="s">
        <v>27</v>
      </c>
      <c r="F285" s="28" t="str">
        <f>F284</f>
        <v>AfDB loan number: B/CAM/RTE/89/16C1S1</v>
      </c>
      <c r="G285" s="28" t="s">
        <v>16</v>
      </c>
      <c r="H285" s="29" t="str">
        <f>H283&amp;" / "&amp;H284</f>
        <v>1988 / 1998</v>
      </c>
      <c r="I285" s="29" t="str">
        <f>I284</f>
        <v>Upgrading</v>
      </c>
      <c r="J285" s="97">
        <f>IFERROR(J284/J283,"")</f>
        <v>2</v>
      </c>
      <c r="K285" s="32">
        <f>K284/K283</f>
        <v>1</v>
      </c>
      <c r="L285" s="32">
        <f>L284/L283</f>
        <v>1.0206057259366239</v>
      </c>
      <c r="M285" s="28"/>
      <c r="N285" s="32">
        <f>N284/N283</f>
        <v>0.51525927521478776</v>
      </c>
      <c r="O285" s="32">
        <f>O284/O283</f>
        <v>0.51525927521478776</v>
      </c>
      <c r="P285" s="33" t="s">
        <v>27</v>
      </c>
      <c r="Q285" s="33" t="s">
        <v>27</v>
      </c>
      <c r="R285" s="33" t="s">
        <v>27</v>
      </c>
      <c r="S285" s="33"/>
      <c r="T285" s="33"/>
      <c r="U285" s="34" t="s">
        <v>27</v>
      </c>
      <c r="V285" s="35" t="s">
        <v>27</v>
      </c>
    </row>
    <row r="286" spans="1:22" ht="16.5" thickTop="1" x14ac:dyDescent="0.25">
      <c r="A286" s="18" t="s">
        <v>177</v>
      </c>
      <c r="B286" s="18" t="s">
        <v>950</v>
      </c>
      <c r="C286" s="18" t="s">
        <v>1249</v>
      </c>
      <c r="D286" s="18" t="s">
        <v>26</v>
      </c>
      <c r="E286" s="18" t="s">
        <v>40</v>
      </c>
      <c r="F286" s="18" t="s">
        <v>1277</v>
      </c>
      <c r="G286" s="18" t="s">
        <v>29</v>
      </c>
      <c r="H286" s="19">
        <v>1988</v>
      </c>
      <c r="I286" s="18" t="s">
        <v>38</v>
      </c>
      <c r="J286" s="101">
        <v>22</v>
      </c>
      <c r="K286" s="20">
        <v>49.6</v>
      </c>
      <c r="L286" s="21">
        <v>3785.5</v>
      </c>
      <c r="M286" s="22" t="s">
        <v>1239</v>
      </c>
      <c r="N286" s="23">
        <v>12.709844211657266</v>
      </c>
      <c r="O286" s="24">
        <v>0.25624685910599326</v>
      </c>
      <c r="P286" s="25" t="s">
        <v>31</v>
      </c>
      <c r="Q286" s="25" t="s">
        <v>27</v>
      </c>
      <c r="R286" s="25" t="s">
        <v>31</v>
      </c>
      <c r="S286" s="25"/>
      <c r="T286" s="25"/>
      <c r="U286" s="26"/>
      <c r="V286" s="27"/>
    </row>
    <row r="287" spans="1:22" x14ac:dyDescent="0.25">
      <c r="A287" s="18" t="s">
        <v>177</v>
      </c>
      <c r="B287" s="18" t="s">
        <v>950</v>
      </c>
      <c r="C287" s="18" t="s">
        <v>1249</v>
      </c>
      <c r="D287" s="18" t="s">
        <v>26</v>
      </c>
      <c r="E287" s="18" t="s">
        <v>40</v>
      </c>
      <c r="F287" s="18" t="s">
        <v>1277</v>
      </c>
      <c r="G287" s="18" t="s">
        <v>32</v>
      </c>
      <c r="H287" s="19">
        <v>1998</v>
      </c>
      <c r="I287" s="18" t="s">
        <v>38</v>
      </c>
      <c r="J287" s="101">
        <v>44</v>
      </c>
      <c r="K287" s="20">
        <v>49.4</v>
      </c>
      <c r="L287" s="21">
        <v>3565.01</v>
      </c>
      <c r="M287" s="22" t="s">
        <v>1239</v>
      </c>
      <c r="N287" s="23">
        <v>6.0429019408424445</v>
      </c>
      <c r="O287" s="24">
        <v>0.12232595021948268</v>
      </c>
      <c r="P287" s="25" t="s">
        <v>31</v>
      </c>
      <c r="Q287" s="25" t="s">
        <v>27</v>
      </c>
      <c r="R287" s="25" t="s">
        <v>31</v>
      </c>
      <c r="S287" s="25"/>
      <c r="T287" s="25"/>
      <c r="U287" s="26"/>
      <c r="V287" s="27"/>
    </row>
    <row r="288" spans="1:22" ht="32.25" thickBot="1" x14ac:dyDescent="0.3">
      <c r="A288" s="28" t="str">
        <f>A287</f>
        <v>Cameroon</v>
      </c>
      <c r="B288" s="28" t="str">
        <f>B287</f>
        <v>Sub-Saharan Africa</v>
      </c>
      <c r="C288" s="28" t="str">
        <f>C287</f>
        <v>AfDB loan number: B/CAM/RTE/89/16</v>
      </c>
      <c r="D288" s="28" t="s">
        <v>26</v>
      </c>
      <c r="E288" s="28" t="s">
        <v>27</v>
      </c>
      <c r="F288" s="28" t="str">
        <f>F287</f>
        <v>AfDB loan number: B/CAM/RTE/89/16C1S2</v>
      </c>
      <c r="G288" s="28" t="s">
        <v>16</v>
      </c>
      <c r="H288" s="29" t="str">
        <f>H286&amp;" / "&amp;H287</f>
        <v>1988 / 1998</v>
      </c>
      <c r="I288" s="29" t="str">
        <f>I287</f>
        <v>Strengthening</v>
      </c>
      <c r="J288" s="97">
        <f>IFERROR(J287/J286,"")</f>
        <v>2</v>
      </c>
      <c r="K288" s="32">
        <f>K287/K286</f>
        <v>0.99596774193548376</v>
      </c>
      <c r="L288" s="32">
        <f>L287/L286</f>
        <v>0.94175406155065389</v>
      </c>
      <c r="M288" s="28"/>
      <c r="N288" s="32">
        <f>N287/N286</f>
        <v>0.47545051223365831</v>
      </c>
      <c r="O288" s="32">
        <f>O287/O286</f>
        <v>0.47737541309290393</v>
      </c>
      <c r="P288" s="33" t="s">
        <v>31</v>
      </c>
      <c r="Q288" s="33" t="s">
        <v>27</v>
      </c>
      <c r="R288" s="33" t="s">
        <v>31</v>
      </c>
      <c r="S288" s="33" t="s">
        <v>1324</v>
      </c>
      <c r="T288" s="33" t="s">
        <v>1328</v>
      </c>
      <c r="U288" s="34" t="s">
        <v>1329</v>
      </c>
      <c r="V288" s="35" t="s">
        <v>1330</v>
      </c>
    </row>
    <row r="289" spans="1:22" ht="16.5" thickTop="1" x14ac:dyDescent="0.25">
      <c r="A289" s="18" t="s">
        <v>788</v>
      </c>
      <c r="B289" s="18" t="s">
        <v>950</v>
      </c>
      <c r="C289" s="18" t="s">
        <v>789</v>
      </c>
      <c r="D289" s="18" t="s">
        <v>26</v>
      </c>
      <c r="E289" s="18" t="s">
        <v>36</v>
      </c>
      <c r="F289" s="18" t="s">
        <v>790</v>
      </c>
      <c r="G289" s="18" t="s">
        <v>29</v>
      </c>
      <c r="H289" s="19">
        <v>2005</v>
      </c>
      <c r="I289" s="18" t="s">
        <v>387</v>
      </c>
      <c r="J289" s="101" t="s">
        <v>27</v>
      </c>
      <c r="K289" s="20">
        <v>3</v>
      </c>
      <c r="L289" s="21">
        <v>0.62</v>
      </c>
      <c r="M289" s="22" t="s">
        <v>30</v>
      </c>
      <c r="N289" s="23">
        <v>0.62</v>
      </c>
      <c r="O289" s="24">
        <v>0.20666666666666667</v>
      </c>
      <c r="P289" s="25" t="str">
        <f>IF(P291="x","x","")</f>
        <v/>
      </c>
      <c r="Q289" s="25" t="str">
        <f>IF(Q291="x","x","")</f>
        <v/>
      </c>
      <c r="R289" s="25" t="str">
        <f>IF(R291="x","x","")</f>
        <v/>
      </c>
      <c r="S289" s="25" t="str">
        <f>IF(S291="x","x","")</f>
        <v/>
      </c>
      <c r="T289" s="25" t="s">
        <v>27</v>
      </c>
      <c r="U289" s="26"/>
      <c r="V289" s="27"/>
    </row>
    <row r="290" spans="1:22" x14ac:dyDescent="0.25">
      <c r="A290" s="18" t="s">
        <v>788</v>
      </c>
      <c r="B290" s="18" t="s">
        <v>950</v>
      </c>
      <c r="C290" s="18" t="s">
        <v>789</v>
      </c>
      <c r="D290" s="18" t="s">
        <v>26</v>
      </c>
      <c r="E290" s="18" t="s">
        <v>36</v>
      </c>
      <c r="F290" s="18" t="s">
        <v>790</v>
      </c>
      <c r="G290" s="18" t="s">
        <v>32</v>
      </c>
      <c r="H290" s="19">
        <v>2014</v>
      </c>
      <c r="I290" s="18" t="s">
        <v>387</v>
      </c>
      <c r="J290" s="101" t="s">
        <v>27</v>
      </c>
      <c r="K290" s="20">
        <v>3</v>
      </c>
      <c r="L290" s="21">
        <v>0.75</v>
      </c>
      <c r="M290" s="22" t="s">
        <v>30</v>
      </c>
      <c r="N290" s="23">
        <v>0.75</v>
      </c>
      <c r="O290" s="24">
        <v>0.25</v>
      </c>
      <c r="P290" s="25" t="str">
        <f>IF(P291="x","x","")</f>
        <v/>
      </c>
      <c r="Q290" s="25" t="str">
        <f>IF(Q291="x","x","")</f>
        <v/>
      </c>
      <c r="R290" s="25" t="str">
        <f>IF(R291="x","x","")</f>
        <v/>
      </c>
      <c r="S290" s="25" t="str">
        <f>IF(S291="x","x","")</f>
        <v/>
      </c>
      <c r="T290" s="25" t="s">
        <v>27</v>
      </c>
      <c r="U290" s="26"/>
      <c r="V290" s="27"/>
    </row>
    <row r="291" spans="1:22" ht="16.5" thickBot="1" x14ac:dyDescent="0.3">
      <c r="A291" s="28" t="str">
        <f>A290</f>
        <v>Cape Verde</v>
      </c>
      <c r="B291" s="28" t="str">
        <f>B290</f>
        <v>Sub-Saharan Africa</v>
      </c>
      <c r="C291" s="28" t="str">
        <f>C290</f>
        <v>P087004</v>
      </c>
      <c r="D291" s="28" t="s">
        <v>26</v>
      </c>
      <c r="E291" s="28" t="s">
        <v>27</v>
      </c>
      <c r="F291" s="28" t="str">
        <f>F290</f>
        <v>P087004C1S1</v>
      </c>
      <c r="G291" s="28" t="s">
        <v>16</v>
      </c>
      <c r="H291" s="29" t="str">
        <f>H289&amp;" / "&amp;H290</f>
        <v>2005 / 2014</v>
      </c>
      <c r="I291" s="29" t="str">
        <f>I290</f>
        <v>Upgrading</v>
      </c>
      <c r="J291" s="97" t="str">
        <f>IFERROR(J290/J289,"")</f>
        <v/>
      </c>
      <c r="K291" s="32">
        <f>K290/K289</f>
        <v>1</v>
      </c>
      <c r="L291" s="32">
        <f>L290/L289</f>
        <v>1.2096774193548387</v>
      </c>
      <c r="M291" s="28"/>
      <c r="N291" s="32">
        <f>N290/N289</f>
        <v>1.2096774193548387</v>
      </c>
      <c r="O291" s="32">
        <f>O290/O289</f>
        <v>1.2096774193548387</v>
      </c>
      <c r="P291" s="33" t="str">
        <f>IF(K291&lt;50%,"x","")</f>
        <v/>
      </c>
      <c r="Q291" s="33" t="str">
        <f>IF(K291&gt;150%,"x","")</f>
        <v/>
      </c>
      <c r="R291" s="33" t="str">
        <f>IF(O291&lt;50%,"x","")</f>
        <v/>
      </c>
      <c r="S291" s="33" t="str">
        <f>IF(O291&gt;150%,"x","")</f>
        <v/>
      </c>
      <c r="T291" s="33" t="s">
        <v>27</v>
      </c>
      <c r="U291" s="34" t="s">
        <v>27</v>
      </c>
      <c r="V291" s="35" t="s">
        <v>27</v>
      </c>
    </row>
    <row r="292" spans="1:22" ht="16.5" thickTop="1" x14ac:dyDescent="0.25">
      <c r="A292" s="18" t="s">
        <v>788</v>
      </c>
      <c r="B292" s="18" t="s">
        <v>950</v>
      </c>
      <c r="C292" s="18" t="s">
        <v>789</v>
      </c>
      <c r="D292" s="18" t="s">
        <v>26</v>
      </c>
      <c r="E292" s="18" t="s">
        <v>40</v>
      </c>
      <c r="F292" s="18" t="s">
        <v>791</v>
      </c>
      <c r="G292" s="18" t="s">
        <v>29</v>
      </c>
      <c r="H292" s="19">
        <v>2005</v>
      </c>
      <c r="I292" s="18" t="s">
        <v>387</v>
      </c>
      <c r="J292" s="101" t="s">
        <v>27</v>
      </c>
      <c r="K292" s="20">
        <v>11</v>
      </c>
      <c r="L292" s="21">
        <v>3.62</v>
      </c>
      <c r="M292" s="22" t="s">
        <v>30</v>
      </c>
      <c r="N292" s="23">
        <v>3.62</v>
      </c>
      <c r="O292" s="24">
        <v>0.3290909090909091</v>
      </c>
      <c r="P292" s="25" t="str">
        <f>IF(P294="x","x","")</f>
        <v/>
      </c>
      <c r="Q292" s="25" t="str">
        <f>IF(Q294="x","x","")</f>
        <v/>
      </c>
      <c r="R292" s="25" t="str">
        <f>IF(R294="x","x","")</f>
        <v/>
      </c>
      <c r="S292" s="25" t="str">
        <f>IF(S294="x","x","")</f>
        <v/>
      </c>
      <c r="T292" s="25" t="s">
        <v>27</v>
      </c>
      <c r="U292" s="26"/>
      <c r="V292" s="27"/>
    </row>
    <row r="293" spans="1:22" x14ac:dyDescent="0.25">
      <c r="A293" s="18" t="s">
        <v>788</v>
      </c>
      <c r="B293" s="18" t="s">
        <v>950</v>
      </c>
      <c r="C293" s="18" t="s">
        <v>789</v>
      </c>
      <c r="D293" s="18" t="s">
        <v>26</v>
      </c>
      <c r="E293" s="18" t="s">
        <v>40</v>
      </c>
      <c r="F293" s="18" t="s">
        <v>791</v>
      </c>
      <c r="G293" s="18" t="s">
        <v>32</v>
      </c>
      <c r="H293" s="19">
        <v>2014</v>
      </c>
      <c r="I293" s="18" t="s">
        <v>387</v>
      </c>
      <c r="J293" s="101" t="s">
        <v>27</v>
      </c>
      <c r="K293" s="20">
        <v>11</v>
      </c>
      <c r="L293" s="21">
        <v>4.18</v>
      </c>
      <c r="M293" s="22" t="s">
        <v>30</v>
      </c>
      <c r="N293" s="23">
        <v>4.18</v>
      </c>
      <c r="O293" s="24">
        <v>0.37999999999999995</v>
      </c>
      <c r="P293" s="25" t="str">
        <f>IF(P294="x","x","")</f>
        <v/>
      </c>
      <c r="Q293" s="25" t="str">
        <f>IF(Q294="x","x","")</f>
        <v/>
      </c>
      <c r="R293" s="25" t="str">
        <f>IF(R294="x","x","")</f>
        <v/>
      </c>
      <c r="S293" s="25" t="str">
        <f>IF(S294="x","x","")</f>
        <v/>
      </c>
      <c r="T293" s="25" t="s">
        <v>27</v>
      </c>
      <c r="U293" s="26"/>
      <c r="V293" s="27"/>
    </row>
    <row r="294" spans="1:22" ht="16.5" thickBot="1" x14ac:dyDescent="0.3">
      <c r="A294" s="28" t="str">
        <f>A293</f>
        <v>Cape Verde</v>
      </c>
      <c r="B294" s="28" t="str">
        <f>B293</f>
        <v>Sub-Saharan Africa</v>
      </c>
      <c r="C294" s="28" t="str">
        <f>C293</f>
        <v>P087004</v>
      </c>
      <c r="D294" s="28" t="s">
        <v>26</v>
      </c>
      <c r="E294" s="28" t="s">
        <v>27</v>
      </c>
      <c r="F294" s="28" t="str">
        <f>F293</f>
        <v>P087004C1S2</v>
      </c>
      <c r="G294" s="28" t="s">
        <v>16</v>
      </c>
      <c r="H294" s="29" t="str">
        <f>H292&amp;" / "&amp;H293</f>
        <v>2005 / 2014</v>
      </c>
      <c r="I294" s="29" t="str">
        <f>I293</f>
        <v>Upgrading</v>
      </c>
      <c r="J294" s="97" t="str">
        <f>IFERROR(J293/J292,"")</f>
        <v/>
      </c>
      <c r="K294" s="32">
        <f>K293/K292</f>
        <v>1</v>
      </c>
      <c r="L294" s="32">
        <f>L293/L292</f>
        <v>1.1546961325966849</v>
      </c>
      <c r="M294" s="28"/>
      <c r="N294" s="32">
        <f>N293/N292</f>
        <v>1.1546961325966849</v>
      </c>
      <c r="O294" s="32">
        <f>O293/O292</f>
        <v>1.1546961325966849</v>
      </c>
      <c r="P294" s="33" t="str">
        <f>IF(K294&lt;50%,"x","")</f>
        <v/>
      </c>
      <c r="Q294" s="33" t="str">
        <f>IF(K294&gt;150%,"x","")</f>
        <v/>
      </c>
      <c r="R294" s="33" t="str">
        <f>IF(O294&lt;50%,"x","")</f>
        <v/>
      </c>
      <c r="S294" s="33" t="str">
        <f>IF(O294&gt;150%,"x","")</f>
        <v/>
      </c>
      <c r="T294" s="33" t="s">
        <v>27</v>
      </c>
      <c r="U294" s="34" t="s">
        <v>27</v>
      </c>
      <c r="V294" s="35" t="s">
        <v>27</v>
      </c>
    </row>
    <row r="295" spans="1:22" ht="16.5" thickTop="1" x14ac:dyDescent="0.25">
      <c r="A295" s="18" t="s">
        <v>788</v>
      </c>
      <c r="B295" s="18" t="s">
        <v>950</v>
      </c>
      <c r="C295" s="18" t="s">
        <v>789</v>
      </c>
      <c r="D295" s="18" t="s">
        <v>26</v>
      </c>
      <c r="E295" s="18" t="s">
        <v>69</v>
      </c>
      <c r="F295" s="18" t="s">
        <v>792</v>
      </c>
      <c r="G295" s="18" t="s">
        <v>29</v>
      </c>
      <c r="H295" s="19">
        <v>2005</v>
      </c>
      <c r="I295" s="18" t="s">
        <v>387</v>
      </c>
      <c r="J295" s="101" t="s">
        <v>27</v>
      </c>
      <c r="K295" s="20">
        <v>27</v>
      </c>
      <c r="L295" s="21">
        <v>8.1300000000000008</v>
      </c>
      <c r="M295" s="22" t="s">
        <v>30</v>
      </c>
      <c r="N295" s="23">
        <v>8.1300000000000008</v>
      </c>
      <c r="O295" s="24">
        <v>0.30111111111111116</v>
      </c>
      <c r="P295" s="25" t="str">
        <f>IF(P297="x","x","")</f>
        <v/>
      </c>
      <c r="Q295" s="25" t="str">
        <f>IF(Q297="x","x","")</f>
        <v/>
      </c>
      <c r="R295" s="25" t="str">
        <f>IF(R297="x","x","")</f>
        <v/>
      </c>
      <c r="S295" s="25" t="str">
        <f>IF(S297="x","x","")</f>
        <v/>
      </c>
      <c r="T295" s="25" t="s">
        <v>27</v>
      </c>
      <c r="U295" s="26"/>
      <c r="V295" s="27"/>
    </row>
    <row r="296" spans="1:22" x14ac:dyDescent="0.25">
      <c r="A296" s="18" t="s">
        <v>788</v>
      </c>
      <c r="B296" s="18" t="s">
        <v>950</v>
      </c>
      <c r="C296" s="18" t="s">
        <v>789</v>
      </c>
      <c r="D296" s="18" t="s">
        <v>26</v>
      </c>
      <c r="E296" s="18" t="s">
        <v>69</v>
      </c>
      <c r="F296" s="18" t="s">
        <v>792</v>
      </c>
      <c r="G296" s="18" t="s">
        <v>32</v>
      </c>
      <c r="H296" s="19">
        <v>2014</v>
      </c>
      <c r="I296" s="18" t="s">
        <v>387</v>
      </c>
      <c r="J296" s="101" t="s">
        <v>27</v>
      </c>
      <c r="K296" s="20">
        <v>27</v>
      </c>
      <c r="L296" s="21">
        <v>12.06</v>
      </c>
      <c r="M296" s="22" t="s">
        <v>30</v>
      </c>
      <c r="N296" s="23">
        <v>12.06</v>
      </c>
      <c r="O296" s="24">
        <v>0.44666666666666671</v>
      </c>
      <c r="P296" s="25" t="str">
        <f>IF(P297="x","x","")</f>
        <v/>
      </c>
      <c r="Q296" s="25" t="str">
        <f>IF(Q297="x","x","")</f>
        <v/>
      </c>
      <c r="R296" s="25" t="str">
        <f>IF(R297="x","x","")</f>
        <v/>
      </c>
      <c r="S296" s="25" t="str">
        <f>IF(S297="x","x","")</f>
        <v/>
      </c>
      <c r="T296" s="25" t="s">
        <v>27</v>
      </c>
      <c r="U296" s="26"/>
      <c r="V296" s="27"/>
    </row>
    <row r="297" spans="1:22" ht="16.5" thickBot="1" x14ac:dyDescent="0.3">
      <c r="A297" s="28" t="str">
        <f>A296</f>
        <v>Cape Verde</v>
      </c>
      <c r="B297" s="28" t="str">
        <f>B296</f>
        <v>Sub-Saharan Africa</v>
      </c>
      <c r="C297" s="28" t="str">
        <f>C296</f>
        <v>P087004</v>
      </c>
      <c r="D297" s="28" t="s">
        <v>26</v>
      </c>
      <c r="E297" s="28" t="s">
        <v>27</v>
      </c>
      <c r="F297" s="28" t="str">
        <f>F296</f>
        <v>P087004C1S3</v>
      </c>
      <c r="G297" s="28" t="s">
        <v>16</v>
      </c>
      <c r="H297" s="29" t="str">
        <f>H295&amp;" / "&amp;H296</f>
        <v>2005 / 2014</v>
      </c>
      <c r="I297" s="29" t="str">
        <f>I296</f>
        <v>Upgrading</v>
      </c>
      <c r="J297" s="97" t="str">
        <f>IFERROR(J296/J295,"")</f>
        <v/>
      </c>
      <c r="K297" s="32">
        <f>K296/K295</f>
        <v>1</v>
      </c>
      <c r="L297" s="32">
        <f>L296/L295</f>
        <v>1.4833948339483394</v>
      </c>
      <c r="M297" s="28"/>
      <c r="N297" s="32">
        <f>N296/N295</f>
        <v>1.4833948339483394</v>
      </c>
      <c r="O297" s="32">
        <f>O296/O295</f>
        <v>1.4833948339483394</v>
      </c>
      <c r="P297" s="33" t="str">
        <f>IF(K297&lt;50%,"x","")</f>
        <v/>
      </c>
      <c r="Q297" s="33" t="str">
        <f>IF(K297&gt;150%,"x","")</f>
        <v/>
      </c>
      <c r="R297" s="33" t="str">
        <f>IF(O297&lt;50%,"x","")</f>
        <v/>
      </c>
      <c r="S297" s="33" t="str">
        <f>IF(O297&gt;150%,"x","")</f>
        <v/>
      </c>
      <c r="T297" s="33" t="s">
        <v>27</v>
      </c>
      <c r="U297" s="34" t="s">
        <v>27</v>
      </c>
      <c r="V297" s="35" t="s">
        <v>27</v>
      </c>
    </row>
    <row r="298" spans="1:22" ht="16.5" thickTop="1" x14ac:dyDescent="0.25">
      <c r="A298" s="18" t="s">
        <v>34</v>
      </c>
      <c r="B298" s="18" t="s">
        <v>950</v>
      </c>
      <c r="C298" s="18" t="s">
        <v>35</v>
      </c>
      <c r="D298" s="18" t="s">
        <v>26</v>
      </c>
      <c r="E298" s="18" t="s">
        <v>36</v>
      </c>
      <c r="F298" s="18" t="s">
        <v>37</v>
      </c>
      <c r="G298" s="18" t="s">
        <v>29</v>
      </c>
      <c r="H298" s="19">
        <v>2000</v>
      </c>
      <c r="I298" s="18" t="s">
        <v>38</v>
      </c>
      <c r="J298" s="101" t="s">
        <v>27</v>
      </c>
      <c r="K298" s="20">
        <v>104</v>
      </c>
      <c r="L298" s="21">
        <v>35.54</v>
      </c>
      <c r="M298" s="22" t="s">
        <v>30</v>
      </c>
      <c r="N298" s="23">
        <v>35.54</v>
      </c>
      <c r="O298" s="24">
        <v>0.34173076923076923</v>
      </c>
      <c r="P298" s="25" t="str">
        <f>IF(P300="x","x","")</f>
        <v/>
      </c>
      <c r="Q298" s="25" t="str">
        <f>IF(Q300="x","x","")</f>
        <v/>
      </c>
      <c r="R298" s="25" t="str">
        <f>IF(R300="x","x","")</f>
        <v/>
      </c>
      <c r="S298" s="25" t="str">
        <f>IF(S300="x","x","")</f>
        <v/>
      </c>
      <c r="T298" s="25" t="s">
        <v>27</v>
      </c>
      <c r="U298" s="26"/>
      <c r="V298" s="27"/>
    </row>
    <row r="299" spans="1:22" x14ac:dyDescent="0.25">
      <c r="A299" s="18" t="s">
        <v>34</v>
      </c>
      <c r="B299" s="18" t="s">
        <v>950</v>
      </c>
      <c r="C299" s="18" t="s">
        <v>35</v>
      </c>
      <c r="D299" s="18" t="s">
        <v>26</v>
      </c>
      <c r="E299" s="18" t="s">
        <v>36</v>
      </c>
      <c r="F299" s="18" t="s">
        <v>37</v>
      </c>
      <c r="G299" s="18" t="s">
        <v>32</v>
      </c>
      <c r="H299" s="19">
        <v>2009</v>
      </c>
      <c r="I299" s="18" t="s">
        <v>38</v>
      </c>
      <c r="J299" s="101" t="s">
        <v>27</v>
      </c>
      <c r="K299" s="20">
        <v>104</v>
      </c>
      <c r="L299" s="21">
        <v>39</v>
      </c>
      <c r="M299" s="22" t="s">
        <v>30</v>
      </c>
      <c r="N299" s="23">
        <v>39</v>
      </c>
      <c r="O299" s="24">
        <v>0.375</v>
      </c>
      <c r="P299" s="25" t="str">
        <f>IF(P300="x","x","")</f>
        <v/>
      </c>
      <c r="Q299" s="25" t="str">
        <f>IF(Q300="x","x","")</f>
        <v/>
      </c>
      <c r="R299" s="25" t="str">
        <f>IF(R300="x","x","")</f>
        <v/>
      </c>
      <c r="S299" s="25" t="str">
        <f>IF(S300="x","x","")</f>
        <v/>
      </c>
      <c r="T299" s="25" t="s">
        <v>27</v>
      </c>
      <c r="U299" s="26"/>
      <c r="V299" s="27"/>
    </row>
    <row r="300" spans="1:22" ht="16.5" thickBot="1" x14ac:dyDescent="0.3">
      <c r="A300" s="28" t="str">
        <f>A299</f>
        <v>Chad</v>
      </c>
      <c r="B300" s="28" t="str">
        <f>B299</f>
        <v>Sub-Saharan Africa</v>
      </c>
      <c r="C300" s="28" t="str">
        <f>C299</f>
        <v>P035672</v>
      </c>
      <c r="D300" s="28" t="s">
        <v>26</v>
      </c>
      <c r="E300" s="28" t="s">
        <v>27</v>
      </c>
      <c r="F300" s="28" t="str">
        <f>F299</f>
        <v>P035672C1S1</v>
      </c>
      <c r="G300" s="28" t="s">
        <v>16</v>
      </c>
      <c r="H300" s="29" t="str">
        <f>H298&amp;" / "&amp;H299</f>
        <v>2000 / 2009</v>
      </c>
      <c r="I300" s="29" t="str">
        <f>I299</f>
        <v>Strengthening</v>
      </c>
      <c r="J300" s="97" t="str">
        <f>IFERROR(J299/J298,"")</f>
        <v/>
      </c>
      <c r="K300" s="32">
        <f>K299/K298</f>
        <v>1</v>
      </c>
      <c r="L300" s="32">
        <f>L299/L298</f>
        <v>1.0973550928531233</v>
      </c>
      <c r="M300" s="28"/>
      <c r="N300" s="32">
        <f>N299/N298</f>
        <v>1.0973550928531233</v>
      </c>
      <c r="O300" s="32">
        <f>O299/O298</f>
        <v>1.0973550928531233</v>
      </c>
      <c r="P300" s="33" t="str">
        <f>IF(K300&lt;50%,"x","")</f>
        <v/>
      </c>
      <c r="Q300" s="33" t="str">
        <f>IF(K300&gt;150%,"x","")</f>
        <v/>
      </c>
      <c r="R300" s="33" t="str">
        <f>IF(O300&lt;50%,"x","")</f>
        <v/>
      </c>
      <c r="S300" s="33" t="str">
        <f>IF(O300&gt;150%,"x","")</f>
        <v/>
      </c>
      <c r="T300" s="33" t="s">
        <v>27</v>
      </c>
      <c r="U300" s="34" t="s">
        <v>27</v>
      </c>
      <c r="V300" s="35" t="s">
        <v>27</v>
      </c>
    </row>
    <row r="301" spans="1:22" ht="16.5" thickTop="1" x14ac:dyDescent="0.25">
      <c r="A301" s="18" t="s">
        <v>34</v>
      </c>
      <c r="B301" s="18" t="s">
        <v>950</v>
      </c>
      <c r="C301" s="18" t="s">
        <v>35</v>
      </c>
      <c r="D301" s="18" t="s">
        <v>26</v>
      </c>
      <c r="E301" s="18" t="s">
        <v>40</v>
      </c>
      <c r="F301" s="18" t="s">
        <v>41</v>
      </c>
      <c r="G301" s="18" t="s">
        <v>29</v>
      </c>
      <c r="H301" s="19">
        <v>2000</v>
      </c>
      <c r="I301" s="18" t="s">
        <v>387</v>
      </c>
      <c r="J301" s="101" t="s">
        <v>27</v>
      </c>
      <c r="K301" s="20">
        <v>286</v>
      </c>
      <c r="L301" s="21">
        <v>25.36</v>
      </c>
      <c r="M301" s="22" t="s">
        <v>30</v>
      </c>
      <c r="N301" s="23">
        <v>25.36</v>
      </c>
      <c r="O301" s="24">
        <v>8.8671328671328667E-2</v>
      </c>
      <c r="P301" s="25" t="str">
        <f>IF(P303="x","x","")</f>
        <v/>
      </c>
      <c r="Q301" s="25" t="str">
        <f>IF(Q303="x","x","")</f>
        <v/>
      </c>
      <c r="R301" s="25" t="str">
        <f>IF(R303="x","x","")</f>
        <v/>
      </c>
      <c r="S301" s="25" t="str">
        <f>IF(S303="x","x","")</f>
        <v>x</v>
      </c>
      <c r="T301" s="25" t="s">
        <v>31</v>
      </c>
      <c r="U301" s="26"/>
      <c r="V301" s="27"/>
    </row>
    <row r="302" spans="1:22" x14ac:dyDescent="0.25">
      <c r="A302" s="18" t="s">
        <v>34</v>
      </c>
      <c r="B302" s="18" t="s">
        <v>950</v>
      </c>
      <c r="C302" s="18" t="s">
        <v>35</v>
      </c>
      <c r="D302" s="18" t="s">
        <v>26</v>
      </c>
      <c r="E302" s="18" t="s">
        <v>40</v>
      </c>
      <c r="F302" s="18" t="s">
        <v>41</v>
      </c>
      <c r="G302" s="18" t="s">
        <v>32</v>
      </c>
      <c r="H302" s="19">
        <v>2009</v>
      </c>
      <c r="I302" s="18" t="s">
        <v>387</v>
      </c>
      <c r="J302" s="101" t="s">
        <v>27</v>
      </c>
      <c r="K302" s="20">
        <v>286</v>
      </c>
      <c r="L302" s="21">
        <v>44</v>
      </c>
      <c r="M302" s="22" t="s">
        <v>30</v>
      </c>
      <c r="N302" s="23">
        <v>44</v>
      </c>
      <c r="O302" s="24">
        <v>0.15384615384615385</v>
      </c>
      <c r="P302" s="25" t="str">
        <f>IF(P303="x","x","")</f>
        <v/>
      </c>
      <c r="Q302" s="25" t="str">
        <f>IF(Q303="x","x","")</f>
        <v/>
      </c>
      <c r="R302" s="25" t="str">
        <f>IF(R303="x","x","")</f>
        <v/>
      </c>
      <c r="S302" s="25" t="str">
        <f>IF(S303="x","x","")</f>
        <v>x</v>
      </c>
      <c r="T302" s="25" t="s">
        <v>31</v>
      </c>
      <c r="U302" s="26"/>
      <c r="V302" s="27"/>
    </row>
    <row r="303" spans="1:22" ht="20.25" customHeight="1" thickBot="1" x14ac:dyDescent="0.3">
      <c r="A303" s="28" t="str">
        <f>A302</f>
        <v>Chad</v>
      </c>
      <c r="B303" s="28" t="str">
        <f>B302</f>
        <v>Sub-Saharan Africa</v>
      </c>
      <c r="C303" s="28" t="str">
        <f>C302</f>
        <v>P035672</v>
      </c>
      <c r="D303" s="28" t="s">
        <v>26</v>
      </c>
      <c r="E303" s="28" t="s">
        <v>27</v>
      </c>
      <c r="F303" s="28" t="str">
        <f>F302</f>
        <v>P035672C1S2</v>
      </c>
      <c r="G303" s="28" t="s">
        <v>16</v>
      </c>
      <c r="H303" s="29" t="str">
        <f>H301&amp;" / "&amp;H302</f>
        <v>2000 / 2009</v>
      </c>
      <c r="I303" s="29" t="str">
        <f>I302</f>
        <v>Upgrading</v>
      </c>
      <c r="J303" s="97" t="str">
        <f>IFERROR(J302/J301,"")</f>
        <v/>
      </c>
      <c r="K303" s="32">
        <f>K302/K301</f>
        <v>1</v>
      </c>
      <c r="L303" s="32">
        <f>L302/L301</f>
        <v>1.7350157728706626</v>
      </c>
      <c r="M303" s="28"/>
      <c r="N303" s="32">
        <f>N302/N301</f>
        <v>1.7350157728706626</v>
      </c>
      <c r="O303" s="32">
        <f>O302/O301</f>
        <v>1.7350157728706626</v>
      </c>
      <c r="P303" s="33" t="str">
        <f>IF(K303&lt;50%,"x","")</f>
        <v/>
      </c>
      <c r="Q303" s="33" t="str">
        <f>IF(K303&gt;150%,"x","")</f>
        <v/>
      </c>
      <c r="R303" s="33" t="str">
        <f>IF(O303&lt;50%,"x","")</f>
        <v/>
      </c>
      <c r="S303" s="33" t="str">
        <f>IF(O303&gt;150%,"x","")</f>
        <v>x</v>
      </c>
      <c r="T303" s="33" t="s">
        <v>31</v>
      </c>
      <c r="U303" s="34" t="s">
        <v>1110</v>
      </c>
      <c r="V303" s="35" t="s">
        <v>1111</v>
      </c>
    </row>
    <row r="304" spans="1:22" ht="16.5" thickTop="1" x14ac:dyDescent="0.25">
      <c r="A304" s="18" t="s">
        <v>34</v>
      </c>
      <c r="B304" s="18" t="s">
        <v>950</v>
      </c>
      <c r="C304" s="18" t="s">
        <v>35</v>
      </c>
      <c r="D304" s="18" t="s">
        <v>42</v>
      </c>
      <c r="E304" s="18" t="s">
        <v>27</v>
      </c>
      <c r="F304" s="18" t="s">
        <v>43</v>
      </c>
      <c r="G304" s="18" t="s">
        <v>29</v>
      </c>
      <c r="H304" s="19">
        <v>2000</v>
      </c>
      <c r="I304" s="18" t="s">
        <v>44</v>
      </c>
      <c r="J304" s="101">
        <v>48</v>
      </c>
      <c r="K304" s="20">
        <v>441</v>
      </c>
      <c r="L304" s="21">
        <v>19.57</v>
      </c>
      <c r="M304" s="22" t="s">
        <v>30</v>
      </c>
      <c r="N304" s="23">
        <v>19.57</v>
      </c>
      <c r="O304" s="24">
        <v>4.4376417233560089E-2</v>
      </c>
      <c r="P304" s="25" t="str">
        <f>IF(P306="x","x","")</f>
        <v/>
      </c>
      <c r="Q304" s="25" t="str">
        <f>IF(Q306="x","x","")</f>
        <v/>
      </c>
      <c r="R304" s="25" t="str">
        <f>IF(R306="x","x","")</f>
        <v/>
      </c>
      <c r="S304" s="25" t="str">
        <f>IF(S306="x","x","")</f>
        <v/>
      </c>
      <c r="T304" s="25" t="s">
        <v>27</v>
      </c>
      <c r="U304" s="26"/>
      <c r="V304" s="27"/>
    </row>
    <row r="305" spans="1:22" x14ac:dyDescent="0.25">
      <c r="A305" s="18" t="s">
        <v>34</v>
      </c>
      <c r="B305" s="18" t="s">
        <v>950</v>
      </c>
      <c r="C305" s="18" t="s">
        <v>35</v>
      </c>
      <c r="D305" s="18" t="s">
        <v>42</v>
      </c>
      <c r="E305" s="18" t="s">
        <v>27</v>
      </c>
      <c r="F305" s="18" t="s">
        <v>43</v>
      </c>
      <c r="G305" s="18" t="s">
        <v>32</v>
      </c>
      <c r="H305" s="19">
        <v>2009</v>
      </c>
      <c r="I305" s="18" t="s">
        <v>44</v>
      </c>
      <c r="J305" s="101">
        <v>57</v>
      </c>
      <c r="K305" s="20">
        <v>441</v>
      </c>
      <c r="L305" s="21">
        <v>28</v>
      </c>
      <c r="M305" s="22" t="s">
        <v>30</v>
      </c>
      <c r="N305" s="23">
        <v>28</v>
      </c>
      <c r="O305" s="24">
        <v>6.3492063492063489E-2</v>
      </c>
      <c r="P305" s="25" t="str">
        <f>IF(P306="x","x","")</f>
        <v/>
      </c>
      <c r="Q305" s="25" t="str">
        <f>IF(Q306="x","x","")</f>
        <v/>
      </c>
      <c r="R305" s="25" t="str">
        <f>IF(R306="x","x","")</f>
        <v/>
      </c>
      <c r="S305" s="25" t="str">
        <f>IF(S306="x","x","")</f>
        <v/>
      </c>
      <c r="T305" s="25" t="s">
        <v>27</v>
      </c>
      <c r="U305" s="26"/>
      <c r="V305" s="27"/>
    </row>
    <row r="306" spans="1:22" ht="16.5" thickBot="1" x14ac:dyDescent="0.3">
      <c r="A306" s="28" t="str">
        <f>A305</f>
        <v>Chad</v>
      </c>
      <c r="B306" s="28" t="str">
        <f>B305</f>
        <v>Sub-Saharan Africa</v>
      </c>
      <c r="C306" s="28" t="str">
        <f>C305</f>
        <v>P035672</v>
      </c>
      <c r="D306" s="28" t="s">
        <v>26</v>
      </c>
      <c r="E306" s="28" t="s">
        <v>27</v>
      </c>
      <c r="F306" s="28" t="str">
        <f>F305</f>
        <v>P035672C2</v>
      </c>
      <c r="G306" s="28" t="s">
        <v>16</v>
      </c>
      <c r="H306" s="29" t="str">
        <f>H304&amp;" / "&amp;H305</f>
        <v>2000 / 2009</v>
      </c>
      <c r="I306" s="29" t="str">
        <f>I305</f>
        <v>Routine Maintenance</v>
      </c>
      <c r="J306" s="97">
        <f>IFERROR(J305/J304,"")</f>
        <v>1.1875</v>
      </c>
      <c r="K306" s="32">
        <f>K305/K304</f>
        <v>1</v>
      </c>
      <c r="L306" s="32">
        <f>L305/L304</f>
        <v>1.430761369443025</v>
      </c>
      <c r="M306" s="28"/>
      <c r="N306" s="32">
        <f>N305/N304</f>
        <v>1.430761369443025</v>
      </c>
      <c r="O306" s="32">
        <f>O305/O304</f>
        <v>1.430761369443025</v>
      </c>
      <c r="P306" s="33" t="str">
        <f>IF(K306&lt;50%,"x","")</f>
        <v/>
      </c>
      <c r="Q306" s="33" t="str">
        <f>IF(K306&gt;150%,"x","")</f>
        <v/>
      </c>
      <c r="R306" s="33" t="str">
        <f>IF(O306&lt;50%,"x","")</f>
        <v/>
      </c>
      <c r="S306" s="33" t="str">
        <f>IF(O306&gt;150%,"x","")</f>
        <v/>
      </c>
      <c r="T306" s="33" t="s">
        <v>27</v>
      </c>
      <c r="U306" s="34" t="s">
        <v>27</v>
      </c>
      <c r="V306" s="35" t="s">
        <v>27</v>
      </c>
    </row>
    <row r="307" spans="1:22" ht="16.5" thickTop="1" x14ac:dyDescent="0.25">
      <c r="A307" s="103" t="s">
        <v>34</v>
      </c>
      <c r="B307" s="18" t="s">
        <v>950</v>
      </c>
      <c r="C307" s="18" t="s">
        <v>1238</v>
      </c>
      <c r="D307" s="18" t="s">
        <v>26</v>
      </c>
      <c r="E307" s="18" t="s">
        <v>27</v>
      </c>
      <c r="F307" s="18" t="s">
        <v>1269</v>
      </c>
      <c r="G307" s="18" t="s">
        <v>29</v>
      </c>
      <c r="H307" s="19">
        <v>2009</v>
      </c>
      <c r="I307" s="18" t="s">
        <v>78</v>
      </c>
      <c r="J307" s="101">
        <v>28</v>
      </c>
      <c r="K307" s="20">
        <v>110</v>
      </c>
      <c r="L307" s="21">
        <v>44.715040999999999</v>
      </c>
      <c r="M307" s="22" t="s">
        <v>1241</v>
      </c>
      <c r="N307" s="23">
        <v>30.473122478464724</v>
      </c>
      <c r="O307" s="24">
        <v>0.27702838616786113</v>
      </c>
      <c r="P307" s="25" t="s">
        <v>31</v>
      </c>
      <c r="Q307" s="25" t="s">
        <v>27</v>
      </c>
      <c r="R307" s="25" t="s">
        <v>31</v>
      </c>
      <c r="S307" s="25"/>
      <c r="T307" s="25"/>
      <c r="U307" s="26"/>
      <c r="V307" s="27"/>
    </row>
    <row r="308" spans="1:22" x14ac:dyDescent="0.25">
      <c r="A308" s="18" t="s">
        <v>34</v>
      </c>
      <c r="B308" s="18" t="s">
        <v>950</v>
      </c>
      <c r="C308" s="18" t="s">
        <v>1238</v>
      </c>
      <c r="D308" s="18" t="s">
        <v>26</v>
      </c>
      <c r="E308" s="18" t="s">
        <v>27</v>
      </c>
      <c r="F308" s="18" t="s">
        <v>1269</v>
      </c>
      <c r="G308" s="18" t="s">
        <v>32</v>
      </c>
      <c r="H308" s="19">
        <v>2017</v>
      </c>
      <c r="I308" s="18" t="s">
        <v>78</v>
      </c>
      <c r="J308" s="101">
        <v>28</v>
      </c>
      <c r="K308" s="20">
        <v>110</v>
      </c>
      <c r="L308" s="21">
        <v>75.256649890000006</v>
      </c>
      <c r="M308" s="22" t="s">
        <v>1241</v>
      </c>
      <c r="N308" s="23">
        <v>53.169129933164719</v>
      </c>
      <c r="O308" s="24">
        <v>0.48335572666513382</v>
      </c>
      <c r="P308" s="25" t="s">
        <v>31</v>
      </c>
      <c r="Q308" s="25" t="s">
        <v>27</v>
      </c>
      <c r="R308" s="25" t="s">
        <v>31</v>
      </c>
      <c r="S308" s="25"/>
      <c r="T308" s="25"/>
      <c r="U308" s="26"/>
      <c r="V308" s="27"/>
    </row>
    <row r="309" spans="1:22" ht="15" customHeight="1" thickBot="1" x14ac:dyDescent="0.3">
      <c r="A309" s="28" t="str">
        <f>A308</f>
        <v>Chad</v>
      </c>
      <c r="B309" s="28" t="str">
        <f>B308</f>
        <v>Sub-Saharan Africa</v>
      </c>
      <c r="C309" s="28" t="str">
        <f>C308</f>
        <v>AfDB project - P-TD-DB0-008</v>
      </c>
      <c r="D309" s="28" t="s">
        <v>26</v>
      </c>
      <c r="E309" s="28" t="s">
        <v>27</v>
      </c>
      <c r="F309" s="28" t="str">
        <f>F308</f>
        <v>AfDB project - P-TD-DB0-008C1</v>
      </c>
      <c r="G309" s="28" t="s">
        <v>16</v>
      </c>
      <c r="H309" s="29" t="str">
        <f>H307&amp;" / "&amp;H308</f>
        <v>2009 / 2017</v>
      </c>
      <c r="I309" s="29" t="str">
        <f>I308</f>
        <v>Surface Treatment Resurfacing</v>
      </c>
      <c r="J309" s="97">
        <f>IFERROR(J308/J307,"")</f>
        <v>1</v>
      </c>
      <c r="K309" s="32">
        <f>K308/K307</f>
        <v>1</v>
      </c>
      <c r="L309" s="32">
        <f>L308/L307</f>
        <v>1.683027639178504</v>
      </c>
      <c r="M309" s="28"/>
      <c r="N309" s="32">
        <f>N308/N307</f>
        <v>1.7447877214006935</v>
      </c>
      <c r="O309" s="32">
        <f>O308/O307</f>
        <v>1.7447877214006935</v>
      </c>
      <c r="P309" s="33" t="s">
        <v>31</v>
      </c>
      <c r="Q309" s="33" t="s">
        <v>27</v>
      </c>
      <c r="R309" s="33" t="s">
        <v>31</v>
      </c>
      <c r="S309" s="33" t="s">
        <v>1309</v>
      </c>
      <c r="T309" s="33" t="s">
        <v>1310</v>
      </c>
      <c r="U309" s="34" t="s">
        <v>1311</v>
      </c>
      <c r="V309" s="35" t="s">
        <v>1312</v>
      </c>
    </row>
    <row r="310" spans="1:22" ht="16.5" thickTop="1" x14ac:dyDescent="0.25">
      <c r="A310" s="18" t="s">
        <v>81</v>
      </c>
      <c r="B310" s="18" t="s">
        <v>945</v>
      </c>
      <c r="C310" s="18" t="s">
        <v>82</v>
      </c>
      <c r="D310" s="18" t="s">
        <v>26</v>
      </c>
      <c r="E310" s="18" t="s">
        <v>27</v>
      </c>
      <c r="F310" s="18" t="s">
        <v>83</v>
      </c>
      <c r="G310" s="18" t="s">
        <v>29</v>
      </c>
      <c r="H310" s="19">
        <v>2000</v>
      </c>
      <c r="I310" s="18" t="s">
        <v>84</v>
      </c>
      <c r="J310" s="101">
        <v>54</v>
      </c>
      <c r="K310" s="20">
        <v>31.25</v>
      </c>
      <c r="L310" s="21">
        <v>194.8</v>
      </c>
      <c r="M310" s="22" t="s">
        <v>30</v>
      </c>
      <c r="N310" s="23">
        <v>194.8</v>
      </c>
      <c r="O310" s="24">
        <v>6.2336</v>
      </c>
      <c r="P310" s="25" t="str">
        <f>IF(P312="x","x","")</f>
        <v/>
      </c>
      <c r="Q310" s="25" t="str">
        <f>IF(Q312="x","x","")</f>
        <v/>
      </c>
      <c r="R310" s="25" t="str">
        <f>IF(R312="x","x","")</f>
        <v/>
      </c>
      <c r="S310" s="25" t="str">
        <f>IF(S312="x","x","")</f>
        <v/>
      </c>
      <c r="T310" s="25" t="s">
        <v>27</v>
      </c>
      <c r="U310" s="26"/>
      <c r="V310" s="27"/>
    </row>
    <row r="311" spans="1:22" x14ac:dyDescent="0.25">
      <c r="A311" s="18" t="s">
        <v>81</v>
      </c>
      <c r="B311" s="18" t="s">
        <v>945</v>
      </c>
      <c r="C311" s="18" t="s">
        <v>82</v>
      </c>
      <c r="D311" s="18" t="s">
        <v>26</v>
      </c>
      <c r="E311" s="18" t="s">
        <v>27</v>
      </c>
      <c r="F311" s="18" t="s">
        <v>83</v>
      </c>
      <c r="G311" s="18" t="s">
        <v>32</v>
      </c>
      <c r="H311" s="19">
        <v>2008</v>
      </c>
      <c r="I311" s="18" t="s">
        <v>84</v>
      </c>
      <c r="J311" s="101">
        <v>54</v>
      </c>
      <c r="K311" s="20">
        <v>31.25</v>
      </c>
      <c r="L311" s="21">
        <v>216.4</v>
      </c>
      <c r="M311" s="22" t="s">
        <v>30</v>
      </c>
      <c r="N311" s="23">
        <v>216.4</v>
      </c>
      <c r="O311" s="24">
        <v>6.9248000000000003</v>
      </c>
      <c r="P311" s="25" t="str">
        <f>IF(P312="x","x","")</f>
        <v/>
      </c>
      <c r="Q311" s="25" t="str">
        <f>IF(Q312="x","x","")</f>
        <v/>
      </c>
      <c r="R311" s="25" t="str">
        <f>IF(R312="x","x","")</f>
        <v/>
      </c>
      <c r="S311" s="25" t="str">
        <f>IF(S312="x","x","")</f>
        <v/>
      </c>
      <c r="T311" s="25" t="s">
        <v>27</v>
      </c>
      <c r="U311" s="26"/>
      <c r="V311" s="27"/>
    </row>
    <row r="312" spans="1:22" ht="16.5" thickBot="1" x14ac:dyDescent="0.3">
      <c r="A312" s="28" t="str">
        <f>A311</f>
        <v>China</v>
      </c>
      <c r="B312" s="28" t="str">
        <f>B311</f>
        <v>East Asia and Pacific</v>
      </c>
      <c r="C312" s="28" t="str">
        <f>C311</f>
        <v>P045915</v>
      </c>
      <c r="D312" s="28" t="s">
        <v>26</v>
      </c>
      <c r="E312" s="28" t="s">
        <v>27</v>
      </c>
      <c r="F312" s="28" t="str">
        <f>F311</f>
        <v>P045915C1</v>
      </c>
      <c r="G312" s="28" t="s">
        <v>16</v>
      </c>
      <c r="H312" s="29" t="str">
        <f>H310&amp;" / "&amp;H311</f>
        <v>2000 / 2008</v>
      </c>
      <c r="I312" s="29" t="str">
        <f>I311</f>
        <v>New 6L Expressway</v>
      </c>
      <c r="J312" s="97">
        <f>IFERROR(J311/J310,"")</f>
        <v>1</v>
      </c>
      <c r="K312" s="32">
        <f>K311/K310</f>
        <v>1</v>
      </c>
      <c r="L312" s="32">
        <f>L311/L310</f>
        <v>1.1108829568788501</v>
      </c>
      <c r="M312" s="28"/>
      <c r="N312" s="32">
        <f>N311/N310</f>
        <v>1.1108829568788501</v>
      </c>
      <c r="O312" s="32">
        <f>O311/O310</f>
        <v>1.1108829568788501</v>
      </c>
      <c r="P312" s="33" t="str">
        <f>IF(K312&lt;50%,"x","")</f>
        <v/>
      </c>
      <c r="Q312" s="33" t="str">
        <f>IF(K312&gt;150%,"x","")</f>
        <v/>
      </c>
      <c r="R312" s="33" t="str">
        <f>IF(O312&lt;50%,"x","")</f>
        <v/>
      </c>
      <c r="S312" s="33" t="str">
        <f>IF(O312&gt;150%,"x","")</f>
        <v/>
      </c>
      <c r="T312" s="33" t="s">
        <v>27</v>
      </c>
      <c r="U312" s="34" t="s">
        <v>27</v>
      </c>
      <c r="V312" s="35" t="s">
        <v>27</v>
      </c>
    </row>
    <row r="313" spans="1:22" ht="16.5" thickTop="1" x14ac:dyDescent="0.25">
      <c r="A313" s="18" t="s">
        <v>81</v>
      </c>
      <c r="B313" s="18" t="s">
        <v>945</v>
      </c>
      <c r="C313" s="18" t="s">
        <v>99</v>
      </c>
      <c r="D313" s="18" t="s">
        <v>26</v>
      </c>
      <c r="E313" s="18" t="s">
        <v>27</v>
      </c>
      <c r="F313" s="18" t="s">
        <v>100</v>
      </c>
      <c r="G313" s="18" t="s">
        <v>29</v>
      </c>
      <c r="H313" s="19">
        <v>2001</v>
      </c>
      <c r="I313" s="18" t="s">
        <v>56</v>
      </c>
      <c r="J313" s="101" t="s">
        <v>27</v>
      </c>
      <c r="K313" s="20">
        <v>32.9</v>
      </c>
      <c r="L313" s="21">
        <v>170.3</v>
      </c>
      <c r="M313" s="22" t="s">
        <v>30</v>
      </c>
      <c r="N313" s="23">
        <v>170.3</v>
      </c>
      <c r="O313" s="24">
        <v>5.1762917933130703</v>
      </c>
      <c r="P313" s="25" t="str">
        <f>IF(P315="x","x","")</f>
        <v/>
      </c>
      <c r="Q313" s="25" t="str">
        <f>IF(Q315="x","x","")</f>
        <v/>
      </c>
      <c r="R313" s="25" t="str">
        <f>IF(R315="x","x","")</f>
        <v/>
      </c>
      <c r="S313" s="25" t="str">
        <f>IF(S315="x","x","")</f>
        <v/>
      </c>
      <c r="T313" s="25" t="s">
        <v>27</v>
      </c>
      <c r="U313" s="26"/>
      <c r="V313" s="27"/>
    </row>
    <row r="314" spans="1:22" x14ac:dyDescent="0.25">
      <c r="A314" s="18" t="s">
        <v>81</v>
      </c>
      <c r="B314" s="18" t="s">
        <v>945</v>
      </c>
      <c r="C314" s="18" t="s">
        <v>99</v>
      </c>
      <c r="D314" s="18" t="s">
        <v>26</v>
      </c>
      <c r="E314" s="18" t="s">
        <v>27</v>
      </c>
      <c r="F314" s="18" t="s">
        <v>100</v>
      </c>
      <c r="G314" s="18" t="s">
        <v>32</v>
      </c>
      <c r="H314" s="19">
        <v>2009</v>
      </c>
      <c r="I314" s="18" t="s">
        <v>56</v>
      </c>
      <c r="J314" s="101" t="s">
        <v>27</v>
      </c>
      <c r="K314" s="20">
        <v>43.4</v>
      </c>
      <c r="L314" s="21">
        <v>204.5</v>
      </c>
      <c r="M314" s="22" t="s">
        <v>30</v>
      </c>
      <c r="N314" s="23">
        <v>204.5</v>
      </c>
      <c r="O314" s="24">
        <v>4.7119815668202767</v>
      </c>
      <c r="P314" s="25" t="str">
        <f>IF(P315="x","x","")</f>
        <v/>
      </c>
      <c r="Q314" s="25" t="str">
        <f>IF(Q315="x","x","")</f>
        <v/>
      </c>
      <c r="R314" s="25" t="str">
        <f>IF(R315="x","x","")</f>
        <v/>
      </c>
      <c r="S314" s="25" t="str">
        <f>IF(S315="x","x","")</f>
        <v/>
      </c>
      <c r="T314" s="25" t="s">
        <v>27</v>
      </c>
      <c r="U314" s="26"/>
      <c r="V314" s="27"/>
    </row>
    <row r="315" spans="1:22" ht="16.5" thickBot="1" x14ac:dyDescent="0.3">
      <c r="A315" s="28" t="str">
        <f>A314</f>
        <v>China</v>
      </c>
      <c r="B315" s="28" t="str">
        <f>B314</f>
        <v>East Asia and Pacific</v>
      </c>
      <c r="C315" s="28" t="str">
        <f>C314</f>
        <v xml:space="preserve">P056596 </v>
      </c>
      <c r="D315" s="28" t="s">
        <v>26</v>
      </c>
      <c r="E315" s="28" t="s">
        <v>27</v>
      </c>
      <c r="F315" s="28" t="str">
        <f>F314</f>
        <v>P056596 C1</v>
      </c>
      <c r="G315" s="28" t="s">
        <v>16</v>
      </c>
      <c r="H315" s="29" t="str">
        <f>H313&amp;" / "&amp;H314</f>
        <v>2001 / 2009</v>
      </c>
      <c r="I315" s="29" t="str">
        <f>I314</f>
        <v>Widening</v>
      </c>
      <c r="J315" s="97" t="str">
        <f>IFERROR(J314/J313,"")</f>
        <v/>
      </c>
      <c r="K315" s="32">
        <f>K314/K313</f>
        <v>1.3191489361702127</v>
      </c>
      <c r="L315" s="32">
        <f>L314/L313</f>
        <v>1.2008220786846739</v>
      </c>
      <c r="M315" s="28"/>
      <c r="N315" s="32">
        <f>N314/N313</f>
        <v>1.2008220786846739</v>
      </c>
      <c r="O315" s="32">
        <f>O314/O313</f>
        <v>0.91030060803515611</v>
      </c>
      <c r="P315" s="33" t="str">
        <f>IF(K315&lt;50%,"x","")</f>
        <v/>
      </c>
      <c r="Q315" s="33" t="str">
        <f>IF(K315&gt;150%,"x","")</f>
        <v/>
      </c>
      <c r="R315" s="33" t="str">
        <f>IF(O315&lt;50%,"x","")</f>
        <v/>
      </c>
      <c r="S315" s="33" t="str">
        <f>IF(O315&gt;150%,"x","")</f>
        <v/>
      </c>
      <c r="T315" s="33" t="s">
        <v>27</v>
      </c>
      <c r="U315" s="34" t="s">
        <v>27</v>
      </c>
      <c r="V315" s="35" t="s">
        <v>27</v>
      </c>
    </row>
    <row r="316" spans="1:22" ht="16.5" thickTop="1" x14ac:dyDescent="0.25">
      <c r="A316" s="18" t="s">
        <v>81</v>
      </c>
      <c r="B316" s="18" t="s">
        <v>945</v>
      </c>
      <c r="C316" s="18" t="s">
        <v>106</v>
      </c>
      <c r="D316" s="18" t="s">
        <v>26</v>
      </c>
      <c r="E316" s="18" t="s">
        <v>27</v>
      </c>
      <c r="F316" s="18" t="s">
        <v>107</v>
      </c>
      <c r="G316" s="18" t="s">
        <v>29</v>
      </c>
      <c r="H316" s="19">
        <v>2000</v>
      </c>
      <c r="I316" s="18" t="s">
        <v>68</v>
      </c>
      <c r="J316" s="101">
        <v>48</v>
      </c>
      <c r="K316" s="20">
        <v>236</v>
      </c>
      <c r="L316" s="21">
        <v>56.72</v>
      </c>
      <c r="M316" s="22" t="s">
        <v>30</v>
      </c>
      <c r="N316" s="23">
        <v>56.72</v>
      </c>
      <c r="O316" s="24">
        <v>0.24033898305084744</v>
      </c>
      <c r="P316" s="25" t="str">
        <f>IF(P318="x","x","")</f>
        <v/>
      </c>
      <c r="Q316" s="25" t="str">
        <f>IF(Q318="x","x","")</f>
        <v/>
      </c>
      <c r="R316" s="25" t="str">
        <f>IF(R318="x","x","")</f>
        <v/>
      </c>
      <c r="S316" s="25" t="str">
        <f>IF(S318="x","x","")</f>
        <v/>
      </c>
      <c r="T316" s="25" t="s">
        <v>27</v>
      </c>
      <c r="U316" s="26"/>
      <c r="V316" s="27"/>
    </row>
    <row r="317" spans="1:22" x14ac:dyDescent="0.25">
      <c r="A317" s="18" t="s">
        <v>81</v>
      </c>
      <c r="B317" s="18" t="s">
        <v>945</v>
      </c>
      <c r="C317" s="18" t="s">
        <v>106</v>
      </c>
      <c r="D317" s="18" t="s">
        <v>26</v>
      </c>
      <c r="E317" s="18" t="s">
        <v>27</v>
      </c>
      <c r="F317" s="18" t="s">
        <v>107</v>
      </c>
      <c r="G317" s="18" t="s">
        <v>32</v>
      </c>
      <c r="H317" s="19">
        <v>2007</v>
      </c>
      <c r="I317" s="18" t="s">
        <v>68</v>
      </c>
      <c r="J317" s="101">
        <v>60</v>
      </c>
      <c r="K317" s="20">
        <v>231.1</v>
      </c>
      <c r="L317" s="21">
        <v>48.61</v>
      </c>
      <c r="M317" s="22" t="s">
        <v>30</v>
      </c>
      <c r="N317" s="23">
        <v>48.61</v>
      </c>
      <c r="O317" s="24">
        <v>0.21034184335785375</v>
      </c>
      <c r="P317" s="25" t="str">
        <f>IF(P318="x","x","")</f>
        <v/>
      </c>
      <c r="Q317" s="25" t="str">
        <f>IF(Q318="x","x","")</f>
        <v/>
      </c>
      <c r="R317" s="25" t="str">
        <f>IF(R318="x","x","")</f>
        <v/>
      </c>
      <c r="S317" s="25" t="str">
        <f>IF(S318="x","x","")</f>
        <v/>
      </c>
      <c r="T317" s="25" t="s">
        <v>27</v>
      </c>
      <c r="U317" s="26"/>
      <c r="V317" s="27"/>
    </row>
    <row r="318" spans="1:22" ht="16.5" thickBot="1" x14ac:dyDescent="0.3">
      <c r="A318" s="28" t="str">
        <f>A317</f>
        <v>China</v>
      </c>
      <c r="B318" s="28" t="str">
        <f>B317</f>
        <v>East Asia and Pacific</v>
      </c>
      <c r="C318" s="28" t="str">
        <f>C317</f>
        <v>P058843</v>
      </c>
      <c r="D318" s="28" t="s">
        <v>26</v>
      </c>
      <c r="E318" s="28" t="s">
        <v>27</v>
      </c>
      <c r="F318" s="28" t="str">
        <f>F317</f>
        <v>P058843C1</v>
      </c>
      <c r="G318" s="28" t="s">
        <v>16</v>
      </c>
      <c r="H318" s="29" t="str">
        <f>H316&amp;" / "&amp;H317</f>
        <v>2000 / 2007</v>
      </c>
      <c r="I318" s="29" t="str">
        <f>I317</f>
        <v>Asphalt Mix Resurfacing</v>
      </c>
      <c r="J318" s="97">
        <f>IFERROR(J317/J316,"")</f>
        <v>1.25</v>
      </c>
      <c r="K318" s="32">
        <f>K317/K316</f>
        <v>0.97923728813559319</v>
      </c>
      <c r="L318" s="32">
        <f>L317/L316</f>
        <v>0.85701692524682649</v>
      </c>
      <c r="M318" s="28"/>
      <c r="N318" s="32">
        <f>N317/N316</f>
        <v>0.85701692524682649</v>
      </c>
      <c r="O318" s="32">
        <f>O317/O316</f>
        <v>0.87518820579078782</v>
      </c>
      <c r="P318" s="33" t="str">
        <f>IF(K318&lt;50%,"x","")</f>
        <v/>
      </c>
      <c r="Q318" s="33" t="str">
        <f>IF(K318&gt;150%,"x","")</f>
        <v/>
      </c>
      <c r="R318" s="33" t="str">
        <f>IF(O318&lt;50%,"x","")</f>
        <v/>
      </c>
      <c r="S318" s="33" t="str">
        <f>IF(O318&gt;150%,"x","")</f>
        <v/>
      </c>
      <c r="T318" s="33" t="s">
        <v>27</v>
      </c>
      <c r="U318" s="34" t="s">
        <v>27</v>
      </c>
      <c r="V318" s="35" t="s">
        <v>27</v>
      </c>
    </row>
    <row r="319" spans="1:22" ht="16.5" thickTop="1" x14ac:dyDescent="0.25">
      <c r="A319" s="18" t="s">
        <v>81</v>
      </c>
      <c r="B319" s="18" t="s">
        <v>945</v>
      </c>
      <c r="C319" s="18" t="s">
        <v>109</v>
      </c>
      <c r="D319" s="18" t="s">
        <v>26</v>
      </c>
      <c r="E319" s="18" t="s">
        <v>36</v>
      </c>
      <c r="F319" s="18" t="s">
        <v>110</v>
      </c>
      <c r="G319" s="18" t="s">
        <v>29</v>
      </c>
      <c r="H319" s="19">
        <v>2001</v>
      </c>
      <c r="I319" s="18" t="s">
        <v>111</v>
      </c>
      <c r="J319" s="101" t="s">
        <v>27</v>
      </c>
      <c r="K319" s="20">
        <v>130</v>
      </c>
      <c r="L319" s="21">
        <v>397</v>
      </c>
      <c r="M319" s="22" t="s">
        <v>30</v>
      </c>
      <c r="N319" s="23">
        <v>397</v>
      </c>
      <c r="O319" s="24">
        <v>3.0538461538461537</v>
      </c>
      <c r="P319" s="25" t="str">
        <f>IF(P321="x","x","")</f>
        <v/>
      </c>
      <c r="Q319" s="25" t="str">
        <f>IF(Q321="x","x","")</f>
        <v/>
      </c>
      <c r="R319" s="25" t="str">
        <f>IF(R321="x","x","")</f>
        <v/>
      </c>
      <c r="S319" s="25" t="str">
        <f>IF(S321="x","x","")</f>
        <v/>
      </c>
      <c r="T319" s="25" t="s">
        <v>27</v>
      </c>
      <c r="U319" s="26"/>
      <c r="V319" s="27"/>
    </row>
    <row r="320" spans="1:22" x14ac:dyDescent="0.25">
      <c r="A320" s="18" t="s">
        <v>81</v>
      </c>
      <c r="B320" s="18" t="s">
        <v>945</v>
      </c>
      <c r="C320" s="18" t="s">
        <v>109</v>
      </c>
      <c r="D320" s="18" t="s">
        <v>26</v>
      </c>
      <c r="E320" s="18" t="s">
        <v>36</v>
      </c>
      <c r="F320" s="18" t="s">
        <v>110</v>
      </c>
      <c r="G320" s="18" t="s">
        <v>32</v>
      </c>
      <c r="H320" s="19">
        <v>2007</v>
      </c>
      <c r="I320" s="18" t="s">
        <v>111</v>
      </c>
      <c r="J320" s="101">
        <v>25</v>
      </c>
      <c r="K320" s="20">
        <v>128</v>
      </c>
      <c r="L320" s="21">
        <v>271</v>
      </c>
      <c r="M320" s="22" t="s">
        <v>30</v>
      </c>
      <c r="N320" s="23">
        <v>271</v>
      </c>
      <c r="O320" s="24">
        <v>2.1171875</v>
      </c>
      <c r="P320" s="25" t="str">
        <f>IF(P321="x","x","")</f>
        <v/>
      </c>
      <c r="Q320" s="25" t="str">
        <f>IF(Q321="x","x","")</f>
        <v/>
      </c>
      <c r="R320" s="25" t="str">
        <f>IF(R321="x","x","")</f>
        <v/>
      </c>
      <c r="S320" s="25" t="str">
        <f>IF(S321="x","x","")</f>
        <v/>
      </c>
      <c r="T320" s="25" t="s">
        <v>27</v>
      </c>
      <c r="U320" s="26"/>
      <c r="V320" s="27"/>
    </row>
    <row r="321" spans="1:22" ht="16.5" thickBot="1" x14ac:dyDescent="0.3">
      <c r="A321" s="28" t="str">
        <f>A320</f>
        <v>China</v>
      </c>
      <c r="B321" s="28" t="str">
        <f>B320</f>
        <v>East Asia and Pacific</v>
      </c>
      <c r="C321" s="28" t="str">
        <f>C320</f>
        <v>P058845</v>
      </c>
      <c r="D321" s="28" t="s">
        <v>26</v>
      </c>
      <c r="E321" s="28" t="s">
        <v>27</v>
      </c>
      <c r="F321" s="28" t="str">
        <f>F320</f>
        <v>P058845C1S1</v>
      </c>
      <c r="G321" s="28" t="s">
        <v>16</v>
      </c>
      <c r="H321" s="29" t="str">
        <f>H319&amp;" / "&amp;H320</f>
        <v>2001 / 2007</v>
      </c>
      <c r="I321" s="29" t="str">
        <f>I320</f>
        <v>New 4L Expressway</v>
      </c>
      <c r="J321" s="97" t="str">
        <f>IFERROR(J320/J319,"")</f>
        <v/>
      </c>
      <c r="K321" s="32">
        <f>K320/K319</f>
        <v>0.98461538461538467</v>
      </c>
      <c r="L321" s="32">
        <f>L320/L319</f>
        <v>0.68261964735516378</v>
      </c>
      <c r="M321" s="28"/>
      <c r="N321" s="32">
        <f>N320/N319</f>
        <v>0.68261964735516378</v>
      </c>
      <c r="O321" s="32">
        <f>O320/O319</f>
        <v>0.69328557934508817</v>
      </c>
      <c r="P321" s="33" t="str">
        <f>IF(K321&lt;50%,"x","")</f>
        <v/>
      </c>
      <c r="Q321" s="33" t="str">
        <f>IF(K321&gt;150%,"x","")</f>
        <v/>
      </c>
      <c r="R321" s="33" t="str">
        <f>IF(O321&lt;50%,"x","")</f>
        <v/>
      </c>
      <c r="S321" s="33" t="str">
        <f>IF(O321&gt;150%,"x","")</f>
        <v/>
      </c>
      <c r="T321" s="33" t="s">
        <v>27</v>
      </c>
      <c r="U321" s="34" t="s">
        <v>27</v>
      </c>
      <c r="V321" s="35" t="s">
        <v>27</v>
      </c>
    </row>
    <row r="322" spans="1:22" ht="16.5" thickTop="1" x14ac:dyDescent="0.25">
      <c r="A322" s="18" t="s">
        <v>81</v>
      </c>
      <c r="B322" s="18" t="s">
        <v>945</v>
      </c>
      <c r="C322" s="18" t="s">
        <v>109</v>
      </c>
      <c r="D322" s="18" t="s">
        <v>42</v>
      </c>
      <c r="E322" s="18" t="s">
        <v>27</v>
      </c>
      <c r="F322" s="18" t="s">
        <v>112</v>
      </c>
      <c r="G322" s="18" t="s">
        <v>29</v>
      </c>
      <c r="H322" s="19">
        <v>2001</v>
      </c>
      <c r="I322" s="18" t="s">
        <v>387</v>
      </c>
      <c r="J322" s="101" t="s">
        <v>27</v>
      </c>
      <c r="K322" s="20">
        <v>180</v>
      </c>
      <c r="L322" s="21">
        <v>33.85</v>
      </c>
      <c r="M322" s="22" t="s">
        <v>30</v>
      </c>
      <c r="N322" s="23">
        <v>33.85</v>
      </c>
      <c r="O322" s="24">
        <v>0.18805555555555556</v>
      </c>
      <c r="P322" s="25" t="str">
        <f>IF(P324="x","x","")</f>
        <v/>
      </c>
      <c r="Q322" s="25" t="str">
        <f>IF(Q324="x","x","")</f>
        <v/>
      </c>
      <c r="R322" s="25" t="str">
        <f>IF(R324="x","x","")</f>
        <v/>
      </c>
      <c r="S322" s="25" t="str">
        <f>IF(S324="x","x","")</f>
        <v/>
      </c>
      <c r="T322" s="25" t="s">
        <v>27</v>
      </c>
      <c r="U322" s="26"/>
      <c r="V322" s="27"/>
    </row>
    <row r="323" spans="1:22" x14ac:dyDescent="0.25">
      <c r="A323" s="18" t="s">
        <v>81</v>
      </c>
      <c r="B323" s="18" t="s">
        <v>945</v>
      </c>
      <c r="C323" s="18" t="s">
        <v>109</v>
      </c>
      <c r="D323" s="18" t="s">
        <v>42</v>
      </c>
      <c r="E323" s="18" t="s">
        <v>27</v>
      </c>
      <c r="F323" s="18" t="s">
        <v>112</v>
      </c>
      <c r="G323" s="18" t="s">
        <v>32</v>
      </c>
      <c r="H323" s="19">
        <v>2007</v>
      </c>
      <c r="I323" s="18" t="s">
        <v>387</v>
      </c>
      <c r="J323" s="101">
        <v>15</v>
      </c>
      <c r="K323" s="20">
        <v>182</v>
      </c>
      <c r="L323" s="21">
        <v>26.8</v>
      </c>
      <c r="M323" s="22" t="s">
        <v>30</v>
      </c>
      <c r="N323" s="23">
        <v>26.8</v>
      </c>
      <c r="O323" s="24">
        <v>0.14725274725274726</v>
      </c>
      <c r="P323" s="25" t="str">
        <f>IF(P324="x","x","")</f>
        <v/>
      </c>
      <c r="Q323" s="25" t="str">
        <f>IF(Q324="x","x","")</f>
        <v/>
      </c>
      <c r="R323" s="25" t="str">
        <f>IF(R324="x","x","")</f>
        <v/>
      </c>
      <c r="S323" s="25" t="str">
        <f>IF(S324="x","x","")</f>
        <v/>
      </c>
      <c r="T323" s="25" t="s">
        <v>27</v>
      </c>
      <c r="U323" s="26"/>
      <c r="V323" s="27"/>
    </row>
    <row r="324" spans="1:22" ht="16.5" thickBot="1" x14ac:dyDescent="0.3">
      <c r="A324" s="28" t="str">
        <f>A323</f>
        <v>China</v>
      </c>
      <c r="B324" s="28" t="str">
        <f>B323</f>
        <v>East Asia and Pacific</v>
      </c>
      <c r="C324" s="28" t="str">
        <f>C323</f>
        <v>P058845</v>
      </c>
      <c r="D324" s="28" t="s">
        <v>26</v>
      </c>
      <c r="E324" s="28" t="s">
        <v>27</v>
      </c>
      <c r="F324" s="28" t="str">
        <f>F323</f>
        <v>P058845C2</v>
      </c>
      <c r="G324" s="28" t="s">
        <v>16</v>
      </c>
      <c r="H324" s="29" t="str">
        <f>H322&amp;" / "&amp;H323</f>
        <v>2001 / 2007</v>
      </c>
      <c r="I324" s="29" t="str">
        <f>I323</f>
        <v>Upgrading</v>
      </c>
      <c r="J324" s="97" t="str">
        <f>IFERROR(J323/J322,"")</f>
        <v/>
      </c>
      <c r="K324" s="32">
        <f>K323/K322</f>
        <v>1.0111111111111111</v>
      </c>
      <c r="L324" s="32">
        <f>L323/L322</f>
        <v>0.7917282127031019</v>
      </c>
      <c r="M324" s="28"/>
      <c r="N324" s="32">
        <f>N323/N322</f>
        <v>0.7917282127031019</v>
      </c>
      <c r="O324" s="32">
        <f>O323/O322</f>
        <v>0.7830279026733975</v>
      </c>
      <c r="P324" s="33" t="str">
        <f>IF(K324&lt;50%,"x","")</f>
        <v/>
      </c>
      <c r="Q324" s="33" t="str">
        <f>IF(K324&gt;150%,"x","")</f>
        <v/>
      </c>
      <c r="R324" s="33" t="str">
        <f>IF(O324&lt;50%,"x","")</f>
        <v/>
      </c>
      <c r="S324" s="33" t="str">
        <f>IF(O324&gt;150%,"x","")</f>
        <v/>
      </c>
      <c r="T324" s="33" t="s">
        <v>27</v>
      </c>
      <c r="U324" s="34" t="s">
        <v>27</v>
      </c>
      <c r="V324" s="35" t="s">
        <v>27</v>
      </c>
    </row>
    <row r="325" spans="1:22" ht="16.5" thickTop="1" x14ac:dyDescent="0.25">
      <c r="A325" s="18" t="s">
        <v>81</v>
      </c>
      <c r="B325" s="18" t="s">
        <v>945</v>
      </c>
      <c r="C325" s="18" t="s">
        <v>153</v>
      </c>
      <c r="D325" s="18" t="s">
        <v>26</v>
      </c>
      <c r="E325" s="18" t="s">
        <v>36</v>
      </c>
      <c r="F325" s="18" t="s">
        <v>154</v>
      </c>
      <c r="G325" s="18" t="s">
        <v>29</v>
      </c>
      <c r="H325" s="19">
        <v>2005</v>
      </c>
      <c r="I325" s="18" t="s">
        <v>84</v>
      </c>
      <c r="J325" s="101" t="s">
        <v>27</v>
      </c>
      <c r="K325" s="20">
        <v>11.6</v>
      </c>
      <c r="L325" s="21">
        <v>158.57</v>
      </c>
      <c r="M325" s="22" t="s">
        <v>30</v>
      </c>
      <c r="N325" s="23">
        <v>158.57</v>
      </c>
      <c r="O325" s="24">
        <v>13.669827586206896</v>
      </c>
      <c r="P325" s="25" t="str">
        <f>IF(P327="x","x","")</f>
        <v/>
      </c>
      <c r="Q325" s="25" t="str">
        <f>IF(Q327="x","x","")</f>
        <v/>
      </c>
      <c r="R325" s="25" t="str">
        <f>IF(R327="x","x","")</f>
        <v/>
      </c>
      <c r="S325" s="25" t="str">
        <f>IF(S327="x","x","")</f>
        <v>x</v>
      </c>
      <c r="T325" s="25" t="s">
        <v>31</v>
      </c>
      <c r="U325" s="26"/>
      <c r="V325" s="27"/>
    </row>
    <row r="326" spans="1:22" x14ac:dyDescent="0.25">
      <c r="A326" s="18" t="s">
        <v>81</v>
      </c>
      <c r="B326" s="18" t="s">
        <v>945</v>
      </c>
      <c r="C326" s="18" t="s">
        <v>153</v>
      </c>
      <c r="D326" s="18" t="s">
        <v>26</v>
      </c>
      <c r="E326" s="18" t="s">
        <v>36</v>
      </c>
      <c r="F326" s="18" t="s">
        <v>154</v>
      </c>
      <c r="G326" s="18" t="s">
        <v>32</v>
      </c>
      <c r="H326" s="19">
        <v>2013</v>
      </c>
      <c r="I326" s="18" t="s">
        <v>84</v>
      </c>
      <c r="J326" s="101">
        <v>39</v>
      </c>
      <c r="K326" s="20">
        <v>11.6</v>
      </c>
      <c r="L326" s="21">
        <v>326.25</v>
      </c>
      <c r="M326" s="22" t="s">
        <v>30</v>
      </c>
      <c r="N326" s="23">
        <v>326.25</v>
      </c>
      <c r="O326" s="24">
        <v>28.125</v>
      </c>
      <c r="P326" s="25" t="str">
        <f>IF(P327="x","x","")</f>
        <v/>
      </c>
      <c r="Q326" s="25" t="str">
        <f>IF(Q327="x","x","")</f>
        <v/>
      </c>
      <c r="R326" s="25" t="str">
        <f>IF(R327="x","x","")</f>
        <v/>
      </c>
      <c r="S326" s="25" t="str">
        <f>IF(S327="x","x","")</f>
        <v>x</v>
      </c>
      <c r="T326" s="25" t="s">
        <v>31</v>
      </c>
      <c r="U326" s="26"/>
      <c r="V326" s="27"/>
    </row>
    <row r="327" spans="1:22" ht="63.75" thickBot="1" x14ac:dyDescent="0.3">
      <c r="A327" s="28" t="str">
        <f>A326</f>
        <v>China</v>
      </c>
      <c r="B327" s="28" t="str">
        <f>B326</f>
        <v>East Asia and Pacific</v>
      </c>
      <c r="C327" s="28" t="str">
        <f>C326</f>
        <v>P070519</v>
      </c>
      <c r="D327" s="28" t="s">
        <v>26</v>
      </c>
      <c r="E327" s="28" t="s">
        <v>27</v>
      </c>
      <c r="F327" s="28" t="str">
        <f>F326</f>
        <v>P070519C1S1</v>
      </c>
      <c r="G327" s="28" t="s">
        <v>16</v>
      </c>
      <c r="H327" s="29" t="str">
        <f>H325&amp;" / "&amp;H326</f>
        <v>2005 / 2013</v>
      </c>
      <c r="I327" s="29" t="str">
        <f>I326</f>
        <v>New 6L Expressway</v>
      </c>
      <c r="J327" s="97" t="str">
        <f>IFERROR(J326/J325,"")</f>
        <v/>
      </c>
      <c r="K327" s="32">
        <f>K326/K325</f>
        <v>1</v>
      </c>
      <c r="L327" s="32">
        <f>L326/L325</f>
        <v>2.057450968026739</v>
      </c>
      <c r="M327" s="28"/>
      <c r="N327" s="32">
        <f>N326/N325</f>
        <v>2.057450968026739</v>
      </c>
      <c r="O327" s="32">
        <f>O326/O325</f>
        <v>2.057450968026739</v>
      </c>
      <c r="P327" s="33" t="str">
        <f>IF(K327&lt;50%,"x","")</f>
        <v/>
      </c>
      <c r="Q327" s="33" t="str">
        <f>IF(K327&gt;150%,"x","")</f>
        <v/>
      </c>
      <c r="R327" s="33" t="str">
        <f>IF(O327&lt;50%,"x","")</f>
        <v/>
      </c>
      <c r="S327" s="33" t="str">
        <f>IF(O327&gt;150%,"x","")</f>
        <v>x</v>
      </c>
      <c r="T327" s="33" t="s">
        <v>31</v>
      </c>
      <c r="U327" s="34" t="s">
        <v>1138</v>
      </c>
      <c r="V327" s="35" t="s">
        <v>1139</v>
      </c>
    </row>
    <row r="328" spans="1:22" ht="16.5" thickTop="1" x14ac:dyDescent="0.25">
      <c r="A328" s="18" t="s">
        <v>81</v>
      </c>
      <c r="B328" s="18" t="s">
        <v>945</v>
      </c>
      <c r="C328" s="18" t="s">
        <v>153</v>
      </c>
      <c r="D328" s="18" t="s">
        <v>26</v>
      </c>
      <c r="E328" s="18" t="s">
        <v>40</v>
      </c>
      <c r="F328" s="18" t="s">
        <v>156</v>
      </c>
      <c r="G328" s="18" t="s">
        <v>29</v>
      </c>
      <c r="H328" s="19">
        <v>2005</v>
      </c>
      <c r="I328" s="18" t="s">
        <v>111</v>
      </c>
      <c r="J328" s="101" t="s">
        <v>27</v>
      </c>
      <c r="K328" s="20">
        <v>4.0999999999999996</v>
      </c>
      <c r="L328" s="21">
        <v>31.13</v>
      </c>
      <c r="M328" s="22" t="s">
        <v>30</v>
      </c>
      <c r="N328" s="23">
        <v>31.13</v>
      </c>
      <c r="O328" s="24">
        <v>7.5926829268292684</v>
      </c>
      <c r="P328" s="25" t="str">
        <f>IF(P330="x","x","")</f>
        <v/>
      </c>
      <c r="Q328" s="25" t="str">
        <f>IF(Q330="x","x","")</f>
        <v/>
      </c>
      <c r="R328" s="25" t="str">
        <f>IF(R330="x","x","")</f>
        <v/>
      </c>
      <c r="S328" s="25" t="str">
        <f>IF(S330="x","x","")</f>
        <v/>
      </c>
      <c r="T328" s="25" t="s">
        <v>27</v>
      </c>
      <c r="U328" s="26"/>
      <c r="V328" s="27"/>
    </row>
    <row r="329" spans="1:22" x14ac:dyDescent="0.25">
      <c r="A329" s="18" t="s">
        <v>81</v>
      </c>
      <c r="B329" s="18" t="s">
        <v>945</v>
      </c>
      <c r="C329" s="18" t="s">
        <v>153</v>
      </c>
      <c r="D329" s="18" t="s">
        <v>26</v>
      </c>
      <c r="E329" s="18" t="s">
        <v>40</v>
      </c>
      <c r="F329" s="18" t="s">
        <v>156</v>
      </c>
      <c r="G329" s="18" t="s">
        <v>32</v>
      </c>
      <c r="H329" s="19">
        <v>2013</v>
      </c>
      <c r="I329" s="18" t="s">
        <v>111</v>
      </c>
      <c r="J329" s="101" t="s">
        <v>27</v>
      </c>
      <c r="K329" s="20">
        <v>4.0999999999999996</v>
      </c>
      <c r="L329" s="21">
        <v>32.68</v>
      </c>
      <c r="M329" s="22" t="s">
        <v>30</v>
      </c>
      <c r="N329" s="23">
        <v>32.68</v>
      </c>
      <c r="O329" s="24">
        <v>7.970731707317074</v>
      </c>
      <c r="P329" s="25" t="str">
        <f>IF(P330="x","x","")</f>
        <v/>
      </c>
      <c r="Q329" s="25" t="str">
        <f>IF(Q330="x","x","")</f>
        <v/>
      </c>
      <c r="R329" s="25" t="str">
        <f>IF(R330="x","x","")</f>
        <v/>
      </c>
      <c r="S329" s="25" t="str">
        <f>IF(S330="x","x","")</f>
        <v/>
      </c>
      <c r="T329" s="25" t="s">
        <v>27</v>
      </c>
      <c r="U329" s="26"/>
      <c r="V329" s="27"/>
    </row>
    <row r="330" spans="1:22" ht="16.5" thickBot="1" x14ac:dyDescent="0.3">
      <c r="A330" s="28" t="str">
        <f>A329</f>
        <v>China</v>
      </c>
      <c r="B330" s="28" t="str">
        <f>B329</f>
        <v>East Asia and Pacific</v>
      </c>
      <c r="C330" s="28" t="str">
        <f>C329</f>
        <v>P070519</v>
      </c>
      <c r="D330" s="28" t="s">
        <v>26</v>
      </c>
      <c r="E330" s="28" t="s">
        <v>27</v>
      </c>
      <c r="F330" s="28" t="str">
        <f>F329</f>
        <v>P070519C1S2</v>
      </c>
      <c r="G330" s="28" t="s">
        <v>16</v>
      </c>
      <c r="H330" s="29" t="str">
        <f>H328&amp;" / "&amp;H329</f>
        <v>2005 / 2013</v>
      </c>
      <c r="I330" s="29" t="str">
        <f>I329</f>
        <v>New 4L Expressway</v>
      </c>
      <c r="J330" s="97" t="str">
        <f>IFERROR(J329/J328,"")</f>
        <v/>
      </c>
      <c r="K330" s="32">
        <f>K329/K328</f>
        <v>1</v>
      </c>
      <c r="L330" s="32">
        <f>L329/L328</f>
        <v>1.0497911982010921</v>
      </c>
      <c r="M330" s="28"/>
      <c r="N330" s="32">
        <f>N329/N328</f>
        <v>1.0497911982010921</v>
      </c>
      <c r="O330" s="32">
        <f>O329/O328</f>
        <v>1.0497911982010923</v>
      </c>
      <c r="P330" s="33" t="str">
        <f>IF(K330&lt;50%,"x","")</f>
        <v/>
      </c>
      <c r="Q330" s="33" t="str">
        <f>IF(K330&gt;150%,"x","")</f>
        <v/>
      </c>
      <c r="R330" s="33" t="str">
        <f>IF(O330&lt;50%,"x","")</f>
        <v/>
      </c>
      <c r="S330" s="33" t="str">
        <f>IF(O330&gt;150%,"x","")</f>
        <v/>
      </c>
      <c r="T330" s="33" t="s">
        <v>27</v>
      </c>
      <c r="U330" s="34" t="s">
        <v>27</v>
      </c>
      <c r="V330" s="35" t="s">
        <v>27</v>
      </c>
    </row>
    <row r="331" spans="1:22" ht="16.5" thickTop="1" x14ac:dyDescent="0.25">
      <c r="A331" s="18" t="s">
        <v>81</v>
      </c>
      <c r="B331" s="18" t="s">
        <v>945</v>
      </c>
      <c r="C331" s="18" t="s">
        <v>192</v>
      </c>
      <c r="D331" s="18" t="s">
        <v>26</v>
      </c>
      <c r="E331" s="18" t="s">
        <v>27</v>
      </c>
      <c r="F331" s="18" t="s">
        <v>193</v>
      </c>
      <c r="G331" s="18" t="s">
        <v>29</v>
      </c>
      <c r="H331" s="19">
        <v>2003</v>
      </c>
      <c r="I331" s="18" t="s">
        <v>111</v>
      </c>
      <c r="J331" s="101">
        <v>42</v>
      </c>
      <c r="K331" s="20">
        <v>116.15</v>
      </c>
      <c r="L331" s="21">
        <v>4109</v>
      </c>
      <c r="M331" s="22" t="s">
        <v>194</v>
      </c>
      <c r="N331" s="23">
        <v>497.4576271186441</v>
      </c>
      <c r="O331" s="24">
        <v>4.2828896006770902</v>
      </c>
      <c r="P331" s="25" t="str">
        <f>IF(P333="x","x","")</f>
        <v/>
      </c>
      <c r="Q331" s="25" t="str">
        <f>IF(Q333="x","x","")</f>
        <v/>
      </c>
      <c r="R331" s="25" t="str">
        <f>IF(R333="x","x","")</f>
        <v/>
      </c>
      <c r="S331" s="25" t="str">
        <f>IF(S333="x","x","")</f>
        <v/>
      </c>
      <c r="T331" s="25" t="s">
        <v>27</v>
      </c>
      <c r="U331" s="26"/>
      <c r="V331" s="27"/>
    </row>
    <row r="332" spans="1:22" x14ac:dyDescent="0.25">
      <c r="A332" s="18" t="s">
        <v>81</v>
      </c>
      <c r="B332" s="18" t="s">
        <v>945</v>
      </c>
      <c r="C332" s="18" t="s">
        <v>192</v>
      </c>
      <c r="D332" s="18" t="s">
        <v>26</v>
      </c>
      <c r="E332" s="18" t="s">
        <v>27</v>
      </c>
      <c r="F332" s="18" t="s">
        <v>193</v>
      </c>
      <c r="G332" s="18" t="s">
        <v>32</v>
      </c>
      <c r="H332" s="19">
        <v>2009</v>
      </c>
      <c r="I332" s="18" t="s">
        <v>111</v>
      </c>
      <c r="J332" s="101">
        <v>39</v>
      </c>
      <c r="K332" s="20">
        <v>116.12</v>
      </c>
      <c r="L332" s="21">
        <v>3485</v>
      </c>
      <c r="M332" s="22" t="s">
        <v>194</v>
      </c>
      <c r="N332" s="23">
        <v>510.24890190336748</v>
      </c>
      <c r="O332" s="24">
        <v>4.3941517559711283</v>
      </c>
      <c r="P332" s="25" t="str">
        <f>IF(P333="x","x","")</f>
        <v/>
      </c>
      <c r="Q332" s="25" t="str">
        <f>IF(Q333="x","x","")</f>
        <v/>
      </c>
      <c r="R332" s="25" t="str">
        <f>IF(R333="x","x","")</f>
        <v/>
      </c>
      <c r="S332" s="25" t="str">
        <f>IF(S333="x","x","")</f>
        <v/>
      </c>
      <c r="T332" s="25" t="s">
        <v>27</v>
      </c>
      <c r="U332" s="26"/>
      <c r="V332" s="27"/>
    </row>
    <row r="333" spans="1:22" ht="16.5" thickBot="1" x14ac:dyDescent="0.3">
      <c r="A333" s="28" t="str">
        <f>A332</f>
        <v>China</v>
      </c>
      <c r="B333" s="28" t="str">
        <f>B332</f>
        <v>East Asia and Pacific</v>
      </c>
      <c r="C333" s="28" t="str">
        <f>C332</f>
        <v>P076714</v>
      </c>
      <c r="D333" s="28" t="s">
        <v>26</v>
      </c>
      <c r="E333" s="28" t="s">
        <v>27</v>
      </c>
      <c r="F333" s="28" t="str">
        <f>F332</f>
        <v>P076714C1</v>
      </c>
      <c r="G333" s="28" t="s">
        <v>16</v>
      </c>
      <c r="H333" s="29" t="str">
        <f>H331&amp;" / "&amp;H332</f>
        <v>2003 / 2009</v>
      </c>
      <c r="I333" s="29" t="str">
        <f>I332</f>
        <v>New 4L Expressway</v>
      </c>
      <c r="J333" s="97">
        <f>IFERROR(J332/J331,"")</f>
        <v>0.9285714285714286</v>
      </c>
      <c r="K333" s="32">
        <f>K332/K331</f>
        <v>0.99974171330176498</v>
      </c>
      <c r="L333" s="32">
        <f>L332/L331</f>
        <v>0.84813823314675107</v>
      </c>
      <c r="M333" s="28"/>
      <c r="N333" s="32">
        <f>N332/N331</f>
        <v>1.0257132951379448</v>
      </c>
      <c r="O333" s="32">
        <f>O332/O331</f>
        <v>1.0259782916833646</v>
      </c>
      <c r="P333" s="33" t="str">
        <f>IF(K333&lt;50%,"x","")</f>
        <v/>
      </c>
      <c r="Q333" s="33" t="str">
        <f>IF(K333&gt;150%,"x","")</f>
        <v/>
      </c>
      <c r="R333" s="33" t="str">
        <f>IF(O333&lt;50%,"x","")</f>
        <v/>
      </c>
      <c r="S333" s="33" t="str">
        <f>IF(O333&gt;150%,"x","")</f>
        <v/>
      </c>
      <c r="T333" s="33" t="s">
        <v>27</v>
      </c>
      <c r="U333" s="34" t="s">
        <v>27</v>
      </c>
      <c r="V333" s="35" t="s">
        <v>27</v>
      </c>
    </row>
    <row r="334" spans="1:22" ht="16.5" thickTop="1" x14ac:dyDescent="0.25">
      <c r="A334" s="18" t="s">
        <v>81</v>
      </c>
      <c r="B334" s="18" t="s">
        <v>945</v>
      </c>
      <c r="C334" s="18" t="s">
        <v>192</v>
      </c>
      <c r="D334" s="18" t="s">
        <v>26</v>
      </c>
      <c r="E334" s="18" t="s">
        <v>36</v>
      </c>
      <c r="F334" s="18" t="s">
        <v>196</v>
      </c>
      <c r="G334" s="18" t="s">
        <v>29</v>
      </c>
      <c r="H334" s="19">
        <v>2003</v>
      </c>
      <c r="I334" s="18" t="s">
        <v>111</v>
      </c>
      <c r="J334" s="101" t="s">
        <v>27</v>
      </c>
      <c r="K334" s="20">
        <v>57.02</v>
      </c>
      <c r="L334" s="21">
        <v>1426</v>
      </c>
      <c r="M334" s="22" t="s">
        <v>194</v>
      </c>
      <c r="N334" s="23">
        <v>172.63922518159808</v>
      </c>
      <c r="O334" s="24">
        <v>3.0276959870501239</v>
      </c>
      <c r="P334" s="25" t="str">
        <f>IF(P336="x","x","")</f>
        <v/>
      </c>
      <c r="Q334" s="25" t="str">
        <f>IF(Q336="x","x","")</f>
        <v/>
      </c>
      <c r="R334" s="25" t="str">
        <f>IF(R336="x","x","")</f>
        <v/>
      </c>
      <c r="S334" s="25" t="str">
        <f>IF(S336="x","x","")</f>
        <v/>
      </c>
      <c r="T334" s="25" t="s">
        <v>27</v>
      </c>
      <c r="U334" s="26"/>
      <c r="V334" s="27"/>
    </row>
    <row r="335" spans="1:22" x14ac:dyDescent="0.25">
      <c r="A335" s="18" t="s">
        <v>81</v>
      </c>
      <c r="B335" s="18" t="s">
        <v>945</v>
      </c>
      <c r="C335" s="18" t="s">
        <v>192</v>
      </c>
      <c r="D335" s="18" t="s">
        <v>26</v>
      </c>
      <c r="E335" s="18" t="s">
        <v>36</v>
      </c>
      <c r="F335" s="18" t="s">
        <v>196</v>
      </c>
      <c r="G335" s="18" t="s">
        <v>32</v>
      </c>
      <c r="H335" s="19">
        <v>2009</v>
      </c>
      <c r="I335" s="18" t="s">
        <v>111</v>
      </c>
      <c r="J335" s="101" t="s">
        <v>27</v>
      </c>
      <c r="K335" s="20">
        <v>65.09</v>
      </c>
      <c r="L335" s="21">
        <v>1618</v>
      </c>
      <c r="M335" s="22" t="s">
        <v>194</v>
      </c>
      <c r="N335" s="23">
        <v>236.89604685212299</v>
      </c>
      <c r="O335" s="24">
        <v>3.6395152381644333</v>
      </c>
      <c r="P335" s="25" t="str">
        <f>IF(P336="x","x","")</f>
        <v/>
      </c>
      <c r="Q335" s="25" t="str">
        <f>IF(Q336="x","x","")</f>
        <v/>
      </c>
      <c r="R335" s="25" t="str">
        <f>IF(R336="x","x","")</f>
        <v/>
      </c>
      <c r="S335" s="25" t="str">
        <f>IF(S336="x","x","")</f>
        <v/>
      </c>
      <c r="T335" s="25" t="s">
        <v>27</v>
      </c>
      <c r="U335" s="26"/>
      <c r="V335" s="27"/>
    </row>
    <row r="336" spans="1:22" ht="16.5" thickBot="1" x14ac:dyDescent="0.3">
      <c r="A336" s="28" t="str">
        <f>A335</f>
        <v>China</v>
      </c>
      <c r="B336" s="28" t="str">
        <f>B335</f>
        <v>East Asia and Pacific</v>
      </c>
      <c r="C336" s="28" t="str">
        <f>C335</f>
        <v>P076714</v>
      </c>
      <c r="D336" s="28" t="s">
        <v>26</v>
      </c>
      <c r="E336" s="28" t="s">
        <v>27</v>
      </c>
      <c r="F336" s="28" t="str">
        <f>F335</f>
        <v>P076714C1S1</v>
      </c>
      <c r="G336" s="28" t="s">
        <v>16</v>
      </c>
      <c r="H336" s="29" t="str">
        <f>H334&amp;" / "&amp;H335</f>
        <v>2003 / 2009</v>
      </c>
      <c r="I336" s="29" t="str">
        <f>I335</f>
        <v>New 4L Expressway</v>
      </c>
      <c r="J336" s="97" t="str">
        <f>IFERROR(J335/J334,"")</f>
        <v/>
      </c>
      <c r="K336" s="32">
        <f>K335/K334</f>
        <v>1.1415292879691337</v>
      </c>
      <c r="L336" s="32">
        <f>L335/L334</f>
        <v>1.1346423562412342</v>
      </c>
      <c r="M336" s="28"/>
      <c r="N336" s="32">
        <f>N335/N334</f>
        <v>1.3722029081336156</v>
      </c>
      <c r="O336" s="32">
        <f>O335/O334</f>
        <v>1.2020742022089224</v>
      </c>
      <c r="P336" s="33" t="str">
        <f>IF(K336&lt;50%,"x","")</f>
        <v/>
      </c>
      <c r="Q336" s="33" t="str">
        <f>IF(K336&gt;150%,"x","")</f>
        <v/>
      </c>
      <c r="R336" s="33" t="str">
        <f>IF(O336&lt;50%,"x","")</f>
        <v/>
      </c>
      <c r="S336" s="33" t="str">
        <f>IF(O336&gt;150%,"x","")</f>
        <v/>
      </c>
      <c r="T336" s="33" t="s">
        <v>27</v>
      </c>
      <c r="U336" s="34" t="s">
        <v>27</v>
      </c>
      <c r="V336" s="35" t="s">
        <v>27</v>
      </c>
    </row>
    <row r="337" spans="1:22" ht="16.5" thickTop="1" x14ac:dyDescent="0.25">
      <c r="A337" s="18" t="s">
        <v>81</v>
      </c>
      <c r="B337" s="18" t="s">
        <v>945</v>
      </c>
      <c r="C337" s="18" t="s">
        <v>192</v>
      </c>
      <c r="D337" s="18" t="s">
        <v>26</v>
      </c>
      <c r="E337" s="18" t="s">
        <v>40</v>
      </c>
      <c r="F337" s="18" t="s">
        <v>197</v>
      </c>
      <c r="G337" s="18" t="s">
        <v>29</v>
      </c>
      <c r="H337" s="19">
        <v>2003</v>
      </c>
      <c r="I337" s="18" t="s">
        <v>111</v>
      </c>
      <c r="J337" s="101" t="s">
        <v>27</v>
      </c>
      <c r="K337" s="20">
        <v>48.95</v>
      </c>
      <c r="L337" s="21">
        <v>1371</v>
      </c>
      <c r="M337" s="22" t="s">
        <v>194</v>
      </c>
      <c r="N337" s="23">
        <v>165.98062953995156</v>
      </c>
      <c r="O337" s="24">
        <v>3.3908198067405833</v>
      </c>
      <c r="P337" s="25" t="str">
        <f>IF(P339="x","x","")</f>
        <v/>
      </c>
      <c r="Q337" s="25" t="str">
        <f>IF(Q339="x","x","")</f>
        <v/>
      </c>
      <c r="R337" s="25" t="str">
        <f>IF(R339="x","x","")</f>
        <v/>
      </c>
      <c r="S337" s="25" t="str">
        <f>IF(S339="x","x","")</f>
        <v>x</v>
      </c>
      <c r="T337" s="25" t="s">
        <v>31</v>
      </c>
      <c r="U337" s="26"/>
      <c r="V337" s="27"/>
    </row>
    <row r="338" spans="1:22" x14ac:dyDescent="0.25">
      <c r="A338" s="18" t="s">
        <v>81</v>
      </c>
      <c r="B338" s="18" t="s">
        <v>945</v>
      </c>
      <c r="C338" s="18" t="s">
        <v>192</v>
      </c>
      <c r="D338" s="18" t="s">
        <v>26</v>
      </c>
      <c r="E338" s="18" t="s">
        <v>40</v>
      </c>
      <c r="F338" s="18" t="s">
        <v>197</v>
      </c>
      <c r="G338" s="18" t="s">
        <v>32</v>
      </c>
      <c r="H338" s="19">
        <v>2009</v>
      </c>
      <c r="I338" s="18" t="s">
        <v>111</v>
      </c>
      <c r="J338" s="101" t="s">
        <v>27</v>
      </c>
      <c r="K338" s="20">
        <v>41.3</v>
      </c>
      <c r="L338" s="21">
        <v>1479</v>
      </c>
      <c r="M338" s="22" t="s">
        <v>194</v>
      </c>
      <c r="N338" s="23">
        <v>216.54465592972181</v>
      </c>
      <c r="O338" s="24">
        <v>5.2432120079835798</v>
      </c>
      <c r="P338" s="25" t="str">
        <f>IF(P339="x","x","")</f>
        <v/>
      </c>
      <c r="Q338" s="25" t="str">
        <f>IF(Q339="x","x","")</f>
        <v/>
      </c>
      <c r="R338" s="25" t="str">
        <f>IF(R339="x","x","")</f>
        <v/>
      </c>
      <c r="S338" s="25" t="str">
        <f>IF(S339="x","x","")</f>
        <v>x</v>
      </c>
      <c r="T338" s="25" t="s">
        <v>31</v>
      </c>
      <c r="U338" s="26"/>
      <c r="V338" s="27"/>
    </row>
    <row r="339" spans="1:22" ht="48" thickBot="1" x14ac:dyDescent="0.3">
      <c r="A339" s="28" t="str">
        <f>A338</f>
        <v>China</v>
      </c>
      <c r="B339" s="28" t="str">
        <f>B338</f>
        <v>East Asia and Pacific</v>
      </c>
      <c r="C339" s="28" t="str">
        <f>C338</f>
        <v>P076714</v>
      </c>
      <c r="D339" s="28" t="s">
        <v>26</v>
      </c>
      <c r="E339" s="28" t="s">
        <v>27</v>
      </c>
      <c r="F339" s="28" t="str">
        <f>F338</f>
        <v>P076714C1S2</v>
      </c>
      <c r="G339" s="28" t="s">
        <v>16</v>
      </c>
      <c r="H339" s="29" t="str">
        <f>H337&amp;" / "&amp;H338</f>
        <v>2003 / 2009</v>
      </c>
      <c r="I339" s="29" t="str">
        <f>I338</f>
        <v>New 4L Expressway</v>
      </c>
      <c r="J339" s="97" t="str">
        <f>IFERROR(J338/J337,"")</f>
        <v/>
      </c>
      <c r="K339" s="32">
        <f>K338/K337</f>
        <v>0.84371807967313572</v>
      </c>
      <c r="L339" s="32">
        <f>L338/L337</f>
        <v>1.0787746170678336</v>
      </c>
      <c r="M339" s="28"/>
      <c r="N339" s="32">
        <f>N338/N337</f>
        <v>1.3046381166881855</v>
      </c>
      <c r="O339" s="32">
        <f>O338/O337</f>
        <v>1.5462962666316391</v>
      </c>
      <c r="P339" s="33" t="str">
        <f>IF(K339&lt;50%,"x","")</f>
        <v/>
      </c>
      <c r="Q339" s="33" t="str">
        <f>IF(K339&gt;150%,"x","")</f>
        <v/>
      </c>
      <c r="R339" s="33" t="str">
        <f>IF(O339&lt;50%,"x","")</f>
        <v/>
      </c>
      <c r="S339" s="33" t="str">
        <f>IF(O339&gt;150%,"x","")</f>
        <v>x</v>
      </c>
      <c r="T339" s="33" t="s">
        <v>31</v>
      </c>
      <c r="U339" s="34" t="s">
        <v>1150</v>
      </c>
      <c r="V339" s="35" t="s">
        <v>1151</v>
      </c>
    </row>
    <row r="340" spans="1:22" ht="16.5" thickTop="1" x14ac:dyDescent="0.25">
      <c r="A340" s="18" t="s">
        <v>81</v>
      </c>
      <c r="B340" s="18" t="s">
        <v>945</v>
      </c>
      <c r="C340" s="18" t="s">
        <v>192</v>
      </c>
      <c r="D340" s="18" t="s">
        <v>26</v>
      </c>
      <c r="E340" s="18" t="s">
        <v>69</v>
      </c>
      <c r="F340" s="18" t="s">
        <v>198</v>
      </c>
      <c r="G340" s="18" t="s">
        <v>29</v>
      </c>
      <c r="H340" s="19">
        <v>2003</v>
      </c>
      <c r="I340" s="18" t="s">
        <v>111</v>
      </c>
      <c r="J340" s="101" t="s">
        <v>27</v>
      </c>
      <c r="K340" s="20">
        <v>10.18</v>
      </c>
      <c r="L340" s="21">
        <v>1313</v>
      </c>
      <c r="M340" s="22" t="s">
        <v>194</v>
      </c>
      <c r="N340" s="23">
        <v>158.95883777239709</v>
      </c>
      <c r="O340" s="24">
        <v>15.614817069980068</v>
      </c>
      <c r="P340" s="25" t="str">
        <f>IF(P342="x","x","")</f>
        <v/>
      </c>
      <c r="Q340" s="25" t="str">
        <f>IF(Q342="x","x","")</f>
        <v/>
      </c>
      <c r="R340" s="25" t="str">
        <f>IF(R342="x","x","")</f>
        <v>x</v>
      </c>
      <c r="S340" s="25" t="str">
        <f>IF(S342="x","x","")</f>
        <v/>
      </c>
      <c r="T340" s="25" t="s">
        <v>31</v>
      </c>
      <c r="U340" s="26"/>
      <c r="V340" s="27"/>
    </row>
    <row r="341" spans="1:22" x14ac:dyDescent="0.25">
      <c r="A341" s="18" t="s">
        <v>81</v>
      </c>
      <c r="B341" s="18" t="s">
        <v>945</v>
      </c>
      <c r="C341" s="18" t="s">
        <v>192</v>
      </c>
      <c r="D341" s="18" t="s">
        <v>26</v>
      </c>
      <c r="E341" s="18" t="s">
        <v>69</v>
      </c>
      <c r="F341" s="18" t="s">
        <v>198</v>
      </c>
      <c r="G341" s="18" t="s">
        <v>32</v>
      </c>
      <c r="H341" s="19">
        <v>2009</v>
      </c>
      <c r="I341" s="18" t="s">
        <v>111</v>
      </c>
      <c r="J341" s="101" t="s">
        <v>27</v>
      </c>
      <c r="K341" s="20">
        <v>9.73</v>
      </c>
      <c r="L341" s="21">
        <v>387</v>
      </c>
      <c r="M341" s="22" t="s">
        <v>194</v>
      </c>
      <c r="N341" s="23">
        <v>56.661786237188871</v>
      </c>
      <c r="O341" s="24">
        <v>5.8234107129690509</v>
      </c>
      <c r="P341" s="25" t="str">
        <f>IF(P342="x","x","")</f>
        <v/>
      </c>
      <c r="Q341" s="25" t="str">
        <f>IF(Q342="x","x","")</f>
        <v/>
      </c>
      <c r="R341" s="25" t="str">
        <f>IF(R342="x","x","")</f>
        <v>x</v>
      </c>
      <c r="S341" s="25" t="str">
        <f>IF(S342="x","x","")</f>
        <v/>
      </c>
      <c r="T341" s="25" t="s">
        <v>31</v>
      </c>
      <c r="U341" s="26"/>
      <c r="V341" s="27"/>
    </row>
    <row r="342" spans="1:22" ht="32.25" thickBot="1" x14ac:dyDescent="0.3">
      <c r="A342" s="28" t="str">
        <f>A341</f>
        <v>China</v>
      </c>
      <c r="B342" s="28" t="str">
        <f>B341</f>
        <v>East Asia and Pacific</v>
      </c>
      <c r="C342" s="28" t="str">
        <f>C341</f>
        <v>P076714</v>
      </c>
      <c r="D342" s="28" t="s">
        <v>26</v>
      </c>
      <c r="E342" s="28" t="s">
        <v>27</v>
      </c>
      <c r="F342" s="28" t="str">
        <f>F341</f>
        <v>P076714C1S3</v>
      </c>
      <c r="G342" s="28" t="s">
        <v>16</v>
      </c>
      <c r="H342" s="29" t="str">
        <f>H340&amp;" / "&amp;H341</f>
        <v>2003 / 2009</v>
      </c>
      <c r="I342" s="29" t="str">
        <f>I341</f>
        <v>New 4L Expressway</v>
      </c>
      <c r="J342" s="97" t="str">
        <f>IFERROR(J341/J340,"")</f>
        <v/>
      </c>
      <c r="K342" s="32">
        <f>K341/K340</f>
        <v>0.95579567779960717</v>
      </c>
      <c r="L342" s="32">
        <f>L341/L340</f>
        <v>0.29474485910129472</v>
      </c>
      <c r="M342" s="28"/>
      <c r="N342" s="32">
        <f>N341/N340</f>
        <v>0.35645571539922322</v>
      </c>
      <c r="O342" s="32">
        <f>O341/O340</f>
        <v>0.37294133430257881</v>
      </c>
      <c r="P342" s="33" t="str">
        <f>IF(K342&lt;50%,"x","")</f>
        <v/>
      </c>
      <c r="Q342" s="33" t="str">
        <f>IF(K342&gt;150%,"x","")</f>
        <v/>
      </c>
      <c r="R342" s="33" t="str">
        <f>IF(O342&lt;50%,"x","")</f>
        <v>x</v>
      </c>
      <c r="S342" s="33" t="str">
        <f>IF(O342&gt;150%,"x","")</f>
        <v/>
      </c>
      <c r="T342" s="33" t="s">
        <v>31</v>
      </c>
      <c r="U342" s="34" t="s">
        <v>982</v>
      </c>
      <c r="V342" s="35" t="s">
        <v>1152</v>
      </c>
    </row>
    <row r="343" spans="1:22" ht="16.5" thickTop="1" x14ac:dyDescent="0.25">
      <c r="A343" s="18" t="s">
        <v>81</v>
      </c>
      <c r="B343" s="18" t="s">
        <v>945</v>
      </c>
      <c r="C343" s="18" t="s">
        <v>192</v>
      </c>
      <c r="D343" s="18" t="s">
        <v>42</v>
      </c>
      <c r="E343" s="18" t="s">
        <v>27</v>
      </c>
      <c r="F343" s="18" t="s">
        <v>199</v>
      </c>
      <c r="G343" s="18" t="s">
        <v>29</v>
      </c>
      <c r="H343" s="19">
        <v>2003</v>
      </c>
      <c r="I343" s="18" t="s">
        <v>387</v>
      </c>
      <c r="J343" s="101" t="s">
        <v>27</v>
      </c>
      <c r="K343" s="20">
        <v>243</v>
      </c>
      <c r="L343" s="21">
        <v>500</v>
      </c>
      <c r="M343" s="22" t="s">
        <v>194</v>
      </c>
      <c r="N343" s="23">
        <v>60.53268765133172</v>
      </c>
      <c r="O343" s="24">
        <v>0.24910571049930749</v>
      </c>
      <c r="P343" s="25" t="str">
        <f>IF(P345="x","x","")</f>
        <v/>
      </c>
      <c r="Q343" s="25" t="str">
        <f>IF(Q345="x","x","")</f>
        <v/>
      </c>
      <c r="R343" s="25" t="str">
        <f>IF(R345="x","x","")</f>
        <v/>
      </c>
      <c r="S343" s="25" t="str">
        <f>IF(S345="x","x","")</f>
        <v/>
      </c>
      <c r="T343" s="25" t="s">
        <v>27</v>
      </c>
      <c r="U343" s="26"/>
      <c r="V343" s="27"/>
    </row>
    <row r="344" spans="1:22" x14ac:dyDescent="0.25">
      <c r="A344" s="18" t="s">
        <v>81</v>
      </c>
      <c r="B344" s="18" t="s">
        <v>945</v>
      </c>
      <c r="C344" s="18" t="s">
        <v>192</v>
      </c>
      <c r="D344" s="18" t="s">
        <v>42</v>
      </c>
      <c r="E344" s="18" t="s">
        <v>27</v>
      </c>
      <c r="F344" s="18" t="s">
        <v>199</v>
      </c>
      <c r="G344" s="18" t="s">
        <v>32</v>
      </c>
      <c r="H344" s="19">
        <v>2009</v>
      </c>
      <c r="I344" s="18" t="s">
        <v>387</v>
      </c>
      <c r="J344" s="101">
        <v>28</v>
      </c>
      <c r="K344" s="20">
        <v>233.5</v>
      </c>
      <c r="L344" s="21">
        <v>360.5</v>
      </c>
      <c r="M344" s="22" t="s">
        <v>194</v>
      </c>
      <c r="N344" s="23">
        <v>52.781844802342604</v>
      </c>
      <c r="O344" s="24">
        <v>0.22604644454964712</v>
      </c>
      <c r="P344" s="25" t="str">
        <f>IF(P345="x","x","")</f>
        <v/>
      </c>
      <c r="Q344" s="25" t="str">
        <f>IF(Q345="x","x","")</f>
        <v/>
      </c>
      <c r="R344" s="25" t="str">
        <f>IF(R345="x","x","")</f>
        <v/>
      </c>
      <c r="S344" s="25" t="str">
        <f>IF(S345="x","x","")</f>
        <v/>
      </c>
      <c r="T344" s="25" t="s">
        <v>27</v>
      </c>
      <c r="U344" s="26"/>
      <c r="V344" s="27"/>
    </row>
    <row r="345" spans="1:22" ht="16.5" thickBot="1" x14ac:dyDescent="0.3">
      <c r="A345" s="28" t="str">
        <f>A344</f>
        <v>China</v>
      </c>
      <c r="B345" s="28" t="str">
        <f>B344</f>
        <v>East Asia and Pacific</v>
      </c>
      <c r="C345" s="28" t="str">
        <f>C344</f>
        <v>P076714</v>
      </c>
      <c r="D345" s="28" t="s">
        <v>26</v>
      </c>
      <c r="E345" s="28" t="s">
        <v>27</v>
      </c>
      <c r="F345" s="28" t="str">
        <f>F344</f>
        <v>P076714C2</v>
      </c>
      <c r="G345" s="28" t="s">
        <v>16</v>
      </c>
      <c r="H345" s="29" t="str">
        <f>H343&amp;" / "&amp;H344</f>
        <v>2003 / 2009</v>
      </c>
      <c r="I345" s="29" t="str">
        <f>I344</f>
        <v>Upgrading</v>
      </c>
      <c r="J345" s="97" t="str">
        <f>IFERROR(J344/J343,"")</f>
        <v/>
      </c>
      <c r="K345" s="32">
        <f>K344/K343</f>
        <v>0.96090534979423869</v>
      </c>
      <c r="L345" s="32">
        <f>L344/L343</f>
        <v>0.72099999999999997</v>
      </c>
      <c r="M345" s="28"/>
      <c r="N345" s="32">
        <f>N344/N343</f>
        <v>0.87195607613469983</v>
      </c>
      <c r="O345" s="32">
        <f>O344/O343</f>
        <v>0.90743180514232136</v>
      </c>
      <c r="P345" s="33" t="str">
        <f>IF(K345&lt;50%,"x","")</f>
        <v/>
      </c>
      <c r="Q345" s="33" t="str">
        <f>IF(K345&gt;150%,"x","")</f>
        <v/>
      </c>
      <c r="R345" s="33" t="str">
        <f>IF(O345&lt;50%,"x","")</f>
        <v/>
      </c>
      <c r="S345" s="33" t="str">
        <f>IF(O345&gt;150%,"x","")</f>
        <v/>
      </c>
      <c r="T345" s="33" t="s">
        <v>27</v>
      </c>
      <c r="U345" s="34" t="s">
        <v>27</v>
      </c>
      <c r="V345" s="35" t="s">
        <v>27</v>
      </c>
    </row>
    <row r="346" spans="1:22" ht="16.5" thickTop="1" x14ac:dyDescent="0.25">
      <c r="A346" s="18" t="s">
        <v>81</v>
      </c>
      <c r="B346" s="18" t="s">
        <v>945</v>
      </c>
      <c r="C346" s="18" t="s">
        <v>192</v>
      </c>
      <c r="D346" s="18" t="s">
        <v>42</v>
      </c>
      <c r="E346" s="18" t="s">
        <v>36</v>
      </c>
      <c r="F346" s="18" t="s">
        <v>200</v>
      </c>
      <c r="G346" s="18" t="s">
        <v>29</v>
      </c>
      <c r="H346" s="19">
        <v>2003</v>
      </c>
      <c r="I346" s="18" t="s">
        <v>387</v>
      </c>
      <c r="J346" s="101" t="s">
        <v>27</v>
      </c>
      <c r="K346" s="20">
        <v>74</v>
      </c>
      <c r="L346" s="21">
        <v>148</v>
      </c>
      <c r="M346" s="22" t="s">
        <v>194</v>
      </c>
      <c r="N346" s="23">
        <v>17.917675544794189</v>
      </c>
      <c r="O346" s="24">
        <v>0.24213075060532688</v>
      </c>
      <c r="P346" s="25" t="str">
        <f>IF(P348="x","x","")</f>
        <v/>
      </c>
      <c r="Q346" s="25" t="str">
        <f>IF(Q348="x","x","")</f>
        <v/>
      </c>
      <c r="R346" s="25" t="str">
        <f>IF(R348="x","x","")</f>
        <v/>
      </c>
      <c r="S346" s="25" t="str">
        <f>IF(S348="x","x","")</f>
        <v/>
      </c>
      <c r="T346" s="25" t="s">
        <v>27</v>
      </c>
      <c r="U346" s="26"/>
      <c r="V346" s="27"/>
    </row>
    <row r="347" spans="1:22" x14ac:dyDescent="0.25">
      <c r="A347" s="18" t="s">
        <v>81</v>
      </c>
      <c r="B347" s="18" t="s">
        <v>945</v>
      </c>
      <c r="C347" s="18" t="s">
        <v>192</v>
      </c>
      <c r="D347" s="18" t="s">
        <v>42</v>
      </c>
      <c r="E347" s="18" t="s">
        <v>36</v>
      </c>
      <c r="F347" s="18" t="s">
        <v>200</v>
      </c>
      <c r="G347" s="18" t="s">
        <v>32</v>
      </c>
      <c r="H347" s="19">
        <v>2009</v>
      </c>
      <c r="I347" s="18" t="s">
        <v>387</v>
      </c>
      <c r="J347" s="101">
        <v>28</v>
      </c>
      <c r="K347" s="20">
        <v>74.099999999999994</v>
      </c>
      <c r="L347" s="21">
        <v>98.3</v>
      </c>
      <c r="M347" s="22" t="s">
        <v>194</v>
      </c>
      <c r="N347" s="23">
        <v>14.39238653001464</v>
      </c>
      <c r="O347" s="24">
        <v>0.19422923792192498</v>
      </c>
      <c r="P347" s="25" t="str">
        <f>IF(P348="x","x","")</f>
        <v/>
      </c>
      <c r="Q347" s="25" t="str">
        <f>IF(Q348="x","x","")</f>
        <v/>
      </c>
      <c r="R347" s="25" t="str">
        <f>IF(R348="x","x","")</f>
        <v/>
      </c>
      <c r="S347" s="25" t="str">
        <f>IF(S348="x","x","")</f>
        <v/>
      </c>
      <c r="T347" s="25" t="s">
        <v>27</v>
      </c>
      <c r="U347" s="26"/>
      <c r="V347" s="27"/>
    </row>
    <row r="348" spans="1:22" ht="16.5" thickBot="1" x14ac:dyDescent="0.3">
      <c r="A348" s="28" t="str">
        <f>A347</f>
        <v>China</v>
      </c>
      <c r="B348" s="28" t="str">
        <f>B347</f>
        <v>East Asia and Pacific</v>
      </c>
      <c r="C348" s="28" t="str">
        <f>C347</f>
        <v>P076714</v>
      </c>
      <c r="D348" s="28" t="s">
        <v>26</v>
      </c>
      <c r="E348" s="28" t="s">
        <v>27</v>
      </c>
      <c r="F348" s="28" t="str">
        <f>F347</f>
        <v>P076714C2S1</v>
      </c>
      <c r="G348" s="28" t="s">
        <v>16</v>
      </c>
      <c r="H348" s="29" t="str">
        <f>H346&amp;" / "&amp;H347</f>
        <v>2003 / 2009</v>
      </c>
      <c r="I348" s="29" t="str">
        <f>I347</f>
        <v>Upgrading</v>
      </c>
      <c r="J348" s="97" t="str">
        <f>IFERROR(J347/J346,"")</f>
        <v/>
      </c>
      <c r="K348" s="32">
        <f>K347/K346</f>
        <v>1.0013513513513512</v>
      </c>
      <c r="L348" s="32">
        <f>L347/L346</f>
        <v>0.66418918918918912</v>
      </c>
      <c r="M348" s="28"/>
      <c r="N348" s="32">
        <f>N347/N346</f>
        <v>0.80325076174270893</v>
      </c>
      <c r="O348" s="32">
        <f>O347/O346</f>
        <v>0.80216675261755022</v>
      </c>
      <c r="P348" s="33" t="str">
        <f>IF(K348&lt;50%,"x","")</f>
        <v/>
      </c>
      <c r="Q348" s="33" t="str">
        <f>IF(K348&gt;150%,"x","")</f>
        <v/>
      </c>
      <c r="R348" s="33" t="str">
        <f>IF(O348&lt;50%,"x","")</f>
        <v/>
      </c>
      <c r="S348" s="33" t="str">
        <f>IF(O348&gt;150%,"x","")</f>
        <v/>
      </c>
      <c r="T348" s="33" t="s">
        <v>27</v>
      </c>
      <c r="U348" s="34" t="s">
        <v>27</v>
      </c>
      <c r="V348" s="35" t="s">
        <v>27</v>
      </c>
    </row>
    <row r="349" spans="1:22" ht="16.5" thickTop="1" x14ac:dyDescent="0.25">
      <c r="A349" s="18" t="s">
        <v>81</v>
      </c>
      <c r="B349" s="18" t="s">
        <v>945</v>
      </c>
      <c r="C349" s="18" t="s">
        <v>192</v>
      </c>
      <c r="D349" s="18" t="s">
        <v>42</v>
      </c>
      <c r="E349" s="18" t="s">
        <v>40</v>
      </c>
      <c r="F349" s="18" t="s">
        <v>201</v>
      </c>
      <c r="G349" s="18" t="s">
        <v>29</v>
      </c>
      <c r="H349" s="19">
        <v>2003</v>
      </c>
      <c r="I349" s="18" t="s">
        <v>387</v>
      </c>
      <c r="J349" s="101" t="s">
        <v>27</v>
      </c>
      <c r="K349" s="20">
        <v>35</v>
      </c>
      <c r="L349" s="21">
        <v>70</v>
      </c>
      <c r="M349" s="22" t="s">
        <v>194</v>
      </c>
      <c r="N349" s="23">
        <v>8.4745762711864412</v>
      </c>
      <c r="O349" s="24">
        <v>0.24213075060532688</v>
      </c>
      <c r="P349" s="25" t="str">
        <f>IF(P351="x","x","")</f>
        <v/>
      </c>
      <c r="Q349" s="25" t="str">
        <f>IF(Q351="x","x","")</f>
        <v/>
      </c>
      <c r="R349" s="25" t="str">
        <f>IF(R351="x","x","")</f>
        <v/>
      </c>
      <c r="S349" s="25" t="str">
        <f>IF(S351="x","x","")</f>
        <v/>
      </c>
      <c r="T349" s="25" t="s">
        <v>27</v>
      </c>
      <c r="U349" s="26"/>
      <c r="V349" s="27"/>
    </row>
    <row r="350" spans="1:22" x14ac:dyDescent="0.25">
      <c r="A350" s="18" t="s">
        <v>81</v>
      </c>
      <c r="B350" s="18" t="s">
        <v>945</v>
      </c>
      <c r="C350" s="18" t="s">
        <v>192</v>
      </c>
      <c r="D350" s="18" t="s">
        <v>42</v>
      </c>
      <c r="E350" s="18" t="s">
        <v>40</v>
      </c>
      <c r="F350" s="18" t="s">
        <v>201</v>
      </c>
      <c r="G350" s="18" t="s">
        <v>32</v>
      </c>
      <c r="H350" s="19">
        <v>2009</v>
      </c>
      <c r="I350" s="18" t="s">
        <v>387</v>
      </c>
      <c r="J350" s="101">
        <v>11</v>
      </c>
      <c r="K350" s="20">
        <v>39</v>
      </c>
      <c r="L350" s="21">
        <v>66.400000000000006</v>
      </c>
      <c r="M350" s="22" t="s">
        <v>194</v>
      </c>
      <c r="N350" s="23">
        <v>9.721815519765741</v>
      </c>
      <c r="O350" s="24">
        <v>0.24927732101963437</v>
      </c>
      <c r="P350" s="25" t="str">
        <f>IF(P351="x","x","")</f>
        <v/>
      </c>
      <c r="Q350" s="25" t="str">
        <f>IF(Q351="x","x","")</f>
        <v/>
      </c>
      <c r="R350" s="25" t="str">
        <f>IF(R351="x","x","")</f>
        <v/>
      </c>
      <c r="S350" s="25" t="str">
        <f>IF(S351="x","x","")</f>
        <v/>
      </c>
      <c r="T350" s="25" t="s">
        <v>27</v>
      </c>
      <c r="U350" s="26"/>
      <c r="V350" s="27"/>
    </row>
    <row r="351" spans="1:22" ht="16.5" thickBot="1" x14ac:dyDescent="0.3">
      <c r="A351" s="28" t="str">
        <f>A350</f>
        <v>China</v>
      </c>
      <c r="B351" s="28" t="str">
        <f>B350</f>
        <v>East Asia and Pacific</v>
      </c>
      <c r="C351" s="28" t="str">
        <f>C350</f>
        <v>P076714</v>
      </c>
      <c r="D351" s="28" t="s">
        <v>26</v>
      </c>
      <c r="E351" s="28" t="s">
        <v>27</v>
      </c>
      <c r="F351" s="28" t="str">
        <f>F350</f>
        <v>P076714C2S2</v>
      </c>
      <c r="G351" s="28" t="s">
        <v>16</v>
      </c>
      <c r="H351" s="29" t="str">
        <f>H349&amp;" / "&amp;H350</f>
        <v>2003 / 2009</v>
      </c>
      <c r="I351" s="29" t="str">
        <f>I350</f>
        <v>Upgrading</v>
      </c>
      <c r="J351" s="97" t="str">
        <f>IFERROR(J350/J349,"")</f>
        <v/>
      </c>
      <c r="K351" s="32">
        <f>K350/K349</f>
        <v>1.1142857142857143</v>
      </c>
      <c r="L351" s="32">
        <f>L350/L349</f>
        <v>0.94857142857142862</v>
      </c>
      <c r="M351" s="28"/>
      <c r="N351" s="32">
        <f>N350/N349</f>
        <v>1.1471742313323574</v>
      </c>
      <c r="O351" s="32">
        <f>O350/O349</f>
        <v>1.02951533581109</v>
      </c>
      <c r="P351" s="33" t="str">
        <f>IF(K351&lt;50%,"x","")</f>
        <v/>
      </c>
      <c r="Q351" s="33" t="str">
        <f>IF(K351&gt;150%,"x","")</f>
        <v/>
      </c>
      <c r="R351" s="33" t="str">
        <f>IF(O351&lt;50%,"x","")</f>
        <v/>
      </c>
      <c r="S351" s="33" t="str">
        <f>IF(O351&gt;150%,"x","")</f>
        <v/>
      </c>
      <c r="T351" s="33" t="s">
        <v>27</v>
      </c>
      <c r="U351" s="34" t="s">
        <v>27</v>
      </c>
      <c r="V351" s="35" t="s">
        <v>27</v>
      </c>
    </row>
    <row r="352" spans="1:22" ht="16.5" thickTop="1" x14ac:dyDescent="0.25">
      <c r="A352" s="18" t="s">
        <v>81</v>
      </c>
      <c r="B352" s="18" t="s">
        <v>945</v>
      </c>
      <c r="C352" s="18" t="s">
        <v>192</v>
      </c>
      <c r="D352" s="18" t="s">
        <v>42</v>
      </c>
      <c r="E352" s="18" t="s">
        <v>69</v>
      </c>
      <c r="F352" s="18" t="s">
        <v>202</v>
      </c>
      <c r="G352" s="18" t="s">
        <v>29</v>
      </c>
      <c r="H352" s="19">
        <v>2003</v>
      </c>
      <c r="I352" s="18" t="s">
        <v>387</v>
      </c>
      <c r="J352" s="101" t="s">
        <v>27</v>
      </c>
      <c r="K352" s="20">
        <v>44</v>
      </c>
      <c r="L352" s="21">
        <v>88</v>
      </c>
      <c r="M352" s="22" t="s">
        <v>194</v>
      </c>
      <c r="N352" s="23">
        <v>10.653753026634384</v>
      </c>
      <c r="O352" s="24">
        <v>0.24213075060532691</v>
      </c>
      <c r="P352" s="25" t="str">
        <f>IF(P354="x","x","")</f>
        <v/>
      </c>
      <c r="Q352" s="25" t="str">
        <f>IF(Q354="x","x","")</f>
        <v/>
      </c>
      <c r="R352" s="25" t="str">
        <f>IF(R354="x","x","")</f>
        <v/>
      </c>
      <c r="S352" s="25" t="str">
        <f>IF(S354="x","x","")</f>
        <v/>
      </c>
      <c r="T352" s="25" t="s">
        <v>27</v>
      </c>
      <c r="U352" s="26"/>
      <c r="V352" s="27"/>
    </row>
    <row r="353" spans="1:22" x14ac:dyDescent="0.25">
      <c r="A353" s="18" t="s">
        <v>81</v>
      </c>
      <c r="B353" s="18" t="s">
        <v>945</v>
      </c>
      <c r="C353" s="18" t="s">
        <v>192</v>
      </c>
      <c r="D353" s="18" t="s">
        <v>42</v>
      </c>
      <c r="E353" s="18" t="s">
        <v>69</v>
      </c>
      <c r="F353" s="18" t="s">
        <v>202</v>
      </c>
      <c r="G353" s="18" t="s">
        <v>32</v>
      </c>
      <c r="H353" s="19">
        <v>2009</v>
      </c>
      <c r="I353" s="18" t="s">
        <v>387</v>
      </c>
      <c r="J353" s="101">
        <v>13</v>
      </c>
      <c r="K353" s="20">
        <v>36.4</v>
      </c>
      <c r="L353" s="21">
        <v>74.400000000000006</v>
      </c>
      <c r="M353" s="22" t="s">
        <v>194</v>
      </c>
      <c r="N353" s="23">
        <v>10.893118594436311</v>
      </c>
      <c r="O353" s="24">
        <v>0.29926149984715139</v>
      </c>
      <c r="P353" s="25" t="str">
        <f>IF(P354="x","x","")</f>
        <v/>
      </c>
      <c r="Q353" s="25" t="str">
        <f>IF(Q354="x","x","")</f>
        <v/>
      </c>
      <c r="R353" s="25" t="str">
        <f>IF(R354="x","x","")</f>
        <v/>
      </c>
      <c r="S353" s="25" t="str">
        <f>IF(S354="x","x","")</f>
        <v/>
      </c>
      <c r="T353" s="25" t="s">
        <v>27</v>
      </c>
      <c r="U353" s="26"/>
      <c r="V353" s="27"/>
    </row>
    <row r="354" spans="1:22" ht="16.5" thickBot="1" x14ac:dyDescent="0.3">
      <c r="A354" s="28" t="str">
        <f>A353</f>
        <v>China</v>
      </c>
      <c r="B354" s="28" t="str">
        <f>B353</f>
        <v>East Asia and Pacific</v>
      </c>
      <c r="C354" s="28" t="str">
        <f>C353</f>
        <v>P076714</v>
      </c>
      <c r="D354" s="28" t="s">
        <v>26</v>
      </c>
      <c r="E354" s="28" t="s">
        <v>27</v>
      </c>
      <c r="F354" s="28" t="str">
        <f>F353</f>
        <v>P076714C2S3</v>
      </c>
      <c r="G354" s="28" t="s">
        <v>16</v>
      </c>
      <c r="H354" s="29" t="str">
        <f>H352&amp;" / "&amp;H353</f>
        <v>2003 / 2009</v>
      </c>
      <c r="I354" s="29" t="str">
        <f>I353</f>
        <v>Upgrading</v>
      </c>
      <c r="J354" s="97" t="str">
        <f>IFERROR(J353/J352,"")</f>
        <v/>
      </c>
      <c r="K354" s="32">
        <f>K353/K352</f>
        <v>0.82727272727272727</v>
      </c>
      <c r="L354" s="32">
        <f>L353/L352</f>
        <v>0.84545454545454557</v>
      </c>
      <c r="M354" s="28"/>
      <c r="N354" s="32">
        <f>N353/N352</f>
        <v>1.0224677226141354</v>
      </c>
      <c r="O354" s="32">
        <f>O353/O352</f>
        <v>1.2359499943687351</v>
      </c>
      <c r="P354" s="33" t="str">
        <f>IF(K354&lt;50%,"x","")</f>
        <v/>
      </c>
      <c r="Q354" s="33" t="str">
        <f>IF(K354&gt;150%,"x","")</f>
        <v/>
      </c>
      <c r="R354" s="33" t="str">
        <f>IF(O354&lt;50%,"x","")</f>
        <v/>
      </c>
      <c r="S354" s="33" t="str">
        <f>IF(O354&gt;150%,"x","")</f>
        <v/>
      </c>
      <c r="T354" s="33" t="s">
        <v>27</v>
      </c>
      <c r="U354" s="34" t="s">
        <v>27</v>
      </c>
      <c r="V354" s="35" t="s">
        <v>27</v>
      </c>
    </row>
    <row r="355" spans="1:22" ht="16.5" thickTop="1" x14ac:dyDescent="0.25">
      <c r="A355" s="18" t="s">
        <v>81</v>
      </c>
      <c r="B355" s="18" t="s">
        <v>945</v>
      </c>
      <c r="C355" s="18" t="s">
        <v>192</v>
      </c>
      <c r="D355" s="18" t="s">
        <v>42</v>
      </c>
      <c r="E355" s="18" t="s">
        <v>71</v>
      </c>
      <c r="F355" s="18" t="s">
        <v>203</v>
      </c>
      <c r="G355" s="18" t="s">
        <v>29</v>
      </c>
      <c r="H355" s="19">
        <v>2003</v>
      </c>
      <c r="I355" s="18" t="s">
        <v>387</v>
      </c>
      <c r="J355" s="101" t="s">
        <v>27</v>
      </c>
      <c r="K355" s="20">
        <v>38</v>
      </c>
      <c r="L355" s="21">
        <v>90</v>
      </c>
      <c r="M355" s="22" t="s">
        <v>194</v>
      </c>
      <c r="N355" s="23">
        <v>10.89588377723971</v>
      </c>
      <c r="O355" s="24">
        <v>0.28673378361157131</v>
      </c>
      <c r="P355" s="25" t="str">
        <f>IF(P357="x","x","")</f>
        <v/>
      </c>
      <c r="Q355" s="25" t="str">
        <f>IF(Q357="x","x","")</f>
        <v/>
      </c>
      <c r="R355" s="25" t="str">
        <f>IF(R357="x","x","")</f>
        <v/>
      </c>
      <c r="S355" s="25" t="str">
        <f>IF(S357="x","x","")</f>
        <v/>
      </c>
      <c r="T355" s="25" t="s">
        <v>27</v>
      </c>
      <c r="U355" s="26"/>
      <c r="V355" s="27"/>
    </row>
    <row r="356" spans="1:22" x14ac:dyDescent="0.25">
      <c r="A356" s="18" t="s">
        <v>81</v>
      </c>
      <c r="B356" s="18" t="s">
        <v>945</v>
      </c>
      <c r="C356" s="18" t="s">
        <v>192</v>
      </c>
      <c r="D356" s="18" t="s">
        <v>42</v>
      </c>
      <c r="E356" s="18" t="s">
        <v>71</v>
      </c>
      <c r="F356" s="18" t="s">
        <v>203</v>
      </c>
      <c r="G356" s="18" t="s">
        <v>32</v>
      </c>
      <c r="H356" s="19">
        <v>2009</v>
      </c>
      <c r="I356" s="18" t="s">
        <v>387</v>
      </c>
      <c r="J356" s="101">
        <v>11</v>
      </c>
      <c r="K356" s="20">
        <v>32.700000000000003</v>
      </c>
      <c r="L356" s="21">
        <v>65.400000000000006</v>
      </c>
      <c r="M356" s="22" t="s">
        <v>194</v>
      </c>
      <c r="N356" s="23">
        <v>9.5754026354319191</v>
      </c>
      <c r="O356" s="24">
        <v>0.29282576866764276</v>
      </c>
      <c r="P356" s="25" t="str">
        <f>IF(P357="x","x","")</f>
        <v/>
      </c>
      <c r="Q356" s="25" t="str">
        <f>IF(Q357="x","x","")</f>
        <v/>
      </c>
      <c r="R356" s="25" t="str">
        <f>IF(R357="x","x","")</f>
        <v/>
      </c>
      <c r="S356" s="25" t="str">
        <f>IF(S357="x","x","")</f>
        <v/>
      </c>
      <c r="T356" s="25" t="s">
        <v>27</v>
      </c>
      <c r="U356" s="26"/>
      <c r="V356" s="27"/>
    </row>
    <row r="357" spans="1:22" ht="16.5" thickBot="1" x14ac:dyDescent="0.3">
      <c r="A357" s="28" t="str">
        <f>A356</f>
        <v>China</v>
      </c>
      <c r="B357" s="28" t="str">
        <f>B356</f>
        <v>East Asia and Pacific</v>
      </c>
      <c r="C357" s="28" t="str">
        <f>C356</f>
        <v>P076714</v>
      </c>
      <c r="D357" s="28" t="s">
        <v>26</v>
      </c>
      <c r="E357" s="28" t="s">
        <v>27</v>
      </c>
      <c r="F357" s="28" t="str">
        <f>F356</f>
        <v>P076714C2S4</v>
      </c>
      <c r="G357" s="28" t="s">
        <v>16</v>
      </c>
      <c r="H357" s="29" t="str">
        <f>H355&amp;" / "&amp;H356</f>
        <v>2003 / 2009</v>
      </c>
      <c r="I357" s="29" t="str">
        <f>I356</f>
        <v>Upgrading</v>
      </c>
      <c r="J357" s="97" t="str">
        <f>IFERROR(J356/J355,"")</f>
        <v/>
      </c>
      <c r="K357" s="32">
        <f>K356/K355</f>
        <v>0.86052631578947381</v>
      </c>
      <c r="L357" s="32">
        <f>L356/L355</f>
        <v>0.72666666666666668</v>
      </c>
      <c r="M357" s="28"/>
      <c r="N357" s="32">
        <f>N356/N355</f>
        <v>0.8788091752074183</v>
      </c>
      <c r="O357" s="32">
        <f>O356/O355</f>
        <v>1.0212461363266634</v>
      </c>
      <c r="P357" s="33" t="str">
        <f>IF(K357&lt;50%,"x","")</f>
        <v/>
      </c>
      <c r="Q357" s="33" t="str">
        <f>IF(K357&gt;150%,"x","")</f>
        <v/>
      </c>
      <c r="R357" s="33" t="str">
        <f>IF(O357&lt;50%,"x","")</f>
        <v/>
      </c>
      <c r="S357" s="33" t="str">
        <f>IF(O357&gt;150%,"x","")</f>
        <v/>
      </c>
      <c r="T357" s="33" t="s">
        <v>27</v>
      </c>
      <c r="U357" s="34" t="s">
        <v>27</v>
      </c>
      <c r="V357" s="35" t="s">
        <v>27</v>
      </c>
    </row>
    <row r="358" spans="1:22" ht="16.5" thickTop="1" x14ac:dyDescent="0.25">
      <c r="A358" s="18" t="s">
        <v>81</v>
      </c>
      <c r="B358" s="18" t="s">
        <v>945</v>
      </c>
      <c r="C358" s="18" t="s">
        <v>192</v>
      </c>
      <c r="D358" s="18" t="s">
        <v>42</v>
      </c>
      <c r="E358" s="18" t="s">
        <v>141</v>
      </c>
      <c r="F358" s="18" t="s">
        <v>204</v>
      </c>
      <c r="G358" s="18" t="s">
        <v>29</v>
      </c>
      <c r="H358" s="19">
        <v>2003</v>
      </c>
      <c r="I358" s="18" t="s">
        <v>387</v>
      </c>
      <c r="J358" s="101" t="s">
        <v>27</v>
      </c>
      <c r="K358" s="20">
        <v>52</v>
      </c>
      <c r="L358" s="21">
        <v>104</v>
      </c>
      <c r="M358" s="22" t="s">
        <v>194</v>
      </c>
      <c r="N358" s="23">
        <v>12.590799031476998</v>
      </c>
      <c r="O358" s="24">
        <v>0.24213075060532688</v>
      </c>
      <c r="P358" s="25" t="str">
        <f>IF(P360="x","x","")</f>
        <v/>
      </c>
      <c r="Q358" s="25" t="str">
        <f>IF(Q360="x","x","")</f>
        <v/>
      </c>
      <c r="R358" s="25" t="str">
        <f>IF(R360="x","x","")</f>
        <v/>
      </c>
      <c r="S358" s="25" t="str">
        <f>IF(S360="x","x","")</f>
        <v/>
      </c>
      <c r="T358" s="25" t="s">
        <v>27</v>
      </c>
      <c r="U358" s="26"/>
      <c r="V358" s="27"/>
    </row>
    <row r="359" spans="1:22" x14ac:dyDescent="0.25">
      <c r="A359" s="18" t="s">
        <v>81</v>
      </c>
      <c r="B359" s="18" t="s">
        <v>945</v>
      </c>
      <c r="C359" s="18" t="s">
        <v>192</v>
      </c>
      <c r="D359" s="18" t="s">
        <v>42</v>
      </c>
      <c r="E359" s="18" t="s">
        <v>141</v>
      </c>
      <c r="F359" s="18" t="s">
        <v>204</v>
      </c>
      <c r="G359" s="18" t="s">
        <v>32</v>
      </c>
      <c r="H359" s="19">
        <v>2009</v>
      </c>
      <c r="I359" s="18" t="s">
        <v>387</v>
      </c>
      <c r="J359" s="101">
        <v>25</v>
      </c>
      <c r="K359" s="20">
        <v>51.3</v>
      </c>
      <c r="L359" s="21">
        <v>56</v>
      </c>
      <c r="M359" s="22" t="s">
        <v>194</v>
      </c>
      <c r="N359" s="23">
        <v>8.1991215226939964</v>
      </c>
      <c r="O359" s="24">
        <v>0.1598269302669395</v>
      </c>
      <c r="P359" s="25" t="str">
        <f>IF(P360="x","x","")</f>
        <v/>
      </c>
      <c r="Q359" s="25" t="str">
        <f>IF(Q360="x","x","")</f>
        <v/>
      </c>
      <c r="R359" s="25" t="str">
        <f>IF(R360="x","x","")</f>
        <v/>
      </c>
      <c r="S359" s="25" t="str">
        <f>IF(S360="x","x","")</f>
        <v/>
      </c>
      <c r="T359" s="25" t="s">
        <v>27</v>
      </c>
      <c r="U359" s="26"/>
      <c r="V359" s="27"/>
    </row>
    <row r="360" spans="1:22" ht="16.5" thickBot="1" x14ac:dyDescent="0.3">
      <c r="A360" s="28" t="str">
        <f>A359</f>
        <v>China</v>
      </c>
      <c r="B360" s="28" t="str">
        <f>B359</f>
        <v>East Asia and Pacific</v>
      </c>
      <c r="C360" s="28" t="str">
        <f>C359</f>
        <v>P076714</v>
      </c>
      <c r="D360" s="28" t="s">
        <v>26</v>
      </c>
      <c r="E360" s="28" t="s">
        <v>27</v>
      </c>
      <c r="F360" s="28" t="str">
        <f>F359</f>
        <v>P076714C2S5</v>
      </c>
      <c r="G360" s="28" t="s">
        <v>16</v>
      </c>
      <c r="H360" s="29" t="str">
        <f>H358&amp;" / "&amp;H359</f>
        <v>2003 / 2009</v>
      </c>
      <c r="I360" s="29" t="str">
        <f>I359</f>
        <v>Upgrading</v>
      </c>
      <c r="J360" s="97" t="str">
        <f>IFERROR(J359/J358,"")</f>
        <v/>
      </c>
      <c r="K360" s="32">
        <f>K359/K358</f>
        <v>0.98653846153846148</v>
      </c>
      <c r="L360" s="32">
        <f>L359/L358</f>
        <v>0.53846153846153844</v>
      </c>
      <c r="M360" s="28"/>
      <c r="N360" s="32">
        <f>N359/N358</f>
        <v>0.65119945939858093</v>
      </c>
      <c r="O360" s="32">
        <f>O359/O358</f>
        <v>0.66008522200246011</v>
      </c>
      <c r="P360" s="33" t="str">
        <f>IF(K360&lt;50%,"x","")</f>
        <v/>
      </c>
      <c r="Q360" s="33" t="str">
        <f>IF(K360&gt;150%,"x","")</f>
        <v/>
      </c>
      <c r="R360" s="33" t="str">
        <f>IF(O360&lt;50%,"x","")</f>
        <v/>
      </c>
      <c r="S360" s="33" t="str">
        <f>IF(O360&gt;150%,"x","")</f>
        <v/>
      </c>
      <c r="T360" s="33" t="s">
        <v>27</v>
      </c>
      <c r="U360" s="34" t="s">
        <v>27</v>
      </c>
      <c r="V360" s="35" t="s">
        <v>27</v>
      </c>
    </row>
    <row r="361" spans="1:22" ht="16.5" thickTop="1" x14ac:dyDescent="0.25">
      <c r="A361" s="18" t="s">
        <v>81</v>
      </c>
      <c r="B361" s="18" t="s">
        <v>945</v>
      </c>
      <c r="C361" s="18" t="s">
        <v>224</v>
      </c>
      <c r="D361" s="18" t="s">
        <v>26</v>
      </c>
      <c r="E361" s="18" t="s">
        <v>27</v>
      </c>
      <c r="F361" s="18" t="s">
        <v>225</v>
      </c>
      <c r="G361" s="18" t="s">
        <v>29</v>
      </c>
      <c r="H361" s="19">
        <v>2004</v>
      </c>
      <c r="I361" s="18" t="s">
        <v>111</v>
      </c>
      <c r="J361" s="101">
        <v>36</v>
      </c>
      <c r="K361" s="20">
        <v>105.1</v>
      </c>
      <c r="L361" s="21">
        <v>357.69</v>
      </c>
      <c r="M361" s="22" t="s">
        <v>30</v>
      </c>
      <c r="N361" s="23">
        <v>357.69</v>
      </c>
      <c r="O361" s="24">
        <v>3.4033301617507137</v>
      </c>
      <c r="P361" s="25" t="str">
        <f>IF(P363="x","x","")</f>
        <v/>
      </c>
      <c r="Q361" s="25" t="str">
        <f>IF(Q363="x","x","")</f>
        <v/>
      </c>
      <c r="R361" s="25" t="str">
        <f>IF(R363="x","x","")</f>
        <v/>
      </c>
      <c r="S361" s="25" t="str">
        <f>IF(S363="x","x","")</f>
        <v>x</v>
      </c>
      <c r="T361" s="25" t="s">
        <v>31</v>
      </c>
      <c r="U361" s="26"/>
      <c r="V361" s="27"/>
    </row>
    <row r="362" spans="1:22" x14ac:dyDescent="0.25">
      <c r="A362" s="18" t="s">
        <v>81</v>
      </c>
      <c r="B362" s="18" t="s">
        <v>945</v>
      </c>
      <c r="C362" s="18" t="s">
        <v>224</v>
      </c>
      <c r="D362" s="18" t="s">
        <v>26</v>
      </c>
      <c r="E362" s="18" t="s">
        <v>27</v>
      </c>
      <c r="F362" s="18" t="s">
        <v>225</v>
      </c>
      <c r="G362" s="18" t="s">
        <v>32</v>
      </c>
      <c r="H362" s="19">
        <v>2010</v>
      </c>
      <c r="I362" s="18" t="s">
        <v>111</v>
      </c>
      <c r="J362" s="101">
        <v>36</v>
      </c>
      <c r="K362" s="20">
        <v>106.4</v>
      </c>
      <c r="L362" s="21">
        <v>600.14790000000005</v>
      </c>
      <c r="M362" s="22" t="s">
        <v>30</v>
      </c>
      <c r="N362" s="23">
        <v>600.14790000000005</v>
      </c>
      <c r="O362" s="24">
        <v>5.6404877819548878</v>
      </c>
      <c r="P362" s="25" t="str">
        <f>IF(P363="x","x","")</f>
        <v/>
      </c>
      <c r="Q362" s="25" t="str">
        <f>IF(Q363="x","x","")</f>
        <v/>
      </c>
      <c r="R362" s="25" t="str">
        <f>IF(R363="x","x","")</f>
        <v/>
      </c>
      <c r="S362" s="25" t="str">
        <f>IF(S363="x","x","")</f>
        <v>x</v>
      </c>
      <c r="T362" s="25" t="s">
        <v>31</v>
      </c>
      <c r="U362" s="26"/>
      <c r="V362" s="27"/>
    </row>
    <row r="363" spans="1:22" ht="48" thickBot="1" x14ac:dyDescent="0.3">
      <c r="A363" s="28" t="str">
        <f>A362</f>
        <v>China</v>
      </c>
      <c r="B363" s="28" t="str">
        <f>B362</f>
        <v>East Asia and Pacific</v>
      </c>
      <c r="C363" s="28" t="str">
        <f>C362</f>
        <v>P081749</v>
      </c>
      <c r="D363" s="28" t="s">
        <v>26</v>
      </c>
      <c r="E363" s="28" t="s">
        <v>27</v>
      </c>
      <c r="F363" s="28" t="str">
        <f>F362</f>
        <v>P081749C1</v>
      </c>
      <c r="G363" s="28" t="s">
        <v>16</v>
      </c>
      <c r="H363" s="29" t="str">
        <f>H361&amp;" / "&amp;H362</f>
        <v>2004 / 2010</v>
      </c>
      <c r="I363" s="29" t="str">
        <f>I362</f>
        <v>New 4L Expressway</v>
      </c>
      <c r="J363" s="97">
        <f>IFERROR(J362/J361,"")</f>
        <v>1</v>
      </c>
      <c r="K363" s="32">
        <f>K362/K361</f>
        <v>1.0123691722169363</v>
      </c>
      <c r="L363" s="32">
        <f>L362/L361</f>
        <v>1.6778436635075067</v>
      </c>
      <c r="M363" s="28"/>
      <c r="N363" s="32">
        <f>N362/N361</f>
        <v>1.6778436635075067</v>
      </c>
      <c r="O363" s="32">
        <f>O362/O361</f>
        <v>1.6573436939345765</v>
      </c>
      <c r="P363" s="33" t="str">
        <f>IF(K363&lt;50%,"x","")</f>
        <v/>
      </c>
      <c r="Q363" s="33" t="str">
        <f>IF(K363&gt;150%,"x","")</f>
        <v/>
      </c>
      <c r="R363" s="33" t="str">
        <f>IF(O363&lt;50%,"x","")</f>
        <v/>
      </c>
      <c r="S363" s="33" t="str">
        <f>IF(O363&gt;150%,"x","")</f>
        <v>x</v>
      </c>
      <c r="T363" s="33" t="s">
        <v>31</v>
      </c>
      <c r="U363" s="34" t="s">
        <v>1156</v>
      </c>
      <c r="V363" s="35" t="s">
        <v>1157</v>
      </c>
    </row>
    <row r="364" spans="1:22" ht="16.5" thickTop="1" x14ac:dyDescent="0.25">
      <c r="A364" s="18" t="s">
        <v>81</v>
      </c>
      <c r="B364" s="18" t="s">
        <v>945</v>
      </c>
      <c r="C364" s="18" t="s">
        <v>224</v>
      </c>
      <c r="D364" s="18" t="s">
        <v>42</v>
      </c>
      <c r="E364" s="18" t="s">
        <v>36</v>
      </c>
      <c r="F364" s="18" t="s">
        <v>227</v>
      </c>
      <c r="G364" s="18" t="s">
        <v>29</v>
      </c>
      <c r="H364" s="19">
        <v>2004</v>
      </c>
      <c r="I364" s="18" t="s">
        <v>387</v>
      </c>
      <c r="J364" s="101">
        <v>36</v>
      </c>
      <c r="K364" s="20">
        <v>85.8</v>
      </c>
      <c r="L364" s="21">
        <v>177.4</v>
      </c>
      <c r="M364" s="22" t="s">
        <v>194</v>
      </c>
      <c r="N364" s="23">
        <v>21.425120772946862</v>
      </c>
      <c r="O364" s="24">
        <v>0.24971003231872801</v>
      </c>
      <c r="P364" s="25" t="str">
        <f>IF(P366="x","x","")</f>
        <v/>
      </c>
      <c r="Q364" s="25" t="str">
        <f>IF(Q366="x","x","")</f>
        <v/>
      </c>
      <c r="R364" s="25" t="str">
        <f>IF(R366="x","x","")</f>
        <v/>
      </c>
      <c r="S364" s="25" t="str">
        <f>IF(S366="x","x","")</f>
        <v/>
      </c>
      <c r="T364" s="25" t="s">
        <v>27</v>
      </c>
      <c r="U364" s="26"/>
      <c r="V364" s="27"/>
    </row>
    <row r="365" spans="1:22" x14ac:dyDescent="0.25">
      <c r="A365" s="18" t="s">
        <v>81</v>
      </c>
      <c r="B365" s="18" t="s">
        <v>945</v>
      </c>
      <c r="C365" s="18" t="s">
        <v>224</v>
      </c>
      <c r="D365" s="18" t="s">
        <v>42</v>
      </c>
      <c r="E365" s="18" t="s">
        <v>36</v>
      </c>
      <c r="F365" s="18" t="s">
        <v>227</v>
      </c>
      <c r="G365" s="18" t="s">
        <v>32</v>
      </c>
      <c r="H365" s="19">
        <v>2010</v>
      </c>
      <c r="I365" s="18" t="s">
        <v>387</v>
      </c>
      <c r="J365" s="101">
        <v>36</v>
      </c>
      <c r="K365" s="20">
        <v>85.18</v>
      </c>
      <c r="L365" s="21">
        <v>150</v>
      </c>
      <c r="M365" s="22" t="s">
        <v>194</v>
      </c>
      <c r="N365" s="23">
        <v>21.961932650073205</v>
      </c>
      <c r="O365" s="24">
        <v>0.25782968596000472</v>
      </c>
      <c r="P365" s="25" t="str">
        <f>IF(P366="x","x","")</f>
        <v/>
      </c>
      <c r="Q365" s="25" t="str">
        <f>IF(Q366="x","x","")</f>
        <v/>
      </c>
      <c r="R365" s="25" t="str">
        <f>IF(R366="x","x","")</f>
        <v/>
      </c>
      <c r="S365" s="25" t="str">
        <f>IF(S366="x","x","")</f>
        <v/>
      </c>
      <c r="T365" s="25" t="s">
        <v>27</v>
      </c>
      <c r="U365" s="26"/>
      <c r="V365" s="27"/>
    </row>
    <row r="366" spans="1:22" ht="16.5" thickBot="1" x14ac:dyDescent="0.3">
      <c r="A366" s="28" t="str">
        <f>A365</f>
        <v>China</v>
      </c>
      <c r="B366" s="28" t="str">
        <f>B365</f>
        <v>East Asia and Pacific</v>
      </c>
      <c r="C366" s="28" t="str">
        <f>C365</f>
        <v>P081749</v>
      </c>
      <c r="D366" s="28" t="s">
        <v>26</v>
      </c>
      <c r="E366" s="28" t="s">
        <v>27</v>
      </c>
      <c r="F366" s="28" t="str">
        <f>F365</f>
        <v>P081749C2S1</v>
      </c>
      <c r="G366" s="28" t="s">
        <v>16</v>
      </c>
      <c r="H366" s="29" t="str">
        <f>H364&amp;" / "&amp;H365</f>
        <v>2004 / 2010</v>
      </c>
      <c r="I366" s="29" t="str">
        <f>I365</f>
        <v>Upgrading</v>
      </c>
      <c r="J366" s="97">
        <f>IFERROR(J365/J364,"")</f>
        <v>1</v>
      </c>
      <c r="K366" s="32">
        <f>K365/K364</f>
        <v>0.99277389277389294</v>
      </c>
      <c r="L366" s="32">
        <f>L365/L364</f>
        <v>0.84554678692220964</v>
      </c>
      <c r="M366" s="28"/>
      <c r="N366" s="32">
        <f>N365/N364</f>
        <v>1.0250552555952994</v>
      </c>
      <c r="O366" s="32">
        <f>O365/O364</f>
        <v>1.0325163293035533</v>
      </c>
      <c r="P366" s="33" t="str">
        <f>IF(K366&lt;50%,"x","")</f>
        <v/>
      </c>
      <c r="Q366" s="33" t="str">
        <f>IF(K366&gt;150%,"x","")</f>
        <v/>
      </c>
      <c r="R366" s="33" t="str">
        <f>IF(O366&lt;50%,"x","")</f>
        <v/>
      </c>
      <c r="S366" s="33" t="str">
        <f>IF(O366&gt;150%,"x","")</f>
        <v/>
      </c>
      <c r="T366" s="33" t="s">
        <v>27</v>
      </c>
      <c r="U366" s="34" t="s">
        <v>27</v>
      </c>
      <c r="V366" s="35" t="s">
        <v>27</v>
      </c>
    </row>
    <row r="367" spans="1:22" ht="16.5" thickTop="1" x14ac:dyDescent="0.25">
      <c r="A367" s="18" t="s">
        <v>81</v>
      </c>
      <c r="B367" s="18" t="s">
        <v>945</v>
      </c>
      <c r="C367" s="18" t="s">
        <v>282</v>
      </c>
      <c r="D367" s="18" t="s">
        <v>26</v>
      </c>
      <c r="E367" s="18" t="s">
        <v>27</v>
      </c>
      <c r="F367" s="18" t="s">
        <v>283</v>
      </c>
      <c r="G367" s="18" t="s">
        <v>29</v>
      </c>
      <c r="H367" s="19">
        <v>2006</v>
      </c>
      <c r="I367" s="18" t="s">
        <v>111</v>
      </c>
      <c r="J367" s="101" t="s">
        <v>27</v>
      </c>
      <c r="K367" s="20">
        <v>195</v>
      </c>
      <c r="L367" s="21">
        <v>733.86</v>
      </c>
      <c r="M367" s="22" t="s">
        <v>30</v>
      </c>
      <c r="N367" s="23">
        <v>733.86</v>
      </c>
      <c r="O367" s="24">
        <v>3.7633846153846156</v>
      </c>
      <c r="P367" s="25" t="str">
        <f>IF(P369="x","x","")</f>
        <v/>
      </c>
      <c r="Q367" s="25" t="str">
        <f>IF(Q369="x","x","")</f>
        <v/>
      </c>
      <c r="R367" s="25" t="str">
        <f>IF(R369="x","x","")</f>
        <v/>
      </c>
      <c r="S367" s="25" t="str">
        <f>IF(S369="x","x","")</f>
        <v>x</v>
      </c>
      <c r="T367" s="25" t="s">
        <v>31</v>
      </c>
      <c r="U367" s="26"/>
      <c r="V367" s="27"/>
    </row>
    <row r="368" spans="1:22" x14ac:dyDescent="0.25">
      <c r="A368" s="18" t="s">
        <v>81</v>
      </c>
      <c r="B368" s="18" t="s">
        <v>945</v>
      </c>
      <c r="C368" s="18" t="s">
        <v>282</v>
      </c>
      <c r="D368" s="18" t="s">
        <v>26</v>
      </c>
      <c r="E368" s="18" t="s">
        <v>27</v>
      </c>
      <c r="F368" s="18" t="s">
        <v>283</v>
      </c>
      <c r="G368" s="18" t="s">
        <v>32</v>
      </c>
      <c r="H368" s="19">
        <v>2015</v>
      </c>
      <c r="I368" s="18" t="s">
        <v>111</v>
      </c>
      <c r="J368" s="101" t="s">
        <v>27</v>
      </c>
      <c r="K368" s="20">
        <v>195</v>
      </c>
      <c r="L368" s="21">
        <v>1164.6500000000001</v>
      </c>
      <c r="M368" s="22" t="s">
        <v>30</v>
      </c>
      <c r="N368" s="23">
        <v>1164.6500000000001</v>
      </c>
      <c r="O368" s="24">
        <v>5.9725641025641032</v>
      </c>
      <c r="P368" s="25" t="str">
        <f>IF(P369="x","x","")</f>
        <v/>
      </c>
      <c r="Q368" s="25" t="str">
        <f>IF(Q369="x","x","")</f>
        <v/>
      </c>
      <c r="R368" s="25" t="str">
        <f>IF(R369="x","x","")</f>
        <v/>
      </c>
      <c r="S368" s="25" t="str">
        <f>IF(S369="x","x","")</f>
        <v>x</v>
      </c>
      <c r="T368" s="25" t="s">
        <v>31</v>
      </c>
      <c r="U368" s="26"/>
      <c r="V368" s="27"/>
    </row>
    <row r="369" spans="1:22" ht="26.25" customHeight="1" thickBot="1" x14ac:dyDescent="0.3">
      <c r="A369" s="28" t="str">
        <f>A368</f>
        <v>China</v>
      </c>
      <c r="B369" s="28" t="str">
        <f>B368</f>
        <v>East Asia and Pacific</v>
      </c>
      <c r="C369" s="28" t="str">
        <f>C368</f>
        <v>P091020</v>
      </c>
      <c r="D369" s="28" t="s">
        <v>26</v>
      </c>
      <c r="E369" s="28" t="s">
        <v>27</v>
      </c>
      <c r="F369" s="28" t="str">
        <f>F368</f>
        <v>P091020C1</v>
      </c>
      <c r="G369" s="28" t="s">
        <v>16</v>
      </c>
      <c r="H369" s="29" t="str">
        <f>H367&amp;" / "&amp;H368</f>
        <v>2006 / 2015</v>
      </c>
      <c r="I369" s="29" t="str">
        <f>I368</f>
        <v>New 4L Expressway</v>
      </c>
      <c r="J369" s="97" t="str">
        <f>IFERROR(J368/J367,"")</f>
        <v/>
      </c>
      <c r="K369" s="32">
        <f>K368/K367</f>
        <v>1</v>
      </c>
      <c r="L369" s="32">
        <f>L368/L367</f>
        <v>1.5870193224865778</v>
      </c>
      <c r="M369" s="28"/>
      <c r="N369" s="32">
        <f>N368/N367</f>
        <v>1.5870193224865778</v>
      </c>
      <c r="O369" s="32">
        <f>O368/O367</f>
        <v>1.5870193224865778</v>
      </c>
      <c r="P369" s="33" t="str">
        <f>IF(K369&lt;50%,"x","")</f>
        <v/>
      </c>
      <c r="Q369" s="33" t="str">
        <f>IF(K369&gt;150%,"x","")</f>
        <v/>
      </c>
      <c r="R369" s="33" t="str">
        <f>IF(O369&lt;50%,"x","")</f>
        <v/>
      </c>
      <c r="S369" s="33" t="str">
        <f>IF(O369&gt;150%,"x","")</f>
        <v>x</v>
      </c>
      <c r="T369" s="33" t="s">
        <v>31</v>
      </c>
      <c r="U369" s="34" t="s">
        <v>1177</v>
      </c>
      <c r="V369" s="35" t="s">
        <v>1178</v>
      </c>
    </row>
    <row r="370" spans="1:22" ht="16.5" thickTop="1" x14ac:dyDescent="0.25">
      <c r="A370" s="18" t="s">
        <v>81</v>
      </c>
      <c r="B370" s="18" t="s">
        <v>945</v>
      </c>
      <c r="C370" s="18" t="s">
        <v>282</v>
      </c>
      <c r="D370" s="18" t="s">
        <v>42</v>
      </c>
      <c r="E370" s="18" t="s">
        <v>27</v>
      </c>
      <c r="F370" s="18" t="s">
        <v>284</v>
      </c>
      <c r="G370" s="18" t="s">
        <v>29</v>
      </c>
      <c r="H370" s="19">
        <v>2006</v>
      </c>
      <c r="I370" s="18" t="s">
        <v>38</v>
      </c>
      <c r="J370" s="101" t="s">
        <v>27</v>
      </c>
      <c r="K370" s="20">
        <v>4222.63</v>
      </c>
      <c r="L370" s="21">
        <v>3297.43</v>
      </c>
      <c r="M370" s="22" t="s">
        <v>194</v>
      </c>
      <c r="N370" s="23">
        <v>409.61863354037263</v>
      </c>
      <c r="O370" s="24">
        <v>9.7005570826800502E-2</v>
      </c>
      <c r="P370" s="25" t="str">
        <f>IF(P372="x","x","")</f>
        <v/>
      </c>
      <c r="Q370" s="25" t="str">
        <f>IF(Q372="x","x","")</f>
        <v>x</v>
      </c>
      <c r="R370" s="25" t="str">
        <f>IF(R372="x","x","")</f>
        <v/>
      </c>
      <c r="S370" s="25" t="str">
        <f>IF(S372="x","x","")</f>
        <v/>
      </c>
      <c r="T370" s="25" t="s">
        <v>31</v>
      </c>
      <c r="U370" s="26"/>
      <c r="V370" s="27"/>
    </row>
    <row r="371" spans="1:22" x14ac:dyDescent="0.25">
      <c r="A371" s="18" t="s">
        <v>81</v>
      </c>
      <c r="B371" s="18" t="s">
        <v>945</v>
      </c>
      <c r="C371" s="18" t="s">
        <v>282</v>
      </c>
      <c r="D371" s="18" t="s">
        <v>42</v>
      </c>
      <c r="E371" s="18" t="s">
        <v>27</v>
      </c>
      <c r="F371" s="18" t="s">
        <v>284</v>
      </c>
      <c r="G371" s="18" t="s">
        <v>32</v>
      </c>
      <c r="H371" s="19">
        <v>2015</v>
      </c>
      <c r="I371" s="18" t="s">
        <v>38</v>
      </c>
      <c r="J371" s="101" t="s">
        <v>27</v>
      </c>
      <c r="K371" s="20">
        <v>10289.94</v>
      </c>
      <c r="L371" s="21">
        <v>8888.36</v>
      </c>
      <c r="M371" s="22" t="s">
        <v>194</v>
      </c>
      <c r="N371" s="23">
        <v>1454.7234042553191</v>
      </c>
      <c r="O371" s="24">
        <v>0.14137336119115554</v>
      </c>
      <c r="P371" s="25" t="str">
        <f>IF(P372="x","x","")</f>
        <v/>
      </c>
      <c r="Q371" s="25" t="str">
        <f>IF(Q372="x","x","")</f>
        <v>x</v>
      </c>
      <c r="R371" s="25" t="str">
        <f>IF(R372="x","x","")</f>
        <v/>
      </c>
      <c r="S371" s="25" t="str">
        <f>IF(S372="x","x","")</f>
        <v/>
      </c>
      <c r="T371" s="25" t="s">
        <v>31</v>
      </c>
      <c r="U371" s="26"/>
      <c r="V371" s="27"/>
    </row>
    <row r="372" spans="1:22" ht="25.5" customHeight="1" thickBot="1" x14ac:dyDescent="0.3">
      <c r="A372" s="28" t="str">
        <f>A371</f>
        <v>China</v>
      </c>
      <c r="B372" s="28" t="str">
        <f>B371</f>
        <v>East Asia and Pacific</v>
      </c>
      <c r="C372" s="28" t="str">
        <f>C371</f>
        <v>P091020</v>
      </c>
      <c r="D372" s="28" t="s">
        <v>26</v>
      </c>
      <c r="E372" s="28" t="s">
        <v>27</v>
      </c>
      <c r="F372" s="28" t="str">
        <f>F371</f>
        <v>P091020C2</v>
      </c>
      <c r="G372" s="28" t="s">
        <v>16</v>
      </c>
      <c r="H372" s="29" t="str">
        <f>H370&amp;" / "&amp;H371</f>
        <v>2006 / 2015</v>
      </c>
      <c r="I372" s="29" t="str">
        <f>I371</f>
        <v>Strengthening</v>
      </c>
      <c r="J372" s="97" t="str">
        <f>IFERROR(J371/J370,"")</f>
        <v/>
      </c>
      <c r="K372" s="32">
        <f>K371/K370</f>
        <v>2.4368557036728293</v>
      </c>
      <c r="L372" s="32">
        <f>L371/L370</f>
        <v>2.6955416794291316</v>
      </c>
      <c r="M372" s="28"/>
      <c r="N372" s="32">
        <f>N371/N370</f>
        <v>3.5514092503117034</v>
      </c>
      <c r="O372" s="32">
        <f>O371/O370</f>
        <v>1.4573736331449656</v>
      </c>
      <c r="P372" s="33" t="str">
        <f>IF(K372&lt;50%,"x","")</f>
        <v/>
      </c>
      <c r="Q372" s="33" t="str">
        <f>IF(K372&gt;150%,"x","")</f>
        <v>x</v>
      </c>
      <c r="R372" s="33" t="str">
        <f>IF(O372&lt;50%,"x","")</f>
        <v/>
      </c>
      <c r="S372" s="33" t="str">
        <f>IF(O372&gt;150%,"x","")</f>
        <v/>
      </c>
      <c r="T372" s="33" t="s">
        <v>31</v>
      </c>
      <c r="U372" s="34" t="s">
        <v>1179</v>
      </c>
      <c r="V372" s="35" t="s">
        <v>1180</v>
      </c>
    </row>
    <row r="373" spans="1:22" ht="16.5" thickTop="1" x14ac:dyDescent="0.25">
      <c r="A373" s="18" t="s">
        <v>81</v>
      </c>
      <c r="B373" s="18" t="s">
        <v>945</v>
      </c>
      <c r="C373" s="18" t="s">
        <v>282</v>
      </c>
      <c r="D373" s="18" t="s">
        <v>42</v>
      </c>
      <c r="E373" s="18" t="s">
        <v>36</v>
      </c>
      <c r="F373" s="18" t="s">
        <v>285</v>
      </c>
      <c r="G373" s="18" t="s">
        <v>29</v>
      </c>
      <c r="H373" s="19">
        <v>2006</v>
      </c>
      <c r="I373" s="18" t="s">
        <v>38</v>
      </c>
      <c r="J373" s="101" t="s">
        <v>27</v>
      </c>
      <c r="K373" s="20">
        <v>489.44</v>
      </c>
      <c r="L373" s="21">
        <v>307.18</v>
      </c>
      <c r="M373" s="22" t="s">
        <v>194</v>
      </c>
      <c r="N373" s="23">
        <v>38.15900621118012</v>
      </c>
      <c r="O373" s="24">
        <v>7.7964625308883873E-2</v>
      </c>
      <c r="P373" s="25" t="str">
        <f>IF(P375="x","x","")</f>
        <v/>
      </c>
      <c r="Q373" s="25" t="str">
        <f>IF(Q375="x","x","")</f>
        <v>x</v>
      </c>
      <c r="R373" s="25" t="str">
        <f>IF(R375="x","x","")</f>
        <v/>
      </c>
      <c r="S373" s="25" t="str">
        <f>IF(S375="x","x","")</f>
        <v>x</v>
      </c>
      <c r="T373" s="25" t="s">
        <v>31</v>
      </c>
      <c r="U373" s="26"/>
      <c r="V373" s="27"/>
    </row>
    <row r="374" spans="1:22" x14ac:dyDescent="0.25">
      <c r="A374" s="18" t="s">
        <v>81</v>
      </c>
      <c r="B374" s="18" t="s">
        <v>945</v>
      </c>
      <c r="C374" s="18" t="s">
        <v>282</v>
      </c>
      <c r="D374" s="18" t="s">
        <v>42</v>
      </c>
      <c r="E374" s="18" t="s">
        <v>36</v>
      </c>
      <c r="F374" s="18" t="s">
        <v>285</v>
      </c>
      <c r="G374" s="18" t="s">
        <v>32</v>
      </c>
      <c r="H374" s="19">
        <v>2015</v>
      </c>
      <c r="I374" s="18" t="s">
        <v>38</v>
      </c>
      <c r="J374" s="101" t="s">
        <v>27</v>
      </c>
      <c r="K374" s="20">
        <v>1757.41</v>
      </c>
      <c r="L374" s="21">
        <v>1622.89</v>
      </c>
      <c r="M374" s="22" t="s">
        <v>194</v>
      </c>
      <c r="N374" s="23">
        <v>265.61211129296237</v>
      </c>
      <c r="O374" s="24">
        <v>0.15113838620069442</v>
      </c>
      <c r="P374" s="25" t="str">
        <f>IF(P375="x","x","")</f>
        <v/>
      </c>
      <c r="Q374" s="25" t="str">
        <f>IF(Q375="x","x","")</f>
        <v>x</v>
      </c>
      <c r="R374" s="25" t="str">
        <f>IF(R375="x","x","")</f>
        <v/>
      </c>
      <c r="S374" s="25" t="str">
        <f>IF(S375="x","x","")</f>
        <v>x</v>
      </c>
      <c r="T374" s="25" t="s">
        <v>31</v>
      </c>
      <c r="U374" s="26"/>
      <c r="V374" s="27"/>
    </row>
    <row r="375" spans="1:22" ht="20.25" customHeight="1" thickBot="1" x14ac:dyDescent="0.3">
      <c r="A375" s="28" t="str">
        <f>A374</f>
        <v>China</v>
      </c>
      <c r="B375" s="28" t="str">
        <f>B374</f>
        <v>East Asia and Pacific</v>
      </c>
      <c r="C375" s="28" t="str">
        <f>C374</f>
        <v>P091020</v>
      </c>
      <c r="D375" s="28" t="s">
        <v>26</v>
      </c>
      <c r="E375" s="28" t="s">
        <v>27</v>
      </c>
      <c r="F375" s="28" t="str">
        <f>F374</f>
        <v>P091020C2S1</v>
      </c>
      <c r="G375" s="28" t="s">
        <v>16</v>
      </c>
      <c r="H375" s="29" t="str">
        <f>H373&amp;" / "&amp;H374</f>
        <v>2006 / 2015</v>
      </c>
      <c r="I375" s="29" t="str">
        <f>I374</f>
        <v>Strengthening</v>
      </c>
      <c r="J375" s="97" t="str">
        <f>IFERROR(J374/J373,"")</f>
        <v/>
      </c>
      <c r="K375" s="32">
        <f>K374/K373</f>
        <v>3.5906546256946719</v>
      </c>
      <c r="L375" s="32">
        <f>L374/L373</f>
        <v>5.2831890097011529</v>
      </c>
      <c r="M375" s="28"/>
      <c r="N375" s="32">
        <f>N374/N373</f>
        <v>6.9606663712101939</v>
      </c>
      <c r="O375" s="32">
        <f>O374/O373</f>
        <v>1.938550792771816</v>
      </c>
      <c r="P375" s="33" t="str">
        <f>IF(K375&lt;50%,"x","")</f>
        <v/>
      </c>
      <c r="Q375" s="33" t="str">
        <f>IF(K375&gt;150%,"x","")</f>
        <v>x</v>
      </c>
      <c r="R375" s="33" t="str">
        <f>IF(O375&lt;50%,"x","")</f>
        <v/>
      </c>
      <c r="S375" s="33" t="str">
        <f>IF(O375&gt;150%,"x","")</f>
        <v>x</v>
      </c>
      <c r="T375" s="33" t="s">
        <v>31</v>
      </c>
      <c r="U375" s="34" t="s">
        <v>988</v>
      </c>
      <c r="V375" s="35" t="s">
        <v>1181</v>
      </c>
    </row>
    <row r="376" spans="1:22" ht="16.5" thickTop="1" x14ac:dyDescent="0.25">
      <c r="A376" s="18" t="s">
        <v>81</v>
      </c>
      <c r="B376" s="18" t="s">
        <v>945</v>
      </c>
      <c r="C376" s="18" t="s">
        <v>282</v>
      </c>
      <c r="D376" s="18" t="s">
        <v>42</v>
      </c>
      <c r="E376" s="18" t="s">
        <v>40</v>
      </c>
      <c r="F376" s="18" t="s">
        <v>286</v>
      </c>
      <c r="G376" s="18" t="s">
        <v>29</v>
      </c>
      <c r="H376" s="19">
        <v>2006</v>
      </c>
      <c r="I376" s="18" t="s">
        <v>38</v>
      </c>
      <c r="J376" s="101" t="s">
        <v>27</v>
      </c>
      <c r="K376" s="20">
        <v>566.95000000000005</v>
      </c>
      <c r="L376" s="21">
        <v>656.21</v>
      </c>
      <c r="M376" s="22" t="s">
        <v>194</v>
      </c>
      <c r="N376" s="23">
        <v>81.516770186335407</v>
      </c>
      <c r="O376" s="24">
        <v>0.14378123324161812</v>
      </c>
      <c r="P376" s="25" t="str">
        <f>IF(P378="x","x","")</f>
        <v/>
      </c>
      <c r="Q376" s="25" t="str">
        <f>IF(Q378="x","x","")</f>
        <v>x</v>
      </c>
      <c r="R376" s="25" t="str">
        <f>IF(R378="x","x","")</f>
        <v/>
      </c>
      <c r="S376" s="25" t="str">
        <f>IF(S378="x","x","")</f>
        <v/>
      </c>
      <c r="T376" s="25" t="s">
        <v>31</v>
      </c>
      <c r="U376" s="26"/>
      <c r="V376" s="27"/>
    </row>
    <row r="377" spans="1:22" x14ac:dyDescent="0.25">
      <c r="A377" s="18" t="s">
        <v>81</v>
      </c>
      <c r="B377" s="18" t="s">
        <v>945</v>
      </c>
      <c r="C377" s="18" t="s">
        <v>282</v>
      </c>
      <c r="D377" s="18" t="s">
        <v>42</v>
      </c>
      <c r="E377" s="18" t="s">
        <v>40</v>
      </c>
      <c r="F377" s="18" t="s">
        <v>286</v>
      </c>
      <c r="G377" s="18" t="s">
        <v>32</v>
      </c>
      <c r="H377" s="19">
        <v>2015</v>
      </c>
      <c r="I377" s="18" t="s">
        <v>38</v>
      </c>
      <c r="J377" s="101" t="s">
        <v>27</v>
      </c>
      <c r="K377" s="20">
        <v>1246.53</v>
      </c>
      <c r="L377" s="21">
        <v>1328.55</v>
      </c>
      <c r="M377" s="22" t="s">
        <v>194</v>
      </c>
      <c r="N377" s="23">
        <v>217.43862520458262</v>
      </c>
      <c r="O377" s="24">
        <v>0.17443513209034892</v>
      </c>
      <c r="P377" s="25" t="str">
        <f>IF(P378="x","x","")</f>
        <v/>
      </c>
      <c r="Q377" s="25" t="str">
        <f>IF(Q378="x","x","")</f>
        <v>x</v>
      </c>
      <c r="R377" s="25" t="str">
        <f>IF(R378="x","x","")</f>
        <v/>
      </c>
      <c r="S377" s="25" t="str">
        <f>IF(S378="x","x","")</f>
        <v/>
      </c>
      <c r="T377" s="25" t="s">
        <v>31</v>
      </c>
      <c r="U377" s="26"/>
      <c r="V377" s="27"/>
    </row>
    <row r="378" spans="1:22" ht="23.25" customHeight="1" thickBot="1" x14ac:dyDescent="0.3">
      <c r="A378" s="28" t="str">
        <f>A377</f>
        <v>China</v>
      </c>
      <c r="B378" s="28" t="str">
        <f>B377</f>
        <v>East Asia and Pacific</v>
      </c>
      <c r="C378" s="28" t="str">
        <f>C377</f>
        <v>P091020</v>
      </c>
      <c r="D378" s="28" t="s">
        <v>26</v>
      </c>
      <c r="E378" s="28" t="s">
        <v>27</v>
      </c>
      <c r="F378" s="28" t="str">
        <f>F377</f>
        <v>P091020C2S2</v>
      </c>
      <c r="G378" s="28" t="s">
        <v>16</v>
      </c>
      <c r="H378" s="29" t="str">
        <f>H376&amp;" / "&amp;H377</f>
        <v>2006 / 2015</v>
      </c>
      <c r="I378" s="29" t="str">
        <f>I377</f>
        <v>Strengthening</v>
      </c>
      <c r="J378" s="97" t="str">
        <f>IFERROR(J377/J376,"")</f>
        <v/>
      </c>
      <c r="K378" s="32">
        <f>K377/K376</f>
        <v>2.1986594937825203</v>
      </c>
      <c r="L378" s="32">
        <f>L377/L376</f>
        <v>2.0245805458618427</v>
      </c>
      <c r="M378" s="28"/>
      <c r="N378" s="32">
        <f>N377/N376</f>
        <v>2.6674097208163392</v>
      </c>
      <c r="O378" s="32">
        <f>O377/O376</f>
        <v>1.2131981911520973</v>
      </c>
      <c r="P378" s="33" t="str">
        <f>IF(K378&lt;50%,"x","")</f>
        <v/>
      </c>
      <c r="Q378" s="33" t="str">
        <f>IF(K378&gt;150%,"x","")</f>
        <v>x</v>
      </c>
      <c r="R378" s="33" t="str">
        <f>IF(O378&lt;50%,"x","")</f>
        <v/>
      </c>
      <c r="S378" s="33" t="str">
        <f>IF(O378&gt;150%,"x","")</f>
        <v/>
      </c>
      <c r="T378" s="33" t="s">
        <v>31</v>
      </c>
      <c r="U378" s="34" t="s">
        <v>1179</v>
      </c>
      <c r="V378" s="35" t="s">
        <v>1180</v>
      </c>
    </row>
    <row r="379" spans="1:22" ht="16.5" thickTop="1" x14ac:dyDescent="0.25">
      <c r="A379" s="18" t="s">
        <v>81</v>
      </c>
      <c r="B379" s="18" t="s">
        <v>945</v>
      </c>
      <c r="C379" s="18" t="s">
        <v>282</v>
      </c>
      <c r="D379" s="18" t="s">
        <v>42</v>
      </c>
      <c r="E379" s="18" t="s">
        <v>69</v>
      </c>
      <c r="F379" s="18" t="s">
        <v>287</v>
      </c>
      <c r="G379" s="18" t="s">
        <v>29</v>
      </c>
      <c r="H379" s="19">
        <v>2006</v>
      </c>
      <c r="I379" s="18" t="s">
        <v>38</v>
      </c>
      <c r="J379" s="101" t="s">
        <v>27</v>
      </c>
      <c r="K379" s="20">
        <v>1421.22</v>
      </c>
      <c r="L379" s="21">
        <v>1046.25</v>
      </c>
      <c r="M379" s="22" t="s">
        <v>194</v>
      </c>
      <c r="N379" s="23">
        <v>129.96894409937886</v>
      </c>
      <c r="O379" s="24">
        <v>9.1448856686071722E-2</v>
      </c>
      <c r="P379" s="25" t="str">
        <f>IF(P381="x","x","")</f>
        <v/>
      </c>
      <c r="Q379" s="25" t="str">
        <f>IF(Q381="x","x","")</f>
        <v>x</v>
      </c>
      <c r="R379" s="25" t="str">
        <f>IF(R381="x","x","")</f>
        <v/>
      </c>
      <c r="S379" s="25" t="str">
        <f>IF(S381="x","x","")</f>
        <v/>
      </c>
      <c r="T379" s="25" t="s">
        <v>31</v>
      </c>
      <c r="U379" s="26"/>
      <c r="V379" s="27"/>
    </row>
    <row r="380" spans="1:22" x14ac:dyDescent="0.25">
      <c r="A380" s="18" t="s">
        <v>81</v>
      </c>
      <c r="B380" s="18" t="s">
        <v>945</v>
      </c>
      <c r="C380" s="18" t="s">
        <v>282</v>
      </c>
      <c r="D380" s="18" t="s">
        <v>42</v>
      </c>
      <c r="E380" s="18" t="s">
        <v>69</v>
      </c>
      <c r="F380" s="18" t="s">
        <v>287</v>
      </c>
      <c r="G380" s="18" t="s">
        <v>32</v>
      </c>
      <c r="H380" s="19">
        <v>2015</v>
      </c>
      <c r="I380" s="18" t="s">
        <v>38</v>
      </c>
      <c r="J380" s="101" t="s">
        <v>27</v>
      </c>
      <c r="K380" s="20">
        <v>2387.44</v>
      </c>
      <c r="L380" s="21">
        <v>1872.56</v>
      </c>
      <c r="M380" s="22" t="s">
        <v>194</v>
      </c>
      <c r="N380" s="23">
        <v>306.47463175122749</v>
      </c>
      <c r="O380" s="24">
        <v>0.12836956394767093</v>
      </c>
      <c r="P380" s="25" t="str">
        <f>IF(P381="x","x","")</f>
        <v/>
      </c>
      <c r="Q380" s="25" t="str">
        <f>IF(Q381="x","x","")</f>
        <v>x</v>
      </c>
      <c r="R380" s="25" t="str">
        <f>IF(R381="x","x","")</f>
        <v/>
      </c>
      <c r="S380" s="25" t="str">
        <f>IF(S381="x","x","")</f>
        <v/>
      </c>
      <c r="T380" s="25" t="s">
        <v>31</v>
      </c>
      <c r="U380" s="26"/>
      <c r="V380" s="27"/>
    </row>
    <row r="381" spans="1:22" ht="24.75" customHeight="1" thickBot="1" x14ac:dyDescent="0.3">
      <c r="A381" s="28" t="str">
        <f>A380</f>
        <v>China</v>
      </c>
      <c r="B381" s="28" t="str">
        <f>B380</f>
        <v>East Asia and Pacific</v>
      </c>
      <c r="C381" s="28" t="str">
        <f>C380</f>
        <v>P091020</v>
      </c>
      <c r="D381" s="28" t="s">
        <v>26</v>
      </c>
      <c r="E381" s="28" t="s">
        <v>27</v>
      </c>
      <c r="F381" s="28" t="str">
        <f>F380</f>
        <v>P091020C2S3</v>
      </c>
      <c r="G381" s="28" t="s">
        <v>16</v>
      </c>
      <c r="H381" s="29" t="str">
        <f>H379&amp;" / "&amp;H380</f>
        <v>2006 / 2015</v>
      </c>
      <c r="I381" s="29" t="str">
        <f>I380</f>
        <v>Strengthening</v>
      </c>
      <c r="J381" s="97" t="str">
        <f>IFERROR(J380/J379,"")</f>
        <v/>
      </c>
      <c r="K381" s="32">
        <f>K380/K379</f>
        <v>1.6798525210734438</v>
      </c>
      <c r="L381" s="32">
        <f>L380/L379</f>
        <v>1.7897825567502987</v>
      </c>
      <c r="M381" s="28"/>
      <c r="N381" s="32">
        <f>N380/N379</f>
        <v>2.3580604880261715</v>
      </c>
      <c r="O381" s="32">
        <f>O380/O379</f>
        <v>1.4037306599506398</v>
      </c>
      <c r="P381" s="33" t="str">
        <f>IF(K381&lt;50%,"x","")</f>
        <v/>
      </c>
      <c r="Q381" s="33" t="str">
        <f>IF(K381&gt;150%,"x","")</f>
        <v>x</v>
      </c>
      <c r="R381" s="33" t="str">
        <f>IF(O381&lt;50%,"x","")</f>
        <v/>
      </c>
      <c r="S381" s="33" t="str">
        <f>IF(O381&gt;150%,"x","")</f>
        <v/>
      </c>
      <c r="T381" s="33" t="s">
        <v>31</v>
      </c>
      <c r="U381" s="34" t="s">
        <v>1179</v>
      </c>
      <c r="V381" s="35" t="s">
        <v>1180</v>
      </c>
    </row>
    <row r="382" spans="1:22" ht="16.5" thickTop="1" x14ac:dyDescent="0.25">
      <c r="A382" s="18" t="s">
        <v>81</v>
      </c>
      <c r="B382" s="18" t="s">
        <v>945</v>
      </c>
      <c r="C382" s="18" t="s">
        <v>282</v>
      </c>
      <c r="D382" s="18" t="s">
        <v>42</v>
      </c>
      <c r="E382" s="18" t="s">
        <v>71</v>
      </c>
      <c r="F382" s="18" t="s">
        <v>288</v>
      </c>
      <c r="G382" s="18" t="s">
        <v>29</v>
      </c>
      <c r="H382" s="19">
        <v>2006</v>
      </c>
      <c r="I382" s="18" t="s">
        <v>38</v>
      </c>
      <c r="J382" s="101" t="s">
        <v>27</v>
      </c>
      <c r="K382" s="20">
        <v>574.08000000000004</v>
      </c>
      <c r="L382" s="21">
        <v>441.63</v>
      </c>
      <c r="M382" s="22" t="s">
        <v>194</v>
      </c>
      <c r="N382" s="23">
        <v>54.860869565217385</v>
      </c>
      <c r="O382" s="24">
        <v>9.5563108913770525E-2</v>
      </c>
      <c r="P382" s="25" t="str">
        <f>IF(P384="x","x","")</f>
        <v/>
      </c>
      <c r="Q382" s="25" t="str">
        <f>IF(Q384="x","x","")</f>
        <v>x</v>
      </c>
      <c r="R382" s="25" t="str">
        <f>IF(R384="x","x","")</f>
        <v/>
      </c>
      <c r="S382" s="25" t="str">
        <f>IF(S384="x","x","")</f>
        <v/>
      </c>
      <c r="T382" s="25" t="s">
        <v>31</v>
      </c>
      <c r="U382" s="26"/>
      <c r="V382" s="27"/>
    </row>
    <row r="383" spans="1:22" x14ac:dyDescent="0.25">
      <c r="A383" s="18" t="s">
        <v>81</v>
      </c>
      <c r="B383" s="18" t="s">
        <v>945</v>
      </c>
      <c r="C383" s="18" t="s">
        <v>282</v>
      </c>
      <c r="D383" s="18" t="s">
        <v>42</v>
      </c>
      <c r="E383" s="18" t="s">
        <v>71</v>
      </c>
      <c r="F383" s="18" t="s">
        <v>288</v>
      </c>
      <c r="G383" s="18" t="s">
        <v>32</v>
      </c>
      <c r="H383" s="19">
        <v>2015</v>
      </c>
      <c r="I383" s="18" t="s">
        <v>38</v>
      </c>
      <c r="J383" s="101" t="s">
        <v>27</v>
      </c>
      <c r="K383" s="20">
        <v>1623.34</v>
      </c>
      <c r="L383" s="21">
        <v>1349.35</v>
      </c>
      <c r="M383" s="22" t="s">
        <v>194</v>
      </c>
      <c r="N383" s="23">
        <v>220.84288052373157</v>
      </c>
      <c r="O383" s="24">
        <v>0.13604228351653477</v>
      </c>
      <c r="P383" s="25" t="str">
        <f>IF(P384="x","x","")</f>
        <v/>
      </c>
      <c r="Q383" s="25" t="str">
        <f>IF(Q384="x","x","")</f>
        <v>x</v>
      </c>
      <c r="R383" s="25" t="str">
        <f>IF(R384="x","x","")</f>
        <v/>
      </c>
      <c r="S383" s="25" t="str">
        <f>IF(S384="x","x","")</f>
        <v/>
      </c>
      <c r="T383" s="25" t="s">
        <v>31</v>
      </c>
      <c r="U383" s="26"/>
      <c r="V383" s="27"/>
    </row>
    <row r="384" spans="1:22" ht="23.25" customHeight="1" thickBot="1" x14ac:dyDescent="0.3">
      <c r="A384" s="28" t="str">
        <f>A383</f>
        <v>China</v>
      </c>
      <c r="B384" s="28" t="str">
        <f>B383</f>
        <v>East Asia and Pacific</v>
      </c>
      <c r="C384" s="28" t="str">
        <f>C383</f>
        <v>P091020</v>
      </c>
      <c r="D384" s="28" t="s">
        <v>26</v>
      </c>
      <c r="E384" s="28" t="s">
        <v>27</v>
      </c>
      <c r="F384" s="28" t="str">
        <f>F383</f>
        <v>P091020C2S4</v>
      </c>
      <c r="G384" s="28" t="s">
        <v>16</v>
      </c>
      <c r="H384" s="29" t="str">
        <f>H382&amp;" / "&amp;H383</f>
        <v>2006 / 2015</v>
      </c>
      <c r="I384" s="29" t="str">
        <f>I383</f>
        <v>Strengthening</v>
      </c>
      <c r="J384" s="97" t="str">
        <f>IFERROR(J383/J382,"")</f>
        <v/>
      </c>
      <c r="K384" s="32">
        <f>K383/K382</f>
        <v>2.8277243589743586</v>
      </c>
      <c r="L384" s="32">
        <f>L383/L382</f>
        <v>3.0553857301360865</v>
      </c>
      <c r="M384" s="28"/>
      <c r="N384" s="32">
        <f>N383/N382</f>
        <v>4.0255082041891157</v>
      </c>
      <c r="O384" s="32">
        <f>O383/O382</f>
        <v>1.4235857860096393</v>
      </c>
      <c r="P384" s="33" t="str">
        <f>IF(K384&lt;50%,"x","")</f>
        <v/>
      </c>
      <c r="Q384" s="33" t="str">
        <f>IF(K384&gt;150%,"x","")</f>
        <v>x</v>
      </c>
      <c r="R384" s="33" t="str">
        <f>IF(O384&lt;50%,"x","")</f>
        <v/>
      </c>
      <c r="S384" s="33" t="str">
        <f>IF(O384&gt;150%,"x","")</f>
        <v/>
      </c>
      <c r="T384" s="33" t="s">
        <v>31</v>
      </c>
      <c r="U384" s="34" t="s">
        <v>1179</v>
      </c>
      <c r="V384" s="35" t="s">
        <v>1180</v>
      </c>
    </row>
    <row r="385" spans="1:22" ht="16.5" thickTop="1" x14ac:dyDescent="0.25">
      <c r="A385" s="18" t="s">
        <v>81</v>
      </c>
      <c r="B385" s="18" t="s">
        <v>945</v>
      </c>
      <c r="C385" s="18" t="s">
        <v>282</v>
      </c>
      <c r="D385" s="18" t="s">
        <v>42</v>
      </c>
      <c r="E385" s="18" t="s">
        <v>141</v>
      </c>
      <c r="F385" s="18" t="s">
        <v>289</v>
      </c>
      <c r="G385" s="18" t="s">
        <v>29</v>
      </c>
      <c r="H385" s="19">
        <v>2006</v>
      </c>
      <c r="I385" s="18" t="s">
        <v>38</v>
      </c>
      <c r="J385" s="101" t="s">
        <v>27</v>
      </c>
      <c r="K385" s="20">
        <v>671.13</v>
      </c>
      <c r="L385" s="21">
        <v>458.18</v>
      </c>
      <c r="M385" s="22" t="s">
        <v>194</v>
      </c>
      <c r="N385" s="23">
        <v>56.916770186335398</v>
      </c>
      <c r="O385" s="24">
        <v>8.480736993776973E-2</v>
      </c>
      <c r="P385" s="25" t="str">
        <f>IF(P387="x","x","")</f>
        <v/>
      </c>
      <c r="Q385" s="25" t="str">
        <f>IF(Q387="x","x","")</f>
        <v>x</v>
      </c>
      <c r="R385" s="25" t="str">
        <f>IF(R387="x","x","")</f>
        <v/>
      </c>
      <c r="S385" s="25" t="str">
        <f>IF(S387="x","x","")</f>
        <v/>
      </c>
      <c r="T385" s="25" t="s">
        <v>31</v>
      </c>
      <c r="U385" s="26"/>
      <c r="V385" s="27"/>
    </row>
    <row r="386" spans="1:22" x14ac:dyDescent="0.25">
      <c r="A386" s="18" t="s">
        <v>81</v>
      </c>
      <c r="B386" s="18" t="s">
        <v>945</v>
      </c>
      <c r="C386" s="18" t="s">
        <v>282</v>
      </c>
      <c r="D386" s="18" t="s">
        <v>42</v>
      </c>
      <c r="E386" s="18" t="s">
        <v>141</v>
      </c>
      <c r="F386" s="18" t="s">
        <v>289</v>
      </c>
      <c r="G386" s="18" t="s">
        <v>32</v>
      </c>
      <c r="H386" s="19">
        <v>2015</v>
      </c>
      <c r="I386" s="18" t="s">
        <v>38</v>
      </c>
      <c r="J386" s="101" t="s">
        <v>27</v>
      </c>
      <c r="K386" s="20">
        <v>1458.57</v>
      </c>
      <c r="L386" s="21">
        <v>1086.8599999999999</v>
      </c>
      <c r="M386" s="22" t="s">
        <v>194</v>
      </c>
      <c r="N386" s="23">
        <v>177.88216039279865</v>
      </c>
      <c r="O386" s="24">
        <v>0.12195654674976084</v>
      </c>
      <c r="P386" s="25" t="str">
        <f>IF(P387="x","x","")</f>
        <v/>
      </c>
      <c r="Q386" s="25" t="str">
        <f>IF(Q387="x","x","")</f>
        <v>x</v>
      </c>
      <c r="R386" s="25" t="str">
        <f>IF(R387="x","x","")</f>
        <v/>
      </c>
      <c r="S386" s="25" t="str">
        <f>IF(S387="x","x","")</f>
        <v/>
      </c>
      <c r="T386" s="25" t="s">
        <v>31</v>
      </c>
      <c r="U386" s="26"/>
      <c r="V386" s="27"/>
    </row>
    <row r="387" spans="1:22" ht="20.25" customHeight="1" thickBot="1" x14ac:dyDescent="0.3">
      <c r="A387" s="28" t="str">
        <f>A386</f>
        <v>China</v>
      </c>
      <c r="B387" s="28" t="str">
        <f>B386</f>
        <v>East Asia and Pacific</v>
      </c>
      <c r="C387" s="28" t="str">
        <f>C386</f>
        <v>P091020</v>
      </c>
      <c r="D387" s="28" t="s">
        <v>26</v>
      </c>
      <c r="E387" s="28" t="s">
        <v>27</v>
      </c>
      <c r="F387" s="28" t="str">
        <f>F386</f>
        <v>P091020C2S5</v>
      </c>
      <c r="G387" s="28" t="s">
        <v>16</v>
      </c>
      <c r="H387" s="29" t="str">
        <f>H385&amp;" / "&amp;H386</f>
        <v>2006 / 2015</v>
      </c>
      <c r="I387" s="29" t="str">
        <f>I386</f>
        <v>Strengthening</v>
      </c>
      <c r="J387" s="97" t="str">
        <f>IFERROR(J386/J385,"")</f>
        <v/>
      </c>
      <c r="K387" s="32">
        <f>K386/K385</f>
        <v>2.1733047248670152</v>
      </c>
      <c r="L387" s="32">
        <f>L386/L385</f>
        <v>2.3721244925575098</v>
      </c>
      <c r="M387" s="28"/>
      <c r="N387" s="32">
        <f>N386/N385</f>
        <v>3.1253031366756061</v>
      </c>
      <c r="O387" s="32">
        <f>O386/O385</f>
        <v>1.4380418451751371</v>
      </c>
      <c r="P387" s="33" t="str">
        <f>IF(K387&lt;50%,"x","")</f>
        <v/>
      </c>
      <c r="Q387" s="33" t="str">
        <f>IF(K387&gt;150%,"x","")</f>
        <v>x</v>
      </c>
      <c r="R387" s="33" t="str">
        <f>IF(O387&lt;50%,"x","")</f>
        <v/>
      </c>
      <c r="S387" s="33" t="str">
        <f>IF(O387&gt;150%,"x","")</f>
        <v/>
      </c>
      <c r="T387" s="33" t="s">
        <v>31</v>
      </c>
      <c r="U387" s="34" t="s">
        <v>1179</v>
      </c>
      <c r="V387" s="35" t="s">
        <v>1180</v>
      </c>
    </row>
    <row r="388" spans="1:22" ht="16.5" thickTop="1" x14ac:dyDescent="0.25">
      <c r="A388" s="18" t="s">
        <v>81</v>
      </c>
      <c r="B388" s="18" t="s">
        <v>945</v>
      </c>
      <c r="C388" s="18" t="s">
        <v>282</v>
      </c>
      <c r="D388" s="18" t="s">
        <v>42</v>
      </c>
      <c r="E388" s="18" t="s">
        <v>143</v>
      </c>
      <c r="F388" s="18" t="s">
        <v>290</v>
      </c>
      <c r="G388" s="18" t="s">
        <v>29</v>
      </c>
      <c r="H388" s="19">
        <v>2006</v>
      </c>
      <c r="I388" s="18" t="s">
        <v>38</v>
      </c>
      <c r="J388" s="101" t="s">
        <v>27</v>
      </c>
      <c r="K388" s="20">
        <v>265.63</v>
      </c>
      <c r="L388" s="21">
        <v>191.21</v>
      </c>
      <c r="M388" s="22" t="s">
        <v>194</v>
      </c>
      <c r="N388" s="23">
        <v>23.7527950310559</v>
      </c>
      <c r="O388" s="24">
        <v>8.9420603964371126E-2</v>
      </c>
      <c r="P388" s="25" t="str">
        <f>IF(P390="x","x","")</f>
        <v/>
      </c>
      <c r="Q388" s="25" t="str">
        <f>IF(Q390="x","x","")</f>
        <v>x</v>
      </c>
      <c r="R388" s="25" t="str">
        <f>IF(R390="x","x","")</f>
        <v/>
      </c>
      <c r="S388" s="25" t="str">
        <f>IF(S390="x","x","")</f>
        <v>x</v>
      </c>
      <c r="T388" s="25" t="s">
        <v>31</v>
      </c>
      <c r="U388" s="26"/>
      <c r="V388" s="27"/>
    </row>
    <row r="389" spans="1:22" x14ac:dyDescent="0.25">
      <c r="A389" s="18" t="s">
        <v>81</v>
      </c>
      <c r="B389" s="18" t="s">
        <v>945</v>
      </c>
      <c r="C389" s="18" t="s">
        <v>282</v>
      </c>
      <c r="D389" s="18" t="s">
        <v>42</v>
      </c>
      <c r="E389" s="18" t="s">
        <v>143</v>
      </c>
      <c r="F389" s="18" t="s">
        <v>290</v>
      </c>
      <c r="G389" s="18" t="s">
        <v>32</v>
      </c>
      <c r="H389" s="19">
        <v>2015</v>
      </c>
      <c r="I389" s="18" t="s">
        <v>38</v>
      </c>
      <c r="J389" s="101" t="s">
        <v>27</v>
      </c>
      <c r="K389" s="20">
        <v>1293.6199999999999</v>
      </c>
      <c r="L389" s="21">
        <v>1125.8</v>
      </c>
      <c r="M389" s="22" t="s">
        <v>194</v>
      </c>
      <c r="N389" s="23">
        <v>184.25531914893617</v>
      </c>
      <c r="O389" s="24">
        <v>0.14243388255355993</v>
      </c>
      <c r="P389" s="25" t="str">
        <f>IF(P390="x","x","")</f>
        <v/>
      </c>
      <c r="Q389" s="25" t="str">
        <f>IF(Q390="x","x","")</f>
        <v>x</v>
      </c>
      <c r="R389" s="25" t="str">
        <f>IF(R390="x","x","")</f>
        <v/>
      </c>
      <c r="S389" s="25" t="str">
        <f>IF(S390="x","x","")</f>
        <v>x</v>
      </c>
      <c r="T389" s="25" t="s">
        <v>31</v>
      </c>
      <c r="U389" s="26"/>
      <c r="V389" s="27"/>
    </row>
    <row r="390" spans="1:22" ht="32.25" thickBot="1" x14ac:dyDescent="0.3">
      <c r="A390" s="28" t="str">
        <f>A389</f>
        <v>China</v>
      </c>
      <c r="B390" s="28" t="str">
        <f>B389</f>
        <v>East Asia and Pacific</v>
      </c>
      <c r="C390" s="28" t="str">
        <f>C389</f>
        <v>P091020</v>
      </c>
      <c r="D390" s="28" t="s">
        <v>26</v>
      </c>
      <c r="E390" s="28" t="s">
        <v>27</v>
      </c>
      <c r="F390" s="28" t="str">
        <f>F389</f>
        <v>P091020C2S6</v>
      </c>
      <c r="G390" s="28" t="s">
        <v>16</v>
      </c>
      <c r="H390" s="29" t="str">
        <f>H388&amp;" / "&amp;H389</f>
        <v>2006 / 2015</v>
      </c>
      <c r="I390" s="29" t="str">
        <f>I389</f>
        <v>Strengthening</v>
      </c>
      <c r="J390" s="97" t="str">
        <f>IFERROR(J389/J388,"")</f>
        <v/>
      </c>
      <c r="K390" s="32">
        <f>K389/K388</f>
        <v>4.8700071528065347</v>
      </c>
      <c r="L390" s="32">
        <f>L389/L388</f>
        <v>5.8877673761832536</v>
      </c>
      <c r="M390" s="28"/>
      <c r="N390" s="32">
        <f>N389/N388</f>
        <v>7.7572057902250728</v>
      </c>
      <c r="O390" s="32">
        <f>O389/O388</f>
        <v>1.5928530589025265</v>
      </c>
      <c r="P390" s="33" t="str">
        <f>IF(K390&lt;50%,"x","")</f>
        <v/>
      </c>
      <c r="Q390" s="33" t="str">
        <f>IF(K390&gt;150%,"x","")</f>
        <v>x</v>
      </c>
      <c r="R390" s="33" t="str">
        <f>IF(O390&lt;50%,"x","")</f>
        <v/>
      </c>
      <c r="S390" s="33" t="str">
        <f>IF(O390&gt;150%,"x","")</f>
        <v>x</v>
      </c>
      <c r="T390" s="33" t="s">
        <v>31</v>
      </c>
      <c r="U390" s="34" t="s">
        <v>988</v>
      </c>
      <c r="V390" s="35" t="s">
        <v>1182</v>
      </c>
    </row>
    <row r="391" spans="1:22" ht="16.5" thickTop="1" x14ac:dyDescent="0.25">
      <c r="A391" s="18" t="s">
        <v>81</v>
      </c>
      <c r="B391" s="18" t="s">
        <v>945</v>
      </c>
      <c r="C391" s="18" t="s">
        <v>282</v>
      </c>
      <c r="D391" s="18" t="s">
        <v>42</v>
      </c>
      <c r="E391" s="18" t="s">
        <v>245</v>
      </c>
      <c r="F391" s="18" t="s">
        <v>291</v>
      </c>
      <c r="G391" s="18" t="s">
        <v>29</v>
      </c>
      <c r="H391" s="19">
        <v>2006</v>
      </c>
      <c r="I391" s="18" t="s">
        <v>38</v>
      </c>
      <c r="J391" s="101" t="s">
        <v>27</v>
      </c>
      <c r="K391" s="20">
        <v>234.18</v>
      </c>
      <c r="L391" s="21">
        <v>196.76</v>
      </c>
      <c r="M391" s="22" t="s">
        <v>194</v>
      </c>
      <c r="N391" s="23">
        <v>24.442236024844718</v>
      </c>
      <c r="O391" s="24">
        <v>0.10437371263491638</v>
      </c>
      <c r="P391" s="25" t="str">
        <f>IF(P393="x","x","")</f>
        <v/>
      </c>
      <c r="Q391" s="25" t="str">
        <f>IF(Q393="x","x","")</f>
        <v/>
      </c>
      <c r="R391" s="25" t="str">
        <f>IF(R393="x","x","")</f>
        <v/>
      </c>
      <c r="S391" s="25" t="str">
        <f>IF(S393="x","x","")</f>
        <v/>
      </c>
      <c r="T391" s="25" t="s">
        <v>27</v>
      </c>
      <c r="U391" s="26"/>
      <c r="V391" s="27"/>
    </row>
    <row r="392" spans="1:22" x14ac:dyDescent="0.25">
      <c r="A392" s="18" t="s">
        <v>81</v>
      </c>
      <c r="B392" s="18" t="s">
        <v>945</v>
      </c>
      <c r="C392" s="18" t="s">
        <v>282</v>
      </c>
      <c r="D392" s="18" t="s">
        <v>42</v>
      </c>
      <c r="E392" s="18" t="s">
        <v>245</v>
      </c>
      <c r="F392" s="18" t="s">
        <v>291</v>
      </c>
      <c r="G392" s="18" t="s">
        <v>32</v>
      </c>
      <c r="H392" s="19">
        <v>2015</v>
      </c>
      <c r="I392" s="18" t="s">
        <v>38</v>
      </c>
      <c r="J392" s="101" t="s">
        <v>27</v>
      </c>
      <c r="K392" s="20">
        <v>319.14999999999998</v>
      </c>
      <c r="L392" s="21">
        <v>271.62</v>
      </c>
      <c r="M392" s="22" t="s">
        <v>194</v>
      </c>
      <c r="N392" s="23">
        <v>44.454991816693941</v>
      </c>
      <c r="O392" s="24">
        <v>0.13929184338616307</v>
      </c>
      <c r="P392" s="25" t="str">
        <f>IF(P393="x","x","")</f>
        <v/>
      </c>
      <c r="Q392" s="25" t="str">
        <f>IF(Q393="x","x","")</f>
        <v/>
      </c>
      <c r="R392" s="25" t="str">
        <f>IF(R393="x","x","")</f>
        <v/>
      </c>
      <c r="S392" s="25" t="str">
        <f>IF(S393="x","x","")</f>
        <v/>
      </c>
      <c r="T392" s="25" t="s">
        <v>27</v>
      </c>
      <c r="U392" s="26"/>
      <c r="V392" s="27"/>
    </row>
    <row r="393" spans="1:22" ht="16.5" thickBot="1" x14ac:dyDescent="0.3">
      <c r="A393" s="28" t="str">
        <f>A392</f>
        <v>China</v>
      </c>
      <c r="B393" s="28" t="str">
        <f>B392</f>
        <v>East Asia and Pacific</v>
      </c>
      <c r="C393" s="28" t="str">
        <f>C392</f>
        <v>P091020</v>
      </c>
      <c r="D393" s="28" t="s">
        <v>26</v>
      </c>
      <c r="E393" s="28" t="s">
        <v>27</v>
      </c>
      <c r="F393" s="28" t="str">
        <f>F392</f>
        <v>P091020C2S7</v>
      </c>
      <c r="G393" s="28" t="s">
        <v>16</v>
      </c>
      <c r="H393" s="29" t="str">
        <f>H391&amp;" / "&amp;H392</f>
        <v>2006 / 2015</v>
      </c>
      <c r="I393" s="29" t="str">
        <f>I392</f>
        <v>Strengthening</v>
      </c>
      <c r="J393" s="97" t="str">
        <f>IFERROR(J392/J391,"")</f>
        <v/>
      </c>
      <c r="K393" s="32">
        <f>K392/K391</f>
        <v>1.3628405500042702</v>
      </c>
      <c r="L393" s="32">
        <f>L392/L391</f>
        <v>1.3804635088432609</v>
      </c>
      <c r="M393" s="28"/>
      <c r="N393" s="32">
        <f>N392/N391</f>
        <v>1.8187776180340836</v>
      </c>
      <c r="O393" s="32">
        <f>O392/O391</f>
        <v>1.3345490916221894</v>
      </c>
      <c r="P393" s="33" t="str">
        <f>IF(K393&lt;50%,"x","")</f>
        <v/>
      </c>
      <c r="Q393" s="33" t="str">
        <f>IF(K393&gt;150%,"x","")</f>
        <v/>
      </c>
      <c r="R393" s="33" t="str">
        <f>IF(O393&lt;50%,"x","")</f>
        <v/>
      </c>
      <c r="S393" s="33" t="str">
        <f>IF(O393&gt;150%,"x","")</f>
        <v/>
      </c>
      <c r="T393" s="33" t="s">
        <v>27</v>
      </c>
      <c r="U393" s="34" t="s">
        <v>27</v>
      </c>
      <c r="V393" s="35" t="s">
        <v>27</v>
      </c>
    </row>
    <row r="394" spans="1:22" ht="16.5" thickTop="1" x14ac:dyDescent="0.25">
      <c r="A394" s="18" t="s">
        <v>81</v>
      </c>
      <c r="B394" s="18" t="s">
        <v>945</v>
      </c>
      <c r="C394" s="18" t="s">
        <v>312</v>
      </c>
      <c r="D394" s="18" t="s">
        <v>26</v>
      </c>
      <c r="E394" s="18" t="s">
        <v>27</v>
      </c>
      <c r="F394" s="18" t="s">
        <v>313</v>
      </c>
      <c r="G394" s="18" t="s">
        <v>29</v>
      </c>
      <c r="H394" s="19">
        <v>2008</v>
      </c>
      <c r="I394" s="18" t="s">
        <v>38</v>
      </c>
      <c r="J394" s="101">
        <v>36</v>
      </c>
      <c r="K394" s="20">
        <v>885.6</v>
      </c>
      <c r="L394" s="21">
        <v>162.83699999999999</v>
      </c>
      <c r="M394" s="22" t="s">
        <v>30</v>
      </c>
      <c r="N394" s="23">
        <v>162.83699999999999</v>
      </c>
      <c r="O394" s="24">
        <v>0.18387195121951219</v>
      </c>
      <c r="P394" s="25" t="str">
        <f>IF(P396="x","x","")</f>
        <v/>
      </c>
      <c r="Q394" s="25" t="str">
        <f>IF(Q396="x","x","")</f>
        <v/>
      </c>
      <c r="R394" s="25" t="str">
        <f>IF(R396="x","x","")</f>
        <v/>
      </c>
      <c r="S394" s="25" t="str">
        <f>IF(S396="x","x","")</f>
        <v/>
      </c>
      <c r="T394" s="25" t="s">
        <v>27</v>
      </c>
      <c r="U394" s="26"/>
      <c r="V394" s="27"/>
    </row>
    <row r="395" spans="1:22" x14ac:dyDescent="0.25">
      <c r="A395" s="18" t="s">
        <v>81</v>
      </c>
      <c r="B395" s="18" t="s">
        <v>945</v>
      </c>
      <c r="C395" s="18" t="s">
        <v>312</v>
      </c>
      <c r="D395" s="18" t="s">
        <v>26</v>
      </c>
      <c r="E395" s="18" t="s">
        <v>27</v>
      </c>
      <c r="F395" s="18" t="s">
        <v>313</v>
      </c>
      <c r="G395" s="18" t="s">
        <v>32</v>
      </c>
      <c r="H395" s="19">
        <v>2012</v>
      </c>
      <c r="I395" s="18" t="s">
        <v>38</v>
      </c>
      <c r="J395" s="101">
        <v>33</v>
      </c>
      <c r="K395" s="20">
        <v>840.84500000000003</v>
      </c>
      <c r="L395" s="21">
        <v>191.21899999999999</v>
      </c>
      <c r="M395" s="22" t="s">
        <v>30</v>
      </c>
      <c r="N395" s="23">
        <v>191.21899999999999</v>
      </c>
      <c r="O395" s="24">
        <v>0.22741290011833332</v>
      </c>
      <c r="P395" s="25" t="str">
        <f>IF(P396="x","x","")</f>
        <v/>
      </c>
      <c r="Q395" s="25" t="str">
        <f>IF(Q396="x","x","")</f>
        <v/>
      </c>
      <c r="R395" s="25" t="str">
        <f>IF(R396="x","x","")</f>
        <v/>
      </c>
      <c r="S395" s="25" t="str">
        <f>IF(S396="x","x","")</f>
        <v/>
      </c>
      <c r="T395" s="25" t="s">
        <v>27</v>
      </c>
      <c r="U395" s="26"/>
      <c r="V395" s="27"/>
    </row>
    <row r="396" spans="1:22" ht="16.5" thickBot="1" x14ac:dyDescent="0.3">
      <c r="A396" s="28" t="str">
        <f>A395</f>
        <v>China</v>
      </c>
      <c r="B396" s="28" t="str">
        <f>B395</f>
        <v>East Asia and Pacific</v>
      </c>
      <c r="C396" s="28" t="str">
        <f>C395</f>
        <v>P099112</v>
      </c>
      <c r="D396" s="28" t="s">
        <v>26</v>
      </c>
      <c r="E396" s="28" t="s">
        <v>27</v>
      </c>
      <c r="F396" s="28" t="str">
        <f>F395</f>
        <v>P099112C1</v>
      </c>
      <c r="G396" s="28" t="s">
        <v>16</v>
      </c>
      <c r="H396" s="29" t="str">
        <f>H394&amp;" / "&amp;H395</f>
        <v>2008 / 2012</v>
      </c>
      <c r="I396" s="29" t="str">
        <f>I395</f>
        <v>Strengthening</v>
      </c>
      <c r="J396" s="97">
        <f>IFERROR(J395/J394,"")</f>
        <v>0.91666666666666663</v>
      </c>
      <c r="K396" s="32">
        <f>K395/K394</f>
        <v>0.94946364046973808</v>
      </c>
      <c r="L396" s="32">
        <f>L395/L394</f>
        <v>1.174296996382886</v>
      </c>
      <c r="M396" s="28"/>
      <c r="N396" s="32">
        <f>N395/N394</f>
        <v>1.174296996382886</v>
      </c>
      <c r="O396" s="32">
        <f>O395/O394</f>
        <v>1.2368003853227214</v>
      </c>
      <c r="P396" s="33" t="str">
        <f>IF(K396&lt;50%,"x","")</f>
        <v/>
      </c>
      <c r="Q396" s="33" t="str">
        <f>IF(K396&gt;150%,"x","")</f>
        <v/>
      </c>
      <c r="R396" s="33" t="str">
        <f>IF(O396&lt;50%,"x","")</f>
        <v/>
      </c>
      <c r="S396" s="33" t="str">
        <f>IF(O396&gt;150%,"x","")</f>
        <v/>
      </c>
      <c r="T396" s="33" t="s">
        <v>27</v>
      </c>
      <c r="U396" s="34" t="s">
        <v>27</v>
      </c>
      <c r="V396" s="35" t="s">
        <v>27</v>
      </c>
    </row>
    <row r="397" spans="1:22" ht="16.5" thickTop="1" x14ac:dyDescent="0.25">
      <c r="A397" s="18" t="s">
        <v>81</v>
      </c>
      <c r="B397" s="18" t="s">
        <v>945</v>
      </c>
      <c r="C397" s="18" t="s">
        <v>312</v>
      </c>
      <c r="D397" s="18" t="s">
        <v>42</v>
      </c>
      <c r="E397" s="18" t="s">
        <v>27</v>
      </c>
      <c r="F397" s="18" t="s">
        <v>315</v>
      </c>
      <c r="G397" s="18" t="s">
        <v>29</v>
      </c>
      <c r="H397" s="19">
        <v>2008</v>
      </c>
      <c r="I397" s="18" t="s">
        <v>387</v>
      </c>
      <c r="J397" s="101" t="s">
        <v>27</v>
      </c>
      <c r="K397" s="20">
        <v>320</v>
      </c>
      <c r="L397" s="21">
        <v>166.31299999999999</v>
      </c>
      <c r="M397" s="22" t="s">
        <v>30</v>
      </c>
      <c r="N397" s="23">
        <v>166.31299999999999</v>
      </c>
      <c r="O397" s="24">
        <v>0.51972812499999999</v>
      </c>
      <c r="P397" s="25" t="str">
        <f>IF(P399="x","x","")</f>
        <v/>
      </c>
      <c r="Q397" s="25" t="str">
        <f>IF(Q399="x","x","")</f>
        <v/>
      </c>
      <c r="R397" s="25" t="str">
        <f>IF(R399="x","x","")</f>
        <v/>
      </c>
      <c r="S397" s="25" t="str">
        <f>IF(S399="x","x","")</f>
        <v/>
      </c>
      <c r="T397" s="25" t="s">
        <v>27</v>
      </c>
      <c r="U397" s="26"/>
      <c r="V397" s="27"/>
    </row>
    <row r="398" spans="1:22" x14ac:dyDescent="0.25">
      <c r="A398" s="18" t="s">
        <v>81</v>
      </c>
      <c r="B398" s="18" t="s">
        <v>945</v>
      </c>
      <c r="C398" s="18" t="s">
        <v>312</v>
      </c>
      <c r="D398" s="18" t="s">
        <v>42</v>
      </c>
      <c r="E398" s="18" t="s">
        <v>27</v>
      </c>
      <c r="F398" s="18" t="s">
        <v>315</v>
      </c>
      <c r="G398" s="18" t="s">
        <v>32</v>
      </c>
      <c r="H398" s="19">
        <v>2012</v>
      </c>
      <c r="I398" s="18" t="s">
        <v>387</v>
      </c>
      <c r="J398" s="101">
        <v>34</v>
      </c>
      <c r="K398" s="20">
        <v>320.60000000000002</v>
      </c>
      <c r="L398" s="21">
        <v>214.77099999999999</v>
      </c>
      <c r="M398" s="22" t="s">
        <v>30</v>
      </c>
      <c r="N398" s="23">
        <v>214.77099999999999</v>
      </c>
      <c r="O398" s="24">
        <v>0.66990330630068617</v>
      </c>
      <c r="P398" s="25" t="str">
        <f>IF(P399="x","x","")</f>
        <v/>
      </c>
      <c r="Q398" s="25" t="str">
        <f>IF(Q399="x","x","")</f>
        <v/>
      </c>
      <c r="R398" s="25" t="str">
        <f>IF(R399="x","x","")</f>
        <v/>
      </c>
      <c r="S398" s="25" t="str">
        <f>IF(S399="x","x","")</f>
        <v/>
      </c>
      <c r="T398" s="25" t="s">
        <v>27</v>
      </c>
      <c r="U398" s="26"/>
      <c r="V398" s="27"/>
    </row>
    <row r="399" spans="1:22" ht="16.5" thickBot="1" x14ac:dyDescent="0.3">
      <c r="A399" s="28" t="str">
        <f>A398</f>
        <v>China</v>
      </c>
      <c r="B399" s="28" t="str">
        <f>B398</f>
        <v>East Asia and Pacific</v>
      </c>
      <c r="C399" s="28" t="str">
        <f>C398</f>
        <v>P099112</v>
      </c>
      <c r="D399" s="28" t="s">
        <v>26</v>
      </c>
      <c r="E399" s="28" t="s">
        <v>27</v>
      </c>
      <c r="F399" s="28" t="str">
        <f>F398</f>
        <v>P099112C2</v>
      </c>
      <c r="G399" s="28" t="s">
        <v>16</v>
      </c>
      <c r="H399" s="29" t="str">
        <f>H397&amp;" / "&amp;H398</f>
        <v>2008 / 2012</v>
      </c>
      <c r="I399" s="29" t="str">
        <f>I398</f>
        <v>Upgrading</v>
      </c>
      <c r="J399" s="97" t="str">
        <f>IFERROR(J398/J397,"")</f>
        <v/>
      </c>
      <c r="K399" s="32">
        <f>K398/K397</f>
        <v>1.0018750000000001</v>
      </c>
      <c r="L399" s="32">
        <f>L398/L397</f>
        <v>1.291366279244557</v>
      </c>
      <c r="M399" s="28"/>
      <c r="N399" s="32">
        <f>N398/N397</f>
        <v>1.291366279244557</v>
      </c>
      <c r="O399" s="32">
        <f>O398/O397</f>
        <v>1.2889494989340555</v>
      </c>
      <c r="P399" s="33" t="str">
        <f>IF(K399&lt;50%,"x","")</f>
        <v/>
      </c>
      <c r="Q399" s="33" t="str">
        <f>IF(K399&gt;150%,"x","")</f>
        <v/>
      </c>
      <c r="R399" s="33" t="str">
        <f>IF(O399&lt;50%,"x","")</f>
        <v/>
      </c>
      <c r="S399" s="33" t="str">
        <f>IF(O399&gt;150%,"x","")</f>
        <v/>
      </c>
      <c r="T399" s="33" t="s">
        <v>27</v>
      </c>
      <c r="U399" s="34" t="s">
        <v>27</v>
      </c>
      <c r="V399" s="35" t="s">
        <v>27</v>
      </c>
    </row>
    <row r="400" spans="1:22" ht="16.5" thickTop="1" x14ac:dyDescent="0.25">
      <c r="A400" s="18" t="s">
        <v>81</v>
      </c>
      <c r="B400" s="18" t="s">
        <v>945</v>
      </c>
      <c r="C400" s="18" t="s">
        <v>320</v>
      </c>
      <c r="D400" s="18" t="s">
        <v>26</v>
      </c>
      <c r="E400" s="18" t="s">
        <v>27</v>
      </c>
      <c r="F400" s="18" t="s">
        <v>321</v>
      </c>
      <c r="G400" s="18" t="s">
        <v>29</v>
      </c>
      <c r="H400" s="19">
        <v>2006</v>
      </c>
      <c r="I400" s="18" t="s">
        <v>364</v>
      </c>
      <c r="J400" s="101" t="s">
        <v>27</v>
      </c>
      <c r="K400" s="20">
        <v>179</v>
      </c>
      <c r="L400" s="21">
        <v>330.93</v>
      </c>
      <c r="M400" s="22" t="s">
        <v>30</v>
      </c>
      <c r="N400" s="23">
        <v>330.93</v>
      </c>
      <c r="O400" s="24">
        <v>1.8487709497206704</v>
      </c>
      <c r="P400" s="25" t="str">
        <f>IF(P402="x","x","")</f>
        <v/>
      </c>
      <c r="Q400" s="25" t="str">
        <f>IF(Q402="x","x","")</f>
        <v/>
      </c>
      <c r="R400" s="25" t="str">
        <f>IF(R402="x","x","")</f>
        <v/>
      </c>
      <c r="S400" s="25" t="str">
        <f>IF(S402="x","x","")</f>
        <v/>
      </c>
      <c r="T400" s="25" t="s">
        <v>27</v>
      </c>
      <c r="U400" s="26"/>
      <c r="V400" s="27"/>
    </row>
    <row r="401" spans="1:22" x14ac:dyDescent="0.25">
      <c r="A401" s="18" t="s">
        <v>81</v>
      </c>
      <c r="B401" s="18" t="s">
        <v>945</v>
      </c>
      <c r="C401" s="18" t="s">
        <v>320</v>
      </c>
      <c r="D401" s="18" t="s">
        <v>26</v>
      </c>
      <c r="E401" s="18" t="s">
        <v>27</v>
      </c>
      <c r="F401" s="18" t="s">
        <v>321</v>
      </c>
      <c r="G401" s="18" t="s">
        <v>32</v>
      </c>
      <c r="H401" s="19">
        <v>2014</v>
      </c>
      <c r="I401" s="18" t="s">
        <v>364</v>
      </c>
      <c r="J401" s="101" t="s">
        <v>27</v>
      </c>
      <c r="K401" s="20">
        <v>107</v>
      </c>
      <c r="L401" s="21">
        <v>161.66</v>
      </c>
      <c r="M401" s="22" t="s">
        <v>30</v>
      </c>
      <c r="N401" s="23">
        <v>161.66</v>
      </c>
      <c r="O401" s="24">
        <v>1.510841121495327</v>
      </c>
      <c r="P401" s="25" t="str">
        <f>IF(P402="x","x","")</f>
        <v/>
      </c>
      <c r="Q401" s="25" t="str">
        <f>IF(Q402="x","x","")</f>
        <v/>
      </c>
      <c r="R401" s="25" t="str">
        <f>IF(R402="x","x","")</f>
        <v/>
      </c>
      <c r="S401" s="25" t="str">
        <f>IF(S402="x","x","")</f>
        <v/>
      </c>
      <c r="T401" s="25" t="s">
        <v>27</v>
      </c>
      <c r="U401" s="26"/>
      <c r="V401" s="27"/>
    </row>
    <row r="402" spans="1:22" ht="16.5" thickBot="1" x14ac:dyDescent="0.3">
      <c r="A402" s="28" t="str">
        <f>A401</f>
        <v>China</v>
      </c>
      <c r="B402" s="28" t="str">
        <f>B401</f>
        <v>East Asia and Pacific</v>
      </c>
      <c r="C402" s="28" t="str">
        <f>C401</f>
        <v>P099992</v>
      </c>
      <c r="D402" s="28" t="s">
        <v>26</v>
      </c>
      <c r="E402" s="28" t="s">
        <v>27</v>
      </c>
      <c r="F402" s="28" t="str">
        <f>F401</f>
        <v>P099992C1</v>
      </c>
      <c r="G402" s="28" t="s">
        <v>16</v>
      </c>
      <c r="H402" s="29" t="str">
        <f>H400&amp;" / "&amp;H401</f>
        <v>2006 / 2014</v>
      </c>
      <c r="I402" s="29" t="str">
        <f>I401</f>
        <v>Widening and Reconstruction</v>
      </c>
      <c r="J402" s="97" t="str">
        <f>IFERROR(J401/J400,"")</f>
        <v/>
      </c>
      <c r="K402" s="32">
        <f>K401/K400</f>
        <v>0.5977653631284916</v>
      </c>
      <c r="L402" s="32">
        <f>L401/L400</f>
        <v>0.488502100142024</v>
      </c>
      <c r="M402" s="28"/>
      <c r="N402" s="32">
        <f>N401/N400</f>
        <v>0.488502100142024</v>
      </c>
      <c r="O402" s="32">
        <f>O401/O400</f>
        <v>0.81721379369553548</v>
      </c>
      <c r="P402" s="33" t="str">
        <f>IF(K402&lt;50%,"x","")</f>
        <v/>
      </c>
      <c r="Q402" s="33" t="str">
        <f>IF(K402&gt;150%,"x","")</f>
        <v/>
      </c>
      <c r="R402" s="33" t="str">
        <f>IF(O402&lt;50%,"x","")</f>
        <v/>
      </c>
      <c r="S402" s="33" t="str">
        <f>IF(O402&gt;150%,"x","")</f>
        <v/>
      </c>
      <c r="T402" s="33" t="s">
        <v>27</v>
      </c>
      <c r="U402" s="34" t="s">
        <v>27</v>
      </c>
      <c r="V402" s="35" t="s">
        <v>27</v>
      </c>
    </row>
    <row r="403" spans="1:22" ht="16.5" thickTop="1" x14ac:dyDescent="0.25">
      <c r="A403" s="18" t="s">
        <v>81</v>
      </c>
      <c r="B403" s="18" t="s">
        <v>945</v>
      </c>
      <c r="C403" s="18" t="s">
        <v>458</v>
      </c>
      <c r="D403" s="18" t="s">
        <v>26</v>
      </c>
      <c r="E403" s="18" t="s">
        <v>27</v>
      </c>
      <c r="F403" s="18" t="s">
        <v>459</v>
      </c>
      <c r="G403" s="18" t="s">
        <v>29</v>
      </c>
      <c r="H403" s="19">
        <v>2000</v>
      </c>
      <c r="I403" s="18" t="s">
        <v>111</v>
      </c>
      <c r="J403" s="101">
        <v>25</v>
      </c>
      <c r="K403" s="20">
        <v>95</v>
      </c>
      <c r="L403" s="21">
        <v>294.8</v>
      </c>
      <c r="M403" s="22" t="s">
        <v>30</v>
      </c>
      <c r="N403" s="23">
        <v>294.8</v>
      </c>
      <c r="O403" s="24">
        <v>3.1031578947368423</v>
      </c>
      <c r="P403" s="25" t="str">
        <f>IF(P405="x","x","")</f>
        <v/>
      </c>
      <c r="Q403" s="25" t="str">
        <f>IF(Q405="x","x","")</f>
        <v/>
      </c>
      <c r="R403" s="25" t="str">
        <f>IF(R405="x","x","")</f>
        <v/>
      </c>
      <c r="S403" s="25" t="str">
        <f>IF(S405="x","x","")</f>
        <v/>
      </c>
      <c r="T403" s="25" t="s">
        <v>27</v>
      </c>
      <c r="U403" s="26"/>
      <c r="V403" s="27"/>
    </row>
    <row r="404" spans="1:22" x14ac:dyDescent="0.25">
      <c r="A404" s="18" t="s">
        <v>81</v>
      </c>
      <c r="B404" s="18" t="s">
        <v>945</v>
      </c>
      <c r="C404" s="18" t="s">
        <v>458</v>
      </c>
      <c r="D404" s="18" t="s">
        <v>26</v>
      </c>
      <c r="E404" s="18" t="s">
        <v>27</v>
      </c>
      <c r="F404" s="18" t="s">
        <v>459</v>
      </c>
      <c r="G404" s="18" t="s">
        <v>32</v>
      </c>
      <c r="H404" s="19">
        <v>2007</v>
      </c>
      <c r="I404" s="18" t="s">
        <v>111</v>
      </c>
      <c r="J404" s="101">
        <v>37</v>
      </c>
      <c r="K404" s="20">
        <v>95</v>
      </c>
      <c r="L404" s="21">
        <v>267.5</v>
      </c>
      <c r="M404" s="22" t="s">
        <v>30</v>
      </c>
      <c r="N404" s="23">
        <v>267.5</v>
      </c>
      <c r="O404" s="24">
        <v>2.8157894736842106</v>
      </c>
      <c r="P404" s="25" t="str">
        <f>IF(P405="x","x","")</f>
        <v/>
      </c>
      <c r="Q404" s="25" t="str">
        <f>IF(Q405="x","x","")</f>
        <v/>
      </c>
      <c r="R404" s="25" t="str">
        <f>IF(R405="x","x","")</f>
        <v/>
      </c>
      <c r="S404" s="25" t="str">
        <f>IF(S405="x","x","")</f>
        <v/>
      </c>
      <c r="T404" s="25" t="s">
        <v>27</v>
      </c>
      <c r="U404" s="26"/>
      <c r="V404" s="27"/>
    </row>
    <row r="405" spans="1:22" ht="16.5" thickBot="1" x14ac:dyDescent="0.3">
      <c r="A405" s="28" t="str">
        <f>A404</f>
        <v>China</v>
      </c>
      <c r="B405" s="28" t="str">
        <f>B404</f>
        <v>East Asia and Pacific</v>
      </c>
      <c r="C405" s="28" t="str">
        <f>C404</f>
        <v>P058844</v>
      </c>
      <c r="D405" s="28" t="s">
        <v>26</v>
      </c>
      <c r="E405" s="28" t="s">
        <v>27</v>
      </c>
      <c r="F405" s="28" t="str">
        <f>F404</f>
        <v>P058844C1</v>
      </c>
      <c r="G405" s="28" t="s">
        <v>16</v>
      </c>
      <c r="H405" s="29" t="str">
        <f>H403&amp;" / "&amp;H404</f>
        <v>2000 / 2007</v>
      </c>
      <c r="I405" s="29" t="str">
        <f>I404</f>
        <v>New 4L Expressway</v>
      </c>
      <c r="J405" s="97">
        <f>IFERROR(J404/J403,"")</f>
        <v>1.48</v>
      </c>
      <c r="K405" s="32">
        <f>K404/K403</f>
        <v>1</v>
      </c>
      <c r="L405" s="32">
        <f>L404/L403</f>
        <v>0.90739484396200809</v>
      </c>
      <c r="M405" s="28"/>
      <c r="N405" s="32">
        <f>N404/N403</f>
        <v>0.90739484396200809</v>
      </c>
      <c r="O405" s="32">
        <f>O404/O403</f>
        <v>0.90739484396200809</v>
      </c>
      <c r="P405" s="33" t="str">
        <f>IF(K405&lt;50%,"x","")</f>
        <v/>
      </c>
      <c r="Q405" s="33" t="str">
        <f>IF(K405&gt;150%,"x","")</f>
        <v/>
      </c>
      <c r="R405" s="33" t="str">
        <f>IF(O405&lt;50%,"x","")</f>
        <v/>
      </c>
      <c r="S405" s="33" t="str">
        <f>IF(O405&gt;150%,"x","")</f>
        <v/>
      </c>
      <c r="T405" s="33" t="s">
        <v>27</v>
      </c>
      <c r="U405" s="34" t="s">
        <v>27</v>
      </c>
      <c r="V405" s="35" t="s">
        <v>27</v>
      </c>
    </row>
    <row r="406" spans="1:22" ht="16.5" thickTop="1" x14ac:dyDescent="0.25">
      <c r="A406" s="18" t="s">
        <v>81</v>
      </c>
      <c r="B406" s="18" t="s">
        <v>945</v>
      </c>
      <c r="C406" s="18" t="s">
        <v>458</v>
      </c>
      <c r="D406" s="18" t="s">
        <v>42</v>
      </c>
      <c r="E406" s="18" t="s">
        <v>27</v>
      </c>
      <c r="F406" s="18" t="s">
        <v>460</v>
      </c>
      <c r="G406" s="18" t="s">
        <v>29</v>
      </c>
      <c r="H406" s="19">
        <v>2000</v>
      </c>
      <c r="I406" s="18" t="s">
        <v>387</v>
      </c>
      <c r="J406" s="101" t="s">
        <v>27</v>
      </c>
      <c r="K406" s="20">
        <v>400</v>
      </c>
      <c r="L406" s="21">
        <v>43.9</v>
      </c>
      <c r="M406" s="22" t="s">
        <v>30</v>
      </c>
      <c r="N406" s="23">
        <v>43.9</v>
      </c>
      <c r="O406" s="24">
        <v>0.10975</v>
      </c>
      <c r="P406" s="25" t="str">
        <f>IF(P408="x","x","")</f>
        <v/>
      </c>
      <c r="Q406" s="25" t="str">
        <f>IF(Q408="x","x","")</f>
        <v/>
      </c>
      <c r="R406" s="25" t="str">
        <f>IF(R408="x","x","")</f>
        <v/>
      </c>
      <c r="S406" s="25" t="str">
        <f>IF(S408="x","x","")</f>
        <v/>
      </c>
      <c r="T406" s="25" t="s">
        <v>27</v>
      </c>
      <c r="U406" s="26"/>
      <c r="V406" s="27"/>
    </row>
    <row r="407" spans="1:22" x14ac:dyDescent="0.25">
      <c r="A407" s="18" t="s">
        <v>81</v>
      </c>
      <c r="B407" s="18" t="s">
        <v>945</v>
      </c>
      <c r="C407" s="18" t="s">
        <v>458</v>
      </c>
      <c r="D407" s="18" t="s">
        <v>42</v>
      </c>
      <c r="E407" s="18" t="s">
        <v>27</v>
      </c>
      <c r="F407" s="18" t="s">
        <v>460</v>
      </c>
      <c r="G407" s="18" t="s">
        <v>32</v>
      </c>
      <c r="H407" s="19">
        <v>2007</v>
      </c>
      <c r="I407" s="18" t="s">
        <v>387</v>
      </c>
      <c r="J407" s="101" t="s">
        <v>27</v>
      </c>
      <c r="K407" s="20">
        <v>373</v>
      </c>
      <c r="L407" s="21">
        <v>38.9</v>
      </c>
      <c r="M407" s="22" t="s">
        <v>30</v>
      </c>
      <c r="N407" s="23">
        <v>38.9</v>
      </c>
      <c r="O407" s="24">
        <v>0.10428954423592493</v>
      </c>
      <c r="P407" s="25" t="str">
        <f>IF(P408="x","x","")</f>
        <v/>
      </c>
      <c r="Q407" s="25" t="str">
        <f>IF(Q408="x","x","")</f>
        <v/>
      </c>
      <c r="R407" s="25" t="str">
        <f>IF(R408="x","x","")</f>
        <v/>
      </c>
      <c r="S407" s="25" t="str">
        <f>IF(S408="x","x","")</f>
        <v/>
      </c>
      <c r="T407" s="25" t="s">
        <v>27</v>
      </c>
      <c r="U407" s="26"/>
      <c r="V407" s="27"/>
    </row>
    <row r="408" spans="1:22" ht="16.5" thickBot="1" x14ac:dyDescent="0.3">
      <c r="A408" s="28" t="str">
        <f>A407</f>
        <v>China</v>
      </c>
      <c r="B408" s="28" t="str">
        <f>B407</f>
        <v>East Asia and Pacific</v>
      </c>
      <c r="C408" s="28" t="str">
        <f>C407</f>
        <v>P058844</v>
      </c>
      <c r="D408" s="28" t="s">
        <v>26</v>
      </c>
      <c r="E408" s="28" t="s">
        <v>27</v>
      </c>
      <c r="F408" s="28" t="str">
        <f>F407</f>
        <v>P058844C2</v>
      </c>
      <c r="G408" s="28" t="s">
        <v>16</v>
      </c>
      <c r="H408" s="29" t="str">
        <f>H406&amp;" / "&amp;H407</f>
        <v>2000 / 2007</v>
      </c>
      <c r="I408" s="29" t="str">
        <f>I407</f>
        <v>Upgrading</v>
      </c>
      <c r="J408" s="97" t="str">
        <f>IFERROR(J407/J406,"")</f>
        <v/>
      </c>
      <c r="K408" s="32">
        <f>K407/K406</f>
        <v>0.9325</v>
      </c>
      <c r="L408" s="32">
        <f>L407/L406</f>
        <v>0.88610478359908884</v>
      </c>
      <c r="M408" s="28"/>
      <c r="N408" s="32">
        <f>N407/N406</f>
        <v>0.88610478359908884</v>
      </c>
      <c r="O408" s="32">
        <f>O407/O406</f>
        <v>0.95024641672824539</v>
      </c>
      <c r="P408" s="33" t="str">
        <f>IF(K408&lt;50%,"x","")</f>
        <v/>
      </c>
      <c r="Q408" s="33" t="str">
        <f>IF(K408&gt;150%,"x","")</f>
        <v/>
      </c>
      <c r="R408" s="33" t="str">
        <f>IF(O408&lt;50%,"x","")</f>
        <v/>
      </c>
      <c r="S408" s="33" t="str">
        <f>IF(O408&gt;150%,"x","")</f>
        <v/>
      </c>
      <c r="T408" s="33" t="s">
        <v>27</v>
      </c>
      <c r="U408" s="34" t="s">
        <v>27</v>
      </c>
      <c r="V408" s="35" t="s">
        <v>27</v>
      </c>
    </row>
    <row r="409" spans="1:22" ht="16.5" thickTop="1" x14ac:dyDescent="0.25">
      <c r="A409" s="18" t="s">
        <v>81</v>
      </c>
      <c r="B409" s="18" t="s">
        <v>945</v>
      </c>
      <c r="C409" s="18" t="s">
        <v>461</v>
      </c>
      <c r="D409" s="18" t="s">
        <v>26</v>
      </c>
      <c r="E409" s="18" t="s">
        <v>27</v>
      </c>
      <c r="F409" s="18" t="s">
        <v>462</v>
      </c>
      <c r="G409" s="18" t="s">
        <v>29</v>
      </c>
      <c r="H409" s="19">
        <v>2002</v>
      </c>
      <c r="I409" s="18" t="s">
        <v>364</v>
      </c>
      <c r="J409" s="101" t="s">
        <v>27</v>
      </c>
      <c r="K409" s="20">
        <v>302.60000000000002</v>
      </c>
      <c r="L409" s="21">
        <v>211.39</v>
      </c>
      <c r="M409" s="22" t="s">
        <v>30</v>
      </c>
      <c r="N409" s="23">
        <v>211.39</v>
      </c>
      <c r="O409" s="24">
        <v>0.69857898215465952</v>
      </c>
      <c r="P409" s="25" t="str">
        <f>IF(P411="x","x","")</f>
        <v/>
      </c>
      <c r="Q409" s="25" t="str">
        <f>IF(Q411="x","x","")</f>
        <v/>
      </c>
      <c r="R409" s="25" t="str">
        <f>IF(R411="x","x","")</f>
        <v/>
      </c>
      <c r="S409" s="25" t="str">
        <f>IF(S411="x","x","")</f>
        <v/>
      </c>
      <c r="T409" s="25" t="s">
        <v>27</v>
      </c>
      <c r="U409" s="26"/>
      <c r="V409" s="27"/>
    </row>
    <row r="410" spans="1:22" x14ac:dyDescent="0.25">
      <c r="A410" s="18" t="s">
        <v>81</v>
      </c>
      <c r="B410" s="18" t="s">
        <v>945</v>
      </c>
      <c r="C410" s="18" t="s">
        <v>461</v>
      </c>
      <c r="D410" s="18" t="s">
        <v>26</v>
      </c>
      <c r="E410" s="18" t="s">
        <v>27</v>
      </c>
      <c r="F410" s="18" t="s">
        <v>462</v>
      </c>
      <c r="G410" s="18" t="s">
        <v>32</v>
      </c>
      <c r="H410" s="19">
        <v>2010</v>
      </c>
      <c r="I410" s="18" t="s">
        <v>364</v>
      </c>
      <c r="J410" s="101" t="s">
        <v>27</v>
      </c>
      <c r="K410" s="20">
        <v>302.60000000000002</v>
      </c>
      <c r="L410" s="21">
        <v>278.52</v>
      </c>
      <c r="M410" s="22" t="s">
        <v>30</v>
      </c>
      <c r="N410" s="23">
        <v>278.52</v>
      </c>
      <c r="O410" s="24">
        <v>0.92042300066093841</v>
      </c>
      <c r="P410" s="25" t="str">
        <f>IF(P411="x","x","")</f>
        <v/>
      </c>
      <c r="Q410" s="25" t="str">
        <f>IF(Q411="x","x","")</f>
        <v/>
      </c>
      <c r="R410" s="25" t="str">
        <f>IF(R411="x","x","")</f>
        <v/>
      </c>
      <c r="S410" s="25" t="str">
        <f>IF(S411="x","x","")</f>
        <v/>
      </c>
      <c r="T410" s="25" t="s">
        <v>27</v>
      </c>
      <c r="U410" s="26"/>
      <c r="V410" s="27"/>
    </row>
    <row r="411" spans="1:22" ht="16.5" thickBot="1" x14ac:dyDescent="0.3">
      <c r="A411" s="28" t="str">
        <f>A410</f>
        <v>China</v>
      </c>
      <c r="B411" s="28" t="str">
        <f>B410</f>
        <v>East Asia and Pacific</v>
      </c>
      <c r="C411" s="28" t="str">
        <f>C410</f>
        <v>P058847</v>
      </c>
      <c r="D411" s="28" t="s">
        <v>26</v>
      </c>
      <c r="E411" s="28" t="s">
        <v>27</v>
      </c>
      <c r="F411" s="28" t="str">
        <f>F410</f>
        <v>P058847C1</v>
      </c>
      <c r="G411" s="28" t="s">
        <v>16</v>
      </c>
      <c r="H411" s="29" t="str">
        <f>H409&amp;" / "&amp;H410</f>
        <v>2002 / 2010</v>
      </c>
      <c r="I411" s="29" t="str">
        <f>I410</f>
        <v>Widening and Reconstruction</v>
      </c>
      <c r="J411" s="97" t="str">
        <f>IFERROR(J410/J409,"")</f>
        <v/>
      </c>
      <c r="K411" s="32">
        <f>K410/K409</f>
        <v>1</v>
      </c>
      <c r="L411" s="32">
        <f>L410/L409</f>
        <v>1.3175646908557643</v>
      </c>
      <c r="M411" s="28"/>
      <c r="N411" s="32">
        <f>N410/N409</f>
        <v>1.3175646908557643</v>
      </c>
      <c r="O411" s="32">
        <f>O410/O409</f>
        <v>1.3175646908557643</v>
      </c>
      <c r="P411" s="33" t="str">
        <f>IF(K411&lt;50%,"x","")</f>
        <v/>
      </c>
      <c r="Q411" s="33" t="str">
        <f>IF(K411&gt;150%,"x","")</f>
        <v/>
      </c>
      <c r="R411" s="33" t="str">
        <f>IF(O411&lt;50%,"x","")</f>
        <v/>
      </c>
      <c r="S411" s="33" t="str">
        <f>IF(O411&gt;150%,"x","")</f>
        <v/>
      </c>
      <c r="T411" s="33" t="s">
        <v>27</v>
      </c>
      <c r="U411" s="34" t="s">
        <v>27</v>
      </c>
      <c r="V411" s="35" t="s">
        <v>27</v>
      </c>
    </row>
    <row r="412" spans="1:22" ht="16.5" thickTop="1" x14ac:dyDescent="0.25">
      <c r="A412" s="18" t="s">
        <v>81</v>
      </c>
      <c r="B412" s="18" t="s">
        <v>945</v>
      </c>
      <c r="C412" s="18" t="s">
        <v>461</v>
      </c>
      <c r="D412" s="18" t="s">
        <v>42</v>
      </c>
      <c r="E412" s="18" t="s">
        <v>27</v>
      </c>
      <c r="F412" s="18" t="s">
        <v>463</v>
      </c>
      <c r="G412" s="18" t="s">
        <v>29</v>
      </c>
      <c r="H412" s="19">
        <v>2002</v>
      </c>
      <c r="I412" s="18" t="s">
        <v>387</v>
      </c>
      <c r="J412" s="101" t="s">
        <v>27</v>
      </c>
      <c r="K412" s="20">
        <v>600</v>
      </c>
      <c r="L412" s="21">
        <v>41.8</v>
      </c>
      <c r="M412" s="22" t="s">
        <v>30</v>
      </c>
      <c r="N412" s="23">
        <v>41.8</v>
      </c>
      <c r="O412" s="24">
        <v>6.9666666666666668E-2</v>
      </c>
      <c r="P412" s="25" t="str">
        <f>IF(P414="x","x","")</f>
        <v/>
      </c>
      <c r="Q412" s="25" t="str">
        <f>IF(Q414="x","x","")</f>
        <v/>
      </c>
      <c r="R412" s="25" t="str">
        <f>IF(R414="x","x","")</f>
        <v/>
      </c>
      <c r="S412" s="25" t="str">
        <f>IF(S414="x","x","")</f>
        <v/>
      </c>
      <c r="T412" s="25" t="s">
        <v>27</v>
      </c>
      <c r="U412" s="26"/>
      <c r="V412" s="27"/>
    </row>
    <row r="413" spans="1:22" x14ac:dyDescent="0.25">
      <c r="A413" s="18" t="s">
        <v>81</v>
      </c>
      <c r="B413" s="18" t="s">
        <v>945</v>
      </c>
      <c r="C413" s="18" t="s">
        <v>461</v>
      </c>
      <c r="D413" s="18" t="s">
        <v>42</v>
      </c>
      <c r="E413" s="18" t="s">
        <v>27</v>
      </c>
      <c r="F413" s="18" t="s">
        <v>463</v>
      </c>
      <c r="G413" s="18" t="s">
        <v>32</v>
      </c>
      <c r="H413" s="19">
        <v>2010</v>
      </c>
      <c r="I413" s="18" t="s">
        <v>387</v>
      </c>
      <c r="J413" s="101" t="s">
        <v>27</v>
      </c>
      <c r="K413" s="20">
        <v>620</v>
      </c>
      <c r="L413" s="21">
        <v>51.84</v>
      </c>
      <c r="M413" s="22" t="s">
        <v>30</v>
      </c>
      <c r="N413" s="23">
        <v>51.84</v>
      </c>
      <c r="O413" s="24">
        <v>8.3612903225806459E-2</v>
      </c>
      <c r="P413" s="25" t="str">
        <f>IF(P414="x","x","")</f>
        <v/>
      </c>
      <c r="Q413" s="25" t="str">
        <f>IF(Q414="x","x","")</f>
        <v/>
      </c>
      <c r="R413" s="25" t="str">
        <f>IF(R414="x","x","")</f>
        <v/>
      </c>
      <c r="S413" s="25" t="str">
        <f>IF(S414="x","x","")</f>
        <v/>
      </c>
      <c r="T413" s="25" t="s">
        <v>27</v>
      </c>
      <c r="U413" s="26"/>
      <c r="V413" s="27"/>
    </row>
    <row r="414" spans="1:22" ht="16.5" thickBot="1" x14ac:dyDescent="0.3">
      <c r="A414" s="28" t="str">
        <f>A413</f>
        <v>China</v>
      </c>
      <c r="B414" s="28" t="str">
        <f>B413</f>
        <v>East Asia and Pacific</v>
      </c>
      <c r="C414" s="28" t="str">
        <f>C413</f>
        <v>P058847</v>
      </c>
      <c r="D414" s="28" t="s">
        <v>26</v>
      </c>
      <c r="E414" s="28" t="s">
        <v>27</v>
      </c>
      <c r="F414" s="28" t="str">
        <f>F413</f>
        <v>P058847C2</v>
      </c>
      <c r="G414" s="28" t="s">
        <v>16</v>
      </c>
      <c r="H414" s="29" t="str">
        <f>H412&amp;" / "&amp;H413</f>
        <v>2002 / 2010</v>
      </c>
      <c r="I414" s="29" t="str">
        <f>I413</f>
        <v>Upgrading</v>
      </c>
      <c r="J414" s="97" t="str">
        <f>IFERROR(J413/J412,"")</f>
        <v/>
      </c>
      <c r="K414" s="32">
        <f>K413/K412</f>
        <v>1.0333333333333334</v>
      </c>
      <c r="L414" s="32">
        <f>L413/L412</f>
        <v>1.2401913875598087</v>
      </c>
      <c r="M414" s="28"/>
      <c r="N414" s="32">
        <f>N413/N412</f>
        <v>1.2401913875598087</v>
      </c>
      <c r="O414" s="32">
        <f>O413/O412</f>
        <v>1.2001852137675568</v>
      </c>
      <c r="P414" s="33" t="str">
        <f>IF(K414&lt;50%,"x","")</f>
        <v/>
      </c>
      <c r="Q414" s="33" t="str">
        <f>IF(K414&gt;150%,"x","")</f>
        <v/>
      </c>
      <c r="R414" s="33" t="str">
        <f>IF(O414&lt;50%,"x","")</f>
        <v/>
      </c>
      <c r="S414" s="33" t="str">
        <f>IF(O414&gt;150%,"x","")</f>
        <v/>
      </c>
      <c r="T414" s="33" t="s">
        <v>27</v>
      </c>
      <c r="U414" s="34" t="s">
        <v>27</v>
      </c>
      <c r="V414" s="35" t="s">
        <v>27</v>
      </c>
    </row>
    <row r="415" spans="1:22" ht="16.5" thickTop="1" x14ac:dyDescent="0.25">
      <c r="A415" s="18" t="s">
        <v>81</v>
      </c>
      <c r="B415" s="18" t="s">
        <v>945</v>
      </c>
      <c r="C415" s="18" t="s">
        <v>584</v>
      </c>
      <c r="D415" s="18" t="s">
        <v>26</v>
      </c>
      <c r="E415" s="18" t="s">
        <v>27</v>
      </c>
      <c r="F415" s="18" t="s">
        <v>585</v>
      </c>
      <c r="G415" s="18" t="s">
        <v>29</v>
      </c>
      <c r="H415" s="19">
        <v>2005</v>
      </c>
      <c r="I415" s="18" t="s">
        <v>364</v>
      </c>
      <c r="J415" s="101">
        <v>36</v>
      </c>
      <c r="K415" s="20">
        <v>177</v>
      </c>
      <c r="L415" s="21">
        <v>172.69</v>
      </c>
      <c r="M415" s="22" t="s">
        <v>30</v>
      </c>
      <c r="N415" s="23">
        <v>172.69</v>
      </c>
      <c r="O415" s="24">
        <v>0.97564971751412433</v>
      </c>
      <c r="P415" s="25" t="str">
        <f>IF(P417="x","x","")</f>
        <v/>
      </c>
      <c r="Q415" s="25" t="str">
        <f>IF(Q417="x","x","")</f>
        <v/>
      </c>
      <c r="R415" s="25" t="str">
        <f>IF(R417="x","x","")</f>
        <v/>
      </c>
      <c r="S415" s="25" t="str">
        <f>IF(S417="x","x","")</f>
        <v/>
      </c>
      <c r="T415" s="25" t="s">
        <v>27</v>
      </c>
      <c r="U415" s="26"/>
      <c r="V415" s="27"/>
    </row>
    <row r="416" spans="1:22" x14ac:dyDescent="0.25">
      <c r="A416" s="18" t="s">
        <v>81</v>
      </c>
      <c r="B416" s="18" t="s">
        <v>945</v>
      </c>
      <c r="C416" s="18" t="s">
        <v>584</v>
      </c>
      <c r="D416" s="18" t="s">
        <v>26</v>
      </c>
      <c r="E416" s="18" t="s">
        <v>27</v>
      </c>
      <c r="F416" s="18" t="s">
        <v>585</v>
      </c>
      <c r="G416" s="18" t="s">
        <v>32</v>
      </c>
      <c r="H416" s="19">
        <v>2011</v>
      </c>
      <c r="I416" s="18" t="s">
        <v>364</v>
      </c>
      <c r="J416" s="101">
        <v>30</v>
      </c>
      <c r="K416" s="20">
        <v>178.73</v>
      </c>
      <c r="L416" s="21">
        <v>214.53</v>
      </c>
      <c r="M416" s="22" t="s">
        <v>30</v>
      </c>
      <c r="N416" s="23">
        <v>214.53</v>
      </c>
      <c r="O416" s="24">
        <v>1.2003021317070441</v>
      </c>
      <c r="P416" s="25" t="str">
        <f>IF(P417="x","x","")</f>
        <v/>
      </c>
      <c r="Q416" s="25" t="str">
        <f>IF(Q417="x","x","")</f>
        <v/>
      </c>
      <c r="R416" s="25" t="str">
        <f>IF(R417="x","x","")</f>
        <v/>
      </c>
      <c r="S416" s="25" t="str">
        <f>IF(S417="x","x","")</f>
        <v/>
      </c>
      <c r="T416" s="25" t="s">
        <v>27</v>
      </c>
      <c r="U416" s="26"/>
      <c r="V416" s="27"/>
    </row>
    <row r="417" spans="1:22" ht="16.5" thickBot="1" x14ac:dyDescent="0.3">
      <c r="A417" s="28" t="str">
        <f>A416</f>
        <v>China</v>
      </c>
      <c r="B417" s="28" t="str">
        <f>B416</f>
        <v>East Asia and Pacific</v>
      </c>
      <c r="C417" s="28" t="str">
        <f>C416</f>
        <v>P068752</v>
      </c>
      <c r="D417" s="28" t="s">
        <v>26</v>
      </c>
      <c r="E417" s="28" t="s">
        <v>27</v>
      </c>
      <c r="F417" s="28" t="str">
        <f>F416</f>
        <v>P068752C1</v>
      </c>
      <c r="G417" s="28" t="s">
        <v>16</v>
      </c>
      <c r="H417" s="29" t="str">
        <f>H415&amp;" / "&amp;H416</f>
        <v>2005 / 2011</v>
      </c>
      <c r="I417" s="29" t="str">
        <f>I416</f>
        <v>Widening and Reconstruction</v>
      </c>
      <c r="J417" s="97">
        <f>IFERROR(J416/J415,"")</f>
        <v>0.83333333333333337</v>
      </c>
      <c r="K417" s="32">
        <f>K416/K415</f>
        <v>1.0097740112994349</v>
      </c>
      <c r="L417" s="32">
        <f>L416/L415</f>
        <v>1.2422838612542706</v>
      </c>
      <c r="M417" s="28"/>
      <c r="N417" s="32">
        <f>N416/N415</f>
        <v>1.2422838612542706</v>
      </c>
      <c r="O417" s="32">
        <f>O416/O415</f>
        <v>1.2302592930230285</v>
      </c>
      <c r="P417" s="33" t="str">
        <f>IF(K417&lt;50%,"x","")</f>
        <v/>
      </c>
      <c r="Q417" s="33" t="str">
        <f>IF(K417&gt;150%,"x","")</f>
        <v/>
      </c>
      <c r="R417" s="33" t="str">
        <f>IF(O417&lt;50%,"x","")</f>
        <v/>
      </c>
      <c r="S417" s="33" t="str">
        <f>IF(O417&gt;150%,"x","")</f>
        <v/>
      </c>
      <c r="T417" s="33" t="s">
        <v>27</v>
      </c>
      <c r="U417" s="34" t="s">
        <v>27</v>
      </c>
      <c r="V417" s="35" t="s">
        <v>27</v>
      </c>
    </row>
    <row r="418" spans="1:22" ht="16.5" thickTop="1" x14ac:dyDescent="0.25">
      <c r="A418" s="18" t="s">
        <v>81</v>
      </c>
      <c r="B418" s="18" t="s">
        <v>945</v>
      </c>
      <c r="C418" s="18" t="s">
        <v>584</v>
      </c>
      <c r="D418" s="18" t="s">
        <v>42</v>
      </c>
      <c r="E418" s="18" t="s">
        <v>27</v>
      </c>
      <c r="F418" s="18" t="s">
        <v>587</v>
      </c>
      <c r="G418" s="18" t="s">
        <v>29</v>
      </c>
      <c r="H418" s="19">
        <v>2005</v>
      </c>
      <c r="I418" s="18" t="s">
        <v>387</v>
      </c>
      <c r="J418" s="101" t="s">
        <v>27</v>
      </c>
      <c r="K418" s="20">
        <v>431</v>
      </c>
      <c r="L418" s="21">
        <v>51.3</v>
      </c>
      <c r="M418" s="22" t="s">
        <v>30</v>
      </c>
      <c r="N418" s="23">
        <v>51.3</v>
      </c>
      <c r="O418" s="24">
        <v>0.11902552204176334</v>
      </c>
      <c r="P418" s="25" t="str">
        <f>IF(P420="x","x","")</f>
        <v/>
      </c>
      <c r="Q418" s="25" t="str">
        <f>IF(Q420="x","x","")</f>
        <v>x</v>
      </c>
      <c r="R418" s="25" t="str">
        <f>IF(R420="x","x","")</f>
        <v/>
      </c>
      <c r="S418" s="25" t="str">
        <f>IF(S420="x","x","")</f>
        <v/>
      </c>
      <c r="T418" s="25" t="s">
        <v>31</v>
      </c>
      <c r="U418" s="26"/>
      <c r="V418" s="27"/>
    </row>
    <row r="419" spans="1:22" x14ac:dyDescent="0.25">
      <c r="A419" s="18" t="s">
        <v>81</v>
      </c>
      <c r="B419" s="18" t="s">
        <v>945</v>
      </c>
      <c r="C419" s="18" t="s">
        <v>584</v>
      </c>
      <c r="D419" s="18" t="s">
        <v>42</v>
      </c>
      <c r="E419" s="18" t="s">
        <v>27</v>
      </c>
      <c r="F419" s="18" t="s">
        <v>587</v>
      </c>
      <c r="G419" s="18" t="s">
        <v>32</v>
      </c>
      <c r="H419" s="19">
        <v>2011</v>
      </c>
      <c r="I419" s="18" t="s">
        <v>387</v>
      </c>
      <c r="J419" s="101" t="s">
        <v>27</v>
      </c>
      <c r="K419" s="20">
        <v>690</v>
      </c>
      <c r="L419" s="21">
        <v>117.02</v>
      </c>
      <c r="M419" s="22" t="s">
        <v>30</v>
      </c>
      <c r="N419" s="23">
        <v>117.02</v>
      </c>
      <c r="O419" s="24">
        <v>0.16959420289855071</v>
      </c>
      <c r="P419" s="25" t="str">
        <f>IF(P420="x","x","")</f>
        <v/>
      </c>
      <c r="Q419" s="25" t="str">
        <f>IF(Q420="x","x","")</f>
        <v>x</v>
      </c>
      <c r="R419" s="25" t="str">
        <f>IF(R420="x","x","")</f>
        <v/>
      </c>
      <c r="S419" s="25" t="str">
        <f>IF(S420="x","x","")</f>
        <v/>
      </c>
      <c r="T419" s="25" t="s">
        <v>31</v>
      </c>
      <c r="U419" s="26"/>
      <c r="V419" s="27"/>
    </row>
    <row r="420" spans="1:22" ht="32.25" thickBot="1" x14ac:dyDescent="0.3">
      <c r="A420" s="28" t="str">
        <f>A419</f>
        <v>China</v>
      </c>
      <c r="B420" s="28" t="str">
        <f>B419</f>
        <v>East Asia and Pacific</v>
      </c>
      <c r="C420" s="28" t="str">
        <f>C419</f>
        <v>P068752</v>
      </c>
      <c r="D420" s="28" t="s">
        <v>26</v>
      </c>
      <c r="E420" s="28" t="s">
        <v>27</v>
      </c>
      <c r="F420" s="28" t="str">
        <f>F419</f>
        <v>P068752C2</v>
      </c>
      <c r="G420" s="28" t="s">
        <v>16</v>
      </c>
      <c r="H420" s="29" t="str">
        <f>H418&amp;" / "&amp;H419</f>
        <v>2005 / 2011</v>
      </c>
      <c r="I420" s="29" t="str">
        <f>I419</f>
        <v>Upgrading</v>
      </c>
      <c r="J420" s="97" t="str">
        <f>IFERROR(J419/J418,"")</f>
        <v/>
      </c>
      <c r="K420" s="32">
        <f>K419/K418</f>
        <v>1.6009280742459397</v>
      </c>
      <c r="L420" s="32">
        <f>L419/L418</f>
        <v>2.2810916179337233</v>
      </c>
      <c r="M420" s="28"/>
      <c r="N420" s="32">
        <f>N419/N418</f>
        <v>2.2810916179337233</v>
      </c>
      <c r="O420" s="32">
        <f>O419/O418</f>
        <v>1.4248557787383109</v>
      </c>
      <c r="P420" s="33" t="str">
        <f>IF(K420&lt;50%,"x","")</f>
        <v/>
      </c>
      <c r="Q420" s="33" t="str">
        <f>IF(K420&gt;150%,"x","")</f>
        <v>x</v>
      </c>
      <c r="R420" s="33" t="str">
        <f>IF(O420&lt;50%,"x","")</f>
        <v/>
      </c>
      <c r="S420" s="33" t="str">
        <f>IF(O420&gt;150%,"x","")</f>
        <v/>
      </c>
      <c r="T420" s="33" t="s">
        <v>31</v>
      </c>
      <c r="U420" s="34" t="s">
        <v>988</v>
      </c>
      <c r="V420" s="35" t="s">
        <v>1012</v>
      </c>
    </row>
    <row r="421" spans="1:22" ht="16.5" thickTop="1" x14ac:dyDescent="0.25">
      <c r="A421" s="18" t="s">
        <v>81</v>
      </c>
      <c r="B421" s="18" t="s">
        <v>945</v>
      </c>
      <c r="C421" s="18" t="s">
        <v>584</v>
      </c>
      <c r="D421" s="18" t="s">
        <v>42</v>
      </c>
      <c r="E421" s="18" t="s">
        <v>36</v>
      </c>
      <c r="F421" s="18" t="s">
        <v>588</v>
      </c>
      <c r="G421" s="18" t="s">
        <v>29</v>
      </c>
      <c r="H421" s="19">
        <v>2005</v>
      </c>
      <c r="I421" s="18" t="s">
        <v>387</v>
      </c>
      <c r="J421" s="101">
        <v>24</v>
      </c>
      <c r="K421" s="20">
        <v>70.5</v>
      </c>
      <c r="L421" s="21">
        <v>109.54</v>
      </c>
      <c r="M421" s="22" t="s">
        <v>589</v>
      </c>
      <c r="N421" s="23">
        <v>13.229468599033819</v>
      </c>
      <c r="O421" s="24">
        <v>0.18765203686572793</v>
      </c>
      <c r="P421" s="25" t="str">
        <f>IF(P423="x","x","")</f>
        <v/>
      </c>
      <c r="Q421" s="25" t="str">
        <f>IF(Q423="x","x","")</f>
        <v/>
      </c>
      <c r="R421" s="25" t="str">
        <f>IF(R423="x","x","")</f>
        <v/>
      </c>
      <c r="S421" s="25" t="str">
        <f>IF(S423="x","x","")</f>
        <v/>
      </c>
      <c r="T421" s="25" t="s">
        <v>27</v>
      </c>
      <c r="U421" s="26"/>
      <c r="V421" s="27"/>
    </row>
    <row r="422" spans="1:22" x14ac:dyDescent="0.25">
      <c r="A422" s="18" t="s">
        <v>81</v>
      </c>
      <c r="B422" s="18" t="s">
        <v>945</v>
      </c>
      <c r="C422" s="18" t="s">
        <v>584</v>
      </c>
      <c r="D422" s="18" t="s">
        <v>42</v>
      </c>
      <c r="E422" s="18" t="s">
        <v>36</v>
      </c>
      <c r="F422" s="18" t="s">
        <v>588</v>
      </c>
      <c r="G422" s="18" t="s">
        <v>32</v>
      </c>
      <c r="H422" s="19">
        <v>2011</v>
      </c>
      <c r="I422" s="18" t="s">
        <v>387</v>
      </c>
      <c r="J422" s="101">
        <v>24</v>
      </c>
      <c r="K422" s="20">
        <v>74.2</v>
      </c>
      <c r="L422" s="21">
        <v>132.9</v>
      </c>
      <c r="M422" s="22" t="s">
        <v>589</v>
      </c>
      <c r="N422" s="23">
        <v>18.331034482758621</v>
      </c>
      <c r="O422" s="24">
        <v>0.24704898224742075</v>
      </c>
      <c r="P422" s="25" t="str">
        <f>IF(P423="x","x","")</f>
        <v/>
      </c>
      <c r="Q422" s="25" t="str">
        <f>IF(Q423="x","x","")</f>
        <v/>
      </c>
      <c r="R422" s="25" t="str">
        <f>IF(R423="x","x","")</f>
        <v/>
      </c>
      <c r="S422" s="25" t="str">
        <f>IF(S423="x","x","")</f>
        <v/>
      </c>
      <c r="T422" s="25" t="s">
        <v>27</v>
      </c>
      <c r="U422" s="26"/>
      <c r="V422" s="27"/>
    </row>
    <row r="423" spans="1:22" ht="16.5" thickBot="1" x14ac:dyDescent="0.3">
      <c r="A423" s="28" t="str">
        <f>A422</f>
        <v>China</v>
      </c>
      <c r="B423" s="28" t="str">
        <f>B422</f>
        <v>East Asia and Pacific</v>
      </c>
      <c r="C423" s="28" t="str">
        <f>C422</f>
        <v>P068752</v>
      </c>
      <c r="D423" s="28" t="s">
        <v>26</v>
      </c>
      <c r="E423" s="28" t="s">
        <v>27</v>
      </c>
      <c r="F423" s="28" t="str">
        <f>F422</f>
        <v>P068752C2S1</v>
      </c>
      <c r="G423" s="28" t="s">
        <v>16</v>
      </c>
      <c r="H423" s="29" t="str">
        <f>H421&amp;" / "&amp;H422</f>
        <v>2005 / 2011</v>
      </c>
      <c r="I423" s="29" t="str">
        <f>I422</f>
        <v>Upgrading</v>
      </c>
      <c r="J423" s="97">
        <f>IFERROR(J422/J421,"")</f>
        <v>1</v>
      </c>
      <c r="K423" s="32">
        <f>K422/K421</f>
        <v>1.0524822695035461</v>
      </c>
      <c r="L423" s="32">
        <f>L422/L421</f>
        <v>1.2132554318057331</v>
      </c>
      <c r="M423" s="28"/>
      <c r="N423" s="32">
        <f>N422/N421</f>
        <v>1.3856213759105473</v>
      </c>
      <c r="O423" s="32">
        <f>O422/O421</f>
        <v>1.3165270485403446</v>
      </c>
      <c r="P423" s="33" t="str">
        <f>IF(K423&lt;50%,"x","")</f>
        <v/>
      </c>
      <c r="Q423" s="33" t="str">
        <f>IF(K423&gt;150%,"x","")</f>
        <v/>
      </c>
      <c r="R423" s="33" t="str">
        <f>IF(O423&lt;50%,"x","")</f>
        <v/>
      </c>
      <c r="S423" s="33" t="str">
        <f>IF(O423&gt;150%,"x","")</f>
        <v/>
      </c>
      <c r="T423" s="33" t="s">
        <v>27</v>
      </c>
      <c r="U423" s="34" t="s">
        <v>27</v>
      </c>
      <c r="V423" s="35" t="s">
        <v>27</v>
      </c>
    </row>
    <row r="424" spans="1:22" ht="16.5" thickTop="1" x14ac:dyDescent="0.25">
      <c r="A424" s="18" t="s">
        <v>81</v>
      </c>
      <c r="B424" s="18" t="s">
        <v>945</v>
      </c>
      <c r="C424" s="18" t="s">
        <v>584</v>
      </c>
      <c r="D424" s="18" t="s">
        <v>42</v>
      </c>
      <c r="E424" s="18" t="s">
        <v>40</v>
      </c>
      <c r="F424" s="18" t="s">
        <v>590</v>
      </c>
      <c r="G424" s="18" t="s">
        <v>29</v>
      </c>
      <c r="H424" s="19">
        <v>2005</v>
      </c>
      <c r="I424" s="18" t="s">
        <v>387</v>
      </c>
      <c r="J424" s="101">
        <v>18</v>
      </c>
      <c r="K424" s="20">
        <v>138</v>
      </c>
      <c r="L424" s="21">
        <v>134.94999999999999</v>
      </c>
      <c r="M424" s="22" t="s">
        <v>589</v>
      </c>
      <c r="N424" s="23">
        <v>16.29830917874396</v>
      </c>
      <c r="O424" s="24">
        <v>0.11810368970104319</v>
      </c>
      <c r="P424" s="25" t="str">
        <f>IF(P426="x","x","")</f>
        <v/>
      </c>
      <c r="Q424" s="25" t="str">
        <f>IF(Q426="x","x","")</f>
        <v/>
      </c>
      <c r="R424" s="25" t="str">
        <f>IF(R426="x","x","")</f>
        <v/>
      </c>
      <c r="S424" s="25" t="str">
        <f>IF(S426="x","x","")</f>
        <v/>
      </c>
      <c r="T424" s="25" t="s">
        <v>27</v>
      </c>
      <c r="U424" s="26"/>
      <c r="V424" s="27"/>
    </row>
    <row r="425" spans="1:22" x14ac:dyDescent="0.25">
      <c r="A425" s="18" t="s">
        <v>81</v>
      </c>
      <c r="B425" s="18" t="s">
        <v>945</v>
      </c>
      <c r="C425" s="18" t="s">
        <v>584</v>
      </c>
      <c r="D425" s="18" t="s">
        <v>42</v>
      </c>
      <c r="E425" s="18" t="s">
        <v>40</v>
      </c>
      <c r="F425" s="18" t="s">
        <v>590</v>
      </c>
      <c r="G425" s="18" t="s">
        <v>32</v>
      </c>
      <c r="H425" s="19">
        <v>2011</v>
      </c>
      <c r="I425" s="18" t="s">
        <v>387</v>
      </c>
      <c r="J425" s="101">
        <v>18</v>
      </c>
      <c r="K425" s="20">
        <v>135.9</v>
      </c>
      <c r="L425" s="21">
        <v>128.19999999999999</v>
      </c>
      <c r="M425" s="22" t="s">
        <v>589</v>
      </c>
      <c r="N425" s="23">
        <v>17.682758620689654</v>
      </c>
      <c r="O425" s="24">
        <v>0.13011595747380172</v>
      </c>
      <c r="P425" s="25" t="str">
        <f>IF(P426="x","x","")</f>
        <v/>
      </c>
      <c r="Q425" s="25" t="str">
        <f>IF(Q426="x","x","")</f>
        <v/>
      </c>
      <c r="R425" s="25" t="str">
        <f>IF(R426="x","x","")</f>
        <v/>
      </c>
      <c r="S425" s="25" t="str">
        <f>IF(S426="x","x","")</f>
        <v/>
      </c>
      <c r="T425" s="25" t="s">
        <v>27</v>
      </c>
      <c r="U425" s="26"/>
      <c r="V425" s="27"/>
    </row>
    <row r="426" spans="1:22" ht="16.5" thickBot="1" x14ac:dyDescent="0.3">
      <c r="A426" s="28" t="str">
        <f>A425</f>
        <v>China</v>
      </c>
      <c r="B426" s="28" t="str">
        <f>B425</f>
        <v>East Asia and Pacific</v>
      </c>
      <c r="C426" s="28" t="str">
        <f>C425</f>
        <v>P068752</v>
      </c>
      <c r="D426" s="28" t="s">
        <v>26</v>
      </c>
      <c r="E426" s="28" t="s">
        <v>27</v>
      </c>
      <c r="F426" s="28" t="str">
        <f>F425</f>
        <v>P068752C2S2</v>
      </c>
      <c r="G426" s="28" t="s">
        <v>16</v>
      </c>
      <c r="H426" s="29" t="str">
        <f>H424&amp;" / "&amp;H425</f>
        <v>2005 / 2011</v>
      </c>
      <c r="I426" s="29" t="str">
        <f>I425</f>
        <v>Upgrading</v>
      </c>
      <c r="J426" s="97">
        <f>IFERROR(J425/J424,"")</f>
        <v>1</v>
      </c>
      <c r="K426" s="32">
        <f>K425/K424</f>
        <v>0.98478260869565226</v>
      </c>
      <c r="L426" s="32">
        <f>L425/L424</f>
        <v>0.94998147462022975</v>
      </c>
      <c r="M426" s="28"/>
      <c r="N426" s="32">
        <f>N425/N424</f>
        <v>1.0849443599800692</v>
      </c>
      <c r="O426" s="32">
        <f>O425/O424</f>
        <v>1.1017095046155228</v>
      </c>
      <c r="P426" s="33" t="str">
        <f>IF(K426&lt;50%,"x","")</f>
        <v/>
      </c>
      <c r="Q426" s="33" t="str">
        <f>IF(K426&gt;150%,"x","")</f>
        <v/>
      </c>
      <c r="R426" s="33" t="str">
        <f>IF(O426&lt;50%,"x","")</f>
        <v/>
      </c>
      <c r="S426" s="33" t="str">
        <f>IF(O426&gt;150%,"x","")</f>
        <v/>
      </c>
      <c r="T426" s="33" t="s">
        <v>27</v>
      </c>
      <c r="U426" s="34" t="s">
        <v>27</v>
      </c>
      <c r="V426" s="35" t="s">
        <v>27</v>
      </c>
    </row>
    <row r="427" spans="1:22" ht="16.5" thickTop="1" x14ac:dyDescent="0.25">
      <c r="A427" s="18" t="s">
        <v>81</v>
      </c>
      <c r="B427" s="18" t="s">
        <v>945</v>
      </c>
      <c r="C427" s="18" t="s">
        <v>584</v>
      </c>
      <c r="D427" s="18" t="s">
        <v>42</v>
      </c>
      <c r="E427" s="18" t="s">
        <v>69</v>
      </c>
      <c r="F427" s="18" t="s">
        <v>591</v>
      </c>
      <c r="G427" s="18" t="s">
        <v>29</v>
      </c>
      <c r="H427" s="19">
        <v>2005</v>
      </c>
      <c r="I427" s="18" t="s">
        <v>387</v>
      </c>
      <c r="J427" s="101">
        <v>18</v>
      </c>
      <c r="K427" s="20">
        <v>103</v>
      </c>
      <c r="L427" s="21">
        <v>88.43</v>
      </c>
      <c r="M427" s="22" t="s">
        <v>589</v>
      </c>
      <c r="N427" s="23">
        <v>10.679951690821257</v>
      </c>
      <c r="O427" s="24">
        <v>0.10368885136719667</v>
      </c>
      <c r="P427" s="25" t="str">
        <f>IF(P429="x","x","")</f>
        <v/>
      </c>
      <c r="Q427" s="25" t="str">
        <f>IF(Q429="x","x","")</f>
        <v/>
      </c>
      <c r="R427" s="25" t="str">
        <f>IF(R429="x","x","")</f>
        <v/>
      </c>
      <c r="S427" s="25" t="str">
        <f>IF(S429="x","x","")</f>
        <v>x</v>
      </c>
      <c r="T427" s="25" t="s">
        <v>31</v>
      </c>
      <c r="U427" s="26"/>
      <c r="V427" s="27"/>
    </row>
    <row r="428" spans="1:22" x14ac:dyDescent="0.25">
      <c r="A428" s="18" t="s">
        <v>81</v>
      </c>
      <c r="B428" s="18" t="s">
        <v>945</v>
      </c>
      <c r="C428" s="18" t="s">
        <v>584</v>
      </c>
      <c r="D428" s="18" t="s">
        <v>42</v>
      </c>
      <c r="E428" s="18" t="s">
        <v>69</v>
      </c>
      <c r="F428" s="18" t="s">
        <v>591</v>
      </c>
      <c r="G428" s="18" t="s">
        <v>32</v>
      </c>
      <c r="H428" s="19">
        <v>2011</v>
      </c>
      <c r="I428" s="18" t="s">
        <v>387</v>
      </c>
      <c r="J428" s="101">
        <v>30</v>
      </c>
      <c r="K428" s="20">
        <v>118</v>
      </c>
      <c r="L428" s="21">
        <v>230.4</v>
      </c>
      <c r="M428" s="22" t="s">
        <v>589</v>
      </c>
      <c r="N428" s="23">
        <v>31.779310344827586</v>
      </c>
      <c r="O428" s="24">
        <v>0.26931618936294566</v>
      </c>
      <c r="P428" s="25" t="str">
        <f>IF(P429="x","x","")</f>
        <v/>
      </c>
      <c r="Q428" s="25" t="str">
        <f>IF(Q429="x","x","")</f>
        <v/>
      </c>
      <c r="R428" s="25" t="str">
        <f>IF(R429="x","x","")</f>
        <v/>
      </c>
      <c r="S428" s="25" t="str">
        <f>IF(S429="x","x","")</f>
        <v>x</v>
      </c>
      <c r="T428" s="25" t="s">
        <v>31</v>
      </c>
      <c r="U428" s="26"/>
      <c r="V428" s="27"/>
    </row>
    <row r="429" spans="1:22" ht="48" thickBot="1" x14ac:dyDescent="0.3">
      <c r="A429" s="28" t="str">
        <f>A428</f>
        <v>China</v>
      </c>
      <c r="B429" s="28" t="str">
        <f>B428</f>
        <v>East Asia and Pacific</v>
      </c>
      <c r="C429" s="28" t="str">
        <f>C428</f>
        <v>P068752</v>
      </c>
      <c r="D429" s="28" t="s">
        <v>26</v>
      </c>
      <c r="E429" s="28" t="s">
        <v>27</v>
      </c>
      <c r="F429" s="28" t="str">
        <f>F428</f>
        <v>P068752C2S3</v>
      </c>
      <c r="G429" s="28" t="s">
        <v>16</v>
      </c>
      <c r="H429" s="29" t="str">
        <f>H427&amp;" / "&amp;H428</f>
        <v>2005 / 2011</v>
      </c>
      <c r="I429" s="29" t="str">
        <f>I428</f>
        <v>Upgrading</v>
      </c>
      <c r="J429" s="97">
        <f>IFERROR(J428/J427,"")</f>
        <v>1.6666666666666667</v>
      </c>
      <c r="K429" s="32">
        <f>K428/K427</f>
        <v>1.145631067961165</v>
      </c>
      <c r="L429" s="32">
        <f>L428/L427</f>
        <v>2.605450638923442</v>
      </c>
      <c r="M429" s="28"/>
      <c r="N429" s="32">
        <f>N428/N427</f>
        <v>2.9756043159015308</v>
      </c>
      <c r="O429" s="32">
        <f>O428/O427</f>
        <v>2.597349529981845</v>
      </c>
      <c r="P429" s="33" t="str">
        <f>IF(K429&lt;50%,"x","")</f>
        <v/>
      </c>
      <c r="Q429" s="33" t="str">
        <f>IF(K429&gt;150%,"x","")</f>
        <v/>
      </c>
      <c r="R429" s="33" t="str">
        <f>IF(O429&lt;50%,"x","")</f>
        <v/>
      </c>
      <c r="S429" s="33" t="str">
        <f>IF(O429&gt;150%,"x","")</f>
        <v>x</v>
      </c>
      <c r="T429" s="33" t="s">
        <v>31</v>
      </c>
      <c r="U429" s="34" t="s">
        <v>1013</v>
      </c>
      <c r="V429" s="35" t="s">
        <v>1014</v>
      </c>
    </row>
    <row r="430" spans="1:22" ht="16.5" thickTop="1" x14ac:dyDescent="0.25">
      <c r="A430" s="18" t="s">
        <v>81</v>
      </c>
      <c r="B430" s="18" t="s">
        <v>945</v>
      </c>
      <c r="C430" s="18" t="s">
        <v>584</v>
      </c>
      <c r="D430" s="18" t="s">
        <v>42</v>
      </c>
      <c r="E430" s="18" t="s">
        <v>71</v>
      </c>
      <c r="F430" s="18" t="s">
        <v>592</v>
      </c>
      <c r="G430" s="18" t="s">
        <v>29</v>
      </c>
      <c r="H430" s="19">
        <v>2005</v>
      </c>
      <c r="I430" s="18" t="s">
        <v>387</v>
      </c>
      <c r="J430" s="101">
        <v>18</v>
      </c>
      <c r="K430" s="20">
        <v>82.5</v>
      </c>
      <c r="L430" s="21">
        <v>44.01</v>
      </c>
      <c r="M430" s="22" t="s">
        <v>589</v>
      </c>
      <c r="N430" s="23">
        <v>5.3152173913043477</v>
      </c>
      <c r="O430" s="24">
        <v>6.4426877470355734E-2</v>
      </c>
      <c r="P430" s="25" t="str">
        <f>IF(P432="x","x","")</f>
        <v/>
      </c>
      <c r="Q430" s="25" t="str">
        <f>IF(Q432="x","x","")</f>
        <v/>
      </c>
      <c r="R430" s="25" t="str">
        <f>IF(R432="x","x","")</f>
        <v/>
      </c>
      <c r="S430" s="25" t="str">
        <f>IF(S432="x","x","")</f>
        <v>x</v>
      </c>
      <c r="T430" s="25" t="s">
        <v>31</v>
      </c>
      <c r="U430" s="26"/>
      <c r="V430" s="27"/>
    </row>
    <row r="431" spans="1:22" x14ac:dyDescent="0.25">
      <c r="A431" s="18" t="s">
        <v>81</v>
      </c>
      <c r="B431" s="18" t="s">
        <v>945</v>
      </c>
      <c r="C431" s="18" t="s">
        <v>584</v>
      </c>
      <c r="D431" s="18" t="s">
        <v>42</v>
      </c>
      <c r="E431" s="18" t="s">
        <v>71</v>
      </c>
      <c r="F431" s="18" t="s">
        <v>592</v>
      </c>
      <c r="G431" s="18" t="s">
        <v>32</v>
      </c>
      <c r="H431" s="19">
        <v>2011</v>
      </c>
      <c r="I431" s="18" t="s">
        <v>387</v>
      </c>
      <c r="J431" s="101">
        <v>18</v>
      </c>
      <c r="K431" s="20">
        <v>81.7</v>
      </c>
      <c r="L431" s="21">
        <v>69.8</v>
      </c>
      <c r="M431" s="22" t="s">
        <v>589</v>
      </c>
      <c r="N431" s="23">
        <v>9.6275862068965505</v>
      </c>
      <c r="O431" s="24">
        <v>0.11784071244671421</v>
      </c>
      <c r="P431" s="25" t="str">
        <f>IF(P432="x","x","")</f>
        <v/>
      </c>
      <c r="Q431" s="25" t="str">
        <f>IF(Q432="x","x","")</f>
        <v/>
      </c>
      <c r="R431" s="25" t="str">
        <f>IF(R432="x","x","")</f>
        <v/>
      </c>
      <c r="S431" s="25" t="str">
        <f>IF(S432="x","x","")</f>
        <v>x</v>
      </c>
      <c r="T431" s="25" t="s">
        <v>31</v>
      </c>
      <c r="U431" s="26"/>
      <c r="V431" s="27"/>
    </row>
    <row r="432" spans="1:22" ht="48" thickBot="1" x14ac:dyDescent="0.3">
      <c r="A432" s="28" t="str">
        <f>A431</f>
        <v>China</v>
      </c>
      <c r="B432" s="28" t="str">
        <f>B431</f>
        <v>East Asia and Pacific</v>
      </c>
      <c r="C432" s="28" t="str">
        <f>C431</f>
        <v>P068752</v>
      </c>
      <c r="D432" s="28" t="s">
        <v>26</v>
      </c>
      <c r="E432" s="28" t="s">
        <v>27</v>
      </c>
      <c r="F432" s="28" t="str">
        <f>F431</f>
        <v>P068752C2S4</v>
      </c>
      <c r="G432" s="28" t="s">
        <v>16</v>
      </c>
      <c r="H432" s="29" t="str">
        <f>H430&amp;" / "&amp;H431</f>
        <v>2005 / 2011</v>
      </c>
      <c r="I432" s="29" t="str">
        <f>I431</f>
        <v>Upgrading</v>
      </c>
      <c r="J432" s="97">
        <f>IFERROR(J431/J430,"")</f>
        <v>1</v>
      </c>
      <c r="K432" s="32">
        <f>K431/K430</f>
        <v>0.99030303030303035</v>
      </c>
      <c r="L432" s="32">
        <f>L431/L430</f>
        <v>1.5860031810952055</v>
      </c>
      <c r="M432" s="28"/>
      <c r="N432" s="32">
        <f>N431/N430</f>
        <v>1.8113250123404554</v>
      </c>
      <c r="O432" s="32">
        <f>O431/O430</f>
        <v>1.8290613649704719</v>
      </c>
      <c r="P432" s="33" t="str">
        <f>IF(K432&lt;50%,"x","")</f>
        <v/>
      </c>
      <c r="Q432" s="33" t="str">
        <f>IF(K432&gt;150%,"x","")</f>
        <v/>
      </c>
      <c r="R432" s="33" t="str">
        <f>IF(O432&lt;50%,"x","")</f>
        <v/>
      </c>
      <c r="S432" s="33" t="str">
        <f>IF(O432&gt;150%,"x","")</f>
        <v>x</v>
      </c>
      <c r="T432" s="33" t="s">
        <v>31</v>
      </c>
      <c r="U432" s="34" t="s">
        <v>1013</v>
      </c>
      <c r="V432" s="35" t="s">
        <v>1014</v>
      </c>
    </row>
    <row r="433" spans="1:22" ht="16.5" thickTop="1" x14ac:dyDescent="0.25">
      <c r="A433" s="18" t="s">
        <v>81</v>
      </c>
      <c r="B433" s="18" t="s">
        <v>945</v>
      </c>
      <c r="C433" s="18" t="s">
        <v>584</v>
      </c>
      <c r="D433" s="18" t="s">
        <v>42</v>
      </c>
      <c r="E433" s="18" t="s">
        <v>141</v>
      </c>
      <c r="F433" s="18" t="s">
        <v>593</v>
      </c>
      <c r="G433" s="18" t="s">
        <v>29</v>
      </c>
      <c r="H433" s="19">
        <v>2005</v>
      </c>
      <c r="I433" s="18" t="s">
        <v>387</v>
      </c>
      <c r="J433" s="101">
        <v>12</v>
      </c>
      <c r="K433" s="20">
        <v>19.3</v>
      </c>
      <c r="L433" s="21">
        <v>16.43</v>
      </c>
      <c r="M433" s="22" t="s">
        <v>589</v>
      </c>
      <c r="N433" s="23">
        <v>1.9842995169082127</v>
      </c>
      <c r="O433" s="24">
        <v>0.10281344647192811</v>
      </c>
      <c r="P433" s="25" t="str">
        <f>IF(P435="x","x","")</f>
        <v/>
      </c>
      <c r="Q433" s="25" t="str">
        <f>IF(Q435="x","x","")</f>
        <v/>
      </c>
      <c r="R433" s="25" t="str">
        <f>IF(R435="x","x","")</f>
        <v/>
      </c>
      <c r="S433" s="25" t="str">
        <f>IF(S435="x","x","")</f>
        <v/>
      </c>
      <c r="T433" s="25" t="s">
        <v>27</v>
      </c>
      <c r="U433" s="26"/>
      <c r="V433" s="27"/>
    </row>
    <row r="434" spans="1:22" x14ac:dyDescent="0.25">
      <c r="A434" s="18" t="s">
        <v>81</v>
      </c>
      <c r="B434" s="18" t="s">
        <v>945</v>
      </c>
      <c r="C434" s="18" t="s">
        <v>584</v>
      </c>
      <c r="D434" s="18" t="s">
        <v>42</v>
      </c>
      <c r="E434" s="18" t="s">
        <v>141</v>
      </c>
      <c r="F434" s="18" t="s">
        <v>593</v>
      </c>
      <c r="G434" s="18" t="s">
        <v>32</v>
      </c>
      <c r="H434" s="19">
        <v>2011</v>
      </c>
      <c r="I434" s="18" t="s">
        <v>387</v>
      </c>
      <c r="J434" s="101">
        <v>12</v>
      </c>
      <c r="K434" s="20">
        <v>21.5</v>
      </c>
      <c r="L434" s="21">
        <v>16.899999999999999</v>
      </c>
      <c r="M434" s="22" t="s">
        <v>589</v>
      </c>
      <c r="N434" s="23">
        <v>2.3310344827586205</v>
      </c>
      <c r="O434" s="24">
        <v>0.10842020850040095</v>
      </c>
      <c r="P434" s="25" t="str">
        <f>IF(P435="x","x","")</f>
        <v/>
      </c>
      <c r="Q434" s="25" t="str">
        <f>IF(Q435="x","x","")</f>
        <v/>
      </c>
      <c r="R434" s="25" t="str">
        <f>IF(R435="x","x","")</f>
        <v/>
      </c>
      <c r="S434" s="25" t="str">
        <f>IF(S435="x","x","")</f>
        <v/>
      </c>
      <c r="T434" s="25" t="s">
        <v>27</v>
      </c>
      <c r="U434" s="26"/>
      <c r="V434" s="27"/>
    </row>
    <row r="435" spans="1:22" ht="16.5" thickBot="1" x14ac:dyDescent="0.3">
      <c r="A435" s="28" t="str">
        <f>A434</f>
        <v>China</v>
      </c>
      <c r="B435" s="28" t="str">
        <f>B434</f>
        <v>East Asia and Pacific</v>
      </c>
      <c r="C435" s="28" t="str">
        <f>C434</f>
        <v>P068752</v>
      </c>
      <c r="D435" s="28" t="s">
        <v>26</v>
      </c>
      <c r="E435" s="28" t="s">
        <v>27</v>
      </c>
      <c r="F435" s="28" t="str">
        <f>F434</f>
        <v>P068752C2S5</v>
      </c>
      <c r="G435" s="28" t="s">
        <v>16</v>
      </c>
      <c r="H435" s="29" t="str">
        <f>H433&amp;" / "&amp;H434</f>
        <v>2005 / 2011</v>
      </c>
      <c r="I435" s="29" t="str">
        <f>I434</f>
        <v>Upgrading</v>
      </c>
      <c r="J435" s="97">
        <f>IFERROR(J434/J433,"")</f>
        <v>1</v>
      </c>
      <c r="K435" s="32">
        <f>K434/K433</f>
        <v>1.1139896373056994</v>
      </c>
      <c r="L435" s="32">
        <f>L434/L433</f>
        <v>1.0286062081558125</v>
      </c>
      <c r="M435" s="28"/>
      <c r="N435" s="32">
        <f>N434/N433</f>
        <v>1.1747392280731208</v>
      </c>
      <c r="O435" s="32">
        <f>O434/O433</f>
        <v>1.0545333535726156</v>
      </c>
      <c r="P435" s="33" t="str">
        <f>IF(K435&lt;50%,"x","")</f>
        <v/>
      </c>
      <c r="Q435" s="33" t="str">
        <f>IF(K435&gt;150%,"x","")</f>
        <v/>
      </c>
      <c r="R435" s="33" t="str">
        <f>IF(O435&lt;50%,"x","")</f>
        <v/>
      </c>
      <c r="S435" s="33" t="str">
        <f>IF(O435&gt;150%,"x","")</f>
        <v/>
      </c>
      <c r="T435" s="33" t="s">
        <v>27</v>
      </c>
      <c r="U435" s="34" t="s">
        <v>27</v>
      </c>
      <c r="V435" s="35" t="s">
        <v>27</v>
      </c>
    </row>
    <row r="436" spans="1:22" ht="16.5" thickTop="1" x14ac:dyDescent="0.25">
      <c r="A436" s="18" t="s">
        <v>81</v>
      </c>
      <c r="B436" s="18" t="s">
        <v>945</v>
      </c>
      <c r="C436" s="18" t="s">
        <v>598</v>
      </c>
      <c r="D436" s="18" t="s">
        <v>42</v>
      </c>
      <c r="E436" s="18" t="s">
        <v>27</v>
      </c>
      <c r="F436" s="18" t="s">
        <v>599</v>
      </c>
      <c r="G436" s="18" t="s">
        <v>29</v>
      </c>
      <c r="H436" s="19">
        <v>2004</v>
      </c>
      <c r="I436" s="18" t="s">
        <v>359</v>
      </c>
      <c r="J436" s="101" t="s">
        <v>27</v>
      </c>
      <c r="K436" s="20">
        <v>74.330000000000013</v>
      </c>
      <c r="L436" s="21">
        <v>36.200000000000003</v>
      </c>
      <c r="M436" s="22" t="s">
        <v>30</v>
      </c>
      <c r="N436" s="23">
        <v>36.200000000000003</v>
      </c>
      <c r="O436" s="24">
        <v>0.48701735503834248</v>
      </c>
      <c r="P436" s="25" t="str">
        <f>IF(P438="x","x","")</f>
        <v/>
      </c>
      <c r="Q436" s="25" t="str">
        <f>IF(Q438="x","x","")</f>
        <v/>
      </c>
      <c r="R436" s="25" t="str">
        <f>IF(R438="x","x","")</f>
        <v/>
      </c>
      <c r="S436" s="25" t="str">
        <f>IF(S438="x","x","")</f>
        <v/>
      </c>
      <c r="T436" s="25" t="s">
        <v>27</v>
      </c>
      <c r="U436" s="26"/>
      <c r="V436" s="27"/>
    </row>
    <row r="437" spans="1:22" x14ac:dyDescent="0.25">
      <c r="A437" s="18" t="s">
        <v>81</v>
      </c>
      <c r="B437" s="18" t="s">
        <v>945</v>
      </c>
      <c r="C437" s="18" t="s">
        <v>598</v>
      </c>
      <c r="D437" s="18" t="s">
        <v>42</v>
      </c>
      <c r="E437" s="18" t="s">
        <v>27</v>
      </c>
      <c r="F437" s="18" t="s">
        <v>599</v>
      </c>
      <c r="G437" s="18" t="s">
        <v>32</v>
      </c>
      <c r="H437" s="19">
        <v>2010</v>
      </c>
      <c r="I437" s="18" t="s">
        <v>359</v>
      </c>
      <c r="J437" s="101" t="s">
        <v>27</v>
      </c>
      <c r="K437" s="20">
        <v>70.830000000000013</v>
      </c>
      <c r="L437" s="21">
        <v>51.71</v>
      </c>
      <c r="M437" s="22" t="s">
        <v>30</v>
      </c>
      <c r="N437" s="23">
        <v>51.71</v>
      </c>
      <c r="O437" s="24">
        <v>0.73005788507694469</v>
      </c>
      <c r="P437" s="25" t="str">
        <f>IF(P438="x","x","")</f>
        <v/>
      </c>
      <c r="Q437" s="25" t="str">
        <f>IF(Q438="x","x","")</f>
        <v/>
      </c>
      <c r="R437" s="25" t="str">
        <f>IF(R438="x","x","")</f>
        <v/>
      </c>
      <c r="S437" s="25" t="str">
        <f>IF(S438="x","x","")</f>
        <v/>
      </c>
      <c r="T437" s="25" t="s">
        <v>27</v>
      </c>
      <c r="U437" s="26"/>
      <c r="V437" s="27"/>
    </row>
    <row r="438" spans="1:22" ht="16.5" thickBot="1" x14ac:dyDescent="0.3">
      <c r="A438" s="28" t="str">
        <f>A437</f>
        <v>China</v>
      </c>
      <c r="B438" s="28" t="str">
        <f>B437</f>
        <v>East Asia and Pacific</v>
      </c>
      <c r="C438" s="28" t="str">
        <f>C437</f>
        <v>P069852</v>
      </c>
      <c r="D438" s="28" t="s">
        <v>26</v>
      </c>
      <c r="E438" s="28" t="s">
        <v>27</v>
      </c>
      <c r="F438" s="28" t="str">
        <f>F437</f>
        <v>P069852C2</v>
      </c>
      <c r="G438" s="28" t="s">
        <v>16</v>
      </c>
      <c r="H438" s="29" t="str">
        <f>H436&amp;" / "&amp;H437</f>
        <v>2004 / 2010</v>
      </c>
      <c r="I438" s="29" t="str">
        <f>I437</f>
        <v>Reconstruction</v>
      </c>
      <c r="J438" s="97" t="str">
        <f>IFERROR(J437/J436,"")</f>
        <v/>
      </c>
      <c r="K438" s="32">
        <f>K437/K436</f>
        <v>0.95291268666756357</v>
      </c>
      <c r="L438" s="32">
        <f>L437/L436</f>
        <v>1.4284530386740331</v>
      </c>
      <c r="M438" s="28"/>
      <c r="N438" s="32">
        <f>N437/N436</f>
        <v>1.4284530386740331</v>
      </c>
      <c r="O438" s="32">
        <f>O437/O436</f>
        <v>1.4990387457947321</v>
      </c>
      <c r="P438" s="33" t="str">
        <f>IF(K438&lt;50%,"x","")</f>
        <v/>
      </c>
      <c r="Q438" s="33" t="str">
        <f>IF(K438&gt;150%,"x","")</f>
        <v/>
      </c>
      <c r="R438" s="33" t="str">
        <f>IF(O438&lt;50%,"x","")</f>
        <v/>
      </c>
      <c r="S438" s="33" t="str">
        <f>IF(O438&gt;150%,"x","")</f>
        <v/>
      </c>
      <c r="T438" s="33" t="s">
        <v>27</v>
      </c>
      <c r="U438" s="34" t="s">
        <v>27</v>
      </c>
      <c r="V438" s="35" t="s">
        <v>27</v>
      </c>
    </row>
    <row r="439" spans="1:22" ht="16.5" thickTop="1" x14ac:dyDescent="0.25">
      <c r="A439" s="18" t="s">
        <v>81</v>
      </c>
      <c r="B439" s="18" t="s">
        <v>945</v>
      </c>
      <c r="C439" s="18" t="s">
        <v>618</v>
      </c>
      <c r="D439" s="18" t="s">
        <v>26</v>
      </c>
      <c r="E439" s="18" t="s">
        <v>27</v>
      </c>
      <c r="F439" s="18" t="s">
        <v>619</v>
      </c>
      <c r="G439" s="18" t="s">
        <v>29</v>
      </c>
      <c r="H439" s="19">
        <v>2002</v>
      </c>
      <c r="I439" s="18" t="s">
        <v>111</v>
      </c>
      <c r="J439" s="101">
        <v>66</v>
      </c>
      <c r="K439" s="20">
        <v>243.5</v>
      </c>
      <c r="L439" s="21">
        <v>505.6</v>
      </c>
      <c r="M439" s="22" t="s">
        <v>30</v>
      </c>
      <c r="N439" s="23">
        <v>505.6</v>
      </c>
      <c r="O439" s="24">
        <v>2.0763860369609857</v>
      </c>
      <c r="P439" s="25" t="str">
        <f>IF(P441="x","x","")</f>
        <v/>
      </c>
      <c r="Q439" s="25" t="str">
        <f>IF(Q441="x","x","")</f>
        <v/>
      </c>
      <c r="R439" s="25" t="str">
        <f>IF(R441="x","x","")</f>
        <v/>
      </c>
      <c r="S439" s="25" t="str">
        <f>IF(S441="x","x","")</f>
        <v>x</v>
      </c>
      <c r="T439" s="25" t="s">
        <v>31</v>
      </c>
      <c r="U439" s="26"/>
      <c r="V439" s="27"/>
    </row>
    <row r="440" spans="1:22" x14ac:dyDescent="0.25">
      <c r="A440" s="18" t="s">
        <v>81</v>
      </c>
      <c r="B440" s="18" t="s">
        <v>945</v>
      </c>
      <c r="C440" s="18" t="s">
        <v>618</v>
      </c>
      <c r="D440" s="18" t="s">
        <v>26</v>
      </c>
      <c r="E440" s="18" t="s">
        <v>27</v>
      </c>
      <c r="F440" s="18" t="s">
        <v>619</v>
      </c>
      <c r="G440" s="18" t="s">
        <v>32</v>
      </c>
      <c r="H440" s="19">
        <v>2008</v>
      </c>
      <c r="I440" s="18" t="s">
        <v>111</v>
      </c>
      <c r="J440" s="101">
        <v>66</v>
      </c>
      <c r="K440" s="20">
        <v>243.5</v>
      </c>
      <c r="L440" s="21">
        <v>802.61</v>
      </c>
      <c r="M440" s="22" t="s">
        <v>30</v>
      </c>
      <c r="N440" s="23">
        <v>802.61</v>
      </c>
      <c r="O440" s="24">
        <v>3.2961396303901438</v>
      </c>
      <c r="P440" s="25" t="str">
        <f>IF(P441="x","x","")</f>
        <v/>
      </c>
      <c r="Q440" s="25" t="str">
        <f>IF(Q441="x","x","")</f>
        <v/>
      </c>
      <c r="R440" s="25" t="str">
        <f>IF(R441="x","x","")</f>
        <v/>
      </c>
      <c r="S440" s="25" t="str">
        <f>IF(S441="x","x","")</f>
        <v>x</v>
      </c>
      <c r="T440" s="25" t="s">
        <v>31</v>
      </c>
      <c r="U440" s="26"/>
      <c r="V440" s="27"/>
    </row>
    <row r="441" spans="1:22" ht="95.25" thickBot="1" x14ac:dyDescent="0.3">
      <c r="A441" s="28" t="str">
        <f>A440</f>
        <v>China</v>
      </c>
      <c r="B441" s="28" t="str">
        <f>B440</f>
        <v>East Asia and Pacific</v>
      </c>
      <c r="C441" s="28" t="str">
        <f>C440</f>
        <v>P070441</v>
      </c>
      <c r="D441" s="28" t="s">
        <v>26</v>
      </c>
      <c r="E441" s="28" t="s">
        <v>27</v>
      </c>
      <c r="F441" s="28" t="str">
        <f>F440</f>
        <v>P070441C1</v>
      </c>
      <c r="G441" s="28" t="s">
        <v>16</v>
      </c>
      <c r="H441" s="29" t="str">
        <f>H439&amp;" / "&amp;H440</f>
        <v>2002 / 2008</v>
      </c>
      <c r="I441" s="29" t="str">
        <f>I440</f>
        <v>New 4L Expressway</v>
      </c>
      <c r="J441" s="97">
        <f>IFERROR(J440/J439,"")</f>
        <v>1</v>
      </c>
      <c r="K441" s="32">
        <f>K440/K439</f>
        <v>1</v>
      </c>
      <c r="L441" s="32">
        <f>L440/L439</f>
        <v>1.5874406645569621</v>
      </c>
      <c r="M441" s="28"/>
      <c r="N441" s="32">
        <f>N440/N439</f>
        <v>1.5874406645569621</v>
      </c>
      <c r="O441" s="32">
        <f>O440/O439</f>
        <v>1.5874406645569621</v>
      </c>
      <c r="P441" s="33" t="str">
        <f>IF(K441&lt;50%,"x","")</f>
        <v/>
      </c>
      <c r="Q441" s="33" t="str">
        <f>IF(K441&gt;150%,"x","")</f>
        <v/>
      </c>
      <c r="R441" s="33" t="str">
        <f>IF(O441&lt;50%,"x","")</f>
        <v/>
      </c>
      <c r="S441" s="33" t="str">
        <f>IF(O441&gt;150%,"x","")</f>
        <v>x</v>
      </c>
      <c r="T441" s="33" t="s">
        <v>31</v>
      </c>
      <c r="U441" s="34" t="s">
        <v>1022</v>
      </c>
      <c r="V441" s="35" t="s">
        <v>1023</v>
      </c>
    </row>
    <row r="442" spans="1:22" ht="16.5" thickTop="1" x14ac:dyDescent="0.25">
      <c r="A442" s="18" t="s">
        <v>81</v>
      </c>
      <c r="B442" s="18" t="s">
        <v>945</v>
      </c>
      <c r="C442" s="18" t="s">
        <v>618</v>
      </c>
      <c r="D442" s="18" t="s">
        <v>42</v>
      </c>
      <c r="E442" s="18" t="s">
        <v>27</v>
      </c>
      <c r="F442" s="18" t="s">
        <v>621</v>
      </c>
      <c r="G442" s="18" t="s">
        <v>29</v>
      </c>
      <c r="H442" s="19">
        <v>2002</v>
      </c>
      <c r="I442" s="18" t="s">
        <v>387</v>
      </c>
      <c r="J442" s="101" t="s">
        <v>27</v>
      </c>
      <c r="K442" s="20">
        <v>259</v>
      </c>
      <c r="L442" s="21">
        <v>66.2</v>
      </c>
      <c r="M442" s="22" t="s">
        <v>30</v>
      </c>
      <c r="N442" s="23">
        <v>66.2</v>
      </c>
      <c r="O442" s="24">
        <v>0.25559845559845562</v>
      </c>
      <c r="P442" s="25" t="str">
        <f>IF(P444="x","x","")</f>
        <v/>
      </c>
      <c r="Q442" s="25" t="str">
        <f>IF(Q444="x","x","")</f>
        <v/>
      </c>
      <c r="R442" s="25" t="str">
        <f>IF(R444="x","x","")</f>
        <v/>
      </c>
      <c r="S442" s="25" t="str">
        <f>IF(S444="x","x","")</f>
        <v/>
      </c>
      <c r="T442" s="25" t="s">
        <v>27</v>
      </c>
      <c r="U442" s="26"/>
      <c r="V442" s="27"/>
    </row>
    <row r="443" spans="1:22" x14ac:dyDescent="0.25">
      <c r="A443" s="18" t="s">
        <v>81</v>
      </c>
      <c r="B443" s="18" t="s">
        <v>945</v>
      </c>
      <c r="C443" s="18" t="s">
        <v>618</v>
      </c>
      <c r="D443" s="18" t="s">
        <v>42</v>
      </c>
      <c r="E443" s="18" t="s">
        <v>27</v>
      </c>
      <c r="F443" s="18" t="s">
        <v>621</v>
      </c>
      <c r="G443" s="18" t="s">
        <v>32</v>
      </c>
      <c r="H443" s="19">
        <v>2008</v>
      </c>
      <c r="I443" s="18" t="s">
        <v>387</v>
      </c>
      <c r="J443" s="101" t="s">
        <v>27</v>
      </c>
      <c r="K443" s="20">
        <v>259</v>
      </c>
      <c r="L443" s="21">
        <v>42</v>
      </c>
      <c r="M443" s="22" t="s">
        <v>30</v>
      </c>
      <c r="N443" s="23">
        <v>42</v>
      </c>
      <c r="O443" s="24">
        <v>0.16216216216216217</v>
      </c>
      <c r="P443" s="25" t="str">
        <f>IF(P444="x","x","")</f>
        <v/>
      </c>
      <c r="Q443" s="25" t="str">
        <f>IF(Q444="x","x","")</f>
        <v/>
      </c>
      <c r="R443" s="25" t="str">
        <f>IF(R444="x","x","")</f>
        <v/>
      </c>
      <c r="S443" s="25" t="str">
        <f>IF(S444="x","x","")</f>
        <v/>
      </c>
      <c r="T443" s="25" t="s">
        <v>27</v>
      </c>
      <c r="U443" s="26"/>
      <c r="V443" s="27"/>
    </row>
    <row r="444" spans="1:22" ht="16.5" thickBot="1" x14ac:dyDescent="0.3">
      <c r="A444" s="28" t="str">
        <f>A443</f>
        <v>China</v>
      </c>
      <c r="B444" s="28" t="str">
        <f>B443</f>
        <v>East Asia and Pacific</v>
      </c>
      <c r="C444" s="28" t="str">
        <f>C443</f>
        <v>P070441</v>
      </c>
      <c r="D444" s="28" t="s">
        <v>26</v>
      </c>
      <c r="E444" s="28" t="s">
        <v>27</v>
      </c>
      <c r="F444" s="28" t="str">
        <f>F443</f>
        <v>P070441C2</v>
      </c>
      <c r="G444" s="28" t="s">
        <v>16</v>
      </c>
      <c r="H444" s="29" t="str">
        <f>H442&amp;" / "&amp;H443</f>
        <v>2002 / 2008</v>
      </c>
      <c r="I444" s="29" t="str">
        <f>I443</f>
        <v>Upgrading</v>
      </c>
      <c r="J444" s="97" t="str">
        <f>IFERROR(J443/J442,"")</f>
        <v/>
      </c>
      <c r="K444" s="32">
        <f>K443/K442</f>
        <v>1</v>
      </c>
      <c r="L444" s="32">
        <f>L443/L442</f>
        <v>0.63444108761329299</v>
      </c>
      <c r="M444" s="28"/>
      <c r="N444" s="32">
        <f>N443/N442</f>
        <v>0.63444108761329299</v>
      </c>
      <c r="O444" s="32">
        <f>O443/O442</f>
        <v>0.63444108761329299</v>
      </c>
      <c r="P444" s="33" t="str">
        <f>IF(K444&lt;50%,"x","")</f>
        <v/>
      </c>
      <c r="Q444" s="33" t="str">
        <f>IF(K444&gt;150%,"x","")</f>
        <v/>
      </c>
      <c r="R444" s="33" t="str">
        <f>IF(O444&lt;50%,"x","")</f>
        <v/>
      </c>
      <c r="S444" s="33" t="str">
        <f>IF(O444&gt;150%,"x","")</f>
        <v/>
      </c>
      <c r="T444" s="33" t="s">
        <v>27</v>
      </c>
      <c r="U444" s="34" t="s">
        <v>27</v>
      </c>
      <c r="V444" s="35" t="s">
        <v>27</v>
      </c>
    </row>
    <row r="445" spans="1:22" ht="16.5" thickTop="1" x14ac:dyDescent="0.25">
      <c r="A445" s="18" t="s">
        <v>81</v>
      </c>
      <c r="B445" s="18" t="s">
        <v>945</v>
      </c>
      <c r="C445" s="18" t="s">
        <v>622</v>
      </c>
      <c r="D445" s="18" t="s">
        <v>26</v>
      </c>
      <c r="E445" s="18" t="s">
        <v>27</v>
      </c>
      <c r="F445" s="18" t="s">
        <v>623</v>
      </c>
      <c r="G445" s="18" t="s">
        <v>29</v>
      </c>
      <c r="H445" s="19">
        <v>2002</v>
      </c>
      <c r="I445" s="18" t="s">
        <v>111</v>
      </c>
      <c r="J445" s="101" t="s">
        <v>27</v>
      </c>
      <c r="K445" s="20">
        <v>90</v>
      </c>
      <c r="L445" s="21">
        <v>185.79</v>
      </c>
      <c r="M445" s="22" t="s">
        <v>30</v>
      </c>
      <c r="N445" s="23">
        <v>185.79</v>
      </c>
      <c r="O445" s="24">
        <v>2.0643333333333334</v>
      </c>
      <c r="P445" s="25" t="str">
        <f>IF(P447="x","x","")</f>
        <v/>
      </c>
      <c r="Q445" s="25" t="str">
        <f>IF(Q447="x","x","")</f>
        <v/>
      </c>
      <c r="R445" s="25" t="str">
        <f>IF(R447="x","x","")</f>
        <v/>
      </c>
      <c r="S445" s="25" t="str">
        <f>IF(S447="x","x","")</f>
        <v/>
      </c>
      <c r="T445" s="25" t="s">
        <v>27</v>
      </c>
      <c r="U445" s="26"/>
      <c r="V445" s="27"/>
    </row>
    <row r="446" spans="1:22" x14ac:dyDescent="0.25">
      <c r="A446" s="18" t="s">
        <v>81</v>
      </c>
      <c r="B446" s="18" t="s">
        <v>945</v>
      </c>
      <c r="C446" s="18" t="s">
        <v>622</v>
      </c>
      <c r="D446" s="18" t="s">
        <v>26</v>
      </c>
      <c r="E446" s="18" t="s">
        <v>27</v>
      </c>
      <c r="F446" s="18" t="s">
        <v>623</v>
      </c>
      <c r="G446" s="18" t="s">
        <v>32</v>
      </c>
      <c r="H446" s="19">
        <v>2008</v>
      </c>
      <c r="I446" s="18" t="s">
        <v>111</v>
      </c>
      <c r="J446" s="101" t="s">
        <v>27</v>
      </c>
      <c r="K446" s="20">
        <v>90</v>
      </c>
      <c r="L446" s="21">
        <v>169.05</v>
      </c>
      <c r="M446" s="22" t="s">
        <v>30</v>
      </c>
      <c r="N446" s="23">
        <v>169.05</v>
      </c>
      <c r="O446" s="24">
        <v>1.8783333333333334</v>
      </c>
      <c r="P446" s="25" t="str">
        <f>IF(P447="x","x","")</f>
        <v/>
      </c>
      <c r="Q446" s="25" t="str">
        <f>IF(Q447="x","x","")</f>
        <v/>
      </c>
      <c r="R446" s="25" t="str">
        <f>IF(R447="x","x","")</f>
        <v/>
      </c>
      <c r="S446" s="25" t="str">
        <f>IF(S447="x","x","")</f>
        <v/>
      </c>
      <c r="T446" s="25" t="s">
        <v>27</v>
      </c>
      <c r="U446" s="26"/>
      <c r="V446" s="27"/>
    </row>
    <row r="447" spans="1:22" ht="16.5" thickBot="1" x14ac:dyDescent="0.3">
      <c r="A447" s="28" t="str">
        <f>A446</f>
        <v>China</v>
      </c>
      <c r="B447" s="28" t="str">
        <f>B446</f>
        <v>East Asia and Pacific</v>
      </c>
      <c r="C447" s="28" t="str">
        <f>C446</f>
        <v>P070459</v>
      </c>
      <c r="D447" s="28" t="s">
        <v>26</v>
      </c>
      <c r="E447" s="28" t="s">
        <v>27</v>
      </c>
      <c r="F447" s="28" t="str">
        <f>F446</f>
        <v>P070459C1</v>
      </c>
      <c r="G447" s="28" t="s">
        <v>16</v>
      </c>
      <c r="H447" s="29" t="str">
        <f>H445&amp;" / "&amp;H446</f>
        <v>2002 / 2008</v>
      </c>
      <c r="I447" s="29" t="str">
        <f>I446</f>
        <v>New 4L Expressway</v>
      </c>
      <c r="J447" s="97" t="str">
        <f>IFERROR(J446/J445,"")</f>
        <v/>
      </c>
      <c r="K447" s="32">
        <f>K446/K445</f>
        <v>1</v>
      </c>
      <c r="L447" s="32">
        <f>L446/L445</f>
        <v>0.90989827224285491</v>
      </c>
      <c r="M447" s="28"/>
      <c r="N447" s="32">
        <f>N446/N445</f>
        <v>0.90989827224285491</v>
      </c>
      <c r="O447" s="32">
        <f>O446/O445</f>
        <v>0.90989827224285491</v>
      </c>
      <c r="P447" s="33" t="str">
        <f>IF(K447&lt;50%,"x","")</f>
        <v/>
      </c>
      <c r="Q447" s="33" t="str">
        <f>IF(K447&gt;150%,"x","")</f>
        <v/>
      </c>
      <c r="R447" s="33" t="str">
        <f>IF(O447&lt;50%,"x","")</f>
        <v/>
      </c>
      <c r="S447" s="33" t="str">
        <f>IF(O447&gt;150%,"x","")</f>
        <v/>
      </c>
      <c r="T447" s="33" t="s">
        <v>27</v>
      </c>
      <c r="U447" s="34" t="s">
        <v>27</v>
      </c>
      <c r="V447" s="35" t="s">
        <v>27</v>
      </c>
    </row>
    <row r="448" spans="1:22" ht="16.5" thickTop="1" x14ac:dyDescent="0.25">
      <c r="A448" s="18" t="s">
        <v>81</v>
      </c>
      <c r="B448" s="18" t="s">
        <v>945</v>
      </c>
      <c r="C448" s="18" t="s">
        <v>622</v>
      </c>
      <c r="D448" s="18" t="s">
        <v>42</v>
      </c>
      <c r="E448" s="18" t="s">
        <v>27</v>
      </c>
      <c r="F448" s="18" t="s">
        <v>624</v>
      </c>
      <c r="G448" s="18" t="s">
        <v>29</v>
      </c>
      <c r="H448" s="19">
        <v>2002</v>
      </c>
      <c r="I448" s="18" t="s">
        <v>387</v>
      </c>
      <c r="J448" s="101" t="s">
        <v>27</v>
      </c>
      <c r="K448" s="20">
        <v>343</v>
      </c>
      <c r="L448" s="21">
        <v>61.1</v>
      </c>
      <c r="M448" s="22" t="s">
        <v>30</v>
      </c>
      <c r="N448" s="23">
        <v>61.1</v>
      </c>
      <c r="O448" s="24">
        <v>0.17813411078717201</v>
      </c>
      <c r="P448" s="25" t="str">
        <f>IF(P450="x","x","")</f>
        <v/>
      </c>
      <c r="Q448" s="25" t="str">
        <f>IF(Q450="x","x","")</f>
        <v>x</v>
      </c>
      <c r="R448" s="25" t="str">
        <f>IF(R450="x","x","")</f>
        <v/>
      </c>
      <c r="S448" s="25" t="str">
        <f>IF(S450="x","x","")</f>
        <v/>
      </c>
      <c r="T448" s="25" t="s">
        <v>31</v>
      </c>
      <c r="U448" s="26"/>
      <c r="V448" s="27"/>
    </row>
    <row r="449" spans="1:22" x14ac:dyDescent="0.25">
      <c r="A449" s="18" t="s">
        <v>81</v>
      </c>
      <c r="B449" s="18" t="s">
        <v>945</v>
      </c>
      <c r="C449" s="18" t="s">
        <v>622</v>
      </c>
      <c r="D449" s="18" t="s">
        <v>42</v>
      </c>
      <c r="E449" s="18" t="s">
        <v>27</v>
      </c>
      <c r="F449" s="18" t="s">
        <v>624</v>
      </c>
      <c r="G449" s="18" t="s">
        <v>32</v>
      </c>
      <c r="H449" s="19">
        <v>2008</v>
      </c>
      <c r="I449" s="18" t="s">
        <v>387</v>
      </c>
      <c r="J449" s="101" t="s">
        <v>27</v>
      </c>
      <c r="K449" s="20">
        <v>664</v>
      </c>
      <c r="L449" s="21">
        <v>81.650000000000006</v>
      </c>
      <c r="M449" s="22" t="s">
        <v>30</v>
      </c>
      <c r="N449" s="23">
        <v>81.650000000000006</v>
      </c>
      <c r="O449" s="24">
        <v>0.12296686746987953</v>
      </c>
      <c r="P449" s="25" t="str">
        <f>IF(P450="x","x","")</f>
        <v/>
      </c>
      <c r="Q449" s="25" t="str">
        <f>IF(Q450="x","x","")</f>
        <v>x</v>
      </c>
      <c r="R449" s="25" t="str">
        <f>IF(R450="x","x","")</f>
        <v/>
      </c>
      <c r="S449" s="25" t="str">
        <f>IF(S450="x","x","")</f>
        <v/>
      </c>
      <c r="T449" s="25" t="s">
        <v>31</v>
      </c>
      <c r="U449" s="26"/>
      <c r="V449" s="27"/>
    </row>
    <row r="450" spans="1:22" ht="32.25" thickBot="1" x14ac:dyDescent="0.3">
      <c r="A450" s="28" t="str">
        <f>A449</f>
        <v>China</v>
      </c>
      <c r="B450" s="28" t="str">
        <f>B449</f>
        <v>East Asia and Pacific</v>
      </c>
      <c r="C450" s="28" t="str">
        <f>C449</f>
        <v>P070459</v>
      </c>
      <c r="D450" s="28" t="s">
        <v>26</v>
      </c>
      <c r="E450" s="28" t="s">
        <v>27</v>
      </c>
      <c r="F450" s="28" t="str">
        <f>F449</f>
        <v>P070459C2</v>
      </c>
      <c r="G450" s="28" t="s">
        <v>16</v>
      </c>
      <c r="H450" s="29" t="str">
        <f>H448&amp;" / "&amp;H449</f>
        <v>2002 / 2008</v>
      </c>
      <c r="I450" s="29" t="str">
        <f>I449</f>
        <v>Upgrading</v>
      </c>
      <c r="J450" s="97" t="str">
        <f>IFERROR(J449/J448,"")</f>
        <v/>
      </c>
      <c r="K450" s="32">
        <f>K449/K448</f>
        <v>1.935860058309038</v>
      </c>
      <c r="L450" s="32">
        <f>L449/L448</f>
        <v>1.3363338788870704</v>
      </c>
      <c r="M450" s="28"/>
      <c r="N450" s="32">
        <f>N449/N448</f>
        <v>1.3363338788870704</v>
      </c>
      <c r="O450" s="32">
        <f>O449/O448</f>
        <v>0.69030500069015843</v>
      </c>
      <c r="P450" s="33" t="str">
        <f>IF(K450&lt;50%,"x","")</f>
        <v/>
      </c>
      <c r="Q450" s="33" t="str">
        <f>IF(K450&gt;150%,"x","")</f>
        <v>x</v>
      </c>
      <c r="R450" s="33" t="str">
        <f>IF(O450&lt;50%,"x","")</f>
        <v/>
      </c>
      <c r="S450" s="33" t="str">
        <f>IF(O450&gt;150%,"x","")</f>
        <v/>
      </c>
      <c r="T450" s="33" t="s">
        <v>31</v>
      </c>
      <c r="U450" s="34" t="s">
        <v>988</v>
      </c>
      <c r="V450" s="35" t="s">
        <v>1024</v>
      </c>
    </row>
    <row r="451" spans="1:22" ht="16.5" thickTop="1" x14ac:dyDescent="0.25">
      <c r="A451" s="18" t="s">
        <v>81</v>
      </c>
      <c r="B451" s="18" t="s">
        <v>945</v>
      </c>
      <c r="C451" s="18" t="s">
        <v>622</v>
      </c>
      <c r="D451" s="18" t="s">
        <v>42</v>
      </c>
      <c r="E451" s="18" t="s">
        <v>36</v>
      </c>
      <c r="F451" s="18" t="s">
        <v>625</v>
      </c>
      <c r="G451" s="18" t="s">
        <v>29</v>
      </c>
      <c r="H451" s="19">
        <v>2002</v>
      </c>
      <c r="I451" s="18" t="s">
        <v>387</v>
      </c>
      <c r="J451" s="101" t="s">
        <v>27</v>
      </c>
      <c r="K451" s="20">
        <v>70</v>
      </c>
      <c r="L451" s="21">
        <v>80</v>
      </c>
      <c r="M451" s="22" t="s">
        <v>589</v>
      </c>
      <c r="N451" s="23">
        <v>9.6385542168674689</v>
      </c>
      <c r="O451" s="24">
        <v>0.13769363166953527</v>
      </c>
      <c r="P451" s="25" t="str">
        <f>IF(P453="x","x","")</f>
        <v/>
      </c>
      <c r="Q451" s="25" t="str">
        <f>IF(Q453="x","x","")</f>
        <v/>
      </c>
      <c r="R451" s="25" t="str">
        <f>IF(R453="x","x","")</f>
        <v/>
      </c>
      <c r="S451" s="25" t="str">
        <f>IF(S453="x","x","")</f>
        <v/>
      </c>
      <c r="T451" s="25" t="s">
        <v>27</v>
      </c>
      <c r="U451" s="26"/>
      <c r="V451" s="27"/>
    </row>
    <row r="452" spans="1:22" x14ac:dyDescent="0.25">
      <c r="A452" s="18" t="s">
        <v>81</v>
      </c>
      <c r="B452" s="18" t="s">
        <v>945</v>
      </c>
      <c r="C452" s="18" t="s">
        <v>622</v>
      </c>
      <c r="D452" s="18" t="s">
        <v>42</v>
      </c>
      <c r="E452" s="18" t="s">
        <v>36</v>
      </c>
      <c r="F452" s="18" t="s">
        <v>625</v>
      </c>
      <c r="G452" s="18" t="s">
        <v>32</v>
      </c>
      <c r="H452" s="19">
        <v>2008</v>
      </c>
      <c r="I452" s="18" t="s">
        <v>387</v>
      </c>
      <c r="J452" s="101" t="s">
        <v>27</v>
      </c>
      <c r="K452" s="20">
        <v>70</v>
      </c>
      <c r="L452" s="21">
        <v>76.400000000000006</v>
      </c>
      <c r="M452" s="22" t="s">
        <v>589</v>
      </c>
      <c r="N452" s="23">
        <v>9.2270531400966203</v>
      </c>
      <c r="O452" s="24">
        <v>0.13181504485852313</v>
      </c>
      <c r="P452" s="25" t="str">
        <f>IF(P453="x","x","")</f>
        <v/>
      </c>
      <c r="Q452" s="25" t="str">
        <f>IF(Q453="x","x","")</f>
        <v/>
      </c>
      <c r="R452" s="25" t="str">
        <f>IF(R453="x","x","")</f>
        <v/>
      </c>
      <c r="S452" s="25" t="str">
        <f>IF(S453="x","x","")</f>
        <v/>
      </c>
      <c r="T452" s="25" t="s">
        <v>27</v>
      </c>
      <c r="U452" s="26"/>
      <c r="V452" s="27"/>
    </row>
    <row r="453" spans="1:22" ht="16.5" thickBot="1" x14ac:dyDescent="0.3">
      <c r="A453" s="28" t="str">
        <f>A452</f>
        <v>China</v>
      </c>
      <c r="B453" s="28" t="str">
        <f>B452</f>
        <v>East Asia and Pacific</v>
      </c>
      <c r="C453" s="28" t="str">
        <f>C452</f>
        <v>P070459</v>
      </c>
      <c r="D453" s="28" t="s">
        <v>26</v>
      </c>
      <c r="E453" s="28" t="s">
        <v>27</v>
      </c>
      <c r="F453" s="28" t="str">
        <f>F452</f>
        <v>P070459C2S1</v>
      </c>
      <c r="G453" s="28" t="s">
        <v>16</v>
      </c>
      <c r="H453" s="29" t="str">
        <f>H451&amp;" / "&amp;H452</f>
        <v>2002 / 2008</v>
      </c>
      <c r="I453" s="29" t="str">
        <f>I452</f>
        <v>Upgrading</v>
      </c>
      <c r="J453" s="97" t="str">
        <f>IFERROR(J452/J451,"")</f>
        <v/>
      </c>
      <c r="K453" s="32">
        <f>K452/K451</f>
        <v>1</v>
      </c>
      <c r="L453" s="32">
        <f>L452/L451</f>
        <v>0.95500000000000007</v>
      </c>
      <c r="M453" s="28"/>
      <c r="N453" s="32">
        <f>N452/N451</f>
        <v>0.9573067632850244</v>
      </c>
      <c r="O453" s="32">
        <f>O452/O451</f>
        <v>0.9573067632850244</v>
      </c>
      <c r="P453" s="33" t="str">
        <f>IF(K453&lt;50%,"x","")</f>
        <v/>
      </c>
      <c r="Q453" s="33" t="str">
        <f>IF(K453&gt;150%,"x","")</f>
        <v/>
      </c>
      <c r="R453" s="33" t="str">
        <f>IF(O453&lt;50%,"x","")</f>
        <v/>
      </c>
      <c r="S453" s="33" t="str">
        <f>IF(O453&gt;150%,"x","")</f>
        <v/>
      </c>
      <c r="T453" s="33" t="s">
        <v>27</v>
      </c>
      <c r="U453" s="34" t="s">
        <v>27</v>
      </c>
      <c r="V453" s="35" t="s">
        <v>27</v>
      </c>
    </row>
    <row r="454" spans="1:22" ht="18.600000000000001" customHeight="1" thickTop="1" x14ac:dyDescent="0.25">
      <c r="A454" s="18" t="s">
        <v>81</v>
      </c>
      <c r="B454" s="18" t="s">
        <v>945</v>
      </c>
      <c r="C454" s="18" t="s">
        <v>622</v>
      </c>
      <c r="D454" s="18" t="s">
        <v>42</v>
      </c>
      <c r="E454" s="18" t="s">
        <v>40</v>
      </c>
      <c r="F454" s="18" t="s">
        <v>626</v>
      </c>
      <c r="G454" s="18" t="s">
        <v>29</v>
      </c>
      <c r="H454" s="19">
        <v>2002</v>
      </c>
      <c r="I454" s="18" t="s">
        <v>387</v>
      </c>
      <c r="J454" s="101" t="s">
        <v>27</v>
      </c>
      <c r="K454" s="20">
        <v>54</v>
      </c>
      <c r="L454" s="21">
        <v>55</v>
      </c>
      <c r="M454" s="22" t="s">
        <v>589</v>
      </c>
      <c r="N454" s="23">
        <v>6.6265060240963853</v>
      </c>
      <c r="O454" s="24">
        <v>0.12271307452030343</v>
      </c>
      <c r="P454" s="25" t="str">
        <f>IF(P456="x","x","")</f>
        <v/>
      </c>
      <c r="Q454" s="25" t="str">
        <f>IF(Q456="x","x","")</f>
        <v/>
      </c>
      <c r="R454" s="25" t="str">
        <f>IF(R456="x","x","")</f>
        <v/>
      </c>
      <c r="S454" s="25" t="str">
        <f>IF(S456="x","x","")</f>
        <v/>
      </c>
      <c r="T454" s="25" t="s">
        <v>27</v>
      </c>
      <c r="U454" s="26"/>
      <c r="V454" s="27"/>
    </row>
    <row r="455" spans="1:22" ht="18.600000000000001" customHeight="1" x14ac:dyDescent="0.25">
      <c r="A455" s="18" t="s">
        <v>81</v>
      </c>
      <c r="B455" s="18" t="s">
        <v>945</v>
      </c>
      <c r="C455" s="18" t="s">
        <v>622</v>
      </c>
      <c r="D455" s="18" t="s">
        <v>42</v>
      </c>
      <c r="E455" s="18" t="s">
        <v>40</v>
      </c>
      <c r="F455" s="18" t="s">
        <v>626</v>
      </c>
      <c r="G455" s="18" t="s">
        <v>32</v>
      </c>
      <c r="H455" s="19">
        <v>2008</v>
      </c>
      <c r="I455" s="18" t="s">
        <v>387</v>
      </c>
      <c r="J455" s="101" t="s">
        <v>27</v>
      </c>
      <c r="K455" s="20">
        <v>54</v>
      </c>
      <c r="L455" s="21">
        <v>43.8</v>
      </c>
      <c r="M455" s="22" t="s">
        <v>589</v>
      </c>
      <c r="N455" s="23">
        <v>5.2898550724637685</v>
      </c>
      <c r="O455" s="24">
        <v>9.7960279119699414E-2</v>
      </c>
      <c r="P455" s="25" t="str">
        <f>IF(P456="x","x","")</f>
        <v/>
      </c>
      <c r="Q455" s="25" t="str">
        <f>IF(Q456="x","x","")</f>
        <v/>
      </c>
      <c r="R455" s="25" t="str">
        <f>IF(R456="x","x","")</f>
        <v/>
      </c>
      <c r="S455" s="25" t="str">
        <f>IF(S456="x","x","")</f>
        <v/>
      </c>
      <c r="T455" s="25" t="s">
        <v>27</v>
      </c>
      <c r="U455" s="26"/>
      <c r="V455" s="27"/>
    </row>
    <row r="456" spans="1:22" ht="18.600000000000001" customHeight="1" thickBot="1" x14ac:dyDescent="0.3">
      <c r="A456" s="28" t="str">
        <f>A455</f>
        <v>China</v>
      </c>
      <c r="B456" s="28" t="str">
        <f>B455</f>
        <v>East Asia and Pacific</v>
      </c>
      <c r="C456" s="28" t="str">
        <f>C455</f>
        <v>P070459</v>
      </c>
      <c r="D456" s="28" t="s">
        <v>26</v>
      </c>
      <c r="E456" s="28" t="s">
        <v>27</v>
      </c>
      <c r="F456" s="28" t="str">
        <f>F455</f>
        <v>P070459C2S2</v>
      </c>
      <c r="G456" s="28" t="s">
        <v>16</v>
      </c>
      <c r="H456" s="29" t="str">
        <f>H454&amp;" / "&amp;H455</f>
        <v>2002 / 2008</v>
      </c>
      <c r="I456" s="29" t="str">
        <f>I455</f>
        <v>Upgrading</v>
      </c>
      <c r="J456" s="97" t="str">
        <f>IFERROR(J455/J454,"")</f>
        <v/>
      </c>
      <c r="K456" s="32">
        <f>K455/K454</f>
        <v>1</v>
      </c>
      <c r="L456" s="32">
        <f>L455/L454</f>
        <v>0.79636363636363627</v>
      </c>
      <c r="M456" s="28"/>
      <c r="N456" s="32">
        <f>N455/N454</f>
        <v>0.79828722002635055</v>
      </c>
      <c r="O456" s="32">
        <f>O455/O454</f>
        <v>0.79828722002635055</v>
      </c>
      <c r="P456" s="33" t="str">
        <f>IF(K456&lt;50%,"x","")</f>
        <v/>
      </c>
      <c r="Q456" s="33" t="str">
        <f>IF(K456&gt;150%,"x","")</f>
        <v/>
      </c>
      <c r="R456" s="33" t="str">
        <f>IF(O456&lt;50%,"x","")</f>
        <v/>
      </c>
      <c r="S456" s="33" t="str">
        <f>IF(O456&gt;150%,"x","")</f>
        <v/>
      </c>
      <c r="T456" s="33" t="s">
        <v>27</v>
      </c>
      <c r="U456" s="34" t="s">
        <v>27</v>
      </c>
      <c r="V456" s="35" t="s">
        <v>27</v>
      </c>
    </row>
    <row r="457" spans="1:22" ht="16.5" thickTop="1" x14ac:dyDescent="0.25">
      <c r="A457" s="18" t="s">
        <v>81</v>
      </c>
      <c r="B457" s="18" t="s">
        <v>945</v>
      </c>
      <c r="C457" s="18" t="s">
        <v>622</v>
      </c>
      <c r="D457" s="18" t="s">
        <v>42</v>
      </c>
      <c r="E457" s="18" t="s">
        <v>69</v>
      </c>
      <c r="F457" s="18" t="s">
        <v>627</v>
      </c>
      <c r="G457" s="18" t="s">
        <v>29</v>
      </c>
      <c r="H457" s="19">
        <v>2002</v>
      </c>
      <c r="I457" s="18" t="s">
        <v>387</v>
      </c>
      <c r="J457" s="101" t="s">
        <v>27</v>
      </c>
      <c r="K457" s="20">
        <v>86</v>
      </c>
      <c r="L457" s="21">
        <v>100</v>
      </c>
      <c r="M457" s="22" t="s">
        <v>589</v>
      </c>
      <c r="N457" s="23">
        <v>12.048192771084336</v>
      </c>
      <c r="O457" s="24">
        <v>0.14009526478005041</v>
      </c>
      <c r="P457" s="25" t="str">
        <f>IF(P459="x","x","")</f>
        <v/>
      </c>
      <c r="Q457" s="25" t="str">
        <f>IF(Q459="x","x","")</f>
        <v/>
      </c>
      <c r="R457" s="25" t="str">
        <f>IF(R459="x","x","")</f>
        <v/>
      </c>
      <c r="S457" s="25" t="str">
        <f>IF(S459="x","x","")</f>
        <v/>
      </c>
      <c r="T457" s="25" t="s">
        <v>27</v>
      </c>
      <c r="U457" s="26"/>
      <c r="V457" s="27"/>
    </row>
    <row r="458" spans="1:22" x14ac:dyDescent="0.25">
      <c r="A458" s="18" t="s">
        <v>81</v>
      </c>
      <c r="B458" s="18" t="s">
        <v>945</v>
      </c>
      <c r="C458" s="18" t="s">
        <v>622</v>
      </c>
      <c r="D458" s="18" t="s">
        <v>42</v>
      </c>
      <c r="E458" s="18" t="s">
        <v>69</v>
      </c>
      <c r="F458" s="18" t="s">
        <v>627</v>
      </c>
      <c r="G458" s="18" t="s">
        <v>32</v>
      </c>
      <c r="H458" s="19">
        <v>2008</v>
      </c>
      <c r="I458" s="18" t="s">
        <v>387</v>
      </c>
      <c r="J458" s="101" t="s">
        <v>27</v>
      </c>
      <c r="K458" s="20">
        <v>86</v>
      </c>
      <c r="L458" s="21">
        <v>51.199999999999996</v>
      </c>
      <c r="M458" s="22" t="s">
        <v>589</v>
      </c>
      <c r="N458" s="23">
        <v>6.1835748792270531</v>
      </c>
      <c r="O458" s="24">
        <v>7.1902033479384342E-2</v>
      </c>
      <c r="P458" s="25" t="str">
        <f>IF(P459="x","x","")</f>
        <v/>
      </c>
      <c r="Q458" s="25" t="str">
        <f>IF(Q459="x","x","")</f>
        <v/>
      </c>
      <c r="R458" s="25" t="str">
        <f>IF(R459="x","x","")</f>
        <v/>
      </c>
      <c r="S458" s="25" t="str">
        <f>IF(S459="x","x","")</f>
        <v/>
      </c>
      <c r="T458" s="25" t="s">
        <v>27</v>
      </c>
      <c r="U458" s="26"/>
      <c r="V458" s="27"/>
    </row>
    <row r="459" spans="1:22" ht="16.5" thickBot="1" x14ac:dyDescent="0.3">
      <c r="A459" s="28" t="str">
        <f>A458</f>
        <v>China</v>
      </c>
      <c r="B459" s="28" t="str">
        <f>B458</f>
        <v>East Asia and Pacific</v>
      </c>
      <c r="C459" s="28" t="str">
        <f>C458</f>
        <v>P070459</v>
      </c>
      <c r="D459" s="28" t="s">
        <v>26</v>
      </c>
      <c r="E459" s="28" t="s">
        <v>27</v>
      </c>
      <c r="F459" s="28" t="str">
        <f>F458</f>
        <v>P070459C2S3</v>
      </c>
      <c r="G459" s="28" t="s">
        <v>16</v>
      </c>
      <c r="H459" s="29" t="str">
        <f>H457&amp;" / "&amp;H458</f>
        <v>2002 / 2008</v>
      </c>
      <c r="I459" s="29" t="str">
        <f>I458</f>
        <v>Upgrading</v>
      </c>
      <c r="J459" s="97" t="str">
        <f>IFERROR(J458/J457,"")</f>
        <v/>
      </c>
      <c r="K459" s="32">
        <f>K458/K457</f>
        <v>1</v>
      </c>
      <c r="L459" s="32">
        <f>L458/L457</f>
        <v>0.51200000000000001</v>
      </c>
      <c r="M459" s="28"/>
      <c r="N459" s="32">
        <f>N458/N457</f>
        <v>0.51323671497584544</v>
      </c>
      <c r="O459" s="32">
        <f>O458/O457</f>
        <v>0.51323671497584555</v>
      </c>
      <c r="P459" s="33" t="str">
        <f>IF(K459&lt;50%,"x","")</f>
        <v/>
      </c>
      <c r="Q459" s="33" t="str">
        <f>IF(K459&gt;150%,"x","")</f>
        <v/>
      </c>
      <c r="R459" s="33" t="str">
        <f>IF(O459&lt;50%,"x","")</f>
        <v/>
      </c>
      <c r="S459" s="33" t="str">
        <f>IF(O459&gt;150%,"x","")</f>
        <v/>
      </c>
      <c r="T459" s="33" t="s">
        <v>27</v>
      </c>
      <c r="U459" s="34" t="s">
        <v>27</v>
      </c>
      <c r="V459" s="35" t="s">
        <v>27</v>
      </c>
    </row>
    <row r="460" spans="1:22" ht="16.5" thickTop="1" x14ac:dyDescent="0.25">
      <c r="A460" s="18" t="s">
        <v>81</v>
      </c>
      <c r="B460" s="18" t="s">
        <v>945</v>
      </c>
      <c r="C460" s="18" t="s">
        <v>622</v>
      </c>
      <c r="D460" s="18" t="s">
        <v>42</v>
      </c>
      <c r="E460" s="18" t="s">
        <v>71</v>
      </c>
      <c r="F460" s="18" t="s">
        <v>628</v>
      </c>
      <c r="G460" s="18" t="s">
        <v>29</v>
      </c>
      <c r="H460" s="19">
        <v>2002</v>
      </c>
      <c r="I460" s="18" t="s">
        <v>387</v>
      </c>
      <c r="J460" s="101" t="s">
        <v>27</v>
      </c>
      <c r="K460" s="20">
        <v>48</v>
      </c>
      <c r="L460" s="21">
        <v>70</v>
      </c>
      <c r="M460" s="22" t="s">
        <v>589</v>
      </c>
      <c r="N460" s="23">
        <v>8.4337349397590362</v>
      </c>
      <c r="O460" s="24">
        <v>0.17570281124497991</v>
      </c>
      <c r="P460" s="25" t="str">
        <f>IF(P462="x","x","")</f>
        <v/>
      </c>
      <c r="Q460" s="25" t="str">
        <f>IF(Q462="x","x","")</f>
        <v/>
      </c>
      <c r="R460" s="25" t="str">
        <f>IF(R462="x","x","")</f>
        <v/>
      </c>
      <c r="S460" s="25" t="str">
        <f>IF(S462="x","x","")</f>
        <v/>
      </c>
      <c r="T460" s="25" t="s">
        <v>27</v>
      </c>
      <c r="U460" s="26"/>
      <c r="V460" s="27"/>
    </row>
    <row r="461" spans="1:22" x14ac:dyDescent="0.25">
      <c r="A461" s="18" t="s">
        <v>81</v>
      </c>
      <c r="B461" s="18" t="s">
        <v>945</v>
      </c>
      <c r="C461" s="18" t="s">
        <v>622</v>
      </c>
      <c r="D461" s="18" t="s">
        <v>42</v>
      </c>
      <c r="E461" s="18" t="s">
        <v>71</v>
      </c>
      <c r="F461" s="18" t="s">
        <v>628</v>
      </c>
      <c r="G461" s="18" t="s">
        <v>32</v>
      </c>
      <c r="H461" s="19">
        <v>2008</v>
      </c>
      <c r="I461" s="18" t="s">
        <v>387</v>
      </c>
      <c r="J461" s="101" t="s">
        <v>27</v>
      </c>
      <c r="K461" s="20">
        <v>48</v>
      </c>
      <c r="L461" s="21">
        <v>68.800000000000011</v>
      </c>
      <c r="M461" s="22" t="s">
        <v>589</v>
      </c>
      <c r="N461" s="23">
        <v>8.309178743961354</v>
      </c>
      <c r="O461" s="24">
        <v>0.17310789049919487</v>
      </c>
      <c r="P461" s="25" t="str">
        <f>IF(P462="x","x","")</f>
        <v/>
      </c>
      <c r="Q461" s="25" t="str">
        <f>IF(Q462="x","x","")</f>
        <v/>
      </c>
      <c r="R461" s="25" t="str">
        <f>IF(R462="x","x","")</f>
        <v/>
      </c>
      <c r="S461" s="25" t="str">
        <f>IF(S462="x","x","")</f>
        <v/>
      </c>
      <c r="T461" s="25" t="s">
        <v>27</v>
      </c>
      <c r="U461" s="26"/>
      <c r="V461" s="27"/>
    </row>
    <row r="462" spans="1:22" ht="16.5" thickBot="1" x14ac:dyDescent="0.3">
      <c r="A462" s="28" t="str">
        <f>A461</f>
        <v>China</v>
      </c>
      <c r="B462" s="28" t="str">
        <f>B461</f>
        <v>East Asia and Pacific</v>
      </c>
      <c r="C462" s="28" t="str">
        <f>C461</f>
        <v>P070459</v>
      </c>
      <c r="D462" s="28" t="s">
        <v>26</v>
      </c>
      <c r="E462" s="28" t="s">
        <v>27</v>
      </c>
      <c r="F462" s="28" t="str">
        <f>F461</f>
        <v>P070459C2S4</v>
      </c>
      <c r="G462" s="28" t="s">
        <v>16</v>
      </c>
      <c r="H462" s="29" t="str">
        <f>H460&amp;" / "&amp;H461</f>
        <v>2002 / 2008</v>
      </c>
      <c r="I462" s="29" t="str">
        <f>I461</f>
        <v>Upgrading</v>
      </c>
      <c r="J462" s="97" t="str">
        <f>IFERROR(J461/J460,"")</f>
        <v/>
      </c>
      <c r="K462" s="32">
        <f>K461/K460</f>
        <v>1</v>
      </c>
      <c r="L462" s="32">
        <f>L461/L460</f>
        <v>0.98285714285714298</v>
      </c>
      <c r="M462" s="28"/>
      <c r="N462" s="32">
        <f>N461/N460</f>
        <v>0.98523119392684622</v>
      </c>
      <c r="O462" s="32">
        <f>O461/O460</f>
        <v>0.98523119392684622</v>
      </c>
      <c r="P462" s="33" t="str">
        <f>IF(K462&lt;50%,"x","")</f>
        <v/>
      </c>
      <c r="Q462" s="33" t="str">
        <f>IF(K462&gt;150%,"x","")</f>
        <v/>
      </c>
      <c r="R462" s="33" t="str">
        <f>IF(O462&lt;50%,"x","")</f>
        <v/>
      </c>
      <c r="S462" s="33" t="str">
        <f>IF(O462&gt;150%,"x","")</f>
        <v/>
      </c>
      <c r="T462" s="33" t="s">
        <v>27</v>
      </c>
      <c r="U462" s="34" t="s">
        <v>27</v>
      </c>
      <c r="V462" s="35" t="s">
        <v>27</v>
      </c>
    </row>
    <row r="463" spans="1:22" ht="18.600000000000001" customHeight="1" thickTop="1" x14ac:dyDescent="0.25">
      <c r="A463" s="18" t="s">
        <v>81</v>
      </c>
      <c r="B463" s="18" t="s">
        <v>945</v>
      </c>
      <c r="C463" s="18" t="s">
        <v>681</v>
      </c>
      <c r="D463" s="18" t="s">
        <v>26</v>
      </c>
      <c r="E463" s="18" t="s">
        <v>27</v>
      </c>
      <c r="F463" s="18" t="s">
        <v>682</v>
      </c>
      <c r="G463" s="18" t="s">
        <v>29</v>
      </c>
      <c r="H463" s="19">
        <v>2007</v>
      </c>
      <c r="I463" s="18" t="s">
        <v>111</v>
      </c>
      <c r="J463" s="101" t="s">
        <v>27</v>
      </c>
      <c r="K463" s="20">
        <v>87</v>
      </c>
      <c r="L463" s="21">
        <v>561.24</v>
      </c>
      <c r="M463" s="22" t="s">
        <v>30</v>
      </c>
      <c r="N463" s="23">
        <v>561.24</v>
      </c>
      <c r="O463" s="24">
        <v>6.4510344827586206</v>
      </c>
      <c r="P463" s="25" t="str">
        <f>IF(P465="x","x","")</f>
        <v/>
      </c>
      <c r="Q463" s="25" t="str">
        <f>IF(Q465="x","x","")</f>
        <v/>
      </c>
      <c r="R463" s="25" t="str">
        <f>IF(R465="x","x","")</f>
        <v/>
      </c>
      <c r="S463" s="25" t="str">
        <f>IF(S465="x","x","")</f>
        <v>x</v>
      </c>
      <c r="T463" s="25" t="s">
        <v>31</v>
      </c>
      <c r="U463" s="26"/>
      <c r="V463" s="27"/>
    </row>
    <row r="464" spans="1:22" ht="18.600000000000001" customHeight="1" x14ac:dyDescent="0.25">
      <c r="A464" s="18" t="s">
        <v>81</v>
      </c>
      <c r="B464" s="18" t="s">
        <v>945</v>
      </c>
      <c r="C464" s="18" t="s">
        <v>681</v>
      </c>
      <c r="D464" s="18" t="s">
        <v>26</v>
      </c>
      <c r="E464" s="18" t="s">
        <v>27</v>
      </c>
      <c r="F464" s="18" t="s">
        <v>682</v>
      </c>
      <c r="G464" s="18" t="s">
        <v>32</v>
      </c>
      <c r="H464" s="19">
        <v>2013</v>
      </c>
      <c r="I464" s="18" t="s">
        <v>111</v>
      </c>
      <c r="J464" s="101" t="s">
        <v>27</v>
      </c>
      <c r="K464" s="20">
        <v>87</v>
      </c>
      <c r="L464" s="21">
        <v>1096.6600000000001</v>
      </c>
      <c r="M464" s="22" t="s">
        <v>30</v>
      </c>
      <c r="N464" s="23">
        <v>1096.6600000000001</v>
      </c>
      <c r="O464" s="24">
        <v>12.60528735632184</v>
      </c>
      <c r="P464" s="25" t="str">
        <f>IF(P465="x","x","")</f>
        <v/>
      </c>
      <c r="Q464" s="25" t="str">
        <f>IF(Q465="x","x","")</f>
        <v/>
      </c>
      <c r="R464" s="25" t="str">
        <f>IF(R465="x","x","")</f>
        <v/>
      </c>
      <c r="S464" s="25" t="str">
        <f>IF(S465="x","x","")</f>
        <v>x</v>
      </c>
      <c r="T464" s="25" t="s">
        <v>31</v>
      </c>
      <c r="U464" s="26"/>
      <c r="V464" s="27"/>
    </row>
    <row r="465" spans="1:22" ht="18.600000000000001" customHeight="1" thickBot="1" x14ac:dyDescent="0.3">
      <c r="A465" s="28" t="str">
        <f>A464</f>
        <v>China</v>
      </c>
      <c r="B465" s="28" t="str">
        <f>B464</f>
        <v>East Asia and Pacific</v>
      </c>
      <c r="C465" s="28" t="str">
        <f>C464</f>
        <v>P075613</v>
      </c>
      <c r="D465" s="28" t="s">
        <v>26</v>
      </c>
      <c r="E465" s="28" t="s">
        <v>27</v>
      </c>
      <c r="F465" s="28" t="str">
        <f>F464</f>
        <v>P075613C1</v>
      </c>
      <c r="G465" s="28" t="s">
        <v>16</v>
      </c>
      <c r="H465" s="29" t="str">
        <f>H463&amp;" / "&amp;H464</f>
        <v>2007 / 2013</v>
      </c>
      <c r="I465" s="29" t="str">
        <f>I464</f>
        <v>New 4L Expressway</v>
      </c>
      <c r="J465" s="97" t="str">
        <f>IFERROR(J464/J463,"")</f>
        <v/>
      </c>
      <c r="K465" s="32">
        <f>K464/K463</f>
        <v>1</v>
      </c>
      <c r="L465" s="32">
        <f>L464/L463</f>
        <v>1.9539947259639372</v>
      </c>
      <c r="M465" s="28"/>
      <c r="N465" s="32">
        <f>N464/N463</f>
        <v>1.9539947259639372</v>
      </c>
      <c r="O465" s="32">
        <f>O464/O463</f>
        <v>1.9539947259639372</v>
      </c>
      <c r="P465" s="33" t="str">
        <f>IF(K465&lt;50%,"x","")</f>
        <v/>
      </c>
      <c r="Q465" s="33" t="str">
        <f>IF(K465&gt;150%,"x","")</f>
        <v/>
      </c>
      <c r="R465" s="33" t="str">
        <f>IF(O465&lt;50%,"x","")</f>
        <v/>
      </c>
      <c r="S465" s="33" t="str">
        <f>IF(O465&gt;150%,"x","")</f>
        <v>x</v>
      </c>
      <c r="T465" s="33" t="s">
        <v>31</v>
      </c>
      <c r="U465" s="34" t="s">
        <v>1041</v>
      </c>
      <c r="V465" s="35" t="s">
        <v>1046</v>
      </c>
    </row>
    <row r="466" spans="1:22" ht="16.5" thickTop="1" x14ac:dyDescent="0.25">
      <c r="A466" s="18" t="s">
        <v>81</v>
      </c>
      <c r="B466" s="18" t="s">
        <v>945</v>
      </c>
      <c r="C466" s="18" t="s">
        <v>681</v>
      </c>
      <c r="D466" s="18" t="s">
        <v>42</v>
      </c>
      <c r="E466" s="18" t="s">
        <v>27</v>
      </c>
      <c r="F466" s="18" t="s">
        <v>684</v>
      </c>
      <c r="G466" s="18" t="s">
        <v>29</v>
      </c>
      <c r="H466" s="19">
        <v>2007</v>
      </c>
      <c r="I466" s="18" t="s">
        <v>387</v>
      </c>
      <c r="J466" s="101" t="s">
        <v>27</v>
      </c>
      <c r="K466" s="20">
        <v>1480</v>
      </c>
      <c r="L466" s="21">
        <v>47.22</v>
      </c>
      <c r="M466" s="22" t="s">
        <v>30</v>
      </c>
      <c r="N466" s="23">
        <v>47.22</v>
      </c>
      <c r="O466" s="24">
        <v>3.1905405405405401E-2</v>
      </c>
      <c r="P466" s="25" t="str">
        <f>IF(P468="x","x","")</f>
        <v/>
      </c>
      <c r="Q466" s="25" t="str">
        <f>IF(Q468="x","x","")</f>
        <v/>
      </c>
      <c r="R466" s="25" t="str">
        <f>IF(R468="x","x","")</f>
        <v/>
      </c>
      <c r="S466" s="25" t="str">
        <f>IF(S468="x","x","")</f>
        <v>x</v>
      </c>
      <c r="T466" s="25" t="s">
        <v>31</v>
      </c>
      <c r="U466" s="26"/>
      <c r="V466" s="27"/>
    </row>
    <row r="467" spans="1:22" x14ac:dyDescent="0.25">
      <c r="A467" s="18" t="s">
        <v>81</v>
      </c>
      <c r="B467" s="18" t="s">
        <v>945</v>
      </c>
      <c r="C467" s="18" t="s">
        <v>681</v>
      </c>
      <c r="D467" s="18" t="s">
        <v>42</v>
      </c>
      <c r="E467" s="18" t="s">
        <v>27</v>
      </c>
      <c r="F467" s="18" t="s">
        <v>684</v>
      </c>
      <c r="G467" s="18" t="s">
        <v>32</v>
      </c>
      <c r="H467" s="19">
        <v>2013</v>
      </c>
      <c r="I467" s="18" t="s">
        <v>387</v>
      </c>
      <c r="J467" s="101" t="s">
        <v>27</v>
      </c>
      <c r="K467" s="20">
        <v>1480</v>
      </c>
      <c r="L467" s="21">
        <v>77.59</v>
      </c>
      <c r="M467" s="22" t="s">
        <v>30</v>
      </c>
      <c r="N467" s="23">
        <v>77.59</v>
      </c>
      <c r="O467" s="24">
        <v>5.242567567567568E-2</v>
      </c>
      <c r="P467" s="25" t="str">
        <f>IF(P468="x","x","")</f>
        <v/>
      </c>
      <c r="Q467" s="25" t="str">
        <f>IF(Q468="x","x","")</f>
        <v/>
      </c>
      <c r="R467" s="25" t="str">
        <f>IF(R468="x","x","")</f>
        <v/>
      </c>
      <c r="S467" s="25" t="str">
        <f>IF(S468="x","x","")</f>
        <v>x</v>
      </c>
      <c r="T467" s="25" t="s">
        <v>31</v>
      </c>
      <c r="U467" s="26"/>
      <c r="V467" s="27"/>
    </row>
    <row r="468" spans="1:22" ht="32.25" thickBot="1" x14ac:dyDescent="0.3">
      <c r="A468" s="28" t="str">
        <f>A467</f>
        <v>China</v>
      </c>
      <c r="B468" s="28" t="str">
        <f>B467</f>
        <v>East Asia and Pacific</v>
      </c>
      <c r="C468" s="28" t="str">
        <f>C467</f>
        <v>P075613</v>
      </c>
      <c r="D468" s="28" t="s">
        <v>26</v>
      </c>
      <c r="E468" s="28" t="s">
        <v>27</v>
      </c>
      <c r="F468" s="28" t="str">
        <f>F467</f>
        <v>P075613C2</v>
      </c>
      <c r="G468" s="28" t="s">
        <v>16</v>
      </c>
      <c r="H468" s="29" t="str">
        <f>H466&amp;" / "&amp;H467</f>
        <v>2007 / 2013</v>
      </c>
      <c r="I468" s="29" t="str">
        <f>I467</f>
        <v>Upgrading</v>
      </c>
      <c r="J468" s="97" t="str">
        <f>IFERROR(J467/J466,"")</f>
        <v/>
      </c>
      <c r="K468" s="32">
        <f>K467/K466</f>
        <v>1</v>
      </c>
      <c r="L468" s="32">
        <f>L467/L466</f>
        <v>1.6431596781024991</v>
      </c>
      <c r="M468" s="28"/>
      <c r="N468" s="32">
        <f>N467/N466</f>
        <v>1.6431596781024991</v>
      </c>
      <c r="O468" s="32">
        <f>O467/O466</f>
        <v>1.6431596781024993</v>
      </c>
      <c r="P468" s="33" t="str">
        <f>IF(K468&lt;50%,"x","")</f>
        <v/>
      </c>
      <c r="Q468" s="33" t="str">
        <f>IF(K468&gt;150%,"x","")</f>
        <v/>
      </c>
      <c r="R468" s="33" t="str">
        <f>IF(O468&lt;50%,"x","")</f>
        <v/>
      </c>
      <c r="S468" s="33" t="str">
        <f>IF(O468&gt;150%,"x","")</f>
        <v>x</v>
      </c>
      <c r="T468" s="33" t="s">
        <v>31</v>
      </c>
      <c r="U468" s="34" t="s">
        <v>1041</v>
      </c>
      <c r="V468" s="35" t="s">
        <v>1046</v>
      </c>
    </row>
    <row r="469" spans="1:22" ht="16.5" thickTop="1" x14ac:dyDescent="0.25">
      <c r="A469" s="18" t="s">
        <v>81</v>
      </c>
      <c r="B469" s="18" t="s">
        <v>945</v>
      </c>
      <c r="C469" s="18" t="s">
        <v>835</v>
      </c>
      <c r="D469" s="18" t="s">
        <v>26</v>
      </c>
      <c r="E469" s="18" t="s">
        <v>27</v>
      </c>
      <c r="F469" s="18" t="s">
        <v>836</v>
      </c>
      <c r="G469" s="18" t="s">
        <v>29</v>
      </c>
      <c r="H469" s="19">
        <v>2006</v>
      </c>
      <c r="I469" s="18" t="s">
        <v>111</v>
      </c>
      <c r="J469" s="101" t="s">
        <v>27</v>
      </c>
      <c r="K469" s="20">
        <v>117.1</v>
      </c>
      <c r="L469" s="21">
        <v>627</v>
      </c>
      <c r="M469" s="22" t="s">
        <v>30</v>
      </c>
      <c r="N469" s="23">
        <v>627</v>
      </c>
      <c r="O469" s="24">
        <v>5.3543979504696839</v>
      </c>
      <c r="P469" s="25" t="str">
        <f>IF(P471="x","x","")</f>
        <v/>
      </c>
      <c r="Q469" s="25" t="str">
        <f>IF(Q471="x","x","")</f>
        <v/>
      </c>
      <c r="R469" s="25" t="str">
        <f>IF(R471="x","x","")</f>
        <v/>
      </c>
      <c r="S469" s="25" t="str">
        <f>IF(S471="x","x","")</f>
        <v/>
      </c>
      <c r="T469" s="25" t="s">
        <v>27</v>
      </c>
      <c r="U469" s="26"/>
      <c r="V469" s="27"/>
    </row>
    <row r="470" spans="1:22" x14ac:dyDescent="0.25">
      <c r="A470" s="18" t="s">
        <v>81</v>
      </c>
      <c r="B470" s="18" t="s">
        <v>945</v>
      </c>
      <c r="C470" s="18" t="s">
        <v>835</v>
      </c>
      <c r="D470" s="18" t="s">
        <v>26</v>
      </c>
      <c r="E470" s="18" t="s">
        <v>27</v>
      </c>
      <c r="F470" s="18" t="s">
        <v>836</v>
      </c>
      <c r="G470" s="18" t="s">
        <v>32</v>
      </c>
      <c r="H470" s="19">
        <v>2011</v>
      </c>
      <c r="I470" s="18" t="s">
        <v>111</v>
      </c>
      <c r="J470" s="101" t="s">
        <v>27</v>
      </c>
      <c r="K470" s="20">
        <v>117.1</v>
      </c>
      <c r="L470" s="21">
        <v>715.06</v>
      </c>
      <c r="M470" s="22" t="s">
        <v>30</v>
      </c>
      <c r="N470" s="23">
        <v>715.06</v>
      </c>
      <c r="O470" s="24">
        <v>6.1064047822374041</v>
      </c>
      <c r="P470" s="25" t="str">
        <f>IF(P471="x","x","")</f>
        <v/>
      </c>
      <c r="Q470" s="25" t="str">
        <f>IF(Q471="x","x","")</f>
        <v/>
      </c>
      <c r="R470" s="25" t="str">
        <f>IF(R471="x","x","")</f>
        <v/>
      </c>
      <c r="S470" s="25" t="str">
        <f>IF(S471="x","x","")</f>
        <v/>
      </c>
      <c r="T470" s="25" t="s">
        <v>27</v>
      </c>
      <c r="U470" s="26"/>
      <c r="V470" s="27"/>
    </row>
    <row r="471" spans="1:22" ht="16.5" thickBot="1" x14ac:dyDescent="0.3">
      <c r="A471" s="28" t="str">
        <f>A470</f>
        <v>China</v>
      </c>
      <c r="B471" s="28" t="str">
        <f>B470</f>
        <v>East Asia and Pacific</v>
      </c>
      <c r="C471" s="28" t="str">
        <f>C470</f>
        <v>P093906</v>
      </c>
      <c r="D471" s="28" t="s">
        <v>26</v>
      </c>
      <c r="E471" s="28" t="s">
        <v>27</v>
      </c>
      <c r="F471" s="28" t="str">
        <f>F470</f>
        <v>P093906C1</v>
      </c>
      <c r="G471" s="28" t="s">
        <v>16</v>
      </c>
      <c r="H471" s="29" t="str">
        <f>H469&amp;" / "&amp;H470</f>
        <v>2006 / 2011</v>
      </c>
      <c r="I471" s="29" t="str">
        <f>I470</f>
        <v>New 4L Expressway</v>
      </c>
      <c r="J471" s="97" t="str">
        <f>IFERROR(J470/J469,"")</f>
        <v/>
      </c>
      <c r="K471" s="32">
        <f>K470/K469</f>
        <v>1</v>
      </c>
      <c r="L471" s="32">
        <f>L470/L469</f>
        <v>1.1404465709728866</v>
      </c>
      <c r="M471" s="28"/>
      <c r="N471" s="32">
        <f>N470/N469</f>
        <v>1.1404465709728866</v>
      </c>
      <c r="O471" s="32">
        <f>O470/O469</f>
        <v>1.1404465709728868</v>
      </c>
      <c r="P471" s="33" t="str">
        <f>IF(K471&lt;50%,"x","")</f>
        <v/>
      </c>
      <c r="Q471" s="33" t="str">
        <f>IF(K471&gt;150%,"x","")</f>
        <v/>
      </c>
      <c r="R471" s="33" t="str">
        <f>IF(O471&lt;50%,"x","")</f>
        <v/>
      </c>
      <c r="S471" s="33" t="str">
        <f>IF(O471&gt;150%,"x","")</f>
        <v/>
      </c>
      <c r="T471" s="33" t="s">
        <v>27</v>
      </c>
      <c r="U471" s="34" t="s">
        <v>27</v>
      </c>
      <c r="V471" s="35" t="s">
        <v>27</v>
      </c>
    </row>
    <row r="472" spans="1:22" ht="16.5" thickTop="1" x14ac:dyDescent="0.25">
      <c r="A472" s="18" t="s">
        <v>81</v>
      </c>
      <c r="B472" s="18" t="s">
        <v>945</v>
      </c>
      <c r="C472" s="18" t="s">
        <v>835</v>
      </c>
      <c r="D472" s="18" t="s">
        <v>42</v>
      </c>
      <c r="E472" s="18" t="s">
        <v>27</v>
      </c>
      <c r="F472" s="18" t="s">
        <v>838</v>
      </c>
      <c r="G472" s="18" t="s">
        <v>29</v>
      </c>
      <c r="H472" s="19">
        <v>2006</v>
      </c>
      <c r="I472" s="18" t="s">
        <v>387</v>
      </c>
      <c r="J472" s="101" t="s">
        <v>27</v>
      </c>
      <c r="K472" s="20">
        <v>83.3</v>
      </c>
      <c r="L472" s="21">
        <v>74</v>
      </c>
      <c r="M472" s="22" t="s">
        <v>30</v>
      </c>
      <c r="N472" s="23">
        <v>74</v>
      </c>
      <c r="O472" s="24">
        <v>0.88835534213685474</v>
      </c>
      <c r="P472" s="25" t="str">
        <f>IF(P474="x","x","")</f>
        <v>x</v>
      </c>
      <c r="Q472" s="25" t="str">
        <f>IF(Q474="x","x","")</f>
        <v/>
      </c>
      <c r="R472" s="25" t="str">
        <f>IF(R474="x","x","")</f>
        <v>x</v>
      </c>
      <c r="S472" s="25" t="str">
        <f>IF(S474="x","x","")</f>
        <v/>
      </c>
      <c r="T472" s="25" t="s">
        <v>31</v>
      </c>
      <c r="U472" s="26"/>
      <c r="V472" s="27"/>
    </row>
    <row r="473" spans="1:22" x14ac:dyDescent="0.25">
      <c r="A473" s="18" t="s">
        <v>81</v>
      </c>
      <c r="B473" s="18" t="s">
        <v>945</v>
      </c>
      <c r="C473" s="18" t="s">
        <v>835</v>
      </c>
      <c r="D473" s="18" t="s">
        <v>42</v>
      </c>
      <c r="E473" s="18" t="s">
        <v>27</v>
      </c>
      <c r="F473" s="18" t="s">
        <v>838</v>
      </c>
      <c r="G473" s="18" t="s">
        <v>32</v>
      </c>
      <c r="H473" s="19">
        <v>2011</v>
      </c>
      <c r="I473" s="18" t="s">
        <v>387</v>
      </c>
      <c r="J473" s="101" t="s">
        <v>27</v>
      </c>
      <c r="K473" s="20">
        <v>39</v>
      </c>
      <c r="L473" s="21">
        <v>16.7</v>
      </c>
      <c r="M473" s="22" t="s">
        <v>30</v>
      </c>
      <c r="N473" s="23">
        <v>16.7</v>
      </c>
      <c r="O473" s="24">
        <v>0.42820512820512818</v>
      </c>
      <c r="P473" s="25" t="str">
        <f>IF(P474="x","x","")</f>
        <v>x</v>
      </c>
      <c r="Q473" s="25" t="str">
        <f>IF(Q474="x","x","")</f>
        <v/>
      </c>
      <c r="R473" s="25" t="str">
        <f>IF(R474="x","x","")</f>
        <v>x</v>
      </c>
      <c r="S473" s="25" t="str">
        <f>IF(S474="x","x","")</f>
        <v/>
      </c>
      <c r="T473" s="25" t="s">
        <v>31</v>
      </c>
      <c r="U473" s="26"/>
      <c r="V473" s="27"/>
    </row>
    <row r="474" spans="1:22" ht="16.5" customHeight="1" thickBot="1" x14ac:dyDescent="0.3">
      <c r="A474" s="28" t="str">
        <f>A473</f>
        <v>China</v>
      </c>
      <c r="B474" s="28" t="str">
        <f>B473</f>
        <v>East Asia and Pacific</v>
      </c>
      <c r="C474" s="28" t="str">
        <f>C473</f>
        <v>P093906</v>
      </c>
      <c r="D474" s="28" t="s">
        <v>26</v>
      </c>
      <c r="E474" s="28" t="s">
        <v>27</v>
      </c>
      <c r="F474" s="28" t="str">
        <f>F473</f>
        <v>P093906C2</v>
      </c>
      <c r="G474" s="28" t="s">
        <v>16</v>
      </c>
      <c r="H474" s="29" t="str">
        <f>H472&amp;" / "&amp;H473</f>
        <v>2006 / 2011</v>
      </c>
      <c r="I474" s="29" t="str">
        <f>I473</f>
        <v>Upgrading</v>
      </c>
      <c r="J474" s="97" t="str">
        <f>IFERROR(J473/J472,"")</f>
        <v/>
      </c>
      <c r="K474" s="32">
        <f>K473/K472</f>
        <v>0.46818727490996398</v>
      </c>
      <c r="L474" s="32">
        <f>L473/L472</f>
        <v>0.22567567567567567</v>
      </c>
      <c r="M474" s="28"/>
      <c r="N474" s="32">
        <f>N473/N472</f>
        <v>0.22567567567567567</v>
      </c>
      <c r="O474" s="32">
        <f>O473/O472</f>
        <v>0.48202009702009702</v>
      </c>
      <c r="P474" s="33" t="str">
        <f>IF(K474&lt;50%,"x","")</f>
        <v>x</v>
      </c>
      <c r="Q474" s="33" t="str">
        <f>IF(K474&gt;150%,"x","")</f>
        <v/>
      </c>
      <c r="R474" s="33" t="str">
        <f>IF(O474&lt;50%,"x","")</f>
        <v>x</v>
      </c>
      <c r="S474" s="33" t="str">
        <f>IF(O474&gt;150%,"x","")</f>
        <v/>
      </c>
      <c r="T474" s="33" t="s">
        <v>31</v>
      </c>
      <c r="U474" s="34" t="s">
        <v>1076</v>
      </c>
      <c r="V474" s="35" t="s">
        <v>1077</v>
      </c>
    </row>
    <row r="475" spans="1:22" ht="16.5" thickTop="1" x14ac:dyDescent="0.25">
      <c r="A475" s="18" t="s">
        <v>81</v>
      </c>
      <c r="B475" s="18" t="s">
        <v>945</v>
      </c>
      <c r="C475" s="18" t="s">
        <v>881</v>
      </c>
      <c r="D475" s="18" t="s">
        <v>26</v>
      </c>
      <c r="E475" s="18" t="s">
        <v>27</v>
      </c>
      <c r="F475" s="18" t="s">
        <v>882</v>
      </c>
      <c r="G475" s="18" t="s">
        <v>29</v>
      </c>
      <c r="H475" s="19">
        <v>2009</v>
      </c>
      <c r="I475" s="18" t="s">
        <v>111</v>
      </c>
      <c r="J475" s="101">
        <v>40</v>
      </c>
      <c r="K475" s="20">
        <v>173.6</v>
      </c>
      <c r="L475" s="21">
        <v>1687.8300000000002</v>
      </c>
      <c r="M475" s="22" t="s">
        <v>30</v>
      </c>
      <c r="N475" s="23">
        <v>1687.8300000000002</v>
      </c>
      <c r="O475" s="24">
        <v>9.7225230414746555</v>
      </c>
      <c r="P475" s="25" t="str">
        <f>IF(P477="x","x","")</f>
        <v/>
      </c>
      <c r="Q475" s="25" t="str">
        <f>IF(Q477="x","x","")</f>
        <v/>
      </c>
      <c r="R475" s="25" t="str">
        <f>IF(R477="x","x","")</f>
        <v/>
      </c>
      <c r="S475" s="25" t="str">
        <f>IF(S477="x","x","")</f>
        <v/>
      </c>
      <c r="T475" s="25" t="s">
        <v>27</v>
      </c>
      <c r="U475" s="26"/>
      <c r="V475" s="27"/>
    </row>
    <row r="476" spans="1:22" x14ac:dyDescent="0.25">
      <c r="A476" s="18" t="s">
        <v>81</v>
      </c>
      <c r="B476" s="18" t="s">
        <v>945</v>
      </c>
      <c r="C476" s="18" t="s">
        <v>881</v>
      </c>
      <c r="D476" s="18" t="s">
        <v>26</v>
      </c>
      <c r="E476" s="18" t="s">
        <v>27</v>
      </c>
      <c r="F476" s="18" t="s">
        <v>882</v>
      </c>
      <c r="G476" s="18" t="s">
        <v>32</v>
      </c>
      <c r="H476" s="19">
        <v>2016</v>
      </c>
      <c r="I476" s="18" t="s">
        <v>111</v>
      </c>
      <c r="J476" s="101" t="s">
        <v>27</v>
      </c>
      <c r="K476" s="20">
        <v>173.6</v>
      </c>
      <c r="L476" s="21">
        <v>2000.66</v>
      </c>
      <c r="M476" s="22" t="s">
        <v>30</v>
      </c>
      <c r="N476" s="23">
        <v>2000.66</v>
      </c>
      <c r="O476" s="24">
        <v>11.524539170506912</v>
      </c>
      <c r="P476" s="25" t="str">
        <f>IF(P477="x","x","")</f>
        <v/>
      </c>
      <c r="Q476" s="25" t="str">
        <f>IF(Q477="x","x","")</f>
        <v/>
      </c>
      <c r="R476" s="25" t="str">
        <f>IF(R477="x","x","")</f>
        <v/>
      </c>
      <c r="S476" s="25" t="str">
        <f>IF(S477="x","x","")</f>
        <v/>
      </c>
      <c r="T476" s="25" t="s">
        <v>27</v>
      </c>
      <c r="U476" s="26"/>
      <c r="V476" s="27"/>
    </row>
    <row r="477" spans="1:22" ht="16.5" thickBot="1" x14ac:dyDescent="0.3">
      <c r="A477" s="28" t="str">
        <f>A476</f>
        <v>China</v>
      </c>
      <c r="B477" s="28" t="str">
        <f>B476</f>
        <v>East Asia and Pacific</v>
      </c>
      <c r="C477" s="28" t="str">
        <f>C476</f>
        <v>P101258</v>
      </c>
      <c r="D477" s="28" t="s">
        <v>26</v>
      </c>
      <c r="E477" s="28" t="s">
        <v>27</v>
      </c>
      <c r="F477" s="28" t="str">
        <f>F476</f>
        <v>P101258C1</v>
      </c>
      <c r="G477" s="28" t="s">
        <v>16</v>
      </c>
      <c r="H477" s="29" t="str">
        <f>H475&amp;" / "&amp;H476</f>
        <v>2009 / 2016</v>
      </c>
      <c r="I477" s="29" t="str">
        <f>I476</f>
        <v>New 4L Expressway</v>
      </c>
      <c r="J477" s="97" t="str">
        <f>IFERROR(J476/J475,"")</f>
        <v/>
      </c>
      <c r="K477" s="32">
        <f>K476/K475</f>
        <v>1</v>
      </c>
      <c r="L477" s="32">
        <f>L476/L475</f>
        <v>1.1853444955949355</v>
      </c>
      <c r="M477" s="28"/>
      <c r="N477" s="32">
        <f>N476/N475</f>
        <v>1.1853444955949355</v>
      </c>
      <c r="O477" s="32">
        <f>O476/O475</f>
        <v>1.1853444955949353</v>
      </c>
      <c r="P477" s="33" t="str">
        <f>IF(K477&lt;50%,"x","")</f>
        <v/>
      </c>
      <c r="Q477" s="33" t="str">
        <f>IF(K477&gt;150%,"x","")</f>
        <v/>
      </c>
      <c r="R477" s="33" t="str">
        <f>IF(O477&lt;50%,"x","")</f>
        <v/>
      </c>
      <c r="S477" s="33" t="str">
        <f>IF(O477&gt;150%,"x","")</f>
        <v/>
      </c>
      <c r="T477" s="33" t="s">
        <v>27</v>
      </c>
      <c r="U477" s="34" t="s">
        <v>27</v>
      </c>
      <c r="V477" s="35" t="s">
        <v>27</v>
      </c>
    </row>
    <row r="478" spans="1:22" ht="16.5" thickTop="1" x14ac:dyDescent="0.25">
      <c r="A478" s="18" t="s">
        <v>81</v>
      </c>
      <c r="B478" s="18" t="s">
        <v>945</v>
      </c>
      <c r="C478" s="18" t="s">
        <v>1262</v>
      </c>
      <c r="D478" s="18" t="s">
        <v>26</v>
      </c>
      <c r="E478" s="18" t="s">
        <v>36</v>
      </c>
      <c r="F478" s="18" t="s">
        <v>1287</v>
      </c>
      <c r="G478" s="18" t="s">
        <v>29</v>
      </c>
      <c r="H478" s="19">
        <v>2010</v>
      </c>
      <c r="I478" s="18" t="s">
        <v>111</v>
      </c>
      <c r="J478" s="101" t="s">
        <v>27</v>
      </c>
      <c r="K478" s="20">
        <v>206.26</v>
      </c>
      <c r="L478" s="21">
        <v>468.87</v>
      </c>
      <c r="M478" s="22" t="s">
        <v>589</v>
      </c>
      <c r="N478" s="23">
        <v>69.257016248153619</v>
      </c>
      <c r="O478" s="24">
        <v>0.3357753139152217</v>
      </c>
      <c r="P478" s="25" t="s">
        <v>27</v>
      </c>
      <c r="Q478" s="25" t="s">
        <v>27</v>
      </c>
      <c r="R478" s="25" t="s">
        <v>27</v>
      </c>
      <c r="S478" s="25"/>
      <c r="T478" s="25"/>
      <c r="U478" s="26"/>
      <c r="V478" s="27"/>
    </row>
    <row r="479" spans="1:22" x14ac:dyDescent="0.25">
      <c r="A479" s="18" t="s">
        <v>81</v>
      </c>
      <c r="B479" s="18" t="s">
        <v>945</v>
      </c>
      <c r="C479" s="18" t="s">
        <v>1262</v>
      </c>
      <c r="D479" s="18" t="s">
        <v>26</v>
      </c>
      <c r="E479" s="18" t="s">
        <v>36</v>
      </c>
      <c r="F479" s="18" t="s">
        <v>1287</v>
      </c>
      <c r="G479" s="18" t="s">
        <v>32</v>
      </c>
      <c r="H479" s="19">
        <v>2016</v>
      </c>
      <c r="I479" s="18" t="s">
        <v>111</v>
      </c>
      <c r="J479" s="101" t="s">
        <v>27</v>
      </c>
      <c r="K479" s="20">
        <v>206.26</v>
      </c>
      <c r="L479" s="21">
        <v>571.26</v>
      </c>
      <c r="M479" s="22" t="s">
        <v>589</v>
      </c>
      <c r="N479" s="23">
        <v>86.033132530120483</v>
      </c>
      <c r="O479" s="24">
        <v>0.41711011601920145</v>
      </c>
      <c r="P479" s="25" t="s">
        <v>27</v>
      </c>
      <c r="Q479" s="25" t="s">
        <v>27</v>
      </c>
      <c r="R479" s="25" t="s">
        <v>27</v>
      </c>
      <c r="S479" s="25"/>
      <c r="T479" s="25"/>
      <c r="U479" s="26"/>
      <c r="V479" s="27"/>
    </row>
    <row r="480" spans="1:22" ht="16.5" thickBot="1" x14ac:dyDescent="0.3">
      <c r="A480" s="28" t="str">
        <f>A479</f>
        <v>China</v>
      </c>
      <c r="B480" s="28" t="str">
        <f>B479</f>
        <v>East Asia and Pacific</v>
      </c>
      <c r="C480" s="28" t="str">
        <f>C479</f>
        <v>Project number: 42017-013</v>
      </c>
      <c r="D480" s="28" t="s">
        <v>26</v>
      </c>
      <c r="E480" s="28" t="s">
        <v>27</v>
      </c>
      <c r="F480" s="28" t="str">
        <f>F479</f>
        <v>Project number: 42017-013C1S1</v>
      </c>
      <c r="G480" s="28" t="s">
        <v>16</v>
      </c>
      <c r="H480" s="29" t="str">
        <f>H478&amp;" / "&amp;H479</f>
        <v>2010 / 2016</v>
      </c>
      <c r="I480" s="29" t="str">
        <f>I479</f>
        <v>New 4L Expressway</v>
      </c>
      <c r="J480" s="97" t="str">
        <f>IFERROR(J479/J478,"")</f>
        <v/>
      </c>
      <c r="K480" s="32">
        <f>K479/K478</f>
        <v>1</v>
      </c>
      <c r="L480" s="32">
        <f>L479/L478</f>
        <v>1.2183760957194958</v>
      </c>
      <c r="M480" s="28"/>
      <c r="N480" s="32">
        <f>N479/N478</f>
        <v>1.2422298445814739</v>
      </c>
      <c r="O480" s="32">
        <f>O479/O478</f>
        <v>1.2422298445814739</v>
      </c>
      <c r="P480" s="33" t="s">
        <v>27</v>
      </c>
      <c r="Q480" s="33" t="s">
        <v>27</v>
      </c>
      <c r="R480" s="33" t="s">
        <v>27</v>
      </c>
      <c r="S480" s="33"/>
      <c r="T480" s="33"/>
      <c r="U480" s="34" t="s">
        <v>27</v>
      </c>
      <c r="V480" s="35" t="s">
        <v>27</v>
      </c>
    </row>
    <row r="481" spans="1:22" ht="16.5" thickTop="1" x14ac:dyDescent="0.25">
      <c r="A481" s="18" t="s">
        <v>81</v>
      </c>
      <c r="B481" s="18" t="s">
        <v>945</v>
      </c>
      <c r="C481" s="18" t="s">
        <v>1262</v>
      </c>
      <c r="D481" s="18" t="s">
        <v>26</v>
      </c>
      <c r="E481" s="18" t="s">
        <v>40</v>
      </c>
      <c r="F481" s="18" t="s">
        <v>1288</v>
      </c>
      <c r="G481" s="18" t="s">
        <v>29</v>
      </c>
      <c r="H481" s="19">
        <v>2010</v>
      </c>
      <c r="I481" s="18" t="s">
        <v>387</v>
      </c>
      <c r="J481" s="101" t="s">
        <v>27</v>
      </c>
      <c r="K481" s="20">
        <v>127.92</v>
      </c>
      <c r="L481" s="21">
        <v>41.15</v>
      </c>
      <c r="M481" s="22" t="s">
        <v>589</v>
      </c>
      <c r="N481" s="23">
        <v>6.0782865583456429</v>
      </c>
      <c r="O481" s="24">
        <v>4.7516311431720158E-2</v>
      </c>
      <c r="P481" s="25" t="s">
        <v>27</v>
      </c>
      <c r="Q481" s="25" t="s">
        <v>27</v>
      </c>
      <c r="R481" s="25" t="s">
        <v>27</v>
      </c>
      <c r="S481" s="25"/>
      <c r="T481" s="25"/>
      <c r="U481" s="26"/>
      <c r="V481" s="27"/>
    </row>
    <row r="482" spans="1:22" x14ac:dyDescent="0.25">
      <c r="A482" s="18" t="s">
        <v>81</v>
      </c>
      <c r="B482" s="18" t="s">
        <v>945</v>
      </c>
      <c r="C482" s="18" t="s">
        <v>1262</v>
      </c>
      <c r="D482" s="18" t="s">
        <v>26</v>
      </c>
      <c r="E482" s="18" t="s">
        <v>40</v>
      </c>
      <c r="F482" s="18" t="s">
        <v>1288</v>
      </c>
      <c r="G482" s="18" t="s">
        <v>32</v>
      </c>
      <c r="H482" s="19">
        <v>2016</v>
      </c>
      <c r="I482" s="18" t="s">
        <v>387</v>
      </c>
      <c r="J482" s="101" t="s">
        <v>27</v>
      </c>
      <c r="K482" s="20">
        <v>127.92</v>
      </c>
      <c r="L482" s="21">
        <v>47.25</v>
      </c>
      <c r="M482" s="22" t="s">
        <v>589</v>
      </c>
      <c r="N482" s="23">
        <v>7.1159638554216871</v>
      </c>
      <c r="O482" s="24">
        <v>5.5628235267524133E-2</v>
      </c>
      <c r="P482" s="25" t="s">
        <v>27</v>
      </c>
      <c r="Q482" s="25" t="s">
        <v>27</v>
      </c>
      <c r="R482" s="25" t="s">
        <v>27</v>
      </c>
      <c r="S482" s="25"/>
      <c r="T482" s="25"/>
      <c r="U482" s="26"/>
      <c r="V482" s="27"/>
    </row>
    <row r="483" spans="1:22" ht="16.5" thickBot="1" x14ac:dyDescent="0.3">
      <c r="A483" s="28" t="str">
        <f>A482</f>
        <v>China</v>
      </c>
      <c r="B483" s="28" t="str">
        <f>B482</f>
        <v>East Asia and Pacific</v>
      </c>
      <c r="C483" s="28" t="str">
        <f>C482</f>
        <v>Project number: 42017-013</v>
      </c>
      <c r="D483" s="28" t="s">
        <v>26</v>
      </c>
      <c r="E483" s="28" t="s">
        <v>27</v>
      </c>
      <c r="F483" s="28" t="str">
        <f>F482</f>
        <v>Project number: 42017-013C1S2</v>
      </c>
      <c r="G483" s="28" t="s">
        <v>16</v>
      </c>
      <c r="H483" s="29" t="str">
        <f>H481&amp;" / "&amp;H482</f>
        <v>2010 / 2016</v>
      </c>
      <c r="I483" s="29" t="str">
        <f>I482</f>
        <v>Upgrading</v>
      </c>
      <c r="J483" s="97" t="str">
        <f>IFERROR(J482/J481,"")</f>
        <v/>
      </c>
      <c r="K483" s="32">
        <f>K482/K481</f>
        <v>1</v>
      </c>
      <c r="L483" s="32">
        <f>L482/L481</f>
        <v>1.1482381530984205</v>
      </c>
      <c r="M483" s="28"/>
      <c r="N483" s="32">
        <f>N482/N481</f>
        <v>1.1707187193488413</v>
      </c>
      <c r="O483" s="32">
        <f>O482/O481</f>
        <v>1.1707187193488413</v>
      </c>
      <c r="P483" s="33" t="s">
        <v>27</v>
      </c>
      <c r="Q483" s="33" t="s">
        <v>27</v>
      </c>
      <c r="R483" s="33" t="s">
        <v>27</v>
      </c>
      <c r="S483" s="33"/>
      <c r="T483" s="33"/>
      <c r="U483" s="34" t="s">
        <v>27</v>
      </c>
      <c r="V483" s="35" t="s">
        <v>27</v>
      </c>
    </row>
    <row r="484" spans="1:22" ht="16.5" thickTop="1" x14ac:dyDescent="0.25">
      <c r="A484" s="18" t="s">
        <v>81</v>
      </c>
      <c r="B484" s="18" t="s">
        <v>945</v>
      </c>
      <c r="C484" s="18" t="s">
        <v>1262</v>
      </c>
      <c r="D484" s="18" t="s">
        <v>26</v>
      </c>
      <c r="E484" s="18" t="s">
        <v>69</v>
      </c>
      <c r="F484" s="18" t="s">
        <v>1289</v>
      </c>
      <c r="G484" s="18" t="s">
        <v>29</v>
      </c>
      <c r="H484" s="19">
        <v>2010</v>
      </c>
      <c r="I484" s="18" t="s">
        <v>213</v>
      </c>
      <c r="J484" s="101" t="s">
        <v>27</v>
      </c>
      <c r="K484" s="20">
        <v>12.88</v>
      </c>
      <c r="L484" s="21">
        <v>78.91</v>
      </c>
      <c r="M484" s="22" t="s">
        <v>589</v>
      </c>
      <c r="N484" s="23">
        <v>11.655834564254063</v>
      </c>
      <c r="O484" s="24">
        <v>0.90495609970916635</v>
      </c>
      <c r="P484" s="25" t="s">
        <v>27</v>
      </c>
      <c r="Q484" s="25" t="s">
        <v>27</v>
      </c>
      <c r="R484" s="25" t="s">
        <v>27</v>
      </c>
      <c r="S484" s="25"/>
      <c r="T484" s="25"/>
      <c r="U484" s="26"/>
      <c r="V484" s="27"/>
    </row>
    <row r="485" spans="1:22" x14ac:dyDescent="0.25">
      <c r="A485" s="18" t="s">
        <v>81</v>
      </c>
      <c r="B485" s="18" t="s">
        <v>945</v>
      </c>
      <c r="C485" s="18" t="s">
        <v>1262</v>
      </c>
      <c r="D485" s="18" t="s">
        <v>26</v>
      </c>
      <c r="E485" s="18" t="s">
        <v>69</v>
      </c>
      <c r="F485" s="18" t="s">
        <v>1289</v>
      </c>
      <c r="G485" s="18" t="s">
        <v>32</v>
      </c>
      <c r="H485" s="19">
        <v>2016</v>
      </c>
      <c r="I485" s="18" t="s">
        <v>213</v>
      </c>
      <c r="J485" s="101" t="s">
        <v>27</v>
      </c>
      <c r="K485" s="20">
        <v>12.88</v>
      </c>
      <c r="L485" s="21">
        <v>99.11</v>
      </c>
      <c r="M485" s="22" t="s">
        <v>589</v>
      </c>
      <c r="N485" s="23">
        <v>14.926204819277109</v>
      </c>
      <c r="O485" s="24">
        <v>1.1588668337948065</v>
      </c>
      <c r="P485" s="25" t="s">
        <v>27</v>
      </c>
      <c r="Q485" s="25" t="s">
        <v>27</v>
      </c>
      <c r="R485" s="25" t="s">
        <v>27</v>
      </c>
      <c r="S485" s="25"/>
      <c r="T485" s="25"/>
      <c r="U485" s="26"/>
      <c r="V485" s="27"/>
    </row>
    <row r="486" spans="1:22" ht="16.5" thickBot="1" x14ac:dyDescent="0.3">
      <c r="A486" s="28" t="str">
        <f>A485</f>
        <v>China</v>
      </c>
      <c r="B486" s="28" t="str">
        <f>B485</f>
        <v>East Asia and Pacific</v>
      </c>
      <c r="C486" s="28" t="str">
        <f>C485</f>
        <v>Project number: 42017-013</v>
      </c>
      <c r="D486" s="28" t="s">
        <v>26</v>
      </c>
      <c r="E486" s="28" t="s">
        <v>27</v>
      </c>
      <c r="F486" s="28" t="str">
        <f>F485</f>
        <v>Project number: 42017-013C1S3</v>
      </c>
      <c r="G486" s="28" t="s">
        <v>16</v>
      </c>
      <c r="H486" s="29" t="str">
        <f>H484&amp;" / "&amp;H485</f>
        <v>2010 / 2016</v>
      </c>
      <c r="I486" s="29" t="str">
        <f>I485</f>
        <v>New 2L Highway</v>
      </c>
      <c r="J486" s="97" t="str">
        <f>IFERROR(J485/J484,"")</f>
        <v/>
      </c>
      <c r="K486" s="32">
        <f>K485/K484</f>
        <v>1</v>
      </c>
      <c r="L486" s="32">
        <f>L485/L484</f>
        <v>1.2559878342415411</v>
      </c>
      <c r="M486" s="28"/>
      <c r="N486" s="32">
        <f>N485/N484</f>
        <v>1.280577957502294</v>
      </c>
      <c r="O486" s="32">
        <f>O485/O484</f>
        <v>1.280577957502294</v>
      </c>
      <c r="P486" s="33" t="s">
        <v>27</v>
      </c>
      <c r="Q486" s="33" t="s">
        <v>27</v>
      </c>
      <c r="R486" s="33" t="s">
        <v>27</v>
      </c>
      <c r="S486" s="33"/>
      <c r="T486" s="33"/>
      <c r="U486" s="34" t="s">
        <v>27</v>
      </c>
      <c r="V486" s="35" t="s">
        <v>27</v>
      </c>
    </row>
    <row r="487" spans="1:22" ht="16.5" thickTop="1" x14ac:dyDescent="0.25">
      <c r="A487" s="18" t="s">
        <v>102</v>
      </c>
      <c r="B487" s="18" t="s">
        <v>950</v>
      </c>
      <c r="C487" s="18" t="s">
        <v>103</v>
      </c>
      <c r="D487" s="18" t="s">
        <v>26</v>
      </c>
      <c r="E487" s="18" t="s">
        <v>27</v>
      </c>
      <c r="F487" s="18" t="s">
        <v>104</v>
      </c>
      <c r="G487" s="18" t="s">
        <v>29</v>
      </c>
      <c r="H487" s="19">
        <v>2007</v>
      </c>
      <c r="I487" s="18" t="s">
        <v>38</v>
      </c>
      <c r="J487" s="101">
        <v>21</v>
      </c>
      <c r="K487" s="20">
        <v>1256</v>
      </c>
      <c r="L487" s="21">
        <v>144</v>
      </c>
      <c r="M487" s="22" t="s">
        <v>30</v>
      </c>
      <c r="N487" s="23">
        <v>144</v>
      </c>
      <c r="O487" s="24">
        <v>0.11464968152866242</v>
      </c>
      <c r="P487" s="25" t="str">
        <f>IF(P489="x","x","")</f>
        <v/>
      </c>
      <c r="Q487" s="25" t="str">
        <f>IF(Q489="x","x","")</f>
        <v/>
      </c>
      <c r="R487" s="25" t="str">
        <f>IF(R489="x","x","")</f>
        <v/>
      </c>
      <c r="S487" s="25" t="str">
        <f>IF(S489="x","x","")</f>
        <v>x</v>
      </c>
      <c r="T487" s="25" t="s">
        <v>31</v>
      </c>
      <c r="U487" s="26"/>
      <c r="V487" s="27"/>
    </row>
    <row r="488" spans="1:22" x14ac:dyDescent="0.25">
      <c r="A488" s="18" t="s">
        <v>102</v>
      </c>
      <c r="B488" s="18" t="s">
        <v>950</v>
      </c>
      <c r="C488" s="18" t="s">
        <v>103</v>
      </c>
      <c r="D488" s="18" t="s">
        <v>26</v>
      </c>
      <c r="E488" s="18" t="s">
        <v>27</v>
      </c>
      <c r="F488" s="18" t="s">
        <v>104</v>
      </c>
      <c r="G488" s="18" t="s">
        <v>32</v>
      </c>
      <c r="H488" s="19">
        <v>2010</v>
      </c>
      <c r="I488" s="18" t="s">
        <v>38</v>
      </c>
      <c r="J488" s="101">
        <v>72</v>
      </c>
      <c r="K488" s="20">
        <v>1047</v>
      </c>
      <c r="L488" s="21">
        <v>207</v>
      </c>
      <c r="M488" s="22" t="s">
        <v>30</v>
      </c>
      <c r="N488" s="23">
        <v>207</v>
      </c>
      <c r="O488" s="24">
        <v>0.19770773638968481</v>
      </c>
      <c r="P488" s="25" t="str">
        <f>IF(P489="x","x","")</f>
        <v/>
      </c>
      <c r="Q488" s="25" t="str">
        <f>IF(Q489="x","x","")</f>
        <v/>
      </c>
      <c r="R488" s="25" t="str">
        <f>IF(R489="x","x","")</f>
        <v/>
      </c>
      <c r="S488" s="25" t="str">
        <f>IF(S489="x","x","")</f>
        <v>x</v>
      </c>
      <c r="T488" s="25" t="s">
        <v>31</v>
      </c>
      <c r="U488" s="26"/>
      <c r="V488" s="27"/>
    </row>
    <row r="489" spans="1:22" ht="28.5" customHeight="1" thickBot="1" x14ac:dyDescent="0.3">
      <c r="A489" s="28" t="str">
        <f>A488</f>
        <v>Congo, Dem. Rep.</v>
      </c>
      <c r="B489" s="28" t="str">
        <f>B488</f>
        <v>Sub-Saharan Africa</v>
      </c>
      <c r="C489" s="28" t="str">
        <f>C488</f>
        <v>P057296</v>
      </c>
      <c r="D489" s="28" t="s">
        <v>26</v>
      </c>
      <c r="E489" s="28" t="s">
        <v>27</v>
      </c>
      <c r="F489" s="28" t="str">
        <f>F488</f>
        <v>P057296C1</v>
      </c>
      <c r="G489" s="28" t="s">
        <v>16</v>
      </c>
      <c r="H489" s="29" t="str">
        <f>H487&amp;" / "&amp;H488</f>
        <v>2007 / 2010</v>
      </c>
      <c r="I489" s="29" t="str">
        <f>I488</f>
        <v>Strengthening</v>
      </c>
      <c r="J489" s="97">
        <f>IFERROR(J488/J487,"")</f>
        <v>3.4285714285714284</v>
      </c>
      <c r="K489" s="32">
        <f>K488/K487</f>
        <v>0.83359872611464969</v>
      </c>
      <c r="L489" s="32">
        <f>L488/L487</f>
        <v>1.4375</v>
      </c>
      <c r="M489" s="28"/>
      <c r="N489" s="32">
        <f>N488/N487</f>
        <v>1.4375</v>
      </c>
      <c r="O489" s="32">
        <f>O488/O487</f>
        <v>1.7244508118433619</v>
      </c>
      <c r="P489" s="33" t="str">
        <f>IF(K489&lt;50%,"x","")</f>
        <v/>
      </c>
      <c r="Q489" s="33" t="str">
        <f>IF(K489&gt;150%,"x","")</f>
        <v/>
      </c>
      <c r="R489" s="33" t="str">
        <f>IF(O489&lt;50%,"x","")</f>
        <v/>
      </c>
      <c r="S489" s="33" t="str">
        <f>IF(O489&gt;150%,"x","")</f>
        <v>x</v>
      </c>
      <c r="T489" s="33" t="s">
        <v>31</v>
      </c>
      <c r="U489" s="34" t="s">
        <v>1121</v>
      </c>
      <c r="V489" s="35" t="s">
        <v>1122</v>
      </c>
    </row>
    <row r="490" spans="1:22" ht="16.5" thickTop="1" x14ac:dyDescent="0.25">
      <c r="A490" s="18" t="s">
        <v>58</v>
      </c>
      <c r="B490" s="18" t="s">
        <v>947</v>
      </c>
      <c r="C490" s="18" t="s">
        <v>59</v>
      </c>
      <c r="D490" s="18" t="s">
        <v>60</v>
      </c>
      <c r="E490" s="18" t="s">
        <v>27</v>
      </c>
      <c r="F490" s="18" t="s">
        <v>61</v>
      </c>
      <c r="G490" s="18" t="s">
        <v>29</v>
      </c>
      <c r="H490" s="19">
        <v>2003</v>
      </c>
      <c r="I490" s="18" t="s">
        <v>111</v>
      </c>
      <c r="J490" s="101">
        <v>30</v>
      </c>
      <c r="K490" s="20">
        <v>6.5</v>
      </c>
      <c r="L490" s="21">
        <v>87.8</v>
      </c>
      <c r="M490" s="22" t="s">
        <v>30</v>
      </c>
      <c r="N490" s="23">
        <v>87.8</v>
      </c>
      <c r="O490" s="24">
        <v>13.507692307692308</v>
      </c>
      <c r="P490" s="25" t="str">
        <f>IF(P492="x","x","")</f>
        <v/>
      </c>
      <c r="Q490" s="25" t="str">
        <f>IF(Q492="x","x","")</f>
        <v/>
      </c>
      <c r="R490" s="25" t="str">
        <f>IF(R492="x","x","")</f>
        <v/>
      </c>
      <c r="S490" s="25" t="str">
        <f>IF(S492="x","x","")</f>
        <v/>
      </c>
      <c r="T490" s="25" t="s">
        <v>27</v>
      </c>
      <c r="U490" s="26"/>
      <c r="V490" s="27"/>
    </row>
    <row r="491" spans="1:22" x14ac:dyDescent="0.25">
      <c r="A491" s="18" t="s">
        <v>58</v>
      </c>
      <c r="B491" s="18" t="s">
        <v>947</v>
      </c>
      <c r="C491" s="18" t="s">
        <v>59</v>
      </c>
      <c r="D491" s="18" t="s">
        <v>60</v>
      </c>
      <c r="E491" s="18" t="s">
        <v>27</v>
      </c>
      <c r="F491" s="18" t="s">
        <v>61</v>
      </c>
      <c r="G491" s="18" t="s">
        <v>32</v>
      </c>
      <c r="H491" s="19">
        <v>2013</v>
      </c>
      <c r="I491" s="18" t="s">
        <v>111</v>
      </c>
      <c r="J491" s="101">
        <v>39</v>
      </c>
      <c r="K491" s="20">
        <v>6.36</v>
      </c>
      <c r="L491" s="21">
        <v>117.4</v>
      </c>
      <c r="M491" s="22" t="s">
        <v>30</v>
      </c>
      <c r="N491" s="23">
        <v>117.4</v>
      </c>
      <c r="O491" s="24">
        <v>18.459119496855347</v>
      </c>
      <c r="P491" s="25" t="str">
        <f>IF(P492="x","x","")</f>
        <v/>
      </c>
      <c r="Q491" s="25" t="str">
        <f>IF(Q492="x","x","")</f>
        <v/>
      </c>
      <c r="R491" s="25" t="str">
        <f>IF(R492="x","x","")</f>
        <v/>
      </c>
      <c r="S491" s="25" t="str">
        <f>IF(S492="x","x","")</f>
        <v/>
      </c>
      <c r="T491" s="25" t="s">
        <v>27</v>
      </c>
      <c r="U491" s="26"/>
      <c r="V491" s="27"/>
    </row>
    <row r="492" spans="1:22" ht="16.5" thickBot="1" x14ac:dyDescent="0.3">
      <c r="A492" s="28" t="str">
        <f>A491</f>
        <v>Croatia</v>
      </c>
      <c r="B492" s="28" t="str">
        <f>B491</f>
        <v>Europe and Central Asia</v>
      </c>
      <c r="C492" s="28" t="str">
        <f>C491</f>
        <v>P043195</v>
      </c>
      <c r="D492" s="28" t="s">
        <v>26</v>
      </c>
      <c r="E492" s="28" t="s">
        <v>27</v>
      </c>
      <c r="F492" s="28" t="str">
        <f>F491</f>
        <v>P043195C3</v>
      </c>
      <c r="G492" s="28" t="s">
        <v>16</v>
      </c>
      <c r="H492" s="29" t="str">
        <f>H490&amp;" / "&amp;H491</f>
        <v>2003 / 2013</v>
      </c>
      <c r="I492" s="29" t="str">
        <f>I491</f>
        <v>New 4L Expressway</v>
      </c>
      <c r="J492" s="97">
        <f>IFERROR(J491/J490,"")</f>
        <v>1.3</v>
      </c>
      <c r="K492" s="32">
        <f>K491/K490</f>
        <v>0.97846153846153849</v>
      </c>
      <c r="L492" s="32">
        <f>L491/L490</f>
        <v>1.3371298405466971</v>
      </c>
      <c r="M492" s="28"/>
      <c r="N492" s="32">
        <f>N491/N490</f>
        <v>1.3371298405466971</v>
      </c>
      <c r="O492" s="32">
        <f>O491/O490</f>
        <v>1.3665635162820018</v>
      </c>
      <c r="P492" s="33" t="str">
        <f>IF(K492&lt;50%,"x","")</f>
        <v/>
      </c>
      <c r="Q492" s="33" t="str">
        <f>IF(K492&gt;150%,"x","")</f>
        <v/>
      </c>
      <c r="R492" s="33" t="str">
        <f>IF(O492&lt;50%,"x","")</f>
        <v/>
      </c>
      <c r="S492" s="33" t="str">
        <f>IF(O492&gt;150%,"x","")</f>
        <v/>
      </c>
      <c r="T492" s="33" t="s">
        <v>27</v>
      </c>
      <c r="U492" s="34" t="s">
        <v>27</v>
      </c>
      <c r="V492" s="35" t="s">
        <v>27</v>
      </c>
    </row>
    <row r="493" spans="1:22" ht="16.5" thickTop="1" x14ac:dyDescent="0.25">
      <c r="A493" s="18" t="s">
        <v>600</v>
      </c>
      <c r="B493" s="18" t="s">
        <v>949</v>
      </c>
      <c r="C493" s="18" t="s">
        <v>601</v>
      </c>
      <c r="D493" s="18" t="s">
        <v>26</v>
      </c>
      <c r="E493" s="18" t="s">
        <v>27</v>
      </c>
      <c r="F493" s="18" t="s">
        <v>602</v>
      </c>
      <c r="G493" s="18" t="s">
        <v>29</v>
      </c>
      <c r="H493" s="19">
        <v>2000</v>
      </c>
      <c r="I493" s="18" t="s">
        <v>359</v>
      </c>
      <c r="J493" s="101">
        <v>12</v>
      </c>
      <c r="K493" s="20">
        <v>102</v>
      </c>
      <c r="L493" s="21">
        <v>12</v>
      </c>
      <c r="M493" s="22" t="s">
        <v>30</v>
      </c>
      <c r="N493" s="23">
        <v>12</v>
      </c>
      <c r="O493" s="24">
        <v>0.11764705882352941</v>
      </c>
      <c r="P493" s="25" t="str">
        <f>IF(P495="x","x","")</f>
        <v/>
      </c>
      <c r="Q493" s="25" t="str">
        <f>IF(Q495="x","x","")</f>
        <v/>
      </c>
      <c r="R493" s="25" t="str">
        <f>IF(R495="x","x","")</f>
        <v/>
      </c>
      <c r="S493" s="25" t="str">
        <f>IF(S495="x","x","")</f>
        <v/>
      </c>
      <c r="T493" s="25" t="s">
        <v>27</v>
      </c>
      <c r="U493" s="26"/>
      <c r="V493" s="27"/>
    </row>
    <row r="494" spans="1:22" x14ac:dyDescent="0.25">
      <c r="A494" s="18" t="s">
        <v>600</v>
      </c>
      <c r="B494" s="18" t="s">
        <v>949</v>
      </c>
      <c r="C494" s="18" t="s">
        <v>601</v>
      </c>
      <c r="D494" s="18" t="s">
        <v>26</v>
      </c>
      <c r="E494" s="18" t="s">
        <v>27</v>
      </c>
      <c r="F494" s="18" t="s">
        <v>602</v>
      </c>
      <c r="G494" s="18" t="s">
        <v>32</v>
      </c>
      <c r="H494" s="19">
        <v>2006</v>
      </c>
      <c r="I494" s="18" t="s">
        <v>359</v>
      </c>
      <c r="J494" s="101">
        <v>18</v>
      </c>
      <c r="K494" s="20">
        <v>98</v>
      </c>
      <c r="L494" s="21">
        <v>13.7</v>
      </c>
      <c r="M494" s="22" t="s">
        <v>30</v>
      </c>
      <c r="N494" s="23">
        <v>13.7</v>
      </c>
      <c r="O494" s="24">
        <v>0.13979591836734692</v>
      </c>
      <c r="P494" s="25" t="str">
        <f>IF(P495="x","x","")</f>
        <v/>
      </c>
      <c r="Q494" s="25" t="str">
        <f>IF(Q495="x","x","")</f>
        <v/>
      </c>
      <c r="R494" s="25" t="str">
        <f>IF(R495="x","x","")</f>
        <v/>
      </c>
      <c r="S494" s="25" t="str">
        <f>IF(S495="x","x","")</f>
        <v/>
      </c>
      <c r="T494" s="25" t="s">
        <v>27</v>
      </c>
      <c r="U494" s="26"/>
      <c r="V494" s="27"/>
    </row>
    <row r="495" spans="1:22" ht="16.5" thickBot="1" x14ac:dyDescent="0.3">
      <c r="A495" s="28" t="str">
        <f>A494</f>
        <v>Djibouti</v>
      </c>
      <c r="B495" s="28" t="str">
        <f>B494</f>
        <v>Middle East and North Africa</v>
      </c>
      <c r="C495" s="28" t="str">
        <f>C494</f>
        <v>P069930</v>
      </c>
      <c r="D495" s="28" t="s">
        <v>26</v>
      </c>
      <c r="E495" s="28" t="s">
        <v>27</v>
      </c>
      <c r="F495" s="28" t="str">
        <f>F494</f>
        <v>P069930C1</v>
      </c>
      <c r="G495" s="28" t="s">
        <v>16</v>
      </c>
      <c r="H495" s="29" t="str">
        <f>H493&amp;" / "&amp;H494</f>
        <v>2000 / 2006</v>
      </c>
      <c r="I495" s="29" t="str">
        <f>I494</f>
        <v>Reconstruction</v>
      </c>
      <c r="J495" s="97">
        <f>IFERROR(J494/J493,"")</f>
        <v>1.5</v>
      </c>
      <c r="K495" s="32">
        <f>K494/K493</f>
        <v>0.96078431372549022</v>
      </c>
      <c r="L495" s="32">
        <f>L494/L493</f>
        <v>1.1416666666666666</v>
      </c>
      <c r="M495" s="28"/>
      <c r="N495" s="32">
        <f>N494/N493</f>
        <v>1.1416666666666666</v>
      </c>
      <c r="O495" s="32">
        <f>O494/O493</f>
        <v>1.1882653061224488</v>
      </c>
      <c r="P495" s="33" t="str">
        <f>IF(K495&lt;50%,"x","")</f>
        <v/>
      </c>
      <c r="Q495" s="33" t="str">
        <f>IF(K495&gt;150%,"x","")</f>
        <v/>
      </c>
      <c r="R495" s="33" t="str">
        <f>IF(O495&lt;50%,"x","")</f>
        <v/>
      </c>
      <c r="S495" s="33" t="str">
        <f>IF(O495&gt;150%,"x","")</f>
        <v/>
      </c>
      <c r="T495" s="33" t="s">
        <v>27</v>
      </c>
      <c r="U495" s="34" t="s">
        <v>27</v>
      </c>
      <c r="V495" s="35" t="s">
        <v>27</v>
      </c>
    </row>
    <row r="496" spans="1:22" ht="16.5" thickTop="1" x14ac:dyDescent="0.25">
      <c r="A496" s="18" t="s">
        <v>600</v>
      </c>
      <c r="B496" s="18" t="s">
        <v>949</v>
      </c>
      <c r="C496" s="18" t="s">
        <v>601</v>
      </c>
      <c r="D496" s="18" t="s">
        <v>42</v>
      </c>
      <c r="E496" s="18" t="s">
        <v>27</v>
      </c>
      <c r="F496" s="18" t="s">
        <v>603</v>
      </c>
      <c r="G496" s="18" t="s">
        <v>29</v>
      </c>
      <c r="H496" s="19">
        <v>2000</v>
      </c>
      <c r="I496" s="18" t="s">
        <v>68</v>
      </c>
      <c r="J496" s="101">
        <v>12</v>
      </c>
      <c r="K496" s="20">
        <v>86</v>
      </c>
      <c r="L496" s="21">
        <v>2</v>
      </c>
      <c r="M496" s="22" t="s">
        <v>30</v>
      </c>
      <c r="N496" s="23">
        <v>2</v>
      </c>
      <c r="O496" s="24">
        <v>2.3255813953488372E-2</v>
      </c>
      <c r="P496" s="25" t="str">
        <f>IF(P498="x","x","")</f>
        <v/>
      </c>
      <c r="Q496" s="25" t="str">
        <f>IF(Q498="x","x","")</f>
        <v/>
      </c>
      <c r="R496" s="25" t="str">
        <f>IF(R498="x","x","")</f>
        <v/>
      </c>
      <c r="S496" s="25" t="str">
        <f>IF(S498="x","x","")</f>
        <v/>
      </c>
      <c r="T496" s="25" t="s">
        <v>27</v>
      </c>
      <c r="U496" s="26"/>
      <c r="V496" s="27"/>
    </row>
    <row r="497" spans="1:22" x14ac:dyDescent="0.25">
      <c r="A497" s="18" t="s">
        <v>600</v>
      </c>
      <c r="B497" s="18" t="s">
        <v>949</v>
      </c>
      <c r="C497" s="18" t="s">
        <v>601</v>
      </c>
      <c r="D497" s="18" t="s">
        <v>42</v>
      </c>
      <c r="E497" s="18" t="s">
        <v>27</v>
      </c>
      <c r="F497" s="18" t="s">
        <v>603</v>
      </c>
      <c r="G497" s="18" t="s">
        <v>32</v>
      </c>
      <c r="H497" s="19">
        <v>2006</v>
      </c>
      <c r="I497" s="18" t="s">
        <v>68</v>
      </c>
      <c r="J497" s="101">
        <v>12</v>
      </c>
      <c r="K497" s="20">
        <v>88</v>
      </c>
      <c r="L497" s="21">
        <v>2.95</v>
      </c>
      <c r="M497" s="22" t="s">
        <v>30</v>
      </c>
      <c r="N497" s="23">
        <v>2.95</v>
      </c>
      <c r="O497" s="24">
        <v>3.3522727272727273E-2</v>
      </c>
      <c r="P497" s="25" t="str">
        <f>IF(P498="x","x","")</f>
        <v/>
      </c>
      <c r="Q497" s="25" t="str">
        <f>IF(Q498="x","x","")</f>
        <v/>
      </c>
      <c r="R497" s="25" t="str">
        <f>IF(R498="x","x","")</f>
        <v/>
      </c>
      <c r="S497" s="25" t="str">
        <f>IF(S498="x","x","")</f>
        <v/>
      </c>
      <c r="T497" s="25" t="s">
        <v>27</v>
      </c>
      <c r="U497" s="26"/>
      <c r="V497" s="27"/>
    </row>
    <row r="498" spans="1:22" ht="16.5" thickBot="1" x14ac:dyDescent="0.3">
      <c r="A498" s="28" t="str">
        <f>A497</f>
        <v>Djibouti</v>
      </c>
      <c r="B498" s="28" t="str">
        <f>B497</f>
        <v>Middle East and North Africa</v>
      </c>
      <c r="C498" s="28" t="str">
        <f>C497</f>
        <v>P069930</v>
      </c>
      <c r="D498" s="28" t="s">
        <v>26</v>
      </c>
      <c r="E498" s="28" t="s">
        <v>27</v>
      </c>
      <c r="F498" s="28" t="str">
        <f>F497</f>
        <v>P069930C2</v>
      </c>
      <c r="G498" s="28" t="s">
        <v>16</v>
      </c>
      <c r="H498" s="29" t="str">
        <f>H496&amp;" / "&amp;H497</f>
        <v>2000 / 2006</v>
      </c>
      <c r="I498" s="29" t="str">
        <f>I497</f>
        <v>Asphalt Mix Resurfacing</v>
      </c>
      <c r="J498" s="97">
        <f>IFERROR(J497/J496,"")</f>
        <v>1</v>
      </c>
      <c r="K498" s="32">
        <f>K497/K496</f>
        <v>1.0232558139534884</v>
      </c>
      <c r="L498" s="32">
        <f>L497/L496</f>
        <v>1.4750000000000001</v>
      </c>
      <c r="M498" s="28"/>
      <c r="N498" s="32">
        <f>N497/N496</f>
        <v>1.4750000000000001</v>
      </c>
      <c r="O498" s="32">
        <f>O497/O496</f>
        <v>1.4414772727272729</v>
      </c>
      <c r="P498" s="33" t="str">
        <f>IF(K498&lt;50%,"x","")</f>
        <v/>
      </c>
      <c r="Q498" s="33" t="str">
        <f>IF(K498&gt;150%,"x","")</f>
        <v/>
      </c>
      <c r="R498" s="33" t="str">
        <f>IF(O498&lt;50%,"x","")</f>
        <v/>
      </c>
      <c r="S498" s="33" t="str">
        <f>IF(O498&gt;150%,"x","")</f>
        <v/>
      </c>
      <c r="T498" s="33" t="s">
        <v>27</v>
      </c>
      <c r="U498" s="34" t="s">
        <v>27</v>
      </c>
      <c r="V498" s="35" t="s">
        <v>27</v>
      </c>
    </row>
    <row r="499" spans="1:22" ht="16.5" thickTop="1" x14ac:dyDescent="0.25">
      <c r="A499" s="18" t="s">
        <v>45</v>
      </c>
      <c r="B499" s="18" t="s">
        <v>947</v>
      </c>
      <c r="C499" s="18" t="s">
        <v>46</v>
      </c>
      <c r="D499" s="18" t="s">
        <v>26</v>
      </c>
      <c r="E499" s="18" t="s">
        <v>27</v>
      </c>
      <c r="F499" s="18" t="s">
        <v>47</v>
      </c>
      <c r="G499" s="18" t="s">
        <v>29</v>
      </c>
      <c r="H499" s="19">
        <v>2000</v>
      </c>
      <c r="I499" s="18" t="s">
        <v>359</v>
      </c>
      <c r="J499" s="101" t="s">
        <v>27</v>
      </c>
      <c r="K499" s="20">
        <v>176</v>
      </c>
      <c r="L499" s="21">
        <v>43.3</v>
      </c>
      <c r="M499" s="22" t="s">
        <v>30</v>
      </c>
      <c r="N499" s="23">
        <v>43.3</v>
      </c>
      <c r="O499" s="24">
        <v>0.24602272727272725</v>
      </c>
      <c r="P499" s="25" t="str">
        <f>IF(P501="x","x","")</f>
        <v/>
      </c>
      <c r="Q499" s="25" t="str">
        <f>IF(Q501="x","x","")</f>
        <v/>
      </c>
      <c r="R499" s="25" t="str">
        <f>IF(R501="x","x","")</f>
        <v/>
      </c>
      <c r="S499" s="25" t="str">
        <f>IF(S501="x","x","")</f>
        <v/>
      </c>
      <c r="T499" s="25" t="s">
        <v>27</v>
      </c>
      <c r="U499" s="26"/>
      <c r="V499" s="27" t="s">
        <v>1197</v>
      </c>
    </row>
    <row r="500" spans="1:22" x14ac:dyDescent="0.25">
      <c r="A500" s="18" t="s">
        <v>45</v>
      </c>
      <c r="B500" s="18" t="s">
        <v>947</v>
      </c>
      <c r="C500" s="18" t="s">
        <v>46</v>
      </c>
      <c r="D500" s="18" t="s">
        <v>26</v>
      </c>
      <c r="E500" s="18" t="s">
        <v>27</v>
      </c>
      <c r="F500" s="18" t="s">
        <v>47</v>
      </c>
      <c r="G500" s="18" t="s">
        <v>32</v>
      </c>
      <c r="H500" s="19">
        <v>2005</v>
      </c>
      <c r="I500" s="18" t="s">
        <v>359</v>
      </c>
      <c r="J500" s="101" t="s">
        <v>27</v>
      </c>
      <c r="K500" s="20">
        <v>240</v>
      </c>
      <c r="L500" s="21">
        <v>49.29</v>
      </c>
      <c r="M500" s="22" t="s">
        <v>30</v>
      </c>
      <c r="N500" s="23">
        <v>49.29</v>
      </c>
      <c r="O500" s="24">
        <v>0.205375</v>
      </c>
      <c r="P500" s="25" t="str">
        <f>IF(P501="x","x","")</f>
        <v/>
      </c>
      <c r="Q500" s="25" t="str">
        <f>IF(Q501="x","x","")</f>
        <v/>
      </c>
      <c r="R500" s="25" t="str">
        <f>IF(R501="x","x","")</f>
        <v/>
      </c>
      <c r="S500" s="25" t="str">
        <f>IF(S501="x","x","")</f>
        <v/>
      </c>
      <c r="T500" s="25" t="s">
        <v>27</v>
      </c>
      <c r="U500" s="26"/>
      <c r="V500" s="27"/>
    </row>
    <row r="501" spans="1:22" ht="16.5" thickBot="1" x14ac:dyDescent="0.3">
      <c r="A501" s="28" t="str">
        <f>A500</f>
        <v>Estonia</v>
      </c>
      <c r="B501" s="28" t="str">
        <f>B500</f>
        <v>Europe and Central Asia</v>
      </c>
      <c r="C501" s="28" t="str">
        <f>C500</f>
        <v>P035775</v>
      </c>
      <c r="D501" s="28" t="s">
        <v>26</v>
      </c>
      <c r="E501" s="28" t="s">
        <v>27</v>
      </c>
      <c r="F501" s="28" t="str">
        <f>F500</f>
        <v>P035775C1</v>
      </c>
      <c r="G501" s="28" t="s">
        <v>16</v>
      </c>
      <c r="H501" s="29" t="str">
        <f>H499&amp;" / "&amp;H500</f>
        <v>2000 / 2005</v>
      </c>
      <c r="I501" s="29" t="str">
        <f>I500</f>
        <v>Reconstruction</v>
      </c>
      <c r="J501" s="97" t="str">
        <f>IFERROR(J500/J499,"")</f>
        <v/>
      </c>
      <c r="K501" s="32">
        <f>K500/K499</f>
        <v>1.3636363636363635</v>
      </c>
      <c r="L501" s="32">
        <f>L500/L499</f>
        <v>1.1383371824480371</v>
      </c>
      <c r="M501" s="28"/>
      <c r="N501" s="32">
        <f>N500/N499</f>
        <v>1.1383371824480371</v>
      </c>
      <c r="O501" s="32">
        <f>O500/O499</f>
        <v>0.83478060046189384</v>
      </c>
      <c r="P501" s="33" t="str">
        <f>IF(K501&lt;50%,"x","")</f>
        <v/>
      </c>
      <c r="Q501" s="33" t="str">
        <f>IF(K501&gt;150%,"x","")</f>
        <v/>
      </c>
      <c r="R501" s="33" t="str">
        <f>IF(O501&lt;50%,"x","")</f>
        <v/>
      </c>
      <c r="S501" s="33" t="str">
        <f>IF(O501&gt;150%,"x","")</f>
        <v/>
      </c>
      <c r="T501" s="33" t="s">
        <v>27</v>
      </c>
      <c r="U501" s="34" t="s">
        <v>27</v>
      </c>
      <c r="V501" s="35" t="s">
        <v>27</v>
      </c>
    </row>
    <row r="502" spans="1:22" ht="16.5" thickTop="1" x14ac:dyDescent="0.25">
      <c r="A502" s="18" t="s">
        <v>63</v>
      </c>
      <c r="B502" s="18" t="s">
        <v>950</v>
      </c>
      <c r="C502" s="18" t="s">
        <v>64</v>
      </c>
      <c r="D502" s="18" t="s">
        <v>26</v>
      </c>
      <c r="E502" s="18" t="s">
        <v>36</v>
      </c>
      <c r="F502" s="18" t="s">
        <v>65</v>
      </c>
      <c r="G502" s="18" t="s">
        <v>29</v>
      </c>
      <c r="H502" s="19">
        <v>2003</v>
      </c>
      <c r="I502" s="18" t="s">
        <v>387</v>
      </c>
      <c r="J502" s="101">
        <v>36</v>
      </c>
      <c r="K502" s="20">
        <v>127</v>
      </c>
      <c r="L502" s="21">
        <v>35.020000000000003</v>
      </c>
      <c r="M502" s="22" t="s">
        <v>30</v>
      </c>
      <c r="N502" s="23">
        <v>35.020000000000003</v>
      </c>
      <c r="O502" s="24">
        <v>0.27574803149606303</v>
      </c>
      <c r="P502" s="25" t="str">
        <f>IF(P504="x","x","")</f>
        <v/>
      </c>
      <c r="Q502" s="25" t="str">
        <f>IF(Q504="x","x","")</f>
        <v/>
      </c>
      <c r="R502" s="25" t="str">
        <f>IF(R504="x","x","")</f>
        <v/>
      </c>
      <c r="S502" s="25" t="str">
        <f>IF(S504="x","x","")</f>
        <v/>
      </c>
      <c r="T502" s="25" t="s">
        <v>27</v>
      </c>
      <c r="U502" s="26"/>
      <c r="V502" s="27"/>
    </row>
    <row r="503" spans="1:22" x14ac:dyDescent="0.25">
      <c r="A503" s="18" t="s">
        <v>63</v>
      </c>
      <c r="B503" s="18" t="s">
        <v>950</v>
      </c>
      <c r="C503" s="18" t="s">
        <v>64</v>
      </c>
      <c r="D503" s="18" t="s">
        <v>26</v>
      </c>
      <c r="E503" s="18" t="s">
        <v>36</v>
      </c>
      <c r="F503" s="18" t="s">
        <v>65</v>
      </c>
      <c r="G503" s="18" t="s">
        <v>32</v>
      </c>
      <c r="H503" s="19">
        <v>2010</v>
      </c>
      <c r="I503" s="18" t="s">
        <v>387</v>
      </c>
      <c r="J503" s="101">
        <v>51</v>
      </c>
      <c r="K503" s="20">
        <v>127</v>
      </c>
      <c r="L503" s="21">
        <v>49.72</v>
      </c>
      <c r="M503" s="22" t="s">
        <v>30</v>
      </c>
      <c r="N503" s="23">
        <v>49.72</v>
      </c>
      <c r="O503" s="24">
        <v>0.39149606299212597</v>
      </c>
      <c r="P503" s="25" t="str">
        <f>IF(P504="x","x","")</f>
        <v/>
      </c>
      <c r="Q503" s="25" t="str">
        <f>IF(Q504="x","x","")</f>
        <v/>
      </c>
      <c r="R503" s="25" t="str">
        <f>IF(R504="x","x","")</f>
        <v/>
      </c>
      <c r="S503" s="25" t="str">
        <f>IF(S504="x","x","")</f>
        <v/>
      </c>
      <c r="T503" s="25" t="s">
        <v>27</v>
      </c>
      <c r="U503" s="26"/>
      <c r="V503" s="27"/>
    </row>
    <row r="504" spans="1:22" ht="16.5" thickBot="1" x14ac:dyDescent="0.3">
      <c r="A504" s="28" t="str">
        <f>A503</f>
        <v>Ethiopia</v>
      </c>
      <c r="B504" s="28" t="str">
        <f>B503</f>
        <v>Sub-Saharan Africa</v>
      </c>
      <c r="C504" s="28" t="str">
        <f>C503</f>
        <v>P044613</v>
      </c>
      <c r="D504" s="28" t="s">
        <v>26</v>
      </c>
      <c r="E504" s="28" t="s">
        <v>27</v>
      </c>
      <c r="F504" s="28" t="str">
        <f>F503</f>
        <v>P044613C1S1</v>
      </c>
      <c r="G504" s="28" t="s">
        <v>16</v>
      </c>
      <c r="H504" s="29" t="str">
        <f>H502&amp;" / "&amp;H503</f>
        <v>2003 / 2010</v>
      </c>
      <c r="I504" s="29" t="str">
        <f>I503</f>
        <v>Upgrading</v>
      </c>
      <c r="J504" s="97">
        <f>IFERROR(J503/J502,"")</f>
        <v>1.4166666666666667</v>
      </c>
      <c r="K504" s="32">
        <f>K503/K502</f>
        <v>1</v>
      </c>
      <c r="L504" s="32">
        <f>L503/L502</f>
        <v>1.4197601370645343</v>
      </c>
      <c r="M504" s="28"/>
      <c r="N504" s="32">
        <f>N503/N502</f>
        <v>1.4197601370645343</v>
      </c>
      <c r="O504" s="32">
        <f>O503/O502</f>
        <v>1.4197601370645343</v>
      </c>
      <c r="P504" s="33" t="str">
        <f>IF(K504&lt;50%,"x","")</f>
        <v/>
      </c>
      <c r="Q504" s="33" t="str">
        <f>IF(K504&gt;150%,"x","")</f>
        <v/>
      </c>
      <c r="R504" s="33" t="str">
        <f>IF(O504&lt;50%,"x","")</f>
        <v/>
      </c>
      <c r="S504" s="33" t="str">
        <f>IF(O504&gt;150%,"x","")</f>
        <v/>
      </c>
      <c r="T504" s="33" t="s">
        <v>27</v>
      </c>
      <c r="U504" s="34" t="s">
        <v>27</v>
      </c>
      <c r="V504" s="35" t="s">
        <v>27</v>
      </c>
    </row>
    <row r="505" spans="1:22" ht="16.5" thickTop="1" x14ac:dyDescent="0.25">
      <c r="A505" s="18" t="s">
        <v>63</v>
      </c>
      <c r="B505" s="18" t="s">
        <v>950</v>
      </c>
      <c r="C505" s="18" t="s">
        <v>64</v>
      </c>
      <c r="D505" s="18" t="s">
        <v>26</v>
      </c>
      <c r="E505" s="18" t="s">
        <v>40</v>
      </c>
      <c r="F505" s="18" t="s">
        <v>67</v>
      </c>
      <c r="G505" s="18" t="s">
        <v>29</v>
      </c>
      <c r="H505" s="19">
        <v>2003</v>
      </c>
      <c r="I505" s="18" t="s">
        <v>68</v>
      </c>
      <c r="J505" s="101">
        <v>36</v>
      </c>
      <c r="K505" s="20">
        <v>79</v>
      </c>
      <c r="L505" s="21">
        <v>19.350000000000001</v>
      </c>
      <c r="M505" s="22" t="s">
        <v>30</v>
      </c>
      <c r="N505" s="23">
        <v>19.350000000000001</v>
      </c>
      <c r="O505" s="24">
        <v>0.24493670886075952</v>
      </c>
      <c r="P505" s="25" t="str">
        <f>IF(P507="x","x","")</f>
        <v/>
      </c>
      <c r="Q505" s="25" t="str">
        <f>IF(Q507="x","x","")</f>
        <v/>
      </c>
      <c r="R505" s="25" t="str">
        <f>IF(R507="x","x","")</f>
        <v/>
      </c>
      <c r="S505" s="25" t="str">
        <f>IF(S507="x","x","")</f>
        <v>x</v>
      </c>
      <c r="T505" s="25" t="s">
        <v>31</v>
      </c>
      <c r="U505" s="26"/>
      <c r="V505" s="27"/>
    </row>
    <row r="506" spans="1:22" x14ac:dyDescent="0.25">
      <c r="A506" s="18" t="s">
        <v>63</v>
      </c>
      <c r="B506" s="18" t="s">
        <v>950</v>
      </c>
      <c r="C506" s="18" t="s">
        <v>64</v>
      </c>
      <c r="D506" s="18" t="s">
        <v>26</v>
      </c>
      <c r="E506" s="18" t="s">
        <v>40</v>
      </c>
      <c r="F506" s="18" t="s">
        <v>67</v>
      </c>
      <c r="G506" s="18" t="s">
        <v>32</v>
      </c>
      <c r="H506" s="19">
        <v>2010</v>
      </c>
      <c r="I506" s="18" t="s">
        <v>68</v>
      </c>
      <c r="J506" s="101">
        <v>41</v>
      </c>
      <c r="K506" s="20">
        <v>79</v>
      </c>
      <c r="L506" s="21">
        <v>29.13</v>
      </c>
      <c r="M506" s="22" t="s">
        <v>30</v>
      </c>
      <c r="N506" s="23">
        <v>29.13</v>
      </c>
      <c r="O506" s="24">
        <v>0.36873417721518986</v>
      </c>
      <c r="P506" s="25" t="str">
        <f>IF(P507="x","x","")</f>
        <v/>
      </c>
      <c r="Q506" s="25" t="str">
        <f>IF(Q507="x","x","")</f>
        <v/>
      </c>
      <c r="R506" s="25" t="str">
        <f>IF(R507="x","x","")</f>
        <v/>
      </c>
      <c r="S506" s="25" t="str">
        <f>IF(S507="x","x","")</f>
        <v>x</v>
      </c>
      <c r="T506" s="25" t="s">
        <v>31</v>
      </c>
      <c r="U506" s="26"/>
      <c r="V506" s="27"/>
    </row>
    <row r="507" spans="1:22" ht="32.25" thickBot="1" x14ac:dyDescent="0.3">
      <c r="A507" s="28" t="str">
        <f>A506</f>
        <v>Ethiopia</v>
      </c>
      <c r="B507" s="28" t="str">
        <f>B506</f>
        <v>Sub-Saharan Africa</v>
      </c>
      <c r="C507" s="28" t="str">
        <f>C506</f>
        <v>P044613</v>
      </c>
      <c r="D507" s="28" t="s">
        <v>26</v>
      </c>
      <c r="E507" s="28" t="s">
        <v>27</v>
      </c>
      <c r="F507" s="28" t="str">
        <f>F506</f>
        <v>P044613C1S2</v>
      </c>
      <c r="G507" s="28" t="s">
        <v>16</v>
      </c>
      <c r="H507" s="29" t="str">
        <f>H505&amp;" / "&amp;H506</f>
        <v>2003 / 2010</v>
      </c>
      <c r="I507" s="29" t="str">
        <f>I506</f>
        <v>Asphalt Mix Resurfacing</v>
      </c>
      <c r="J507" s="97">
        <f>IFERROR(J506/J505,"")</f>
        <v>1.1388888888888888</v>
      </c>
      <c r="K507" s="32">
        <f>K506/K505</f>
        <v>1</v>
      </c>
      <c r="L507" s="32">
        <f>L506/L505</f>
        <v>1.505426356589147</v>
      </c>
      <c r="M507" s="28"/>
      <c r="N507" s="32">
        <f>N506/N505</f>
        <v>1.505426356589147</v>
      </c>
      <c r="O507" s="32">
        <f>O506/O505</f>
        <v>1.505426356589147</v>
      </c>
      <c r="P507" s="33" t="str">
        <f>IF(K507&lt;50%,"x","")</f>
        <v/>
      </c>
      <c r="Q507" s="33" t="str">
        <f>IF(K507&gt;150%,"x","")</f>
        <v/>
      </c>
      <c r="R507" s="33" t="str">
        <f>IF(O507&lt;50%,"x","")</f>
        <v/>
      </c>
      <c r="S507" s="33" t="str">
        <f>IF(O507&gt;150%,"x","")</f>
        <v>x</v>
      </c>
      <c r="T507" s="33" t="s">
        <v>31</v>
      </c>
      <c r="U507" s="34" t="s">
        <v>1114</v>
      </c>
      <c r="V507" s="35" t="s">
        <v>1115</v>
      </c>
    </row>
    <row r="508" spans="1:22" ht="16.5" thickTop="1" x14ac:dyDescent="0.25">
      <c r="A508" s="18" t="s">
        <v>63</v>
      </c>
      <c r="B508" s="18" t="s">
        <v>950</v>
      </c>
      <c r="C508" s="18" t="s">
        <v>64</v>
      </c>
      <c r="D508" s="18" t="s">
        <v>26</v>
      </c>
      <c r="E508" s="18" t="s">
        <v>69</v>
      </c>
      <c r="F508" s="18" t="s">
        <v>70</v>
      </c>
      <c r="G508" s="18" t="s">
        <v>29</v>
      </c>
      <c r="H508" s="19">
        <v>2003</v>
      </c>
      <c r="I508" s="18" t="s">
        <v>387</v>
      </c>
      <c r="J508" s="101">
        <v>36</v>
      </c>
      <c r="K508" s="20">
        <v>98.9</v>
      </c>
      <c r="L508" s="21">
        <v>24.11</v>
      </c>
      <c r="M508" s="22" t="s">
        <v>30</v>
      </c>
      <c r="N508" s="23">
        <v>24.11</v>
      </c>
      <c r="O508" s="24">
        <v>0.24378159757330636</v>
      </c>
      <c r="P508" s="25" t="str">
        <f>IF(P510="x","x","")</f>
        <v/>
      </c>
      <c r="Q508" s="25" t="str">
        <f>IF(Q510="x","x","")</f>
        <v/>
      </c>
      <c r="R508" s="25" t="str">
        <f>IF(R510="x","x","")</f>
        <v/>
      </c>
      <c r="S508" s="25" t="str">
        <f>IF(S510="x","x","")</f>
        <v/>
      </c>
      <c r="T508" s="25" t="s">
        <v>27</v>
      </c>
      <c r="U508" s="26"/>
      <c r="V508" s="27"/>
    </row>
    <row r="509" spans="1:22" x14ac:dyDescent="0.25">
      <c r="A509" s="18" t="s">
        <v>63</v>
      </c>
      <c r="B509" s="18" t="s">
        <v>950</v>
      </c>
      <c r="C509" s="18" t="s">
        <v>64</v>
      </c>
      <c r="D509" s="18" t="s">
        <v>26</v>
      </c>
      <c r="E509" s="18" t="s">
        <v>69</v>
      </c>
      <c r="F509" s="18" t="s">
        <v>70</v>
      </c>
      <c r="G509" s="18" t="s">
        <v>32</v>
      </c>
      <c r="H509" s="19">
        <v>2010</v>
      </c>
      <c r="I509" s="18" t="s">
        <v>387</v>
      </c>
      <c r="J509" s="101">
        <v>42</v>
      </c>
      <c r="K509" s="20">
        <v>98.9</v>
      </c>
      <c r="L509" s="21">
        <v>33.33</v>
      </c>
      <c r="M509" s="22" t="s">
        <v>30</v>
      </c>
      <c r="N509" s="23">
        <v>33.33</v>
      </c>
      <c r="O509" s="24">
        <v>0.33700707785642059</v>
      </c>
      <c r="P509" s="25" t="str">
        <f>IF(P510="x","x","")</f>
        <v/>
      </c>
      <c r="Q509" s="25" t="str">
        <f>IF(Q510="x","x","")</f>
        <v/>
      </c>
      <c r="R509" s="25" t="str">
        <f>IF(R510="x","x","")</f>
        <v/>
      </c>
      <c r="S509" s="25" t="str">
        <f>IF(S510="x","x","")</f>
        <v/>
      </c>
      <c r="T509" s="25" t="s">
        <v>27</v>
      </c>
      <c r="U509" s="26"/>
      <c r="V509" s="27"/>
    </row>
    <row r="510" spans="1:22" ht="16.5" thickBot="1" x14ac:dyDescent="0.3">
      <c r="A510" s="28" t="str">
        <f>A509</f>
        <v>Ethiopia</v>
      </c>
      <c r="B510" s="28" t="str">
        <f>B509</f>
        <v>Sub-Saharan Africa</v>
      </c>
      <c r="C510" s="28" t="str">
        <f>C509</f>
        <v>P044613</v>
      </c>
      <c r="D510" s="28" t="s">
        <v>26</v>
      </c>
      <c r="E510" s="28" t="s">
        <v>27</v>
      </c>
      <c r="F510" s="28" t="str">
        <f>F509</f>
        <v>P044613C1S3</v>
      </c>
      <c r="G510" s="28" t="s">
        <v>16</v>
      </c>
      <c r="H510" s="29" t="str">
        <f>H508&amp;" / "&amp;H509</f>
        <v>2003 / 2010</v>
      </c>
      <c r="I510" s="29" t="str">
        <f>I509</f>
        <v>Upgrading</v>
      </c>
      <c r="J510" s="97">
        <f>IFERROR(J509/J508,"")</f>
        <v>1.1666666666666667</v>
      </c>
      <c r="K510" s="32">
        <f>K509/K508</f>
        <v>1</v>
      </c>
      <c r="L510" s="32">
        <f>L509/L508</f>
        <v>1.3824139361260888</v>
      </c>
      <c r="M510" s="28"/>
      <c r="N510" s="32">
        <f>N509/N508</f>
        <v>1.3824139361260888</v>
      </c>
      <c r="O510" s="32">
        <f>O509/O508</f>
        <v>1.3824139361260885</v>
      </c>
      <c r="P510" s="33" t="str">
        <f>IF(K510&lt;50%,"x","")</f>
        <v/>
      </c>
      <c r="Q510" s="33" t="str">
        <f>IF(K510&gt;150%,"x","")</f>
        <v/>
      </c>
      <c r="R510" s="33" t="str">
        <f>IF(O510&lt;50%,"x","")</f>
        <v/>
      </c>
      <c r="S510" s="33" t="str">
        <f>IF(O510&gt;150%,"x","")</f>
        <v/>
      </c>
      <c r="T510" s="33" t="s">
        <v>27</v>
      </c>
      <c r="U510" s="34" t="s">
        <v>27</v>
      </c>
      <c r="V510" s="35" t="s">
        <v>27</v>
      </c>
    </row>
    <row r="511" spans="1:22" ht="16.5" thickTop="1" x14ac:dyDescent="0.25">
      <c r="A511" s="18" t="s">
        <v>63</v>
      </c>
      <c r="B511" s="18" t="s">
        <v>950</v>
      </c>
      <c r="C511" s="18" t="s">
        <v>64</v>
      </c>
      <c r="D511" s="18" t="s">
        <v>26</v>
      </c>
      <c r="E511" s="18" t="s">
        <v>71</v>
      </c>
      <c r="F511" s="18" t="s">
        <v>72</v>
      </c>
      <c r="G511" s="18" t="s">
        <v>29</v>
      </c>
      <c r="H511" s="19">
        <v>2003</v>
      </c>
      <c r="I511" s="18" t="s">
        <v>387</v>
      </c>
      <c r="J511" s="101">
        <v>36</v>
      </c>
      <c r="K511" s="20">
        <v>108</v>
      </c>
      <c r="L511" s="21">
        <v>24.74</v>
      </c>
      <c r="M511" s="22" t="s">
        <v>30</v>
      </c>
      <c r="N511" s="23">
        <v>24.74</v>
      </c>
      <c r="O511" s="24">
        <v>0.22907407407407407</v>
      </c>
      <c r="P511" s="25" t="str">
        <f>IF(P513="x","x","")</f>
        <v/>
      </c>
      <c r="Q511" s="25" t="str">
        <f>IF(Q513="x","x","")</f>
        <v/>
      </c>
      <c r="R511" s="25" t="str">
        <f>IF(R513="x","x","")</f>
        <v/>
      </c>
      <c r="S511" s="25" t="str">
        <f>IF(S513="x","x","")</f>
        <v>x</v>
      </c>
      <c r="T511" s="25" t="s">
        <v>31</v>
      </c>
      <c r="U511" s="26"/>
      <c r="V511" s="27"/>
    </row>
    <row r="512" spans="1:22" x14ac:dyDescent="0.25">
      <c r="A512" s="18" t="s">
        <v>63</v>
      </c>
      <c r="B512" s="18" t="s">
        <v>950</v>
      </c>
      <c r="C512" s="18" t="s">
        <v>64</v>
      </c>
      <c r="D512" s="18" t="s">
        <v>26</v>
      </c>
      <c r="E512" s="18" t="s">
        <v>71</v>
      </c>
      <c r="F512" s="18" t="s">
        <v>72</v>
      </c>
      <c r="G512" s="18" t="s">
        <v>32</v>
      </c>
      <c r="H512" s="19">
        <v>2010</v>
      </c>
      <c r="I512" s="18" t="s">
        <v>387</v>
      </c>
      <c r="J512" s="101">
        <v>56</v>
      </c>
      <c r="K512" s="20">
        <v>108</v>
      </c>
      <c r="L512" s="21">
        <v>43.75</v>
      </c>
      <c r="M512" s="22" t="s">
        <v>30</v>
      </c>
      <c r="N512" s="23">
        <v>43.75</v>
      </c>
      <c r="O512" s="24">
        <v>0.40509259259259262</v>
      </c>
      <c r="P512" s="25" t="str">
        <f>IF(P513="x","x","")</f>
        <v/>
      </c>
      <c r="Q512" s="25" t="str">
        <f>IF(Q513="x","x","")</f>
        <v/>
      </c>
      <c r="R512" s="25" t="str">
        <f>IF(R513="x","x","")</f>
        <v/>
      </c>
      <c r="S512" s="25" t="str">
        <f>IF(S513="x","x","")</f>
        <v>x</v>
      </c>
      <c r="T512" s="25" t="s">
        <v>31</v>
      </c>
      <c r="U512" s="26"/>
      <c r="V512" s="27"/>
    </row>
    <row r="513" spans="1:22" ht="32.25" thickBot="1" x14ac:dyDescent="0.3">
      <c r="A513" s="28" t="str">
        <f>A512</f>
        <v>Ethiopia</v>
      </c>
      <c r="B513" s="28" t="str">
        <f>B512</f>
        <v>Sub-Saharan Africa</v>
      </c>
      <c r="C513" s="28" t="str">
        <f>C512</f>
        <v>P044613</v>
      </c>
      <c r="D513" s="28" t="s">
        <v>26</v>
      </c>
      <c r="E513" s="28" t="s">
        <v>27</v>
      </c>
      <c r="F513" s="28" t="str">
        <f>F512</f>
        <v>P044613C1S4</v>
      </c>
      <c r="G513" s="28" t="s">
        <v>16</v>
      </c>
      <c r="H513" s="29" t="str">
        <f>H511&amp;" / "&amp;H512</f>
        <v>2003 / 2010</v>
      </c>
      <c r="I513" s="29" t="str">
        <f>I512</f>
        <v>Upgrading</v>
      </c>
      <c r="J513" s="97">
        <f>IFERROR(J512/J511,"")</f>
        <v>1.5555555555555556</v>
      </c>
      <c r="K513" s="32">
        <f>K512/K511</f>
        <v>1</v>
      </c>
      <c r="L513" s="32">
        <f>L512/L511</f>
        <v>1.7683912691996768</v>
      </c>
      <c r="M513" s="28"/>
      <c r="N513" s="32">
        <f>N512/N511</f>
        <v>1.7683912691996768</v>
      </c>
      <c r="O513" s="32">
        <f>O512/O511</f>
        <v>1.7683912691996768</v>
      </c>
      <c r="P513" s="33" t="str">
        <f>IF(K513&lt;50%,"x","")</f>
        <v/>
      </c>
      <c r="Q513" s="33" t="str">
        <f>IF(K513&gt;150%,"x","")</f>
        <v/>
      </c>
      <c r="R513" s="33" t="str">
        <f>IF(O513&lt;50%,"x","")</f>
        <v/>
      </c>
      <c r="S513" s="33" t="str">
        <f>IF(O513&gt;150%,"x","")</f>
        <v>x</v>
      </c>
      <c r="T513" s="33" t="s">
        <v>31</v>
      </c>
      <c r="U513" s="34" t="s">
        <v>1114</v>
      </c>
      <c r="V513" s="35" t="s">
        <v>1116</v>
      </c>
    </row>
    <row r="514" spans="1:22" ht="16.5" thickTop="1" x14ac:dyDescent="0.25">
      <c r="A514" s="18" t="s">
        <v>63</v>
      </c>
      <c r="B514" s="18" t="s">
        <v>950</v>
      </c>
      <c r="C514" s="18" t="s">
        <v>64</v>
      </c>
      <c r="D514" s="18" t="s">
        <v>42</v>
      </c>
      <c r="E514" s="18" t="s">
        <v>27</v>
      </c>
      <c r="F514" s="18" t="s">
        <v>73</v>
      </c>
      <c r="G514" s="18" t="s">
        <v>29</v>
      </c>
      <c r="H514" s="19">
        <v>2003</v>
      </c>
      <c r="I514" s="18" t="s">
        <v>74</v>
      </c>
      <c r="J514" s="101">
        <v>36</v>
      </c>
      <c r="K514" s="20">
        <v>119.4</v>
      </c>
      <c r="L514" s="21">
        <v>28.66</v>
      </c>
      <c r="M514" s="22" t="s">
        <v>30</v>
      </c>
      <c r="N514" s="23">
        <v>28.66</v>
      </c>
      <c r="O514" s="24">
        <v>0.24003350083752092</v>
      </c>
      <c r="P514" s="25" t="str">
        <f>IF(P516="x","x","")</f>
        <v/>
      </c>
      <c r="Q514" s="25" t="str">
        <f>IF(Q516="x","x","")</f>
        <v/>
      </c>
      <c r="R514" s="25" t="str">
        <f>IF(R516="x","x","")</f>
        <v/>
      </c>
      <c r="S514" s="25" t="str">
        <f>IF(S516="x","x","")</f>
        <v/>
      </c>
      <c r="T514" s="25" t="s">
        <v>27</v>
      </c>
      <c r="U514" s="26"/>
      <c r="V514" s="27"/>
    </row>
    <row r="515" spans="1:22" x14ac:dyDescent="0.25">
      <c r="A515" s="18" t="s">
        <v>63</v>
      </c>
      <c r="B515" s="18" t="s">
        <v>950</v>
      </c>
      <c r="C515" s="18" t="s">
        <v>64</v>
      </c>
      <c r="D515" s="18" t="s">
        <v>42</v>
      </c>
      <c r="E515" s="18" t="s">
        <v>27</v>
      </c>
      <c r="F515" s="18" t="s">
        <v>73</v>
      </c>
      <c r="G515" s="18" t="s">
        <v>32</v>
      </c>
      <c r="H515" s="19">
        <v>2010</v>
      </c>
      <c r="I515" s="18" t="s">
        <v>74</v>
      </c>
      <c r="J515" s="101">
        <v>42</v>
      </c>
      <c r="K515" s="20">
        <v>99</v>
      </c>
      <c r="L515" s="21">
        <v>19.43</v>
      </c>
      <c r="M515" s="22" t="s">
        <v>30</v>
      </c>
      <c r="N515" s="23">
        <v>19.43</v>
      </c>
      <c r="O515" s="24">
        <v>0.19626262626262625</v>
      </c>
      <c r="P515" s="25" t="str">
        <f>IF(P516="x","x","")</f>
        <v/>
      </c>
      <c r="Q515" s="25" t="str">
        <f>IF(Q516="x","x","")</f>
        <v/>
      </c>
      <c r="R515" s="25" t="str">
        <f>IF(R516="x","x","")</f>
        <v/>
      </c>
      <c r="S515" s="25" t="str">
        <f>IF(S516="x","x","")</f>
        <v/>
      </c>
      <c r="T515" s="25" t="s">
        <v>27</v>
      </c>
      <c r="U515" s="26"/>
      <c r="V515" s="27"/>
    </row>
    <row r="516" spans="1:22" ht="16.5" thickBot="1" x14ac:dyDescent="0.3">
      <c r="A516" s="28" t="str">
        <f>A515</f>
        <v>Ethiopia</v>
      </c>
      <c r="B516" s="28" t="str">
        <f>B515</f>
        <v>Sub-Saharan Africa</v>
      </c>
      <c r="C516" s="28" t="str">
        <f>C515</f>
        <v>P044613</v>
      </c>
      <c r="D516" s="28" t="s">
        <v>26</v>
      </c>
      <c r="E516" s="28" t="s">
        <v>27</v>
      </c>
      <c r="F516" s="28" t="str">
        <f>F515</f>
        <v>P044613C2</v>
      </c>
      <c r="G516" s="28" t="s">
        <v>16</v>
      </c>
      <c r="H516" s="29" t="str">
        <f>H514&amp;" / "&amp;H515</f>
        <v>2003 / 2010</v>
      </c>
      <c r="I516" s="29" t="str">
        <f>I515</f>
        <v>New 1L Road</v>
      </c>
      <c r="J516" s="97">
        <f>IFERROR(J515/J514,"")</f>
        <v>1.1666666666666667</v>
      </c>
      <c r="K516" s="32">
        <f>K515/K514</f>
        <v>0.82914572864321601</v>
      </c>
      <c r="L516" s="32">
        <f>L515/L514</f>
        <v>0.67794836008374038</v>
      </c>
      <c r="M516" s="28"/>
      <c r="N516" s="32">
        <f>N515/N514</f>
        <v>0.67794836008374038</v>
      </c>
      <c r="O516" s="32">
        <f>O515/O514</f>
        <v>0.81764681004038997</v>
      </c>
      <c r="P516" s="33" t="str">
        <f>IF(K516&lt;50%,"x","")</f>
        <v/>
      </c>
      <c r="Q516" s="33" t="str">
        <f>IF(K516&gt;150%,"x","")</f>
        <v/>
      </c>
      <c r="R516" s="33" t="str">
        <f>IF(O516&lt;50%,"x","")</f>
        <v/>
      </c>
      <c r="S516" s="33" t="str">
        <f>IF(O516&gt;150%,"x","")</f>
        <v/>
      </c>
      <c r="T516" s="33" t="s">
        <v>27</v>
      </c>
      <c r="U516" s="34" t="s">
        <v>27</v>
      </c>
      <c r="V516" s="35" t="s">
        <v>27</v>
      </c>
    </row>
    <row r="517" spans="1:22" ht="16.5" thickTop="1" x14ac:dyDescent="0.25">
      <c r="A517" s="18" t="s">
        <v>63</v>
      </c>
      <c r="B517" s="18" t="s">
        <v>950</v>
      </c>
      <c r="C517" s="18" t="s">
        <v>255</v>
      </c>
      <c r="D517" s="18" t="s">
        <v>26</v>
      </c>
      <c r="E517" s="18" t="s">
        <v>36</v>
      </c>
      <c r="F517" s="18" t="s">
        <v>256</v>
      </c>
      <c r="G517" s="18" t="s">
        <v>29</v>
      </c>
      <c r="H517" s="19">
        <v>2004</v>
      </c>
      <c r="I517" s="18" t="s">
        <v>387</v>
      </c>
      <c r="J517" s="101">
        <v>49</v>
      </c>
      <c r="K517" s="20">
        <v>316</v>
      </c>
      <c r="L517" s="21">
        <v>62.04</v>
      </c>
      <c r="M517" s="22" t="s">
        <v>30</v>
      </c>
      <c r="N517" s="23">
        <v>62.04</v>
      </c>
      <c r="O517" s="24">
        <v>0.19632911392405064</v>
      </c>
      <c r="P517" s="25" t="str">
        <f>IF(P519="x","x","")</f>
        <v/>
      </c>
      <c r="Q517" s="25" t="str">
        <f>IF(Q519="x","x","")</f>
        <v/>
      </c>
      <c r="R517" s="25" t="str">
        <f>IF(R519="x","x","")</f>
        <v/>
      </c>
      <c r="S517" s="25" t="str">
        <f>IF(S519="x","x","")</f>
        <v>x</v>
      </c>
      <c r="T517" s="25" t="s">
        <v>31</v>
      </c>
      <c r="U517" s="26"/>
      <c r="V517" s="27"/>
    </row>
    <row r="518" spans="1:22" x14ac:dyDescent="0.25">
      <c r="A518" s="18" t="s">
        <v>63</v>
      </c>
      <c r="B518" s="18" t="s">
        <v>950</v>
      </c>
      <c r="C518" s="18" t="s">
        <v>255</v>
      </c>
      <c r="D518" s="18" t="s">
        <v>26</v>
      </c>
      <c r="E518" s="18" t="s">
        <v>36</v>
      </c>
      <c r="F518" s="18" t="s">
        <v>256</v>
      </c>
      <c r="G518" s="18" t="s">
        <v>32</v>
      </c>
      <c r="H518" s="19">
        <v>2012</v>
      </c>
      <c r="I518" s="18" t="s">
        <v>387</v>
      </c>
      <c r="J518" s="101" t="s">
        <v>27</v>
      </c>
      <c r="K518" s="20">
        <v>246</v>
      </c>
      <c r="L518" s="21">
        <v>196.53</v>
      </c>
      <c r="M518" s="22" t="s">
        <v>30</v>
      </c>
      <c r="N518" s="23">
        <v>196.53</v>
      </c>
      <c r="O518" s="24">
        <v>0.79890243902439029</v>
      </c>
      <c r="P518" s="25" t="str">
        <f>IF(P519="x","x","")</f>
        <v/>
      </c>
      <c r="Q518" s="25" t="str">
        <f>IF(Q519="x","x","")</f>
        <v/>
      </c>
      <c r="R518" s="25" t="str">
        <f>IF(R519="x","x","")</f>
        <v/>
      </c>
      <c r="S518" s="25" t="str">
        <f>IF(S519="x","x","")</f>
        <v>x</v>
      </c>
      <c r="T518" s="25" t="s">
        <v>31</v>
      </c>
      <c r="U518" s="26"/>
      <c r="V518" s="27"/>
    </row>
    <row r="519" spans="1:22" ht="63.75" thickBot="1" x14ac:dyDescent="0.3">
      <c r="A519" s="28" t="str">
        <f>A518</f>
        <v>Ethiopia</v>
      </c>
      <c r="B519" s="28" t="str">
        <f>B518</f>
        <v>Sub-Saharan Africa</v>
      </c>
      <c r="C519" s="28" t="str">
        <f>C518</f>
        <v>P082998</v>
      </c>
      <c r="D519" s="28" t="s">
        <v>26</v>
      </c>
      <c r="E519" s="28" t="s">
        <v>27</v>
      </c>
      <c r="F519" s="28" t="str">
        <f>F518</f>
        <v>P082998C1S1</v>
      </c>
      <c r="G519" s="28" t="s">
        <v>16</v>
      </c>
      <c r="H519" s="29" t="str">
        <f>H517&amp;" / "&amp;H518</f>
        <v>2004 / 2012</v>
      </c>
      <c r="I519" s="29" t="str">
        <f>I518</f>
        <v>Upgrading</v>
      </c>
      <c r="J519" s="97" t="str">
        <f>IFERROR(J518/J517,"")</f>
        <v/>
      </c>
      <c r="K519" s="32">
        <f>K518/K517</f>
        <v>0.77848101265822789</v>
      </c>
      <c r="L519" s="32">
        <f>L518/L517</f>
        <v>3.1677949709864603</v>
      </c>
      <c r="M519" s="28"/>
      <c r="N519" s="32">
        <f>N518/N517</f>
        <v>3.1677949709864603</v>
      </c>
      <c r="O519" s="32">
        <f>O518/O517</f>
        <v>4.0692000440313878</v>
      </c>
      <c r="P519" s="33" t="str">
        <f>IF(K519&lt;50%,"x","")</f>
        <v/>
      </c>
      <c r="Q519" s="33" t="str">
        <f>IF(K519&gt;150%,"x","")</f>
        <v/>
      </c>
      <c r="R519" s="33" t="str">
        <f>IF(O519&lt;50%,"x","")</f>
        <v/>
      </c>
      <c r="S519" s="33" t="str">
        <f>IF(O519&gt;150%,"x","")</f>
        <v>x</v>
      </c>
      <c r="T519" s="33" t="s">
        <v>31</v>
      </c>
      <c r="U519" s="34" t="s">
        <v>1059</v>
      </c>
      <c r="V519" s="35" t="s">
        <v>1166</v>
      </c>
    </row>
    <row r="520" spans="1:22" ht="18.600000000000001" customHeight="1" thickTop="1" x14ac:dyDescent="0.25">
      <c r="A520" s="18" t="s">
        <v>63</v>
      </c>
      <c r="B520" s="18" t="s">
        <v>950</v>
      </c>
      <c r="C520" s="18" t="s">
        <v>255</v>
      </c>
      <c r="D520" s="18" t="s">
        <v>26</v>
      </c>
      <c r="E520" s="18" t="s">
        <v>40</v>
      </c>
      <c r="F520" s="18" t="s">
        <v>257</v>
      </c>
      <c r="G520" s="18" t="s">
        <v>29</v>
      </c>
      <c r="H520" s="19">
        <v>2004</v>
      </c>
      <c r="I520" s="18" t="s">
        <v>387</v>
      </c>
      <c r="J520" s="101">
        <v>48</v>
      </c>
      <c r="K520" s="20">
        <v>86</v>
      </c>
      <c r="L520" s="21">
        <v>20</v>
      </c>
      <c r="M520" s="22" t="s">
        <v>30</v>
      </c>
      <c r="N520" s="23">
        <v>20</v>
      </c>
      <c r="O520" s="24">
        <v>0.23255813953488372</v>
      </c>
      <c r="P520" s="25" t="str">
        <f>IF(P522="x","x","")</f>
        <v/>
      </c>
      <c r="Q520" s="25" t="str">
        <f>IF(Q522="x","x","")</f>
        <v/>
      </c>
      <c r="R520" s="25" t="str">
        <f>IF(R522="x","x","")</f>
        <v/>
      </c>
      <c r="S520" s="25" t="str">
        <f>IF(S522="x","x","")</f>
        <v>x</v>
      </c>
      <c r="T520" s="25" t="s">
        <v>31</v>
      </c>
      <c r="U520" s="26"/>
      <c r="V520" s="27"/>
    </row>
    <row r="521" spans="1:22" ht="18.600000000000001" customHeight="1" x14ac:dyDescent="0.25">
      <c r="A521" s="18" t="s">
        <v>63</v>
      </c>
      <c r="B521" s="18" t="s">
        <v>950</v>
      </c>
      <c r="C521" s="18" t="s">
        <v>255</v>
      </c>
      <c r="D521" s="18" t="s">
        <v>26</v>
      </c>
      <c r="E521" s="18" t="s">
        <v>40</v>
      </c>
      <c r="F521" s="18" t="s">
        <v>257</v>
      </c>
      <c r="G521" s="18" t="s">
        <v>32</v>
      </c>
      <c r="H521" s="19">
        <v>2012</v>
      </c>
      <c r="I521" s="18" t="s">
        <v>387</v>
      </c>
      <c r="J521" s="101" t="s">
        <v>27</v>
      </c>
      <c r="K521" s="20">
        <v>86</v>
      </c>
      <c r="L521" s="21">
        <v>48.69</v>
      </c>
      <c r="M521" s="22" t="s">
        <v>30</v>
      </c>
      <c r="N521" s="23">
        <v>48.69</v>
      </c>
      <c r="O521" s="24">
        <v>0.56616279069767439</v>
      </c>
      <c r="P521" s="25" t="str">
        <f>IF(P522="x","x","")</f>
        <v/>
      </c>
      <c r="Q521" s="25" t="str">
        <f>IF(Q522="x","x","")</f>
        <v/>
      </c>
      <c r="R521" s="25" t="str">
        <f>IF(R522="x","x","")</f>
        <v/>
      </c>
      <c r="S521" s="25" t="str">
        <f>IF(S522="x","x","")</f>
        <v>x</v>
      </c>
      <c r="T521" s="25" t="s">
        <v>31</v>
      </c>
      <c r="U521" s="26"/>
      <c r="V521" s="27"/>
    </row>
    <row r="522" spans="1:22" ht="18.600000000000001" customHeight="1" thickBot="1" x14ac:dyDescent="0.3">
      <c r="A522" s="28" t="str">
        <f>A521</f>
        <v>Ethiopia</v>
      </c>
      <c r="B522" s="28" t="str">
        <f>B521</f>
        <v>Sub-Saharan Africa</v>
      </c>
      <c r="C522" s="28" t="str">
        <f>C521</f>
        <v>P082998</v>
      </c>
      <c r="D522" s="28" t="s">
        <v>26</v>
      </c>
      <c r="E522" s="28" t="s">
        <v>27</v>
      </c>
      <c r="F522" s="28" t="str">
        <f>F521</f>
        <v>P082998C1S2</v>
      </c>
      <c r="G522" s="28" t="s">
        <v>16</v>
      </c>
      <c r="H522" s="29" t="str">
        <f>H520&amp;" / "&amp;H521</f>
        <v>2004 / 2012</v>
      </c>
      <c r="I522" s="29" t="str">
        <f>I521</f>
        <v>Upgrading</v>
      </c>
      <c r="J522" s="97" t="str">
        <f>IFERROR(J521/J520,"")</f>
        <v/>
      </c>
      <c r="K522" s="32">
        <f>K521/K520</f>
        <v>1</v>
      </c>
      <c r="L522" s="32">
        <f>L521/L520</f>
        <v>2.4344999999999999</v>
      </c>
      <c r="M522" s="28"/>
      <c r="N522" s="32">
        <f>N521/N520</f>
        <v>2.4344999999999999</v>
      </c>
      <c r="O522" s="32">
        <f>O521/O520</f>
        <v>2.4344999999999999</v>
      </c>
      <c r="P522" s="33" t="str">
        <f>IF(K522&lt;50%,"x","")</f>
        <v/>
      </c>
      <c r="Q522" s="33" t="str">
        <f>IF(K522&gt;150%,"x","")</f>
        <v/>
      </c>
      <c r="R522" s="33" t="str">
        <f>IF(O522&lt;50%,"x","")</f>
        <v/>
      </c>
      <c r="S522" s="33" t="str">
        <f>IF(O522&gt;150%,"x","")</f>
        <v>x</v>
      </c>
      <c r="T522" s="33" t="s">
        <v>31</v>
      </c>
      <c r="U522" s="34" t="s">
        <v>1059</v>
      </c>
      <c r="V522" s="35" t="s">
        <v>1166</v>
      </c>
    </row>
    <row r="523" spans="1:22" ht="18.600000000000001" customHeight="1" thickTop="1" x14ac:dyDescent="0.25">
      <c r="A523" s="18" t="s">
        <v>63</v>
      </c>
      <c r="B523" s="18" t="s">
        <v>950</v>
      </c>
      <c r="C523" s="18" t="s">
        <v>255</v>
      </c>
      <c r="D523" s="18" t="s">
        <v>26</v>
      </c>
      <c r="E523" s="18" t="s">
        <v>69</v>
      </c>
      <c r="F523" s="18" t="s">
        <v>258</v>
      </c>
      <c r="G523" s="18" t="s">
        <v>29</v>
      </c>
      <c r="H523" s="19">
        <v>2004</v>
      </c>
      <c r="I523" s="18" t="s">
        <v>387</v>
      </c>
      <c r="J523" s="101">
        <v>48</v>
      </c>
      <c r="K523" s="20">
        <v>108</v>
      </c>
      <c r="L523" s="21">
        <v>25.02</v>
      </c>
      <c r="M523" s="22" t="s">
        <v>30</v>
      </c>
      <c r="N523" s="23">
        <v>25.02</v>
      </c>
      <c r="O523" s="24">
        <v>0.23166666666666666</v>
      </c>
      <c r="P523" s="25" t="str">
        <f>IF(P525="x","x","")</f>
        <v/>
      </c>
      <c r="Q523" s="25" t="str">
        <f>IF(Q525="x","x","")</f>
        <v/>
      </c>
      <c r="R523" s="25" t="str">
        <f>IF(R525="x","x","")</f>
        <v/>
      </c>
      <c r="S523" s="25" t="str">
        <f>IF(S525="x","x","")</f>
        <v>x</v>
      </c>
      <c r="T523" s="25" t="s">
        <v>31</v>
      </c>
      <c r="U523" s="26"/>
      <c r="V523" s="27"/>
    </row>
    <row r="524" spans="1:22" ht="18.600000000000001" customHeight="1" x14ac:dyDescent="0.25">
      <c r="A524" s="18" t="s">
        <v>63</v>
      </c>
      <c r="B524" s="18" t="s">
        <v>950</v>
      </c>
      <c r="C524" s="18" t="s">
        <v>255</v>
      </c>
      <c r="D524" s="18" t="s">
        <v>26</v>
      </c>
      <c r="E524" s="18" t="s">
        <v>69</v>
      </c>
      <c r="F524" s="18" t="s">
        <v>258</v>
      </c>
      <c r="G524" s="18" t="s">
        <v>32</v>
      </c>
      <c r="H524" s="19">
        <v>2012</v>
      </c>
      <c r="I524" s="18" t="s">
        <v>387</v>
      </c>
      <c r="J524" s="101" t="s">
        <v>27</v>
      </c>
      <c r="K524" s="20">
        <v>108</v>
      </c>
      <c r="L524" s="21">
        <v>79.180000000000007</v>
      </c>
      <c r="M524" s="22" t="s">
        <v>30</v>
      </c>
      <c r="N524" s="23">
        <v>79.180000000000007</v>
      </c>
      <c r="O524" s="24">
        <v>0.73314814814814822</v>
      </c>
      <c r="P524" s="25" t="str">
        <f>IF(P525="x","x","")</f>
        <v/>
      </c>
      <c r="Q524" s="25" t="str">
        <f>IF(Q525="x","x","")</f>
        <v/>
      </c>
      <c r="R524" s="25" t="str">
        <f>IF(R525="x","x","")</f>
        <v/>
      </c>
      <c r="S524" s="25" t="str">
        <f>IF(S525="x","x","")</f>
        <v>x</v>
      </c>
      <c r="T524" s="25" t="s">
        <v>31</v>
      </c>
      <c r="U524" s="26"/>
      <c r="V524" s="27"/>
    </row>
    <row r="525" spans="1:22" ht="18.600000000000001" customHeight="1" thickBot="1" x14ac:dyDescent="0.3">
      <c r="A525" s="28" t="str">
        <f>A524</f>
        <v>Ethiopia</v>
      </c>
      <c r="B525" s="28" t="str">
        <f>B524</f>
        <v>Sub-Saharan Africa</v>
      </c>
      <c r="C525" s="28" t="str">
        <f>C524</f>
        <v>P082998</v>
      </c>
      <c r="D525" s="28" t="s">
        <v>26</v>
      </c>
      <c r="E525" s="28" t="s">
        <v>27</v>
      </c>
      <c r="F525" s="28" t="str">
        <f>F524</f>
        <v>P082998C1S3</v>
      </c>
      <c r="G525" s="28" t="s">
        <v>16</v>
      </c>
      <c r="H525" s="29" t="str">
        <f>H523&amp;" / "&amp;H524</f>
        <v>2004 / 2012</v>
      </c>
      <c r="I525" s="29" t="str">
        <f>I524</f>
        <v>Upgrading</v>
      </c>
      <c r="J525" s="97" t="str">
        <f>IFERROR(J524/J523,"")</f>
        <v/>
      </c>
      <c r="K525" s="32">
        <f>K524/K523</f>
        <v>1</v>
      </c>
      <c r="L525" s="32">
        <f>L524/L523</f>
        <v>3.1646682653876903</v>
      </c>
      <c r="M525" s="28"/>
      <c r="N525" s="32">
        <f>N524/N523</f>
        <v>3.1646682653876903</v>
      </c>
      <c r="O525" s="32">
        <f>O524/O523</f>
        <v>3.1646682653876903</v>
      </c>
      <c r="P525" s="33" t="str">
        <f>IF(K525&lt;50%,"x","")</f>
        <v/>
      </c>
      <c r="Q525" s="33" t="str">
        <f>IF(K525&gt;150%,"x","")</f>
        <v/>
      </c>
      <c r="R525" s="33" t="str">
        <f>IF(O525&lt;50%,"x","")</f>
        <v/>
      </c>
      <c r="S525" s="33" t="str">
        <f>IF(O525&gt;150%,"x","")</f>
        <v>x</v>
      </c>
      <c r="T525" s="33" t="s">
        <v>31</v>
      </c>
      <c r="U525" s="34" t="s">
        <v>1059</v>
      </c>
      <c r="V525" s="35" t="s">
        <v>1166</v>
      </c>
    </row>
    <row r="526" spans="1:22" ht="18.600000000000001" customHeight="1" thickTop="1" x14ac:dyDescent="0.25">
      <c r="A526" s="18" t="s">
        <v>63</v>
      </c>
      <c r="B526" s="18" t="s">
        <v>950</v>
      </c>
      <c r="C526" s="18" t="s">
        <v>255</v>
      </c>
      <c r="D526" s="18" t="s">
        <v>26</v>
      </c>
      <c r="E526" s="18" t="s">
        <v>71</v>
      </c>
      <c r="F526" s="18" t="s">
        <v>259</v>
      </c>
      <c r="G526" s="18" t="s">
        <v>29</v>
      </c>
      <c r="H526" s="19">
        <v>2004</v>
      </c>
      <c r="I526" s="18" t="s">
        <v>387</v>
      </c>
      <c r="J526" s="101">
        <v>32</v>
      </c>
      <c r="K526" s="20">
        <v>83</v>
      </c>
      <c r="L526" s="21">
        <v>25.46</v>
      </c>
      <c r="M526" s="22" t="s">
        <v>30</v>
      </c>
      <c r="N526" s="23">
        <v>25.46</v>
      </c>
      <c r="O526" s="24">
        <v>0.30674698795180722</v>
      </c>
      <c r="P526" s="25" t="str">
        <f>IF(P528="x","x","")</f>
        <v/>
      </c>
      <c r="Q526" s="25" t="str">
        <f>IF(Q528="x","x","")</f>
        <v/>
      </c>
      <c r="R526" s="25" t="str">
        <f>IF(R528="x","x","")</f>
        <v/>
      </c>
      <c r="S526" s="25" t="str">
        <f>IF(S528="x","x","")</f>
        <v>x</v>
      </c>
      <c r="T526" s="25" t="s">
        <v>31</v>
      </c>
      <c r="U526" s="26"/>
      <c r="V526" s="27"/>
    </row>
    <row r="527" spans="1:22" ht="18.600000000000001" customHeight="1" x14ac:dyDescent="0.25">
      <c r="A527" s="18" t="s">
        <v>63</v>
      </c>
      <c r="B527" s="18" t="s">
        <v>950</v>
      </c>
      <c r="C527" s="18" t="s">
        <v>255</v>
      </c>
      <c r="D527" s="18" t="s">
        <v>26</v>
      </c>
      <c r="E527" s="18" t="s">
        <v>71</v>
      </c>
      <c r="F527" s="18" t="s">
        <v>259</v>
      </c>
      <c r="G527" s="18" t="s">
        <v>32</v>
      </c>
      <c r="H527" s="19">
        <v>2007</v>
      </c>
      <c r="I527" s="18" t="s">
        <v>387</v>
      </c>
      <c r="J527" s="101">
        <v>56</v>
      </c>
      <c r="K527" s="20">
        <v>83</v>
      </c>
      <c r="L527" s="21">
        <v>108.85</v>
      </c>
      <c r="M527" s="22" t="s">
        <v>30</v>
      </c>
      <c r="N527" s="23">
        <v>108.85</v>
      </c>
      <c r="O527" s="24">
        <v>1.3114457831325301</v>
      </c>
      <c r="P527" s="25" t="str">
        <f>IF(P528="x","x","")</f>
        <v/>
      </c>
      <c r="Q527" s="25" t="str">
        <f>IF(Q528="x","x","")</f>
        <v/>
      </c>
      <c r="R527" s="25" t="str">
        <f>IF(R528="x","x","")</f>
        <v/>
      </c>
      <c r="S527" s="25" t="str">
        <f>IF(S528="x","x","")</f>
        <v>x</v>
      </c>
      <c r="T527" s="25" t="s">
        <v>31</v>
      </c>
      <c r="U527" s="26"/>
      <c r="V527" s="27"/>
    </row>
    <row r="528" spans="1:22" ht="18.600000000000001" customHeight="1" thickBot="1" x14ac:dyDescent="0.3">
      <c r="A528" s="28" t="str">
        <f>A527</f>
        <v>Ethiopia</v>
      </c>
      <c r="B528" s="28" t="str">
        <f>B527</f>
        <v>Sub-Saharan Africa</v>
      </c>
      <c r="C528" s="28" t="str">
        <f>C527</f>
        <v>P082998</v>
      </c>
      <c r="D528" s="28" t="s">
        <v>26</v>
      </c>
      <c r="E528" s="28" t="s">
        <v>27</v>
      </c>
      <c r="F528" s="28" t="str">
        <f>F527</f>
        <v>P082998C1S4</v>
      </c>
      <c r="G528" s="28" t="s">
        <v>16</v>
      </c>
      <c r="H528" s="29" t="str">
        <f>H526&amp;" / "&amp;H527</f>
        <v>2004 / 2007</v>
      </c>
      <c r="I528" s="29" t="str">
        <f>I527</f>
        <v>Upgrading</v>
      </c>
      <c r="J528" s="97">
        <f>IFERROR(J527/J526,"")</f>
        <v>1.75</v>
      </c>
      <c r="K528" s="32">
        <f>K527/K526</f>
        <v>1</v>
      </c>
      <c r="L528" s="32">
        <f>L527/L526</f>
        <v>4.2753338570306356</v>
      </c>
      <c r="M528" s="28"/>
      <c r="N528" s="32">
        <f>N527/N526</f>
        <v>4.2753338570306356</v>
      </c>
      <c r="O528" s="32">
        <f>O527/O526</f>
        <v>4.2753338570306365</v>
      </c>
      <c r="P528" s="33" t="str">
        <f>IF(K528&lt;50%,"x","")</f>
        <v/>
      </c>
      <c r="Q528" s="33" t="str">
        <f>IF(K528&gt;150%,"x","")</f>
        <v/>
      </c>
      <c r="R528" s="33" t="str">
        <f>IF(O528&lt;50%,"x","")</f>
        <v/>
      </c>
      <c r="S528" s="33" t="str">
        <f>IF(O528&gt;150%,"x","")</f>
        <v>x</v>
      </c>
      <c r="T528" s="33" t="s">
        <v>31</v>
      </c>
      <c r="U528" s="34" t="s">
        <v>1059</v>
      </c>
      <c r="V528" s="35" t="s">
        <v>1166</v>
      </c>
    </row>
    <row r="529" spans="1:22" ht="18.600000000000001" customHeight="1" thickTop="1" x14ac:dyDescent="0.25">
      <c r="A529" s="18" t="s">
        <v>63</v>
      </c>
      <c r="B529" s="18" t="s">
        <v>950</v>
      </c>
      <c r="C529" s="18" t="s">
        <v>255</v>
      </c>
      <c r="D529" s="18" t="s">
        <v>42</v>
      </c>
      <c r="E529" s="18" t="s">
        <v>36</v>
      </c>
      <c r="F529" s="18" t="s">
        <v>261</v>
      </c>
      <c r="G529" s="18" t="s">
        <v>29</v>
      </c>
      <c r="H529" s="19">
        <v>2004</v>
      </c>
      <c r="I529" s="18" t="s">
        <v>213</v>
      </c>
      <c r="J529" s="101">
        <v>47</v>
      </c>
      <c r="K529" s="20">
        <v>119</v>
      </c>
      <c r="L529" s="21">
        <v>29.16</v>
      </c>
      <c r="M529" s="22" t="s">
        <v>30</v>
      </c>
      <c r="N529" s="23">
        <v>29.16</v>
      </c>
      <c r="O529" s="24">
        <v>0.24504201680672269</v>
      </c>
      <c r="P529" s="25" t="str">
        <f>IF(P531="x","x","")</f>
        <v/>
      </c>
      <c r="Q529" s="25" t="str">
        <f>IF(Q531="x","x","")</f>
        <v/>
      </c>
      <c r="R529" s="25" t="str">
        <f>IF(R531="x","x","")</f>
        <v/>
      </c>
      <c r="S529" s="25" t="str">
        <f>IF(S531="x","x","")</f>
        <v>x</v>
      </c>
      <c r="T529" s="25" t="s">
        <v>31</v>
      </c>
      <c r="U529" s="26"/>
      <c r="V529" s="27"/>
    </row>
    <row r="530" spans="1:22" ht="18.600000000000001" customHeight="1" x14ac:dyDescent="0.25">
      <c r="A530" s="18" t="s">
        <v>63</v>
      </c>
      <c r="B530" s="18" t="s">
        <v>950</v>
      </c>
      <c r="C530" s="18" t="s">
        <v>255</v>
      </c>
      <c r="D530" s="18" t="s">
        <v>42</v>
      </c>
      <c r="E530" s="18" t="s">
        <v>36</v>
      </c>
      <c r="F530" s="18" t="s">
        <v>261</v>
      </c>
      <c r="G530" s="18" t="s">
        <v>32</v>
      </c>
      <c r="H530" s="19">
        <v>2012</v>
      </c>
      <c r="I530" s="18" t="s">
        <v>213</v>
      </c>
      <c r="J530" s="101" t="s">
        <v>27</v>
      </c>
      <c r="K530" s="20">
        <v>119</v>
      </c>
      <c r="L530" s="21">
        <v>77.48</v>
      </c>
      <c r="M530" s="22" t="s">
        <v>30</v>
      </c>
      <c r="N530" s="23">
        <v>77.48</v>
      </c>
      <c r="O530" s="24">
        <v>0.65109243697478991</v>
      </c>
      <c r="P530" s="25" t="str">
        <f>IF(P531="x","x","")</f>
        <v/>
      </c>
      <c r="Q530" s="25" t="str">
        <f>IF(Q531="x","x","")</f>
        <v/>
      </c>
      <c r="R530" s="25" t="str">
        <f>IF(R531="x","x","")</f>
        <v/>
      </c>
      <c r="S530" s="25" t="str">
        <f>IF(S531="x","x","")</f>
        <v>x</v>
      </c>
      <c r="T530" s="25" t="s">
        <v>31</v>
      </c>
      <c r="U530" s="26"/>
      <c r="V530" s="27"/>
    </row>
    <row r="531" spans="1:22" ht="18.600000000000001" customHeight="1" thickBot="1" x14ac:dyDescent="0.3">
      <c r="A531" s="28" t="str">
        <f>A530</f>
        <v>Ethiopia</v>
      </c>
      <c r="B531" s="28" t="str">
        <f>B530</f>
        <v>Sub-Saharan Africa</v>
      </c>
      <c r="C531" s="28" t="str">
        <f>C530</f>
        <v>P082998</v>
      </c>
      <c r="D531" s="28" t="s">
        <v>26</v>
      </c>
      <c r="E531" s="28" t="s">
        <v>27</v>
      </c>
      <c r="F531" s="28" t="str">
        <f>F530</f>
        <v>P082998C2S1</v>
      </c>
      <c r="G531" s="28" t="s">
        <v>16</v>
      </c>
      <c r="H531" s="29" t="str">
        <f>H529&amp;" / "&amp;H530</f>
        <v>2004 / 2012</v>
      </c>
      <c r="I531" s="29" t="str">
        <f>I530</f>
        <v>New 2L Highway</v>
      </c>
      <c r="J531" s="97" t="str">
        <f>IFERROR(J530/J529,"")</f>
        <v/>
      </c>
      <c r="K531" s="32">
        <f>K530/K529</f>
        <v>1</v>
      </c>
      <c r="L531" s="32">
        <f>L530/L529</f>
        <v>2.6570644718792868</v>
      </c>
      <c r="M531" s="28"/>
      <c r="N531" s="32">
        <f>N530/N529</f>
        <v>2.6570644718792868</v>
      </c>
      <c r="O531" s="32">
        <f>O530/O529</f>
        <v>2.6570644718792868</v>
      </c>
      <c r="P531" s="33" t="str">
        <f>IF(K531&lt;50%,"x","")</f>
        <v/>
      </c>
      <c r="Q531" s="33" t="str">
        <f>IF(K531&gt;150%,"x","")</f>
        <v/>
      </c>
      <c r="R531" s="33" t="str">
        <f>IF(O531&lt;50%,"x","")</f>
        <v/>
      </c>
      <c r="S531" s="33" t="str">
        <f>IF(O531&gt;150%,"x","")</f>
        <v>x</v>
      </c>
      <c r="T531" s="33" t="s">
        <v>31</v>
      </c>
      <c r="U531" s="34" t="s">
        <v>1059</v>
      </c>
      <c r="V531" s="35" t="s">
        <v>1166</v>
      </c>
    </row>
    <row r="532" spans="1:22" ht="16.5" thickTop="1" x14ac:dyDescent="0.25">
      <c r="A532" s="18" t="s">
        <v>63</v>
      </c>
      <c r="B532" s="18" t="s">
        <v>950</v>
      </c>
      <c r="C532" s="18" t="s">
        <v>255</v>
      </c>
      <c r="D532" s="18" t="s">
        <v>42</v>
      </c>
      <c r="E532" s="18" t="s">
        <v>40</v>
      </c>
      <c r="F532" s="18" t="s">
        <v>262</v>
      </c>
      <c r="G532" s="18" t="s">
        <v>29</v>
      </c>
      <c r="H532" s="19">
        <v>2004</v>
      </c>
      <c r="I532" s="18" t="s">
        <v>213</v>
      </c>
      <c r="J532" s="101">
        <v>52</v>
      </c>
      <c r="K532" s="20">
        <v>137</v>
      </c>
      <c r="L532" s="21">
        <v>17.87</v>
      </c>
      <c r="M532" s="22" t="s">
        <v>30</v>
      </c>
      <c r="N532" s="23">
        <v>17.87</v>
      </c>
      <c r="O532" s="24">
        <v>0.13043795620437956</v>
      </c>
      <c r="P532" s="25" t="str">
        <f>IF(P534="x","x","")</f>
        <v/>
      </c>
      <c r="Q532" s="25" t="str">
        <f>IF(Q534="x","x","")</f>
        <v/>
      </c>
      <c r="R532" s="25" t="str">
        <f>IF(R534="x","x","")</f>
        <v/>
      </c>
      <c r="S532" s="25" t="str">
        <f>IF(S534="x","x","")</f>
        <v>x</v>
      </c>
      <c r="T532" s="25" t="s">
        <v>31</v>
      </c>
      <c r="U532" s="26"/>
      <c r="V532" s="27"/>
    </row>
    <row r="533" spans="1:22" x14ac:dyDescent="0.25">
      <c r="A533" s="18" t="s">
        <v>63</v>
      </c>
      <c r="B533" s="18" t="s">
        <v>950</v>
      </c>
      <c r="C533" s="18" t="s">
        <v>255</v>
      </c>
      <c r="D533" s="18" t="s">
        <v>42</v>
      </c>
      <c r="E533" s="18" t="s">
        <v>40</v>
      </c>
      <c r="F533" s="18" t="s">
        <v>262</v>
      </c>
      <c r="G533" s="18" t="s">
        <v>32</v>
      </c>
      <c r="H533" s="19">
        <v>2012</v>
      </c>
      <c r="I533" s="18" t="s">
        <v>213</v>
      </c>
      <c r="J533" s="101" t="s">
        <v>27</v>
      </c>
      <c r="K533" s="20">
        <v>137</v>
      </c>
      <c r="L533" s="21">
        <v>70.599999999999994</v>
      </c>
      <c r="M533" s="22" t="s">
        <v>30</v>
      </c>
      <c r="N533" s="23">
        <v>70.599999999999994</v>
      </c>
      <c r="O533" s="24">
        <v>0.51532846715328462</v>
      </c>
      <c r="P533" s="25" t="str">
        <f>IF(P534="x","x","")</f>
        <v/>
      </c>
      <c r="Q533" s="25" t="str">
        <f>IF(Q534="x","x","")</f>
        <v/>
      </c>
      <c r="R533" s="25" t="str">
        <f>IF(R534="x","x","")</f>
        <v/>
      </c>
      <c r="S533" s="25" t="str">
        <f>IF(S534="x","x","")</f>
        <v>x</v>
      </c>
      <c r="T533" s="25" t="s">
        <v>31</v>
      </c>
      <c r="U533" s="26"/>
      <c r="V533" s="27"/>
    </row>
    <row r="534" spans="1:22" ht="63.75" thickBot="1" x14ac:dyDescent="0.3">
      <c r="A534" s="28" t="str">
        <f>A533</f>
        <v>Ethiopia</v>
      </c>
      <c r="B534" s="28" t="str">
        <f>B533</f>
        <v>Sub-Saharan Africa</v>
      </c>
      <c r="C534" s="28" t="str">
        <f>C533</f>
        <v>P082998</v>
      </c>
      <c r="D534" s="28" t="s">
        <v>26</v>
      </c>
      <c r="E534" s="28" t="s">
        <v>27</v>
      </c>
      <c r="F534" s="28" t="str">
        <f>F533</f>
        <v>P082998C2S2</v>
      </c>
      <c r="G534" s="28" t="s">
        <v>16</v>
      </c>
      <c r="H534" s="29" t="str">
        <f>H532&amp;" / "&amp;H533</f>
        <v>2004 / 2012</v>
      </c>
      <c r="I534" s="29" t="str">
        <f>I533</f>
        <v>New 2L Highway</v>
      </c>
      <c r="J534" s="97" t="str">
        <f>IFERROR(J533/J532,"")</f>
        <v/>
      </c>
      <c r="K534" s="32">
        <f>K533/K532</f>
        <v>1</v>
      </c>
      <c r="L534" s="32">
        <f>L533/L532</f>
        <v>3.950755456071628</v>
      </c>
      <c r="M534" s="28"/>
      <c r="N534" s="32">
        <f>N533/N532</f>
        <v>3.950755456071628</v>
      </c>
      <c r="O534" s="32">
        <f>O533/O532</f>
        <v>3.950755456071628</v>
      </c>
      <c r="P534" s="33" t="str">
        <f>IF(K534&lt;50%,"x","")</f>
        <v/>
      </c>
      <c r="Q534" s="33" t="str">
        <f>IF(K534&gt;150%,"x","")</f>
        <v/>
      </c>
      <c r="R534" s="33" t="str">
        <f>IF(O534&lt;50%,"x","")</f>
        <v/>
      </c>
      <c r="S534" s="33" t="str">
        <f>IF(O534&gt;150%,"x","")</f>
        <v>x</v>
      </c>
      <c r="T534" s="33" t="s">
        <v>31</v>
      </c>
      <c r="U534" s="34" t="s">
        <v>1059</v>
      </c>
      <c r="V534" s="35" t="s">
        <v>1166</v>
      </c>
    </row>
    <row r="535" spans="1:22" ht="16.5" thickTop="1" x14ac:dyDescent="0.25">
      <c r="A535" s="18" t="s">
        <v>63</v>
      </c>
      <c r="B535" s="18" t="s">
        <v>950</v>
      </c>
      <c r="C535" s="18" t="s">
        <v>817</v>
      </c>
      <c r="D535" s="18" t="s">
        <v>26</v>
      </c>
      <c r="E535" s="18" t="s">
        <v>27</v>
      </c>
      <c r="F535" s="18" t="s">
        <v>818</v>
      </c>
      <c r="G535" s="18" t="s">
        <v>29</v>
      </c>
      <c r="H535" s="19">
        <v>2007</v>
      </c>
      <c r="I535" s="18" t="s">
        <v>387</v>
      </c>
      <c r="J535" s="101" t="s">
        <v>27</v>
      </c>
      <c r="K535" s="20">
        <v>509</v>
      </c>
      <c r="L535" s="21">
        <v>268.45999999999998</v>
      </c>
      <c r="M535" s="22" t="s">
        <v>30</v>
      </c>
      <c r="N535" s="23">
        <v>268.45999999999998</v>
      </c>
      <c r="O535" s="24">
        <v>0.527426326129666</v>
      </c>
      <c r="P535" s="25" t="str">
        <f>IF(P537="x","x","")</f>
        <v/>
      </c>
      <c r="Q535" s="25" t="str">
        <f>IF(Q537="x","x","")</f>
        <v/>
      </c>
      <c r="R535" s="25" t="str">
        <f>IF(R537="x","x","")</f>
        <v/>
      </c>
      <c r="S535" s="25" t="str">
        <f>IF(S537="x","x","")</f>
        <v>x</v>
      </c>
      <c r="T535" s="25" t="s">
        <v>31</v>
      </c>
      <c r="U535" s="26"/>
      <c r="V535" s="27"/>
    </row>
    <row r="536" spans="1:22" x14ac:dyDescent="0.25">
      <c r="A536" s="18" t="s">
        <v>63</v>
      </c>
      <c r="B536" s="18" t="s">
        <v>950</v>
      </c>
      <c r="C536" s="18" t="s">
        <v>817</v>
      </c>
      <c r="D536" s="18" t="s">
        <v>26</v>
      </c>
      <c r="E536" s="18" t="s">
        <v>27</v>
      </c>
      <c r="F536" s="18" t="s">
        <v>818</v>
      </c>
      <c r="G536" s="18" t="s">
        <v>32</v>
      </c>
      <c r="H536" s="19">
        <v>2015</v>
      </c>
      <c r="I536" s="18" t="s">
        <v>387</v>
      </c>
      <c r="J536" s="101" t="s">
        <v>27</v>
      </c>
      <c r="K536" s="20">
        <v>499.63</v>
      </c>
      <c r="L536" s="21">
        <v>402.34</v>
      </c>
      <c r="M536" s="22" t="s">
        <v>30</v>
      </c>
      <c r="N536" s="23">
        <v>402.34</v>
      </c>
      <c r="O536" s="24">
        <v>0.80527590416908512</v>
      </c>
      <c r="P536" s="25" t="str">
        <f>IF(P537="x","x","")</f>
        <v/>
      </c>
      <c r="Q536" s="25" t="str">
        <f>IF(Q537="x","x","")</f>
        <v/>
      </c>
      <c r="R536" s="25" t="str">
        <f>IF(R537="x","x","")</f>
        <v/>
      </c>
      <c r="S536" s="25" t="str">
        <f>IF(S537="x","x","")</f>
        <v>x</v>
      </c>
      <c r="T536" s="25" t="s">
        <v>31</v>
      </c>
      <c r="U536" s="26"/>
      <c r="V536" s="27"/>
    </row>
    <row r="537" spans="1:22" ht="111" thickBot="1" x14ac:dyDescent="0.3">
      <c r="A537" s="28" t="str">
        <f>A536</f>
        <v>Ethiopia</v>
      </c>
      <c r="B537" s="28" t="str">
        <f>B536</f>
        <v>Sub-Saharan Africa</v>
      </c>
      <c r="C537" s="28" t="str">
        <f>C536</f>
        <v>P091077</v>
      </c>
      <c r="D537" s="28" t="s">
        <v>26</v>
      </c>
      <c r="E537" s="28" t="s">
        <v>27</v>
      </c>
      <c r="F537" s="28" t="str">
        <f>F536</f>
        <v>P091077C1</v>
      </c>
      <c r="G537" s="28" t="s">
        <v>16</v>
      </c>
      <c r="H537" s="29" t="str">
        <f>H535&amp;" / "&amp;H536</f>
        <v>2007 / 2015</v>
      </c>
      <c r="I537" s="29" t="str">
        <f>I536</f>
        <v>Upgrading</v>
      </c>
      <c r="J537" s="97" t="str">
        <f>IFERROR(J536/J535,"")</f>
        <v/>
      </c>
      <c r="K537" s="32">
        <f>K536/K535</f>
        <v>0.98159135559921418</v>
      </c>
      <c r="L537" s="32">
        <f>L536/L535</f>
        <v>1.4986962676003874</v>
      </c>
      <c r="M537" s="28"/>
      <c r="N537" s="32">
        <f>N536/N535</f>
        <v>1.4986962676003874</v>
      </c>
      <c r="O537" s="32">
        <f>O536/O535</f>
        <v>1.5268026343666257</v>
      </c>
      <c r="P537" s="33" t="str">
        <f>IF(K537&lt;50%,"x","")</f>
        <v/>
      </c>
      <c r="Q537" s="33" t="str">
        <f>IF(K537&gt;150%,"x","")</f>
        <v/>
      </c>
      <c r="R537" s="33" t="str">
        <f>IF(O537&lt;50%,"x","")</f>
        <v/>
      </c>
      <c r="S537" s="33" t="str">
        <f>IF(O537&gt;150%,"x","")</f>
        <v>x</v>
      </c>
      <c r="T537" s="33" t="s">
        <v>31</v>
      </c>
      <c r="U537" s="34" t="s">
        <v>1071</v>
      </c>
      <c r="V537" s="35" t="s">
        <v>1072</v>
      </c>
    </row>
    <row r="538" spans="1:22" ht="16.5" thickTop="1" x14ac:dyDescent="0.25">
      <c r="A538" s="18" t="s">
        <v>63</v>
      </c>
      <c r="B538" s="18" t="s">
        <v>950</v>
      </c>
      <c r="C538" s="18" t="s">
        <v>817</v>
      </c>
      <c r="D538" s="18" t="s">
        <v>26</v>
      </c>
      <c r="E538" s="18" t="s">
        <v>36</v>
      </c>
      <c r="F538" s="18" t="s">
        <v>819</v>
      </c>
      <c r="G538" s="18" t="s">
        <v>29</v>
      </c>
      <c r="H538" s="19">
        <v>2007</v>
      </c>
      <c r="I538" s="18" t="s">
        <v>387</v>
      </c>
      <c r="J538" s="101">
        <v>36.5</v>
      </c>
      <c r="K538" s="20">
        <v>99</v>
      </c>
      <c r="L538" s="21">
        <v>51.75</v>
      </c>
      <c r="M538" s="22" t="s">
        <v>30</v>
      </c>
      <c r="N538" s="23">
        <v>51.75</v>
      </c>
      <c r="O538" s="24">
        <v>0.52272727272727271</v>
      </c>
      <c r="P538" s="25" t="str">
        <f>IF(P540="x","x","")</f>
        <v/>
      </c>
      <c r="Q538" s="25" t="str">
        <f>IF(Q540="x","x","")</f>
        <v/>
      </c>
      <c r="R538" s="25" t="str">
        <f>IF(R540="x","x","")</f>
        <v/>
      </c>
      <c r="S538" s="25" t="str">
        <f>IF(S540="x","x","")</f>
        <v>x</v>
      </c>
      <c r="T538" s="25" t="s">
        <v>31</v>
      </c>
      <c r="U538" s="26"/>
      <c r="V538" s="27"/>
    </row>
    <row r="539" spans="1:22" x14ac:dyDescent="0.25">
      <c r="A539" s="18" t="s">
        <v>63</v>
      </c>
      <c r="B539" s="18" t="s">
        <v>950</v>
      </c>
      <c r="C539" s="18" t="s">
        <v>817</v>
      </c>
      <c r="D539" s="18" t="s">
        <v>26</v>
      </c>
      <c r="E539" s="18" t="s">
        <v>36</v>
      </c>
      <c r="F539" s="18" t="s">
        <v>819</v>
      </c>
      <c r="G539" s="18" t="s">
        <v>32</v>
      </c>
      <c r="H539" s="19">
        <v>2015</v>
      </c>
      <c r="I539" s="18" t="s">
        <v>387</v>
      </c>
      <c r="J539" s="101">
        <v>62.93333333333333</v>
      </c>
      <c r="K539" s="20">
        <v>99</v>
      </c>
      <c r="L539" s="21">
        <v>83.58</v>
      </c>
      <c r="M539" s="22" t="s">
        <v>30</v>
      </c>
      <c r="N539" s="23">
        <v>83.58</v>
      </c>
      <c r="O539" s="24">
        <v>0.84424242424242424</v>
      </c>
      <c r="P539" s="25" t="str">
        <f>IF(P540="x","x","")</f>
        <v/>
      </c>
      <c r="Q539" s="25" t="str">
        <f>IF(Q540="x","x","")</f>
        <v/>
      </c>
      <c r="R539" s="25" t="str">
        <f>IF(R540="x","x","")</f>
        <v/>
      </c>
      <c r="S539" s="25" t="str">
        <f>IF(S540="x","x","")</f>
        <v>x</v>
      </c>
      <c r="T539" s="25" t="s">
        <v>31</v>
      </c>
      <c r="U539" s="26"/>
      <c r="V539" s="27"/>
    </row>
    <row r="540" spans="1:22" ht="21" customHeight="1" thickBot="1" x14ac:dyDescent="0.3">
      <c r="A540" s="28" t="str">
        <f>A539</f>
        <v>Ethiopia</v>
      </c>
      <c r="B540" s="28" t="str">
        <f>B539</f>
        <v>Sub-Saharan Africa</v>
      </c>
      <c r="C540" s="28" t="str">
        <f>C539</f>
        <v>P091077</v>
      </c>
      <c r="D540" s="28" t="s">
        <v>26</v>
      </c>
      <c r="E540" s="28" t="s">
        <v>27</v>
      </c>
      <c r="F540" s="28" t="str">
        <f>F539</f>
        <v>P091077C1S1</v>
      </c>
      <c r="G540" s="28" t="s">
        <v>16</v>
      </c>
      <c r="H540" s="29" t="str">
        <f>H538&amp;" / "&amp;H539</f>
        <v>2007 / 2015</v>
      </c>
      <c r="I540" s="29" t="str">
        <f>I539</f>
        <v>Upgrading</v>
      </c>
      <c r="J540" s="97">
        <f>IFERROR(J539/J538,"")</f>
        <v>1.7242009132420091</v>
      </c>
      <c r="K540" s="32">
        <f>K539/K538</f>
        <v>1</v>
      </c>
      <c r="L540" s="32">
        <f>L539/L538</f>
        <v>1.615072463768116</v>
      </c>
      <c r="M540" s="28"/>
      <c r="N540" s="32">
        <f>N539/N538</f>
        <v>1.615072463768116</v>
      </c>
      <c r="O540" s="32">
        <f>O539/O538</f>
        <v>1.615072463768116</v>
      </c>
      <c r="P540" s="33" t="str">
        <f>IF(K540&lt;50%,"x","")</f>
        <v/>
      </c>
      <c r="Q540" s="33" t="str">
        <f>IF(K540&gt;150%,"x","")</f>
        <v/>
      </c>
      <c r="R540" s="33" t="str">
        <f>IF(O540&lt;50%,"x","")</f>
        <v/>
      </c>
      <c r="S540" s="33" t="str">
        <f>IF(O540&gt;150%,"x","")</f>
        <v>x</v>
      </c>
      <c r="T540" s="33" t="s">
        <v>31</v>
      </c>
      <c r="U540" s="34" t="s">
        <v>1071</v>
      </c>
      <c r="V540" s="35" t="s">
        <v>1072</v>
      </c>
    </row>
    <row r="541" spans="1:22" ht="16.5" thickTop="1" x14ac:dyDescent="0.25">
      <c r="A541" s="18" t="s">
        <v>63</v>
      </c>
      <c r="B541" s="18" t="s">
        <v>950</v>
      </c>
      <c r="C541" s="18" t="s">
        <v>817</v>
      </c>
      <c r="D541" s="18" t="s">
        <v>26</v>
      </c>
      <c r="E541" s="18" t="s">
        <v>40</v>
      </c>
      <c r="F541" s="18" t="s">
        <v>820</v>
      </c>
      <c r="G541" s="18" t="s">
        <v>29</v>
      </c>
      <c r="H541" s="19">
        <v>2007</v>
      </c>
      <c r="I541" s="18" t="s">
        <v>359</v>
      </c>
      <c r="J541" s="101">
        <v>30.433333333333334</v>
      </c>
      <c r="K541" s="20">
        <v>66</v>
      </c>
      <c r="L541" s="21">
        <v>37.630000000000003</v>
      </c>
      <c r="M541" s="22" t="s">
        <v>30</v>
      </c>
      <c r="N541" s="23">
        <v>37.630000000000003</v>
      </c>
      <c r="O541" s="24">
        <v>0.57015151515151519</v>
      </c>
      <c r="P541" s="25" t="str">
        <f>IF(P543="x","x","")</f>
        <v/>
      </c>
      <c r="Q541" s="25" t="str">
        <f>IF(Q543="x","x","")</f>
        <v/>
      </c>
      <c r="R541" s="25" t="str">
        <f>IF(R543="x","x","")</f>
        <v/>
      </c>
      <c r="S541" s="25" t="str">
        <f>IF(S543="x","x","")</f>
        <v/>
      </c>
      <c r="T541" s="25" t="s">
        <v>27</v>
      </c>
      <c r="U541" s="26"/>
      <c r="V541" s="27"/>
    </row>
    <row r="542" spans="1:22" x14ac:dyDescent="0.25">
      <c r="A542" s="18" t="s">
        <v>63</v>
      </c>
      <c r="B542" s="18" t="s">
        <v>950</v>
      </c>
      <c r="C542" s="18" t="s">
        <v>817</v>
      </c>
      <c r="D542" s="18" t="s">
        <v>26</v>
      </c>
      <c r="E542" s="18" t="s">
        <v>40</v>
      </c>
      <c r="F542" s="18" t="s">
        <v>820</v>
      </c>
      <c r="G542" s="18" t="s">
        <v>32</v>
      </c>
      <c r="H542" s="19">
        <v>2015</v>
      </c>
      <c r="I542" s="18" t="s">
        <v>359</v>
      </c>
      <c r="J542" s="101">
        <v>61.866666666666667</v>
      </c>
      <c r="K542" s="20">
        <v>66</v>
      </c>
      <c r="L542" s="21">
        <v>55.81</v>
      </c>
      <c r="M542" s="22" t="s">
        <v>30</v>
      </c>
      <c r="N542" s="23">
        <v>55.81</v>
      </c>
      <c r="O542" s="24">
        <v>0.84560606060606069</v>
      </c>
      <c r="P542" s="25" t="str">
        <f>IF(P543="x","x","")</f>
        <v/>
      </c>
      <c r="Q542" s="25" t="str">
        <f>IF(Q543="x","x","")</f>
        <v/>
      </c>
      <c r="R542" s="25" t="str">
        <f>IF(R543="x","x","")</f>
        <v/>
      </c>
      <c r="S542" s="25" t="str">
        <f>IF(S543="x","x","")</f>
        <v/>
      </c>
      <c r="T542" s="25" t="s">
        <v>27</v>
      </c>
      <c r="U542" s="26"/>
      <c r="V542" s="27"/>
    </row>
    <row r="543" spans="1:22" ht="16.5" thickBot="1" x14ac:dyDescent="0.3">
      <c r="A543" s="28" t="str">
        <f>A542</f>
        <v>Ethiopia</v>
      </c>
      <c r="B543" s="28" t="str">
        <f>B542</f>
        <v>Sub-Saharan Africa</v>
      </c>
      <c r="C543" s="28" t="str">
        <f>C542</f>
        <v>P091077</v>
      </c>
      <c r="D543" s="28" t="s">
        <v>26</v>
      </c>
      <c r="E543" s="28" t="s">
        <v>27</v>
      </c>
      <c r="F543" s="28" t="str">
        <f>F542</f>
        <v>P091077C1S2</v>
      </c>
      <c r="G543" s="28" t="s">
        <v>16</v>
      </c>
      <c r="H543" s="29" t="str">
        <f>H541&amp;" / "&amp;H542</f>
        <v>2007 / 2015</v>
      </c>
      <c r="I543" s="29" t="str">
        <f>I542</f>
        <v>Reconstruction</v>
      </c>
      <c r="J543" s="97">
        <f>IFERROR(J542/J541,"")</f>
        <v>2.0328587075575029</v>
      </c>
      <c r="K543" s="32">
        <f>K542/K541</f>
        <v>1</v>
      </c>
      <c r="L543" s="32">
        <f>L542/L541</f>
        <v>1.4831251660908848</v>
      </c>
      <c r="M543" s="28"/>
      <c r="N543" s="32">
        <f>N542/N541</f>
        <v>1.4831251660908848</v>
      </c>
      <c r="O543" s="32">
        <f>O542/O541</f>
        <v>1.4831251660908851</v>
      </c>
      <c r="P543" s="33" t="str">
        <f>IF(K543&lt;50%,"x","")</f>
        <v/>
      </c>
      <c r="Q543" s="33" t="str">
        <f>IF(K543&gt;150%,"x","")</f>
        <v/>
      </c>
      <c r="R543" s="33" t="str">
        <f>IF(O543&lt;50%,"x","")</f>
        <v/>
      </c>
      <c r="S543" s="33" t="str">
        <f>IF(O543&gt;150%,"x","")</f>
        <v/>
      </c>
      <c r="T543" s="33" t="s">
        <v>27</v>
      </c>
      <c r="U543" s="34" t="s">
        <v>27</v>
      </c>
      <c r="V543" s="35" t="s">
        <v>27</v>
      </c>
    </row>
    <row r="544" spans="1:22" ht="16.5" thickTop="1" x14ac:dyDescent="0.25">
      <c r="A544" s="18" t="s">
        <v>63</v>
      </c>
      <c r="B544" s="18" t="s">
        <v>950</v>
      </c>
      <c r="C544" s="18" t="s">
        <v>817</v>
      </c>
      <c r="D544" s="18" t="s">
        <v>26</v>
      </c>
      <c r="E544" s="18" t="s">
        <v>69</v>
      </c>
      <c r="F544" s="18" t="s">
        <v>821</v>
      </c>
      <c r="G544" s="18" t="s">
        <v>29</v>
      </c>
      <c r="H544" s="19">
        <v>2007</v>
      </c>
      <c r="I544" s="18" t="s">
        <v>359</v>
      </c>
      <c r="J544" s="101">
        <v>30.5</v>
      </c>
      <c r="K544" s="20">
        <v>65</v>
      </c>
      <c r="L544" s="21">
        <v>39.4</v>
      </c>
      <c r="M544" s="22" t="s">
        <v>30</v>
      </c>
      <c r="N544" s="23">
        <v>39.4</v>
      </c>
      <c r="O544" s="24">
        <v>0.60615384615384615</v>
      </c>
      <c r="P544" s="25" t="str">
        <f>IF(P546="x","x","")</f>
        <v/>
      </c>
      <c r="Q544" s="25" t="str">
        <f>IF(Q546="x","x","")</f>
        <v/>
      </c>
      <c r="R544" s="25" t="str">
        <f>IF(R546="x","x","")</f>
        <v/>
      </c>
      <c r="S544" s="25" t="str">
        <f>IF(S546="x","x","")</f>
        <v/>
      </c>
      <c r="T544" s="25" t="s">
        <v>27</v>
      </c>
      <c r="U544" s="26"/>
      <c r="V544" s="27"/>
    </row>
    <row r="545" spans="1:22" x14ac:dyDescent="0.25">
      <c r="A545" s="18" t="s">
        <v>63</v>
      </c>
      <c r="B545" s="18" t="s">
        <v>950</v>
      </c>
      <c r="C545" s="18" t="s">
        <v>817</v>
      </c>
      <c r="D545" s="18" t="s">
        <v>26</v>
      </c>
      <c r="E545" s="18" t="s">
        <v>69</v>
      </c>
      <c r="F545" s="18" t="s">
        <v>821</v>
      </c>
      <c r="G545" s="18" t="s">
        <v>32</v>
      </c>
      <c r="H545" s="19">
        <v>2015</v>
      </c>
      <c r="I545" s="18" t="s">
        <v>359</v>
      </c>
      <c r="J545" s="101">
        <v>36.133333333333333</v>
      </c>
      <c r="K545" s="20">
        <v>65</v>
      </c>
      <c r="L545" s="21">
        <v>48.6</v>
      </c>
      <c r="M545" s="22" t="s">
        <v>30</v>
      </c>
      <c r="N545" s="23">
        <v>48.6</v>
      </c>
      <c r="O545" s="24">
        <v>0.74769230769230777</v>
      </c>
      <c r="P545" s="25" t="str">
        <f>IF(P546="x","x","")</f>
        <v/>
      </c>
      <c r="Q545" s="25" t="str">
        <f>IF(Q546="x","x","")</f>
        <v/>
      </c>
      <c r="R545" s="25" t="str">
        <f>IF(R546="x","x","")</f>
        <v/>
      </c>
      <c r="S545" s="25" t="str">
        <f>IF(S546="x","x","")</f>
        <v/>
      </c>
      <c r="T545" s="25" t="s">
        <v>27</v>
      </c>
      <c r="U545" s="26"/>
      <c r="V545" s="27"/>
    </row>
    <row r="546" spans="1:22" ht="16.5" thickBot="1" x14ac:dyDescent="0.3">
      <c r="A546" s="28" t="str">
        <f>A545</f>
        <v>Ethiopia</v>
      </c>
      <c r="B546" s="28" t="str">
        <f>B545</f>
        <v>Sub-Saharan Africa</v>
      </c>
      <c r="C546" s="28" t="str">
        <f>C545</f>
        <v>P091077</v>
      </c>
      <c r="D546" s="28" t="s">
        <v>26</v>
      </c>
      <c r="E546" s="28" t="s">
        <v>27</v>
      </c>
      <c r="F546" s="28" t="str">
        <f>F545</f>
        <v>P091077C1S3</v>
      </c>
      <c r="G546" s="28" t="s">
        <v>16</v>
      </c>
      <c r="H546" s="29" t="str">
        <f>H544&amp;" / "&amp;H545</f>
        <v>2007 / 2015</v>
      </c>
      <c r="I546" s="29" t="str">
        <f>I545</f>
        <v>Reconstruction</v>
      </c>
      <c r="J546" s="97">
        <f>IFERROR(J545/J544,"")</f>
        <v>1.1846994535519126</v>
      </c>
      <c r="K546" s="32">
        <f>K545/K544</f>
        <v>1</v>
      </c>
      <c r="L546" s="32">
        <f>L545/L544</f>
        <v>1.233502538071066</v>
      </c>
      <c r="M546" s="28"/>
      <c r="N546" s="32">
        <f>N545/N544</f>
        <v>1.233502538071066</v>
      </c>
      <c r="O546" s="32">
        <f>O545/O544</f>
        <v>1.233502538071066</v>
      </c>
      <c r="P546" s="33" t="str">
        <f>IF(K546&lt;50%,"x","")</f>
        <v/>
      </c>
      <c r="Q546" s="33" t="str">
        <f>IF(K546&gt;150%,"x","")</f>
        <v/>
      </c>
      <c r="R546" s="33" t="str">
        <f>IF(O546&lt;50%,"x","")</f>
        <v/>
      </c>
      <c r="S546" s="33" t="str">
        <f>IF(O546&gt;150%,"x","")</f>
        <v/>
      </c>
      <c r="T546" s="33" t="s">
        <v>27</v>
      </c>
      <c r="U546" s="34" t="s">
        <v>27</v>
      </c>
      <c r="V546" s="35" t="s">
        <v>27</v>
      </c>
    </row>
    <row r="547" spans="1:22" ht="16.5" thickTop="1" x14ac:dyDescent="0.25">
      <c r="A547" s="18" t="s">
        <v>63</v>
      </c>
      <c r="B547" s="18" t="s">
        <v>950</v>
      </c>
      <c r="C547" s="18" t="s">
        <v>817</v>
      </c>
      <c r="D547" s="18" t="s">
        <v>26</v>
      </c>
      <c r="E547" s="18" t="s">
        <v>71</v>
      </c>
      <c r="F547" s="18" t="s">
        <v>822</v>
      </c>
      <c r="G547" s="18" t="s">
        <v>29</v>
      </c>
      <c r="H547" s="19">
        <v>2007</v>
      </c>
      <c r="I547" s="18" t="s">
        <v>387</v>
      </c>
      <c r="J547" s="101">
        <v>36.5</v>
      </c>
      <c r="K547" s="20">
        <v>94.1</v>
      </c>
      <c r="L547" s="21">
        <v>47.86</v>
      </c>
      <c r="M547" s="22" t="s">
        <v>30</v>
      </c>
      <c r="N547" s="23">
        <v>47.86</v>
      </c>
      <c r="O547" s="24">
        <v>0.5086078639744952</v>
      </c>
      <c r="P547" s="25" t="str">
        <f>IF(P549="x","x","")</f>
        <v/>
      </c>
      <c r="Q547" s="25" t="str">
        <f>IF(Q549="x","x","")</f>
        <v/>
      </c>
      <c r="R547" s="25" t="str">
        <f>IF(R549="x","x","")</f>
        <v/>
      </c>
      <c r="S547" s="25" t="str">
        <f>IF(S549="x","x","")</f>
        <v>x</v>
      </c>
      <c r="T547" s="25" t="s">
        <v>31</v>
      </c>
      <c r="U547" s="26"/>
      <c r="V547" s="27"/>
    </row>
    <row r="548" spans="1:22" x14ac:dyDescent="0.25">
      <c r="A548" s="18" t="s">
        <v>63</v>
      </c>
      <c r="B548" s="18" t="s">
        <v>950</v>
      </c>
      <c r="C548" s="18" t="s">
        <v>817</v>
      </c>
      <c r="D548" s="18" t="s">
        <v>26</v>
      </c>
      <c r="E548" s="18" t="s">
        <v>71</v>
      </c>
      <c r="F548" s="18" t="s">
        <v>822</v>
      </c>
      <c r="G548" s="18" t="s">
        <v>32</v>
      </c>
      <c r="H548" s="19">
        <v>2015</v>
      </c>
      <c r="I548" s="18" t="s">
        <v>387</v>
      </c>
      <c r="J548" s="101">
        <v>33.633333333333333</v>
      </c>
      <c r="K548" s="20">
        <v>94.1</v>
      </c>
      <c r="L548" s="21">
        <v>80.599999999999994</v>
      </c>
      <c r="M548" s="22" t="s">
        <v>30</v>
      </c>
      <c r="N548" s="23">
        <v>80.599999999999994</v>
      </c>
      <c r="O548" s="24">
        <v>0.8565356004250797</v>
      </c>
      <c r="P548" s="25" t="str">
        <f>IF(P549="x","x","")</f>
        <v/>
      </c>
      <c r="Q548" s="25" t="str">
        <f>IF(Q549="x","x","")</f>
        <v/>
      </c>
      <c r="R548" s="25" t="str">
        <f>IF(R549="x","x","")</f>
        <v/>
      </c>
      <c r="S548" s="25" t="str">
        <f>IF(S549="x","x","")</f>
        <v>x</v>
      </c>
      <c r="T548" s="25" t="s">
        <v>31</v>
      </c>
      <c r="U548" s="26"/>
      <c r="V548" s="27"/>
    </row>
    <row r="549" spans="1:22" ht="20.25" customHeight="1" thickBot="1" x14ac:dyDescent="0.3">
      <c r="A549" s="28" t="str">
        <f>A548</f>
        <v>Ethiopia</v>
      </c>
      <c r="B549" s="28" t="str">
        <f>B548</f>
        <v>Sub-Saharan Africa</v>
      </c>
      <c r="C549" s="28" t="str">
        <f>C548</f>
        <v>P091077</v>
      </c>
      <c r="D549" s="28" t="s">
        <v>26</v>
      </c>
      <c r="E549" s="28" t="s">
        <v>27</v>
      </c>
      <c r="F549" s="28" t="str">
        <f>F548</f>
        <v>P091077C1S4</v>
      </c>
      <c r="G549" s="28" t="s">
        <v>16</v>
      </c>
      <c r="H549" s="29" t="str">
        <f>H547&amp;" / "&amp;H548</f>
        <v>2007 / 2015</v>
      </c>
      <c r="I549" s="29" t="str">
        <f>I548</f>
        <v>Upgrading</v>
      </c>
      <c r="J549" s="97">
        <f>IFERROR(J548/J547,"")</f>
        <v>0.9214611872146119</v>
      </c>
      <c r="K549" s="32">
        <f>K548/K547</f>
        <v>1</v>
      </c>
      <c r="L549" s="32">
        <f>L548/L547</f>
        <v>1.6840785624738821</v>
      </c>
      <c r="M549" s="28"/>
      <c r="N549" s="32">
        <f>N548/N547</f>
        <v>1.6840785624738821</v>
      </c>
      <c r="O549" s="32">
        <f>O548/O547</f>
        <v>1.6840785624738823</v>
      </c>
      <c r="P549" s="33" t="str">
        <f>IF(K549&lt;50%,"x","")</f>
        <v/>
      </c>
      <c r="Q549" s="33" t="str">
        <f>IF(K549&gt;150%,"x","")</f>
        <v/>
      </c>
      <c r="R549" s="33" t="str">
        <f>IF(O549&lt;50%,"x","")</f>
        <v/>
      </c>
      <c r="S549" s="33" t="str">
        <f>IF(O549&gt;150%,"x","")</f>
        <v>x</v>
      </c>
      <c r="T549" s="33" t="s">
        <v>31</v>
      </c>
      <c r="U549" s="34" t="s">
        <v>1071</v>
      </c>
      <c r="V549" s="35" t="s">
        <v>1072</v>
      </c>
    </row>
    <row r="550" spans="1:22" ht="16.5" thickTop="1" x14ac:dyDescent="0.25">
      <c r="A550" s="18" t="s">
        <v>63</v>
      </c>
      <c r="B550" s="18" t="s">
        <v>950</v>
      </c>
      <c r="C550" s="18" t="s">
        <v>817</v>
      </c>
      <c r="D550" s="18" t="s">
        <v>26</v>
      </c>
      <c r="E550" s="18" t="s">
        <v>141</v>
      </c>
      <c r="F550" s="18" t="s">
        <v>823</v>
      </c>
      <c r="G550" s="18" t="s">
        <v>29</v>
      </c>
      <c r="H550" s="19">
        <v>2007</v>
      </c>
      <c r="I550" s="18" t="s">
        <v>387</v>
      </c>
      <c r="J550" s="101">
        <v>36.5</v>
      </c>
      <c r="K550" s="20">
        <v>109</v>
      </c>
      <c r="L550" s="21">
        <v>58.54</v>
      </c>
      <c r="M550" s="22" t="s">
        <v>30</v>
      </c>
      <c r="N550" s="23">
        <v>58.54</v>
      </c>
      <c r="O550" s="24">
        <v>0.53706422018348621</v>
      </c>
      <c r="P550" s="25" t="str">
        <f>IF(P552="x","x","")</f>
        <v/>
      </c>
      <c r="Q550" s="25" t="str">
        <f>IF(Q552="x","x","")</f>
        <v/>
      </c>
      <c r="R550" s="25" t="str">
        <f>IF(R552="x","x","")</f>
        <v/>
      </c>
      <c r="S550" s="25" t="str">
        <f>IF(S552="x","x","")</f>
        <v>x</v>
      </c>
      <c r="T550" s="25" t="s">
        <v>31</v>
      </c>
      <c r="U550" s="26"/>
      <c r="V550" s="27"/>
    </row>
    <row r="551" spans="1:22" x14ac:dyDescent="0.25">
      <c r="A551" s="18" t="s">
        <v>63</v>
      </c>
      <c r="B551" s="18" t="s">
        <v>950</v>
      </c>
      <c r="C551" s="18" t="s">
        <v>817</v>
      </c>
      <c r="D551" s="18" t="s">
        <v>26</v>
      </c>
      <c r="E551" s="18" t="s">
        <v>141</v>
      </c>
      <c r="F551" s="18" t="s">
        <v>823</v>
      </c>
      <c r="G551" s="18" t="s">
        <v>32</v>
      </c>
      <c r="H551" s="19">
        <v>2015</v>
      </c>
      <c r="I551" s="18" t="s">
        <v>387</v>
      </c>
      <c r="J551" s="101">
        <v>56.666666666666664</v>
      </c>
      <c r="K551" s="20">
        <v>109</v>
      </c>
      <c r="L551" s="21">
        <v>88.85</v>
      </c>
      <c r="M551" s="22" t="s">
        <v>30</v>
      </c>
      <c r="N551" s="23">
        <v>88.85</v>
      </c>
      <c r="O551" s="24">
        <v>0.815137614678899</v>
      </c>
      <c r="P551" s="25" t="str">
        <f>IF(P552="x","x","")</f>
        <v/>
      </c>
      <c r="Q551" s="25" t="str">
        <f>IF(Q552="x","x","")</f>
        <v/>
      </c>
      <c r="R551" s="25" t="str">
        <f>IF(R552="x","x","")</f>
        <v/>
      </c>
      <c r="S551" s="25" t="str">
        <f>IF(S552="x","x","")</f>
        <v>x</v>
      </c>
      <c r="T551" s="25" t="s">
        <v>31</v>
      </c>
      <c r="U551" s="26"/>
      <c r="V551" s="27"/>
    </row>
    <row r="552" spans="1:22" ht="26.25" customHeight="1" thickBot="1" x14ac:dyDescent="0.3">
      <c r="A552" s="28" t="s">
        <v>63</v>
      </c>
      <c r="B552" s="28" t="s">
        <v>950</v>
      </c>
      <c r="C552" s="28" t="s">
        <v>817</v>
      </c>
      <c r="D552" s="28" t="s">
        <v>26</v>
      </c>
      <c r="E552" s="28" t="s">
        <v>141</v>
      </c>
      <c r="F552" s="28" t="s">
        <v>823</v>
      </c>
      <c r="G552" s="28" t="s">
        <v>16</v>
      </c>
      <c r="H552" s="29" t="str">
        <f>H550&amp;" / "&amp;H551</f>
        <v>2007 / 2015</v>
      </c>
      <c r="I552" s="29" t="s">
        <v>387</v>
      </c>
      <c r="J552" s="31">
        <v>1.5525114155251141</v>
      </c>
      <c r="K552" s="30">
        <v>1</v>
      </c>
      <c r="L552" s="30"/>
      <c r="M552" s="28"/>
      <c r="N552" s="31">
        <v>1.5177656303382301</v>
      </c>
      <c r="O552" s="32">
        <v>1.5177656303382303</v>
      </c>
      <c r="P552" s="33" t="str">
        <f>IF(K552&lt;50%,"x","")</f>
        <v/>
      </c>
      <c r="Q552" s="33" t="str">
        <f>IF(K552&gt;150%,"x","")</f>
        <v/>
      </c>
      <c r="R552" s="33" t="str">
        <f>IF(O552&lt;50%,"x","")</f>
        <v/>
      </c>
      <c r="S552" s="33" t="str">
        <f>IF(O552&gt;150%,"x","")</f>
        <v>x</v>
      </c>
      <c r="T552" s="33" t="s">
        <v>31</v>
      </c>
      <c r="U552" s="34" t="s">
        <v>1071</v>
      </c>
      <c r="V552" s="35" t="s">
        <v>1072</v>
      </c>
    </row>
    <row r="553" spans="1:22" ht="16.5" thickTop="1" x14ac:dyDescent="0.25">
      <c r="A553" s="18" t="s">
        <v>63</v>
      </c>
      <c r="B553" s="18" t="s">
        <v>950</v>
      </c>
      <c r="C553" s="18" t="s">
        <v>817</v>
      </c>
      <c r="D553" s="18" t="s">
        <v>26</v>
      </c>
      <c r="E553" s="18" t="s">
        <v>143</v>
      </c>
      <c r="F553" s="18" t="s">
        <v>824</v>
      </c>
      <c r="G553" s="18" t="s">
        <v>29</v>
      </c>
      <c r="H553" s="19">
        <v>2007</v>
      </c>
      <c r="I553" s="18" t="s">
        <v>387</v>
      </c>
      <c r="J553" s="101">
        <v>30.333333333333332</v>
      </c>
      <c r="K553" s="20">
        <v>65.260000000000005</v>
      </c>
      <c r="L553" s="21">
        <v>33.380000000000003</v>
      </c>
      <c r="M553" s="22" t="s">
        <v>30</v>
      </c>
      <c r="N553" s="23">
        <v>33.380000000000003</v>
      </c>
      <c r="O553" s="24">
        <v>0.5114924915721728</v>
      </c>
      <c r="P553" s="25" t="str">
        <f>IF(P555="x","x","")</f>
        <v/>
      </c>
      <c r="Q553" s="25" t="str">
        <f>IF(Q555="x","x","")</f>
        <v/>
      </c>
      <c r="R553" s="25" t="str">
        <f>IF(R555="x","x","")</f>
        <v/>
      </c>
      <c r="S553" s="25" t="str">
        <f>IF(S555="x","x","")</f>
        <v/>
      </c>
      <c r="T553" s="25" t="s">
        <v>27</v>
      </c>
      <c r="U553" s="26"/>
      <c r="V553" s="27"/>
    </row>
    <row r="554" spans="1:22" x14ac:dyDescent="0.25">
      <c r="A554" s="18" t="s">
        <v>63</v>
      </c>
      <c r="B554" s="18" t="s">
        <v>950</v>
      </c>
      <c r="C554" s="18" t="s">
        <v>817</v>
      </c>
      <c r="D554" s="18" t="s">
        <v>26</v>
      </c>
      <c r="E554" s="18" t="s">
        <v>143</v>
      </c>
      <c r="F554" s="18" t="s">
        <v>824</v>
      </c>
      <c r="G554" s="18" t="s">
        <v>32</v>
      </c>
      <c r="H554" s="19">
        <v>2015</v>
      </c>
      <c r="I554" s="18" t="s">
        <v>387</v>
      </c>
      <c r="J554" s="101">
        <v>50.666666666666664</v>
      </c>
      <c r="K554" s="20">
        <v>65.260000000000005</v>
      </c>
      <c r="L554" s="21">
        <v>33.06</v>
      </c>
      <c r="M554" s="22" t="s">
        <v>30</v>
      </c>
      <c r="N554" s="23">
        <v>33.06</v>
      </c>
      <c r="O554" s="24">
        <v>0.5065890285013791</v>
      </c>
      <c r="P554" s="25" t="str">
        <f>IF(P555="x","x","")</f>
        <v/>
      </c>
      <c r="Q554" s="25" t="str">
        <f>IF(Q555="x","x","")</f>
        <v/>
      </c>
      <c r="R554" s="25" t="str">
        <f>IF(R555="x","x","")</f>
        <v/>
      </c>
      <c r="S554" s="25" t="str">
        <f>IF(S555="x","x","")</f>
        <v/>
      </c>
      <c r="T554" s="25" t="s">
        <v>27</v>
      </c>
      <c r="U554" s="26"/>
      <c r="V554" s="27"/>
    </row>
    <row r="555" spans="1:22" ht="16.5" thickBot="1" x14ac:dyDescent="0.3">
      <c r="A555" s="28" t="str">
        <f>A554</f>
        <v>Ethiopia</v>
      </c>
      <c r="B555" s="28" t="str">
        <f>B554</f>
        <v>Sub-Saharan Africa</v>
      </c>
      <c r="C555" s="28" t="str">
        <f>C554</f>
        <v>P091077</v>
      </c>
      <c r="D555" s="28" t="s">
        <v>26</v>
      </c>
      <c r="E555" s="28" t="s">
        <v>27</v>
      </c>
      <c r="F555" s="28" t="str">
        <f>F554</f>
        <v>P091077C1S6</v>
      </c>
      <c r="G555" s="28" t="s">
        <v>16</v>
      </c>
      <c r="H555" s="29" t="str">
        <f>H553&amp;" / "&amp;H554</f>
        <v>2007 / 2015</v>
      </c>
      <c r="I555" s="29" t="str">
        <f>I554</f>
        <v>Upgrading</v>
      </c>
      <c r="J555" s="97">
        <f>IFERROR(J554/J553,"")</f>
        <v>1.6703296703296704</v>
      </c>
      <c r="K555" s="32">
        <f>K554/K553</f>
        <v>1</v>
      </c>
      <c r="L555" s="32">
        <f>L554/L553</f>
        <v>0.99041342121030551</v>
      </c>
      <c r="M555" s="28"/>
      <c r="N555" s="32">
        <f>N554/N553</f>
        <v>0.99041342121030551</v>
      </c>
      <c r="O555" s="32">
        <f>O554/O553</f>
        <v>0.99041342121030562</v>
      </c>
      <c r="P555" s="33" t="str">
        <f>IF(K555&lt;50%,"x","")</f>
        <v/>
      </c>
      <c r="Q555" s="33" t="str">
        <f>IF(K555&gt;150%,"x","")</f>
        <v/>
      </c>
      <c r="R555" s="33" t="str">
        <f>IF(O555&lt;50%,"x","")</f>
        <v/>
      </c>
      <c r="S555" s="33" t="str">
        <f>IF(O555&gt;150%,"x","")</f>
        <v/>
      </c>
      <c r="T555" s="33" t="s">
        <v>27</v>
      </c>
      <c r="U555" s="34" t="s">
        <v>27</v>
      </c>
      <c r="V555" s="35" t="s">
        <v>27</v>
      </c>
    </row>
    <row r="556" spans="1:22" ht="16.5" thickTop="1" x14ac:dyDescent="0.25">
      <c r="A556" s="18" t="s">
        <v>49</v>
      </c>
      <c r="B556" s="18" t="s">
        <v>947</v>
      </c>
      <c r="C556" s="18" t="s">
        <v>50</v>
      </c>
      <c r="D556" s="18" t="s">
        <v>26</v>
      </c>
      <c r="E556" s="18" t="s">
        <v>27</v>
      </c>
      <c r="F556" s="18" t="s">
        <v>51</v>
      </c>
      <c r="G556" s="18" t="s">
        <v>29</v>
      </c>
      <c r="H556" s="19">
        <v>2000</v>
      </c>
      <c r="I556" s="18" t="s">
        <v>38</v>
      </c>
      <c r="J556" s="101" t="s">
        <v>27</v>
      </c>
      <c r="K556" s="20">
        <v>162</v>
      </c>
      <c r="L556" s="21">
        <v>28.16</v>
      </c>
      <c r="M556" s="22" t="s">
        <v>30</v>
      </c>
      <c r="N556" s="23">
        <v>28.16</v>
      </c>
      <c r="O556" s="24">
        <v>0.17382716049382715</v>
      </c>
      <c r="P556" s="25" t="str">
        <f>IF(P558="x","x","")</f>
        <v/>
      </c>
      <c r="Q556" s="25" t="str">
        <f>IF(Q558="x","x","")</f>
        <v/>
      </c>
      <c r="R556" s="25" t="str">
        <f>IF(R558="x","x","")</f>
        <v/>
      </c>
      <c r="S556" s="25" t="str">
        <f>IF(S558="x","x","")</f>
        <v/>
      </c>
      <c r="T556" s="25" t="s">
        <v>27</v>
      </c>
      <c r="U556" s="26"/>
      <c r="V556" s="27"/>
    </row>
    <row r="557" spans="1:22" x14ac:dyDescent="0.25">
      <c r="A557" s="18" t="s">
        <v>49</v>
      </c>
      <c r="B557" s="18" t="s">
        <v>947</v>
      </c>
      <c r="C557" s="18" t="s">
        <v>50</v>
      </c>
      <c r="D557" s="18" t="s">
        <v>26</v>
      </c>
      <c r="E557" s="18" t="s">
        <v>27</v>
      </c>
      <c r="F557" s="18" t="s">
        <v>51</v>
      </c>
      <c r="G557" s="18" t="s">
        <v>32</v>
      </c>
      <c r="H557" s="19">
        <v>2006</v>
      </c>
      <c r="I557" s="18" t="s">
        <v>38</v>
      </c>
      <c r="J557" s="101" t="s">
        <v>27</v>
      </c>
      <c r="K557" s="20">
        <v>167</v>
      </c>
      <c r="L557" s="21">
        <v>28.48</v>
      </c>
      <c r="M557" s="22" t="s">
        <v>30</v>
      </c>
      <c r="N557" s="23">
        <v>28.48</v>
      </c>
      <c r="O557" s="24">
        <v>0.17053892215568864</v>
      </c>
      <c r="P557" s="25" t="str">
        <f>IF(P558="x","x","")</f>
        <v/>
      </c>
      <c r="Q557" s="25" t="str">
        <f>IF(Q558="x","x","")</f>
        <v/>
      </c>
      <c r="R557" s="25" t="str">
        <f>IF(R558="x","x","")</f>
        <v/>
      </c>
      <c r="S557" s="25" t="str">
        <f>IF(S558="x","x","")</f>
        <v/>
      </c>
      <c r="T557" s="25" t="s">
        <v>27</v>
      </c>
      <c r="U557" s="26"/>
      <c r="V557" s="27"/>
    </row>
    <row r="558" spans="1:22" ht="16.5" thickBot="1" x14ac:dyDescent="0.3">
      <c r="A558" s="28" t="str">
        <f>A557</f>
        <v>Georgia</v>
      </c>
      <c r="B558" s="28" t="str">
        <f>B557</f>
        <v>Europe and Central Asia</v>
      </c>
      <c r="C558" s="28" t="str">
        <f>C557</f>
        <v>P040556</v>
      </c>
      <c r="D558" s="28" t="s">
        <v>26</v>
      </c>
      <c r="E558" s="28" t="s">
        <v>27</v>
      </c>
      <c r="F558" s="28" t="str">
        <f>F557</f>
        <v>P040556C1</v>
      </c>
      <c r="G558" s="28" t="s">
        <v>16</v>
      </c>
      <c r="H558" s="29" t="str">
        <f>H556&amp;" / "&amp;H557</f>
        <v>2000 / 2006</v>
      </c>
      <c r="I558" s="29" t="str">
        <f>I557</f>
        <v>Strengthening</v>
      </c>
      <c r="J558" s="97" t="str">
        <f>IFERROR(J557/J556,"")</f>
        <v/>
      </c>
      <c r="K558" s="32">
        <f>K557/K556</f>
        <v>1.0308641975308641</v>
      </c>
      <c r="L558" s="32">
        <f>L557/L556</f>
        <v>1.0113636363636365</v>
      </c>
      <c r="M558" s="28"/>
      <c r="N558" s="32">
        <f>N557/N556</f>
        <v>1.0113636363636365</v>
      </c>
      <c r="O558" s="32">
        <f>O557/O556</f>
        <v>0.98108328796951561</v>
      </c>
      <c r="P558" s="33" t="str">
        <f>IF(K558&lt;50%,"x","")</f>
        <v/>
      </c>
      <c r="Q558" s="33" t="str">
        <f>IF(K558&gt;150%,"x","")</f>
        <v/>
      </c>
      <c r="R558" s="33" t="str">
        <f>IF(O558&lt;50%,"x","")</f>
        <v/>
      </c>
      <c r="S558" s="33" t="str">
        <f>IF(O558&gt;150%,"x","")</f>
        <v/>
      </c>
      <c r="T558" s="33" t="s">
        <v>27</v>
      </c>
      <c r="U558" s="34" t="s">
        <v>27</v>
      </c>
      <c r="V558" s="35" t="s">
        <v>27</v>
      </c>
    </row>
    <row r="559" spans="1:22" ht="16.5" thickTop="1" x14ac:dyDescent="0.25">
      <c r="A559" s="18" t="s">
        <v>49</v>
      </c>
      <c r="B559" s="18" t="s">
        <v>947</v>
      </c>
      <c r="C559" s="18" t="s">
        <v>742</v>
      </c>
      <c r="D559" s="18" t="s">
        <v>26</v>
      </c>
      <c r="E559" s="18" t="s">
        <v>27</v>
      </c>
      <c r="F559" s="18" t="s">
        <v>743</v>
      </c>
      <c r="G559" s="18" t="s">
        <v>29</v>
      </c>
      <c r="H559" s="19">
        <v>2006</v>
      </c>
      <c r="I559" s="18" t="s">
        <v>364</v>
      </c>
      <c r="J559" s="101" t="s">
        <v>27</v>
      </c>
      <c r="K559" s="20">
        <v>12.2</v>
      </c>
      <c r="L559" s="21">
        <v>25.397058823529409</v>
      </c>
      <c r="M559" s="22" t="s">
        <v>30</v>
      </c>
      <c r="N559" s="23">
        <v>25.397058823529409</v>
      </c>
      <c r="O559" s="24">
        <v>2.0817261330761814</v>
      </c>
      <c r="P559" s="25" t="str">
        <f>IF(P561="x","x","")</f>
        <v/>
      </c>
      <c r="Q559" s="25" t="str">
        <f>IF(Q561="x","x","")</f>
        <v/>
      </c>
      <c r="R559" s="25" t="str">
        <f>IF(R561="x","x","")</f>
        <v/>
      </c>
      <c r="S559" s="25" t="str">
        <f>IF(S561="x","x","")</f>
        <v/>
      </c>
      <c r="T559" s="25" t="s">
        <v>27</v>
      </c>
      <c r="U559" s="26"/>
      <c r="V559" s="27"/>
    </row>
    <row r="560" spans="1:22" x14ac:dyDescent="0.25">
      <c r="A560" s="18" t="s">
        <v>49</v>
      </c>
      <c r="B560" s="18" t="s">
        <v>947</v>
      </c>
      <c r="C560" s="18" t="s">
        <v>742</v>
      </c>
      <c r="D560" s="18" t="s">
        <v>26</v>
      </c>
      <c r="E560" s="18" t="s">
        <v>27</v>
      </c>
      <c r="F560" s="18" t="s">
        <v>743</v>
      </c>
      <c r="G560" s="18" t="s">
        <v>32</v>
      </c>
      <c r="H560" s="19">
        <v>2013</v>
      </c>
      <c r="I560" s="18" t="s">
        <v>364</v>
      </c>
      <c r="J560" s="101" t="s">
        <v>27</v>
      </c>
      <c r="K560" s="20">
        <v>13</v>
      </c>
      <c r="L560" s="21">
        <v>29.15</v>
      </c>
      <c r="M560" s="22" t="s">
        <v>30</v>
      </c>
      <c r="N560" s="23">
        <v>29.15</v>
      </c>
      <c r="O560" s="24">
        <v>2.2423076923076923</v>
      </c>
      <c r="P560" s="25" t="str">
        <f>IF(P561="x","x","")</f>
        <v/>
      </c>
      <c r="Q560" s="25" t="str">
        <f>IF(Q561="x","x","")</f>
        <v/>
      </c>
      <c r="R560" s="25" t="str">
        <f>IF(R561="x","x","")</f>
        <v/>
      </c>
      <c r="S560" s="25" t="str">
        <f>IF(S561="x","x","")</f>
        <v/>
      </c>
      <c r="T560" s="25" t="s">
        <v>27</v>
      </c>
      <c r="U560" s="26"/>
      <c r="V560" s="27"/>
    </row>
    <row r="561" spans="1:22" ht="16.5" thickBot="1" x14ac:dyDescent="0.3">
      <c r="A561" s="28" t="str">
        <f>A560</f>
        <v>Georgia</v>
      </c>
      <c r="B561" s="28" t="str">
        <f>B560</f>
        <v>Europe and Central Asia</v>
      </c>
      <c r="C561" s="28" t="str">
        <f>C560</f>
        <v>P083110</v>
      </c>
      <c r="D561" s="28" t="s">
        <v>26</v>
      </c>
      <c r="E561" s="28" t="s">
        <v>27</v>
      </c>
      <c r="F561" s="28" t="str">
        <f>F560</f>
        <v>P083110C1</v>
      </c>
      <c r="G561" s="28" t="s">
        <v>16</v>
      </c>
      <c r="H561" s="29" t="str">
        <f>H559&amp;" / "&amp;H560</f>
        <v>2006 / 2013</v>
      </c>
      <c r="I561" s="29" t="str">
        <f>I560</f>
        <v>Widening and Reconstruction</v>
      </c>
      <c r="J561" s="97" t="str">
        <f>IFERROR(J560/J559,"")</f>
        <v/>
      </c>
      <c r="K561" s="32">
        <f>K560/K559</f>
        <v>1.0655737704918034</v>
      </c>
      <c r="L561" s="32">
        <f>L560/L559</f>
        <v>1.1477707006369426</v>
      </c>
      <c r="M561" s="28"/>
      <c r="N561" s="32">
        <f>N560/N559</f>
        <v>1.1477707006369426</v>
      </c>
      <c r="O561" s="32">
        <f>O560/O559</f>
        <v>1.0771386575208231</v>
      </c>
      <c r="P561" s="33" t="str">
        <f>IF(K561&lt;50%,"x","")</f>
        <v/>
      </c>
      <c r="Q561" s="33" t="str">
        <f>IF(K561&gt;150%,"x","")</f>
        <v/>
      </c>
      <c r="R561" s="33" t="str">
        <f>IF(O561&lt;50%,"x","")</f>
        <v/>
      </c>
      <c r="S561" s="33" t="str">
        <f>IF(O561&gt;150%,"x","")</f>
        <v/>
      </c>
      <c r="T561" s="33" t="s">
        <v>27</v>
      </c>
      <c r="U561" s="34" t="s">
        <v>27</v>
      </c>
      <c r="V561" s="35" t="s">
        <v>27</v>
      </c>
    </row>
    <row r="562" spans="1:22" ht="16.5" thickTop="1" x14ac:dyDescent="0.25">
      <c r="A562" s="18" t="s">
        <v>49</v>
      </c>
      <c r="B562" s="18" t="s">
        <v>947</v>
      </c>
      <c r="C562" s="18" t="s">
        <v>786</v>
      </c>
      <c r="D562" s="18" t="s">
        <v>26</v>
      </c>
      <c r="E562" s="18" t="s">
        <v>27</v>
      </c>
      <c r="F562" s="18" t="s">
        <v>787</v>
      </c>
      <c r="G562" s="18" t="s">
        <v>29</v>
      </c>
      <c r="H562" s="19">
        <v>2004</v>
      </c>
      <c r="I562" s="18" t="s">
        <v>38</v>
      </c>
      <c r="J562" s="101">
        <v>64</v>
      </c>
      <c r="K562" s="20">
        <v>500</v>
      </c>
      <c r="L562" s="21">
        <v>20.54</v>
      </c>
      <c r="M562" s="22" t="s">
        <v>30</v>
      </c>
      <c r="N562" s="23">
        <v>20.54</v>
      </c>
      <c r="O562" s="24">
        <v>4.1079999999999998E-2</v>
      </c>
      <c r="P562" s="25" t="str">
        <f>IF(P564="x","x","")</f>
        <v/>
      </c>
      <c r="Q562" s="25" t="str">
        <f>IF(Q564="x","x","")</f>
        <v>x</v>
      </c>
      <c r="R562" s="25" t="str">
        <f>IF(R564="x","x","")</f>
        <v/>
      </c>
      <c r="S562" s="25" t="str">
        <f>IF(S564="x","x","")</f>
        <v>x</v>
      </c>
      <c r="T562" s="25" t="s">
        <v>31</v>
      </c>
      <c r="U562" s="26"/>
      <c r="V562" s="27"/>
    </row>
    <row r="563" spans="1:22" x14ac:dyDescent="0.25">
      <c r="A563" s="18" t="s">
        <v>49</v>
      </c>
      <c r="B563" s="18" t="s">
        <v>947</v>
      </c>
      <c r="C563" s="18" t="s">
        <v>786</v>
      </c>
      <c r="D563" s="18" t="s">
        <v>26</v>
      </c>
      <c r="E563" s="18" t="s">
        <v>27</v>
      </c>
      <c r="F563" s="18" t="s">
        <v>787</v>
      </c>
      <c r="G563" s="18" t="s">
        <v>32</v>
      </c>
      <c r="H563" s="19">
        <v>2013</v>
      </c>
      <c r="I563" s="18" t="s">
        <v>38</v>
      </c>
      <c r="J563" s="101">
        <v>82</v>
      </c>
      <c r="K563" s="20">
        <v>842</v>
      </c>
      <c r="L563" s="21">
        <v>129.94</v>
      </c>
      <c r="M563" s="22" t="s">
        <v>30</v>
      </c>
      <c r="N563" s="23">
        <v>129.94</v>
      </c>
      <c r="O563" s="24">
        <v>0.15432304038004752</v>
      </c>
      <c r="P563" s="25" t="str">
        <f>IF(P564="x","x","")</f>
        <v/>
      </c>
      <c r="Q563" s="25" t="str">
        <f>IF(Q564="x","x","")</f>
        <v>x</v>
      </c>
      <c r="R563" s="25" t="str">
        <f>IF(R564="x","x","")</f>
        <v/>
      </c>
      <c r="S563" s="25" t="str">
        <f>IF(S564="x","x","")</f>
        <v>x</v>
      </c>
      <c r="T563" s="25" t="s">
        <v>31</v>
      </c>
      <c r="U563" s="26"/>
      <c r="V563" s="27"/>
    </row>
    <row r="564" spans="1:22" ht="63.75" thickBot="1" x14ac:dyDescent="0.3">
      <c r="A564" s="28" t="str">
        <f>A563</f>
        <v>Georgia</v>
      </c>
      <c r="B564" s="28" t="str">
        <f>B563</f>
        <v>Europe and Central Asia</v>
      </c>
      <c r="C564" s="28" t="str">
        <f>C563</f>
        <v>P086277</v>
      </c>
      <c r="D564" s="28" t="s">
        <v>26</v>
      </c>
      <c r="E564" s="28" t="s">
        <v>27</v>
      </c>
      <c r="F564" s="28" t="str">
        <f>F563</f>
        <v>P086277C1</v>
      </c>
      <c r="G564" s="28" t="s">
        <v>16</v>
      </c>
      <c r="H564" s="29" t="str">
        <f>H562&amp;" / "&amp;H563</f>
        <v>2004 / 2013</v>
      </c>
      <c r="I564" s="29" t="str">
        <f>I563</f>
        <v>Strengthening</v>
      </c>
      <c r="J564" s="97">
        <f>IFERROR(J563/J562,"")</f>
        <v>1.28125</v>
      </c>
      <c r="K564" s="32">
        <f>K563/K562</f>
        <v>1.6839999999999999</v>
      </c>
      <c r="L564" s="32">
        <f>L563/L562</f>
        <v>6.3261927945472252</v>
      </c>
      <c r="M564" s="28"/>
      <c r="N564" s="32">
        <f>N563/N562</f>
        <v>6.3261927945472252</v>
      </c>
      <c r="O564" s="32">
        <f>O563/O562</f>
        <v>3.7566465525814881</v>
      </c>
      <c r="P564" s="33" t="str">
        <f>IF(K564&lt;50%,"x","")</f>
        <v/>
      </c>
      <c r="Q564" s="33" t="str">
        <f>IF(K564&gt;150%,"x","")</f>
        <v>x</v>
      </c>
      <c r="R564" s="33" t="str">
        <f>IF(O564&lt;50%,"x","")</f>
        <v/>
      </c>
      <c r="S564" s="33" t="str">
        <f>IF(O564&gt;150%,"x","")</f>
        <v>x</v>
      </c>
      <c r="T564" s="33" t="s">
        <v>31</v>
      </c>
      <c r="U564" s="34" t="s">
        <v>1065</v>
      </c>
      <c r="V564" s="35" t="s">
        <v>1066</v>
      </c>
    </row>
    <row r="565" spans="1:22" ht="16.5" thickTop="1" x14ac:dyDescent="0.25">
      <c r="A565" s="18" t="s">
        <v>49</v>
      </c>
      <c r="B565" s="18" t="s">
        <v>947</v>
      </c>
      <c r="C565" s="18" t="s">
        <v>839</v>
      </c>
      <c r="D565" s="18" t="s">
        <v>26</v>
      </c>
      <c r="E565" s="18" t="s">
        <v>36</v>
      </c>
      <c r="F565" s="18" t="s">
        <v>840</v>
      </c>
      <c r="G565" s="18" t="s">
        <v>29</v>
      </c>
      <c r="H565" s="19">
        <v>2007</v>
      </c>
      <c r="I565" s="18" t="s">
        <v>56</v>
      </c>
      <c r="J565" s="101">
        <v>20</v>
      </c>
      <c r="K565" s="20">
        <v>24</v>
      </c>
      <c r="L565" s="21">
        <v>41.95</v>
      </c>
      <c r="M565" s="22" t="s">
        <v>30</v>
      </c>
      <c r="N565" s="23">
        <v>41.95</v>
      </c>
      <c r="O565" s="24">
        <v>1.7479166666666668</v>
      </c>
      <c r="P565" s="25" t="str">
        <f>IF(P567="x","x","")</f>
        <v/>
      </c>
      <c r="Q565" s="25" t="str">
        <f>IF(Q567="x","x","")</f>
        <v/>
      </c>
      <c r="R565" s="25" t="str">
        <f>IF(R567="x","x","")</f>
        <v/>
      </c>
      <c r="S565" s="25" t="str">
        <f>IF(S567="x","x","")</f>
        <v>x</v>
      </c>
      <c r="T565" s="25" t="s">
        <v>31</v>
      </c>
      <c r="U565" s="26"/>
      <c r="V565" s="27"/>
    </row>
    <row r="566" spans="1:22" x14ac:dyDescent="0.25">
      <c r="A566" s="18" t="s">
        <v>49</v>
      </c>
      <c r="B566" s="18" t="s">
        <v>947</v>
      </c>
      <c r="C566" s="18" t="s">
        <v>839</v>
      </c>
      <c r="D566" s="18" t="s">
        <v>26</v>
      </c>
      <c r="E566" s="18" t="s">
        <v>36</v>
      </c>
      <c r="F566" s="18" t="s">
        <v>840</v>
      </c>
      <c r="G566" s="18" t="s">
        <v>32</v>
      </c>
      <c r="H566" s="19">
        <v>2012</v>
      </c>
      <c r="I566" s="18" t="s">
        <v>56</v>
      </c>
      <c r="J566" s="101">
        <v>28</v>
      </c>
      <c r="K566" s="20">
        <v>24</v>
      </c>
      <c r="L566" s="21">
        <v>69.2</v>
      </c>
      <c r="M566" s="22" t="s">
        <v>30</v>
      </c>
      <c r="N566" s="23">
        <v>69.2</v>
      </c>
      <c r="O566" s="24">
        <v>2.8833333333333333</v>
      </c>
      <c r="P566" s="25" t="str">
        <f>IF(P567="x","x","")</f>
        <v/>
      </c>
      <c r="Q566" s="25" t="str">
        <f>IF(Q567="x","x","")</f>
        <v/>
      </c>
      <c r="R566" s="25" t="str">
        <f>IF(R567="x","x","")</f>
        <v/>
      </c>
      <c r="S566" s="25" t="str">
        <f>IF(S567="x","x","")</f>
        <v>x</v>
      </c>
      <c r="T566" s="25" t="s">
        <v>31</v>
      </c>
      <c r="U566" s="26"/>
      <c r="V566" s="27"/>
    </row>
    <row r="567" spans="1:22" ht="221.25" thickBot="1" x14ac:dyDescent="0.3">
      <c r="A567" s="28" t="str">
        <f>A566</f>
        <v>Georgia</v>
      </c>
      <c r="B567" s="28" t="str">
        <f>B566</f>
        <v>Europe and Central Asia</v>
      </c>
      <c r="C567" s="28" t="str">
        <f>C566</f>
        <v>P094044</v>
      </c>
      <c r="D567" s="28" t="s">
        <v>26</v>
      </c>
      <c r="E567" s="28" t="s">
        <v>27</v>
      </c>
      <c r="F567" s="28" t="str">
        <f>F566</f>
        <v>P094044C1S1</v>
      </c>
      <c r="G567" s="28" t="s">
        <v>16</v>
      </c>
      <c r="H567" s="29" t="str">
        <f>H565&amp;" / "&amp;H566</f>
        <v>2007 / 2012</v>
      </c>
      <c r="I567" s="29" t="str">
        <f>I566</f>
        <v>Widening</v>
      </c>
      <c r="J567" s="97">
        <f>IFERROR(J566/J565,"")</f>
        <v>1.4</v>
      </c>
      <c r="K567" s="32">
        <f>K566/K565</f>
        <v>1</v>
      </c>
      <c r="L567" s="32">
        <f>L566/L565</f>
        <v>1.6495828367103695</v>
      </c>
      <c r="M567" s="28"/>
      <c r="N567" s="32">
        <f>N566/N565</f>
        <v>1.6495828367103695</v>
      </c>
      <c r="O567" s="32">
        <f>O566/O565</f>
        <v>1.6495828367103693</v>
      </c>
      <c r="P567" s="33" t="str">
        <f>IF(K567&lt;50%,"x","")</f>
        <v/>
      </c>
      <c r="Q567" s="33" t="str">
        <f>IF(K567&gt;150%,"x","")</f>
        <v/>
      </c>
      <c r="R567" s="33" t="str">
        <f>IF(O567&lt;50%,"x","")</f>
        <v/>
      </c>
      <c r="S567" s="33" t="str">
        <f>IF(O567&gt;150%,"x","")</f>
        <v>x</v>
      </c>
      <c r="T567" s="33" t="s">
        <v>31</v>
      </c>
      <c r="U567" s="34" t="s">
        <v>1078</v>
      </c>
      <c r="V567" s="35" t="s">
        <v>1079</v>
      </c>
    </row>
    <row r="568" spans="1:22" ht="16.5" thickTop="1" x14ac:dyDescent="0.25">
      <c r="A568" s="18" t="s">
        <v>484</v>
      </c>
      <c r="B568" s="18" t="s">
        <v>950</v>
      </c>
      <c r="C568" s="18" t="s">
        <v>485</v>
      </c>
      <c r="D568" s="18" t="s">
        <v>26</v>
      </c>
      <c r="E568" s="18" t="s">
        <v>27</v>
      </c>
      <c r="F568" s="18" t="s">
        <v>486</v>
      </c>
      <c r="G568" s="18" t="s">
        <v>29</v>
      </c>
      <c r="H568" s="19">
        <v>2004</v>
      </c>
      <c r="I568" s="18" t="s">
        <v>387</v>
      </c>
      <c r="J568" s="101" t="s">
        <v>27</v>
      </c>
      <c r="K568" s="20">
        <v>1270</v>
      </c>
      <c r="L568" s="21">
        <v>23.9</v>
      </c>
      <c r="M568" s="22" t="s">
        <v>30</v>
      </c>
      <c r="N568" s="23">
        <v>23.9</v>
      </c>
      <c r="O568" s="24">
        <v>1.8818897637795276E-2</v>
      </c>
      <c r="P568" s="25" t="str">
        <f>IF(P570="x","x","")</f>
        <v/>
      </c>
      <c r="Q568" s="25" t="str">
        <f>IF(Q570="x","x","")</f>
        <v/>
      </c>
      <c r="R568" s="25" t="str">
        <f>IF(R570="x","x","")</f>
        <v/>
      </c>
      <c r="S568" s="25" t="str">
        <f>IF(S570="x","x","")</f>
        <v/>
      </c>
      <c r="T568" s="25" t="s">
        <v>27</v>
      </c>
      <c r="U568" s="26"/>
      <c r="V568" s="27"/>
    </row>
    <row r="569" spans="1:22" x14ac:dyDescent="0.25">
      <c r="A569" s="18" t="s">
        <v>484</v>
      </c>
      <c r="B569" s="18" t="s">
        <v>950</v>
      </c>
      <c r="C569" s="18" t="s">
        <v>485</v>
      </c>
      <c r="D569" s="18" t="s">
        <v>26</v>
      </c>
      <c r="E569" s="18" t="s">
        <v>27</v>
      </c>
      <c r="F569" s="18" t="s">
        <v>486</v>
      </c>
      <c r="G569" s="18" t="s">
        <v>32</v>
      </c>
      <c r="H569" s="19">
        <v>2013</v>
      </c>
      <c r="I569" s="18" t="s">
        <v>387</v>
      </c>
      <c r="J569" s="101" t="s">
        <v>27</v>
      </c>
      <c r="K569" s="20">
        <v>800</v>
      </c>
      <c r="L569" s="21">
        <v>19</v>
      </c>
      <c r="M569" s="22" t="s">
        <v>30</v>
      </c>
      <c r="N569" s="23">
        <v>19</v>
      </c>
      <c r="O569" s="24">
        <v>2.375E-2</v>
      </c>
      <c r="P569" s="25" t="str">
        <f>IF(P570="x","x","")</f>
        <v/>
      </c>
      <c r="Q569" s="25" t="str">
        <f>IF(Q570="x","x","")</f>
        <v/>
      </c>
      <c r="R569" s="25" t="str">
        <f>IF(R570="x","x","")</f>
        <v/>
      </c>
      <c r="S569" s="25" t="str">
        <f>IF(S570="x","x","")</f>
        <v/>
      </c>
      <c r="T569" s="25" t="s">
        <v>27</v>
      </c>
      <c r="U569" s="26"/>
      <c r="V569" s="27"/>
    </row>
    <row r="570" spans="1:22" ht="16.5" thickBot="1" x14ac:dyDescent="0.3">
      <c r="A570" s="28" t="str">
        <f>A569</f>
        <v>Guinea</v>
      </c>
      <c r="B570" s="28" t="str">
        <f>B569</f>
        <v>Sub-Saharan Africa</v>
      </c>
      <c r="C570" s="28" t="str">
        <f>C569</f>
        <v>P065127</v>
      </c>
      <c r="D570" s="28" t="s">
        <v>26</v>
      </c>
      <c r="E570" s="28" t="s">
        <v>27</v>
      </c>
      <c r="F570" s="28" t="str">
        <f>F569</f>
        <v>P065127C1</v>
      </c>
      <c r="G570" s="28" t="s">
        <v>16</v>
      </c>
      <c r="H570" s="29" t="str">
        <f>H568&amp;" / "&amp;H569</f>
        <v>2004 / 2013</v>
      </c>
      <c r="I570" s="29" t="str">
        <f>I569</f>
        <v>Upgrading</v>
      </c>
      <c r="J570" s="97" t="str">
        <f>IFERROR(J569/J568,"")</f>
        <v/>
      </c>
      <c r="K570" s="32">
        <f>K569/K568</f>
        <v>0.62992125984251968</v>
      </c>
      <c r="L570" s="32">
        <f>L569/L568</f>
        <v>0.79497907949790803</v>
      </c>
      <c r="M570" s="28"/>
      <c r="N570" s="32">
        <f>N569/N568</f>
        <v>0.79497907949790803</v>
      </c>
      <c r="O570" s="32">
        <f>O569/O568</f>
        <v>1.262029288702929</v>
      </c>
      <c r="P570" s="33" t="str">
        <f>IF(K570&lt;50%,"x","")</f>
        <v/>
      </c>
      <c r="Q570" s="33" t="str">
        <f>IF(K570&gt;150%,"x","")</f>
        <v/>
      </c>
      <c r="R570" s="33" t="str">
        <f>IF(O570&lt;50%,"x","")</f>
        <v/>
      </c>
      <c r="S570" s="33" t="str">
        <f>IF(O570&gt;150%,"x","")</f>
        <v/>
      </c>
      <c r="T570" s="33" t="s">
        <v>27</v>
      </c>
      <c r="U570" s="34" t="s">
        <v>27</v>
      </c>
      <c r="V570" s="35" t="s">
        <v>27</v>
      </c>
    </row>
    <row r="571" spans="1:22" ht="16.5" thickTop="1" x14ac:dyDescent="0.25">
      <c r="A571" s="18" t="s">
        <v>484</v>
      </c>
      <c r="B571" s="18" t="s">
        <v>950</v>
      </c>
      <c r="C571" s="18" t="s">
        <v>1246</v>
      </c>
      <c r="D571" s="18" t="s">
        <v>26</v>
      </c>
      <c r="E571" s="18" t="s">
        <v>27</v>
      </c>
      <c r="F571" s="18" t="s">
        <v>1274</v>
      </c>
      <c r="G571" s="18" t="s">
        <v>29</v>
      </c>
      <c r="H571" s="19">
        <v>2012</v>
      </c>
      <c r="I571" s="18" t="s">
        <v>68</v>
      </c>
      <c r="J571" s="101" t="s">
        <v>27</v>
      </c>
      <c r="K571" s="20">
        <v>1080</v>
      </c>
      <c r="L571" s="21">
        <v>8.3000000000000007</v>
      </c>
      <c r="M571" s="22" t="s">
        <v>1241</v>
      </c>
      <c r="N571" s="23">
        <v>5.3896103896103895</v>
      </c>
      <c r="O571" s="24">
        <v>4.9903799903799903E-3</v>
      </c>
      <c r="P571" s="25" t="s">
        <v>31</v>
      </c>
      <c r="Q571" s="25" t="s">
        <v>31</v>
      </c>
      <c r="R571" s="25" t="s">
        <v>31</v>
      </c>
      <c r="S571" s="25"/>
      <c r="T571" s="25"/>
      <c r="U571" s="26"/>
      <c r="V571" s="27"/>
    </row>
    <row r="572" spans="1:22" x14ac:dyDescent="0.25">
      <c r="A572" s="18" t="s">
        <v>484</v>
      </c>
      <c r="B572" s="18" t="s">
        <v>950</v>
      </c>
      <c r="C572" s="18" t="s">
        <v>1246</v>
      </c>
      <c r="D572" s="18" t="s">
        <v>26</v>
      </c>
      <c r="E572" s="18" t="s">
        <v>27</v>
      </c>
      <c r="F572" s="18" t="s">
        <v>1274</v>
      </c>
      <c r="G572" s="18" t="s">
        <v>32</v>
      </c>
      <c r="H572" s="19">
        <v>2011</v>
      </c>
      <c r="I572" s="18" t="s">
        <v>68</v>
      </c>
      <c r="J572" s="101" t="s">
        <v>27</v>
      </c>
      <c r="K572" s="20">
        <v>278</v>
      </c>
      <c r="L572" s="21">
        <v>3.3260000000000001</v>
      </c>
      <c r="M572" s="22" t="s">
        <v>1241</v>
      </c>
      <c r="N572" s="23">
        <v>2.1184713375796176</v>
      </c>
      <c r="O572" s="24">
        <v>7.6204004948907111E-3</v>
      </c>
      <c r="P572" s="25" t="s">
        <v>31</v>
      </c>
      <c r="Q572" s="25" t="s">
        <v>31</v>
      </c>
      <c r="R572" s="25" t="s">
        <v>31</v>
      </c>
      <c r="S572" s="25" t="s">
        <v>24</v>
      </c>
      <c r="T572" s="25" t="s">
        <v>1317</v>
      </c>
      <c r="U572" s="26"/>
      <c r="V572" s="27"/>
    </row>
    <row r="573" spans="1:22" ht="48" thickBot="1" x14ac:dyDescent="0.3">
      <c r="A573" s="28" t="str">
        <f>A572</f>
        <v>Guinea</v>
      </c>
      <c r="B573" s="28" t="str">
        <f>B572</f>
        <v>Sub-Saharan Africa</v>
      </c>
      <c r="C573" s="28" t="str">
        <f>C572</f>
        <v xml:space="preserve">AfDB P-GN-AB0-005
</v>
      </c>
      <c r="D573" s="28" t="s">
        <v>26</v>
      </c>
      <c r="E573" s="28" t="s">
        <v>27</v>
      </c>
      <c r="F573" s="28" t="str">
        <f>F572</f>
        <v>AfDB P-GN-AB0-005
C1</v>
      </c>
      <c r="G573" s="28" t="s">
        <v>16</v>
      </c>
      <c r="H573" s="29" t="str">
        <f>H571&amp;" / "&amp;H572</f>
        <v>2012 / 2011</v>
      </c>
      <c r="I573" s="29" t="str">
        <f>I572</f>
        <v>Asphalt Mix Resurfacing</v>
      </c>
      <c r="J573" s="97" t="str">
        <f>IFERROR(J572/J571,"")</f>
        <v/>
      </c>
      <c r="K573" s="32">
        <f>K572/K571</f>
        <v>0.25740740740740742</v>
      </c>
      <c r="L573" s="32">
        <f>L572/L571</f>
        <v>0.40072289156626506</v>
      </c>
      <c r="M573" s="28"/>
      <c r="N573" s="32">
        <f>N572/N571</f>
        <v>0.39306576624971218</v>
      </c>
      <c r="O573" s="32">
        <f>O572/O571</f>
        <v>1.5270180847111121</v>
      </c>
      <c r="P573" s="33" t="s">
        <v>31</v>
      </c>
      <c r="Q573" s="33" t="s">
        <v>31</v>
      </c>
      <c r="R573" s="33" t="s">
        <v>31</v>
      </c>
      <c r="S573" s="33" t="s">
        <v>15</v>
      </c>
      <c r="T573" s="33" t="s">
        <v>1318</v>
      </c>
      <c r="U573" s="34" t="s">
        <v>1319</v>
      </c>
      <c r="V573" s="35" t="s">
        <v>1320</v>
      </c>
    </row>
    <row r="574" spans="1:22" ht="16.5" thickTop="1" x14ac:dyDescent="0.25">
      <c r="A574" s="18" t="s">
        <v>849</v>
      </c>
      <c r="B574" s="18" t="s">
        <v>946</v>
      </c>
      <c r="C574" s="18" t="s">
        <v>850</v>
      </c>
      <c r="D574" s="18" t="s">
        <v>26</v>
      </c>
      <c r="E574" s="18" t="s">
        <v>36</v>
      </c>
      <c r="F574" s="18" t="s">
        <v>851</v>
      </c>
      <c r="G574" s="18" t="s">
        <v>29</v>
      </c>
      <c r="H574" s="19">
        <v>2006</v>
      </c>
      <c r="I574" s="18" t="s">
        <v>387</v>
      </c>
      <c r="J574" s="101" t="s">
        <v>27</v>
      </c>
      <c r="K574" s="20">
        <v>38.799999999999997</v>
      </c>
      <c r="L574" s="21">
        <v>6.8</v>
      </c>
      <c r="M574" s="22" t="s">
        <v>30</v>
      </c>
      <c r="N574" s="23">
        <v>6.8</v>
      </c>
      <c r="O574" s="24">
        <v>0.1752577319587629</v>
      </c>
      <c r="P574" s="25" t="str">
        <f>IF(P576="x","x","")</f>
        <v>x</v>
      </c>
      <c r="Q574" s="25" t="str">
        <f>IF(Q576="x","x","")</f>
        <v/>
      </c>
      <c r="R574" s="25" t="str">
        <f>IF(R576="x","x","")</f>
        <v/>
      </c>
      <c r="S574" s="25" t="str">
        <f>IF(S576="x","x","")</f>
        <v>x</v>
      </c>
      <c r="T574" s="25" t="s">
        <v>31</v>
      </c>
      <c r="U574" s="26"/>
      <c r="V574" s="27"/>
    </row>
    <row r="575" spans="1:22" x14ac:dyDescent="0.25">
      <c r="A575" s="18" t="s">
        <v>849</v>
      </c>
      <c r="B575" s="18" t="s">
        <v>946</v>
      </c>
      <c r="C575" s="18" t="s">
        <v>850</v>
      </c>
      <c r="D575" s="18" t="s">
        <v>26</v>
      </c>
      <c r="E575" s="18" t="s">
        <v>36</v>
      </c>
      <c r="F575" s="18" t="s">
        <v>851</v>
      </c>
      <c r="G575" s="18" t="s">
        <v>32</v>
      </c>
      <c r="H575" s="19">
        <v>2014</v>
      </c>
      <c r="I575" s="18" t="s">
        <v>387</v>
      </c>
      <c r="J575" s="101" t="s">
        <v>27</v>
      </c>
      <c r="K575" s="20">
        <v>8</v>
      </c>
      <c r="L575" s="21">
        <v>8.08</v>
      </c>
      <c r="M575" s="22" t="s">
        <v>30</v>
      </c>
      <c r="N575" s="23">
        <v>8.08</v>
      </c>
      <c r="O575" s="24">
        <v>1.01</v>
      </c>
      <c r="P575" s="25" t="str">
        <f>IF(P576="x","x","")</f>
        <v>x</v>
      </c>
      <c r="Q575" s="25" t="str">
        <f>IF(Q576="x","x","")</f>
        <v/>
      </c>
      <c r="R575" s="25" t="str">
        <f>IF(R576="x","x","")</f>
        <v/>
      </c>
      <c r="S575" s="25" t="str">
        <f>IF(S576="x","x","")</f>
        <v>x</v>
      </c>
      <c r="T575" s="25" t="s">
        <v>31</v>
      </c>
      <c r="U575" s="26"/>
      <c r="V575" s="27"/>
    </row>
    <row r="576" spans="1:22" ht="63.75" thickBot="1" x14ac:dyDescent="0.3">
      <c r="A576" s="28" t="str">
        <f>A575</f>
        <v>Haiti</v>
      </c>
      <c r="B576" s="28" t="str">
        <f>B575</f>
        <v>Latin America and Caribbean</v>
      </c>
      <c r="C576" s="28" t="str">
        <f>C575</f>
        <v>P095523</v>
      </c>
      <c r="D576" s="28" t="s">
        <v>26</v>
      </c>
      <c r="E576" s="28" t="s">
        <v>27</v>
      </c>
      <c r="F576" s="28" t="str">
        <f>F575</f>
        <v>P095523C1S1</v>
      </c>
      <c r="G576" s="28" t="s">
        <v>16</v>
      </c>
      <c r="H576" s="29" t="str">
        <f>H574&amp;" / "&amp;H575</f>
        <v>2006 / 2014</v>
      </c>
      <c r="I576" s="29" t="str">
        <f>I575</f>
        <v>Upgrading</v>
      </c>
      <c r="J576" s="97" t="str">
        <f>IFERROR(J575/J574,"")</f>
        <v/>
      </c>
      <c r="K576" s="32">
        <f>K575/K574</f>
        <v>0.2061855670103093</v>
      </c>
      <c r="L576" s="32">
        <f>L575/L574</f>
        <v>1.1882352941176471</v>
      </c>
      <c r="M576" s="28"/>
      <c r="N576" s="32">
        <f>N575/N574</f>
        <v>1.1882352941176471</v>
      </c>
      <c r="O576" s="32">
        <f>O575/O574</f>
        <v>5.762941176470588</v>
      </c>
      <c r="P576" s="33" t="str">
        <f>IF(K576&lt;50%,"x","")</f>
        <v>x</v>
      </c>
      <c r="Q576" s="33" t="str">
        <f>IF(K576&gt;150%,"x","")</f>
        <v/>
      </c>
      <c r="R576" s="33" t="str">
        <f>IF(O576&lt;50%,"x","")</f>
        <v/>
      </c>
      <c r="S576" s="33" t="str">
        <f>IF(O576&gt;150%,"x","")</f>
        <v>x</v>
      </c>
      <c r="T576" s="33" t="s">
        <v>31</v>
      </c>
      <c r="U576" s="34" t="s">
        <v>1084</v>
      </c>
      <c r="V576" s="35" t="s">
        <v>1085</v>
      </c>
    </row>
    <row r="577" spans="1:22" ht="16.5" thickTop="1" x14ac:dyDescent="0.25">
      <c r="A577" s="18" t="s">
        <v>849</v>
      </c>
      <c r="B577" s="18" t="s">
        <v>946</v>
      </c>
      <c r="C577" s="18" t="s">
        <v>850</v>
      </c>
      <c r="D577" s="18" t="s">
        <v>26</v>
      </c>
      <c r="E577" s="18" t="s">
        <v>40</v>
      </c>
      <c r="F577" s="18" t="s">
        <v>852</v>
      </c>
      <c r="G577" s="18" t="s">
        <v>29</v>
      </c>
      <c r="H577" s="19">
        <v>2006</v>
      </c>
      <c r="I577" s="18" t="s">
        <v>387</v>
      </c>
      <c r="J577" s="101" t="s">
        <v>27</v>
      </c>
      <c r="K577" s="20">
        <v>63</v>
      </c>
      <c r="L577" s="21">
        <v>2.4</v>
      </c>
      <c r="M577" s="22" t="s">
        <v>30</v>
      </c>
      <c r="N577" s="23">
        <v>2.4</v>
      </c>
      <c r="O577" s="24">
        <v>3.8095238095238092E-2</v>
      </c>
      <c r="P577" s="25" t="str">
        <f>IF(P579="x","x","")</f>
        <v/>
      </c>
      <c r="Q577" s="25" t="str">
        <f>IF(Q579="x","x","")</f>
        <v/>
      </c>
      <c r="R577" s="25" t="str">
        <f>IF(R579="x","x","")</f>
        <v/>
      </c>
      <c r="S577" s="25" t="str">
        <f>IF(S579="x","x","")</f>
        <v>x</v>
      </c>
      <c r="T577" s="25" t="s">
        <v>31</v>
      </c>
      <c r="U577" s="26"/>
      <c r="V577" s="27"/>
    </row>
    <row r="578" spans="1:22" x14ac:dyDescent="0.25">
      <c r="A578" s="18" t="s">
        <v>849</v>
      </c>
      <c r="B578" s="18" t="s">
        <v>946</v>
      </c>
      <c r="C578" s="18" t="s">
        <v>850</v>
      </c>
      <c r="D578" s="18" t="s">
        <v>26</v>
      </c>
      <c r="E578" s="18" t="s">
        <v>40</v>
      </c>
      <c r="F578" s="18" t="s">
        <v>852</v>
      </c>
      <c r="G578" s="18" t="s">
        <v>32</v>
      </c>
      <c r="H578" s="19">
        <v>2014</v>
      </c>
      <c r="I578" s="18" t="s">
        <v>387</v>
      </c>
      <c r="J578" s="101" t="s">
        <v>27</v>
      </c>
      <c r="K578" s="20">
        <v>40</v>
      </c>
      <c r="L578" s="21">
        <v>8.17</v>
      </c>
      <c r="M578" s="22" t="s">
        <v>30</v>
      </c>
      <c r="N578" s="23">
        <v>8.17</v>
      </c>
      <c r="O578" s="24">
        <v>0.20424999999999999</v>
      </c>
      <c r="P578" s="25" t="str">
        <f>IF(P579="x","x","")</f>
        <v/>
      </c>
      <c r="Q578" s="25" t="str">
        <f>IF(Q579="x","x","")</f>
        <v/>
      </c>
      <c r="R578" s="25" t="str">
        <f>IF(R579="x","x","")</f>
        <v/>
      </c>
      <c r="S578" s="25" t="str">
        <f>IF(S579="x","x","")</f>
        <v>x</v>
      </c>
      <c r="T578" s="25" t="s">
        <v>31</v>
      </c>
      <c r="U578" s="26"/>
      <c r="V578" s="27"/>
    </row>
    <row r="579" spans="1:22" ht="63.75" thickBot="1" x14ac:dyDescent="0.3">
      <c r="A579" s="28" t="str">
        <f>A578</f>
        <v>Haiti</v>
      </c>
      <c r="B579" s="28" t="str">
        <f>B578</f>
        <v>Latin America and Caribbean</v>
      </c>
      <c r="C579" s="28" t="str">
        <f>C578</f>
        <v>P095523</v>
      </c>
      <c r="D579" s="28" t="s">
        <v>26</v>
      </c>
      <c r="E579" s="28" t="s">
        <v>27</v>
      </c>
      <c r="F579" s="28" t="str">
        <f>F578</f>
        <v>P095523C1S2</v>
      </c>
      <c r="G579" s="28" t="s">
        <v>16</v>
      </c>
      <c r="H579" s="29" t="str">
        <f>H577&amp;" / "&amp;H578</f>
        <v>2006 / 2014</v>
      </c>
      <c r="I579" s="29" t="str">
        <f>I578</f>
        <v>Upgrading</v>
      </c>
      <c r="J579" s="97" t="str">
        <f>IFERROR(J578/J577,"")</f>
        <v/>
      </c>
      <c r="K579" s="32">
        <f>K578/K577</f>
        <v>0.63492063492063489</v>
      </c>
      <c r="L579" s="32">
        <f>L578/L577</f>
        <v>3.4041666666666668</v>
      </c>
      <c r="M579" s="28"/>
      <c r="N579" s="32">
        <f>N578/N577</f>
        <v>3.4041666666666668</v>
      </c>
      <c r="O579" s="32">
        <f>O578/O577</f>
        <v>5.3615624999999998</v>
      </c>
      <c r="P579" s="33" t="str">
        <f>IF(K579&lt;50%,"x","")</f>
        <v/>
      </c>
      <c r="Q579" s="33" t="str">
        <f>IF(K579&gt;150%,"x","")</f>
        <v/>
      </c>
      <c r="R579" s="33" t="str">
        <f>IF(O579&lt;50%,"x","")</f>
        <v/>
      </c>
      <c r="S579" s="33" t="str">
        <f>IF(O579&gt;150%,"x","")</f>
        <v>x</v>
      </c>
      <c r="T579" s="33" t="s">
        <v>31</v>
      </c>
      <c r="U579" s="34" t="s">
        <v>1084</v>
      </c>
      <c r="V579" s="35" t="s">
        <v>1085</v>
      </c>
    </row>
    <row r="580" spans="1:22" ht="16.5" thickTop="1" x14ac:dyDescent="0.25">
      <c r="A580" s="18" t="s">
        <v>444</v>
      </c>
      <c r="B580" s="18" t="s">
        <v>946</v>
      </c>
      <c r="C580" s="18" t="s">
        <v>445</v>
      </c>
      <c r="D580" s="18" t="s">
        <v>26</v>
      </c>
      <c r="E580" s="18" t="s">
        <v>36</v>
      </c>
      <c r="F580" s="18" t="s">
        <v>446</v>
      </c>
      <c r="G580" s="18" t="s">
        <v>29</v>
      </c>
      <c r="H580" s="19">
        <v>2000</v>
      </c>
      <c r="I580" s="18" t="s">
        <v>38</v>
      </c>
      <c r="J580" s="101" t="s">
        <v>27</v>
      </c>
      <c r="K580" s="20">
        <v>84</v>
      </c>
      <c r="L580" s="21">
        <v>19.2</v>
      </c>
      <c r="M580" s="22" t="s">
        <v>30</v>
      </c>
      <c r="N580" s="23">
        <v>19.2</v>
      </c>
      <c r="O580" s="24">
        <v>0.22857142857142856</v>
      </c>
      <c r="P580" s="25" t="str">
        <f>IF(P582="x","x","")</f>
        <v/>
      </c>
      <c r="Q580" s="25" t="str">
        <f>IF(Q582="x","x","")</f>
        <v/>
      </c>
      <c r="R580" s="25" t="str">
        <f>IF(R582="x","x","")</f>
        <v/>
      </c>
      <c r="S580" s="25" t="str">
        <f>IF(S582="x","x","")</f>
        <v>x</v>
      </c>
      <c r="T580" s="25" t="s">
        <v>31</v>
      </c>
      <c r="U580" s="26"/>
      <c r="V580" s="27"/>
    </row>
    <row r="581" spans="1:22" x14ac:dyDescent="0.25">
      <c r="A581" s="18" t="s">
        <v>444</v>
      </c>
      <c r="B581" s="18" t="s">
        <v>946</v>
      </c>
      <c r="C581" s="18" t="s">
        <v>445</v>
      </c>
      <c r="D581" s="18" t="s">
        <v>26</v>
      </c>
      <c r="E581" s="18" t="s">
        <v>36</v>
      </c>
      <c r="F581" s="18" t="s">
        <v>446</v>
      </c>
      <c r="G581" s="18" t="s">
        <v>32</v>
      </c>
      <c r="H581" s="19">
        <v>2007</v>
      </c>
      <c r="I581" s="18" t="s">
        <v>38</v>
      </c>
      <c r="J581" s="101">
        <v>35</v>
      </c>
      <c r="K581" s="20">
        <v>50</v>
      </c>
      <c r="L581" s="21">
        <v>20.399999999999999</v>
      </c>
      <c r="M581" s="22" t="s">
        <v>30</v>
      </c>
      <c r="N581" s="23">
        <v>20.399999999999999</v>
      </c>
      <c r="O581" s="24">
        <v>0.40799999999999997</v>
      </c>
      <c r="P581" s="25" t="str">
        <f>IF(P582="x","x","")</f>
        <v/>
      </c>
      <c r="Q581" s="25" t="str">
        <f>IF(Q582="x","x","")</f>
        <v/>
      </c>
      <c r="R581" s="25" t="str">
        <f>IF(R582="x","x","")</f>
        <v/>
      </c>
      <c r="S581" s="25" t="str">
        <f>IF(S582="x","x","")</f>
        <v>x</v>
      </c>
      <c r="T581" s="25" t="s">
        <v>31</v>
      </c>
      <c r="U581" s="26"/>
      <c r="V581" s="27"/>
    </row>
    <row r="582" spans="1:22" ht="63.75" thickBot="1" x14ac:dyDescent="0.3">
      <c r="A582" s="28" t="str">
        <f>A581</f>
        <v>Honduras</v>
      </c>
      <c r="B582" s="28" t="str">
        <f>B581</f>
        <v>Latin America and Caribbean</v>
      </c>
      <c r="C582" s="28" t="str">
        <f>C581</f>
        <v>P057538</v>
      </c>
      <c r="D582" s="28" t="s">
        <v>26</v>
      </c>
      <c r="E582" s="28" t="s">
        <v>27</v>
      </c>
      <c r="F582" s="28" t="str">
        <f>F581</f>
        <v>P057538C1S1</v>
      </c>
      <c r="G582" s="28" t="s">
        <v>16</v>
      </c>
      <c r="H582" s="29" t="str">
        <f>H580&amp;" / "&amp;H581</f>
        <v>2000 / 2007</v>
      </c>
      <c r="I582" s="29" t="str">
        <f>I581</f>
        <v>Strengthening</v>
      </c>
      <c r="J582" s="97" t="str">
        <f>IFERROR(J581/J580,"")</f>
        <v/>
      </c>
      <c r="K582" s="32">
        <f>K581/K580</f>
        <v>0.59523809523809523</v>
      </c>
      <c r="L582" s="32">
        <f>L581/L580</f>
        <v>1.0625</v>
      </c>
      <c r="M582" s="28"/>
      <c r="N582" s="32">
        <f>N581/N580</f>
        <v>1.0625</v>
      </c>
      <c r="O582" s="32">
        <f>O581/O580</f>
        <v>1.7849999999999999</v>
      </c>
      <c r="P582" s="33" t="str">
        <f>IF(K582&lt;50%,"x","")</f>
        <v/>
      </c>
      <c r="Q582" s="33" t="str">
        <f>IF(K582&gt;150%,"x","")</f>
        <v/>
      </c>
      <c r="R582" s="33" t="str">
        <f>IF(O582&lt;50%,"x","")</f>
        <v/>
      </c>
      <c r="S582" s="33" t="str">
        <f>IF(O582&gt;150%,"x","")</f>
        <v>x</v>
      </c>
      <c r="T582" s="33" t="s">
        <v>31</v>
      </c>
      <c r="U582" s="34" t="s">
        <v>986</v>
      </c>
      <c r="V582" s="35" t="s">
        <v>987</v>
      </c>
    </row>
    <row r="583" spans="1:22" ht="16.5" thickTop="1" x14ac:dyDescent="0.25">
      <c r="A583" s="18" t="s">
        <v>444</v>
      </c>
      <c r="B583" s="18" t="s">
        <v>946</v>
      </c>
      <c r="C583" s="18" t="s">
        <v>445</v>
      </c>
      <c r="D583" s="18" t="s">
        <v>26</v>
      </c>
      <c r="E583" s="18" t="s">
        <v>40</v>
      </c>
      <c r="F583" s="18" t="s">
        <v>447</v>
      </c>
      <c r="G583" s="18" t="s">
        <v>29</v>
      </c>
      <c r="H583" s="19">
        <v>2000</v>
      </c>
      <c r="I583" s="18" t="s">
        <v>38</v>
      </c>
      <c r="J583" s="101" t="s">
        <v>27</v>
      </c>
      <c r="K583" s="20">
        <v>40.200000000000003</v>
      </c>
      <c r="L583" s="21">
        <v>6.3</v>
      </c>
      <c r="M583" s="22" t="s">
        <v>30</v>
      </c>
      <c r="N583" s="23">
        <v>6.3</v>
      </c>
      <c r="O583" s="24">
        <v>0.15671641791044774</v>
      </c>
      <c r="P583" s="25" t="str">
        <f>IF(P585="x","x","")</f>
        <v/>
      </c>
      <c r="Q583" s="25" t="str">
        <f>IF(Q585="x","x","")</f>
        <v/>
      </c>
      <c r="R583" s="25" t="str">
        <f>IF(R585="x","x","")</f>
        <v/>
      </c>
      <c r="S583" s="25" t="str">
        <f>IF(S585="x","x","")</f>
        <v>x</v>
      </c>
      <c r="T583" s="25" t="s">
        <v>31</v>
      </c>
      <c r="U583" s="26"/>
      <c r="V583" s="27"/>
    </row>
    <row r="584" spans="1:22" x14ac:dyDescent="0.25">
      <c r="A584" s="18" t="s">
        <v>444</v>
      </c>
      <c r="B584" s="18" t="s">
        <v>946</v>
      </c>
      <c r="C584" s="18" t="s">
        <v>445</v>
      </c>
      <c r="D584" s="18" t="s">
        <v>26</v>
      </c>
      <c r="E584" s="18" t="s">
        <v>40</v>
      </c>
      <c r="F584" s="18" t="s">
        <v>447</v>
      </c>
      <c r="G584" s="18" t="s">
        <v>32</v>
      </c>
      <c r="H584" s="19">
        <v>2007</v>
      </c>
      <c r="I584" s="18" t="s">
        <v>38</v>
      </c>
      <c r="J584" s="101" t="s">
        <v>27</v>
      </c>
      <c r="K584" s="20">
        <v>40.200000000000003</v>
      </c>
      <c r="L584" s="21">
        <v>10.1</v>
      </c>
      <c r="M584" s="22" t="s">
        <v>30</v>
      </c>
      <c r="N584" s="23">
        <v>10.1</v>
      </c>
      <c r="O584" s="24">
        <v>0.25124378109452733</v>
      </c>
      <c r="P584" s="25" t="str">
        <f>IF(P585="x","x","")</f>
        <v/>
      </c>
      <c r="Q584" s="25" t="str">
        <f>IF(Q585="x","x","")</f>
        <v/>
      </c>
      <c r="R584" s="25" t="str">
        <f>IF(R585="x","x","")</f>
        <v/>
      </c>
      <c r="S584" s="25" t="str">
        <f>IF(S585="x","x","")</f>
        <v>x</v>
      </c>
      <c r="T584" s="25" t="s">
        <v>31</v>
      </c>
      <c r="U584" s="26"/>
      <c r="V584" s="27"/>
    </row>
    <row r="585" spans="1:22" ht="63.75" thickBot="1" x14ac:dyDescent="0.3">
      <c r="A585" s="28" t="str">
        <f>A584</f>
        <v>Honduras</v>
      </c>
      <c r="B585" s="28" t="str">
        <f>B584</f>
        <v>Latin America and Caribbean</v>
      </c>
      <c r="C585" s="28" t="str">
        <f>C584</f>
        <v>P057538</v>
      </c>
      <c r="D585" s="28" t="s">
        <v>26</v>
      </c>
      <c r="E585" s="28" t="s">
        <v>27</v>
      </c>
      <c r="F585" s="28" t="str">
        <f>F584</f>
        <v>P057538C1S2</v>
      </c>
      <c r="G585" s="28" t="s">
        <v>16</v>
      </c>
      <c r="H585" s="29" t="str">
        <f>H583&amp;" / "&amp;H584</f>
        <v>2000 / 2007</v>
      </c>
      <c r="I585" s="29" t="str">
        <f>I584</f>
        <v>Strengthening</v>
      </c>
      <c r="J585" s="97" t="str">
        <f>IFERROR(J584/J583,"")</f>
        <v/>
      </c>
      <c r="K585" s="32">
        <f>K584/K583</f>
        <v>1</v>
      </c>
      <c r="L585" s="32">
        <f>L584/L583</f>
        <v>1.6031746031746033</v>
      </c>
      <c r="M585" s="28"/>
      <c r="N585" s="32">
        <f>N584/N583</f>
        <v>1.6031746031746033</v>
      </c>
      <c r="O585" s="32">
        <f>O584/O583</f>
        <v>1.6031746031746033</v>
      </c>
      <c r="P585" s="33" t="str">
        <f>IF(K585&lt;50%,"x","")</f>
        <v/>
      </c>
      <c r="Q585" s="33" t="str">
        <f>IF(K585&gt;150%,"x","")</f>
        <v/>
      </c>
      <c r="R585" s="33" t="str">
        <f>IF(O585&lt;50%,"x","")</f>
        <v/>
      </c>
      <c r="S585" s="33" t="str">
        <f>IF(O585&gt;150%,"x","")</f>
        <v>x</v>
      </c>
      <c r="T585" s="33" t="s">
        <v>31</v>
      </c>
      <c r="U585" s="34" t="s">
        <v>986</v>
      </c>
      <c r="V585" s="35" t="s">
        <v>987</v>
      </c>
    </row>
    <row r="586" spans="1:22" ht="16.5" thickTop="1" x14ac:dyDescent="0.25">
      <c r="A586" s="18" t="s">
        <v>444</v>
      </c>
      <c r="B586" s="18" t="s">
        <v>946</v>
      </c>
      <c r="C586" s="18" t="s">
        <v>445</v>
      </c>
      <c r="D586" s="18" t="s">
        <v>26</v>
      </c>
      <c r="E586" s="18" t="s">
        <v>69</v>
      </c>
      <c r="F586" s="18" t="s">
        <v>448</v>
      </c>
      <c r="G586" s="18" t="s">
        <v>29</v>
      </c>
      <c r="H586" s="19">
        <v>2000</v>
      </c>
      <c r="I586" s="18" t="s">
        <v>387</v>
      </c>
      <c r="J586" s="101" t="s">
        <v>27</v>
      </c>
      <c r="K586" s="20">
        <v>46.5</v>
      </c>
      <c r="L586" s="21">
        <v>18</v>
      </c>
      <c r="M586" s="22" t="s">
        <v>30</v>
      </c>
      <c r="N586" s="23">
        <v>18</v>
      </c>
      <c r="O586" s="24">
        <v>0.38709677419354838</v>
      </c>
      <c r="P586" s="25" t="str">
        <f>IF(P588="x","x","")</f>
        <v/>
      </c>
      <c r="Q586" s="25" t="str">
        <f>IF(Q588="x","x","")</f>
        <v/>
      </c>
      <c r="R586" s="25" t="str">
        <f>IF(R588="x","x","")</f>
        <v/>
      </c>
      <c r="S586" s="25" t="str">
        <f>IF(S588="x","x","")</f>
        <v/>
      </c>
      <c r="T586" s="25" t="s">
        <v>27</v>
      </c>
      <c r="U586" s="26"/>
      <c r="V586" s="27"/>
    </row>
    <row r="587" spans="1:22" x14ac:dyDescent="0.25">
      <c r="A587" s="18" t="s">
        <v>444</v>
      </c>
      <c r="B587" s="18" t="s">
        <v>946</v>
      </c>
      <c r="C587" s="18" t="s">
        <v>445</v>
      </c>
      <c r="D587" s="18" t="s">
        <v>26</v>
      </c>
      <c r="E587" s="18" t="s">
        <v>69</v>
      </c>
      <c r="F587" s="18" t="s">
        <v>448</v>
      </c>
      <c r="G587" s="18" t="s">
        <v>32</v>
      </c>
      <c r="H587" s="19">
        <v>2007</v>
      </c>
      <c r="I587" s="18" t="s">
        <v>387</v>
      </c>
      <c r="J587" s="101">
        <v>37</v>
      </c>
      <c r="K587" s="20">
        <v>46.6</v>
      </c>
      <c r="L587" s="21">
        <v>18.5</v>
      </c>
      <c r="M587" s="22" t="s">
        <v>30</v>
      </c>
      <c r="N587" s="23">
        <v>18.5</v>
      </c>
      <c r="O587" s="24">
        <v>0.39699570815450641</v>
      </c>
      <c r="P587" s="25" t="str">
        <f>IF(P588="x","x","")</f>
        <v/>
      </c>
      <c r="Q587" s="25" t="str">
        <f>IF(Q588="x","x","")</f>
        <v/>
      </c>
      <c r="R587" s="25" t="str">
        <f>IF(R588="x","x","")</f>
        <v/>
      </c>
      <c r="S587" s="25" t="str">
        <f>IF(S588="x","x","")</f>
        <v/>
      </c>
      <c r="T587" s="25" t="s">
        <v>27</v>
      </c>
      <c r="U587" s="26"/>
      <c r="V587" s="27"/>
    </row>
    <row r="588" spans="1:22" ht="16.5" thickBot="1" x14ac:dyDescent="0.3">
      <c r="A588" s="28" t="str">
        <f>A587</f>
        <v>Honduras</v>
      </c>
      <c r="B588" s="28" t="str">
        <f>B587</f>
        <v>Latin America and Caribbean</v>
      </c>
      <c r="C588" s="28" t="str">
        <f>C587</f>
        <v>P057538</v>
      </c>
      <c r="D588" s="28" t="s">
        <v>26</v>
      </c>
      <c r="E588" s="28" t="s">
        <v>27</v>
      </c>
      <c r="F588" s="28" t="str">
        <f>F587</f>
        <v>P057538C1S3</v>
      </c>
      <c r="G588" s="28" t="s">
        <v>16</v>
      </c>
      <c r="H588" s="29" t="str">
        <f>H586&amp;" / "&amp;H587</f>
        <v>2000 / 2007</v>
      </c>
      <c r="I588" s="29" t="str">
        <f>I587</f>
        <v>Upgrading</v>
      </c>
      <c r="J588" s="97" t="str">
        <f>IFERROR(J587/J586,"")</f>
        <v/>
      </c>
      <c r="K588" s="32">
        <f>K587/K586</f>
        <v>1.0021505376344086</v>
      </c>
      <c r="L588" s="32">
        <f>L587/L586</f>
        <v>1.0277777777777777</v>
      </c>
      <c r="M588" s="28"/>
      <c r="N588" s="32">
        <f>N587/N586</f>
        <v>1.0277777777777777</v>
      </c>
      <c r="O588" s="32">
        <f>O587/O586</f>
        <v>1.0255722460658083</v>
      </c>
      <c r="P588" s="33" t="str">
        <f>IF(K588&lt;50%,"x","")</f>
        <v/>
      </c>
      <c r="Q588" s="33" t="str">
        <f>IF(K588&gt;150%,"x","")</f>
        <v/>
      </c>
      <c r="R588" s="33" t="str">
        <f>IF(O588&lt;50%,"x","")</f>
        <v/>
      </c>
      <c r="S588" s="33" t="str">
        <f>IF(O588&gt;150%,"x","")</f>
        <v/>
      </c>
      <c r="T588" s="33" t="s">
        <v>27</v>
      </c>
      <c r="U588" s="34" t="s">
        <v>27</v>
      </c>
      <c r="V588" s="35" t="s">
        <v>27</v>
      </c>
    </row>
    <row r="589" spans="1:22" ht="16.5" thickTop="1" x14ac:dyDescent="0.25">
      <c r="A589" s="18" t="s">
        <v>444</v>
      </c>
      <c r="B589" s="18" t="s">
        <v>946</v>
      </c>
      <c r="C589" s="18" t="s">
        <v>445</v>
      </c>
      <c r="D589" s="18" t="s">
        <v>26</v>
      </c>
      <c r="E589" s="18" t="s">
        <v>71</v>
      </c>
      <c r="F589" s="18" t="s">
        <v>449</v>
      </c>
      <c r="G589" s="18" t="s">
        <v>29</v>
      </c>
      <c r="H589" s="19">
        <v>2000</v>
      </c>
      <c r="I589" s="18" t="s">
        <v>387</v>
      </c>
      <c r="J589" s="101" t="s">
        <v>27</v>
      </c>
      <c r="K589" s="20">
        <v>47</v>
      </c>
      <c r="L589" s="21">
        <v>13.5</v>
      </c>
      <c r="M589" s="22" t="s">
        <v>30</v>
      </c>
      <c r="N589" s="23">
        <v>13.5</v>
      </c>
      <c r="O589" s="24">
        <v>0.28723404255319152</v>
      </c>
      <c r="P589" s="25" t="str">
        <f>IF(P591="x","x","")</f>
        <v/>
      </c>
      <c r="Q589" s="25" t="str">
        <f>IF(Q591="x","x","")</f>
        <v/>
      </c>
      <c r="R589" s="25" t="str">
        <f>IF(R591="x","x","")</f>
        <v/>
      </c>
      <c r="S589" s="25" t="str">
        <f>IF(S591="x","x","")</f>
        <v/>
      </c>
      <c r="T589" s="25" t="s">
        <v>27</v>
      </c>
      <c r="U589" s="26"/>
      <c r="V589" s="27"/>
    </row>
    <row r="590" spans="1:22" x14ac:dyDescent="0.25">
      <c r="A590" s="18" t="s">
        <v>444</v>
      </c>
      <c r="B590" s="18" t="s">
        <v>946</v>
      </c>
      <c r="C590" s="18" t="s">
        <v>445</v>
      </c>
      <c r="D590" s="18" t="s">
        <v>26</v>
      </c>
      <c r="E590" s="18" t="s">
        <v>71</v>
      </c>
      <c r="F590" s="18" t="s">
        <v>449</v>
      </c>
      <c r="G590" s="18" t="s">
        <v>32</v>
      </c>
      <c r="H590" s="19">
        <v>2007</v>
      </c>
      <c r="I590" s="18" t="s">
        <v>387</v>
      </c>
      <c r="J590" s="101">
        <v>26</v>
      </c>
      <c r="K590" s="20">
        <v>47</v>
      </c>
      <c r="L590" s="21">
        <v>14.5</v>
      </c>
      <c r="M590" s="22" t="s">
        <v>30</v>
      </c>
      <c r="N590" s="23">
        <v>14.5</v>
      </c>
      <c r="O590" s="24">
        <v>0.30851063829787234</v>
      </c>
      <c r="P590" s="25" t="str">
        <f>IF(P591="x","x","")</f>
        <v/>
      </c>
      <c r="Q590" s="25" t="str">
        <f>IF(Q591="x","x","")</f>
        <v/>
      </c>
      <c r="R590" s="25" t="str">
        <f>IF(R591="x","x","")</f>
        <v/>
      </c>
      <c r="S590" s="25" t="str">
        <f>IF(S591="x","x","")</f>
        <v/>
      </c>
      <c r="T590" s="25" t="s">
        <v>27</v>
      </c>
      <c r="U590" s="26"/>
      <c r="V590" s="27"/>
    </row>
    <row r="591" spans="1:22" ht="16.5" thickBot="1" x14ac:dyDescent="0.3">
      <c r="A591" s="28" t="str">
        <f>A590</f>
        <v>Honduras</v>
      </c>
      <c r="B591" s="28" t="str">
        <f>B590</f>
        <v>Latin America and Caribbean</v>
      </c>
      <c r="C591" s="28" t="str">
        <f>C590</f>
        <v>P057538</v>
      </c>
      <c r="D591" s="28" t="s">
        <v>26</v>
      </c>
      <c r="E591" s="28" t="s">
        <v>27</v>
      </c>
      <c r="F591" s="28" t="str">
        <f>F590</f>
        <v>P057538C1S4</v>
      </c>
      <c r="G591" s="28" t="s">
        <v>16</v>
      </c>
      <c r="H591" s="29" t="str">
        <f>H589&amp;" / "&amp;H590</f>
        <v>2000 / 2007</v>
      </c>
      <c r="I591" s="29" t="str">
        <f>I590</f>
        <v>Upgrading</v>
      </c>
      <c r="J591" s="97" t="str">
        <f>IFERROR(J590/J589,"")</f>
        <v/>
      </c>
      <c r="K591" s="32">
        <f>K590/K589</f>
        <v>1</v>
      </c>
      <c r="L591" s="32">
        <f>L590/L589</f>
        <v>1.0740740740740742</v>
      </c>
      <c r="M591" s="28"/>
      <c r="N591" s="32">
        <f>N590/N589</f>
        <v>1.0740740740740742</v>
      </c>
      <c r="O591" s="32">
        <f>O590/O589</f>
        <v>1.074074074074074</v>
      </c>
      <c r="P591" s="33" t="str">
        <f>IF(K591&lt;50%,"x","")</f>
        <v/>
      </c>
      <c r="Q591" s="33" t="str">
        <f>IF(K591&gt;150%,"x","")</f>
        <v/>
      </c>
      <c r="R591" s="33" t="str">
        <f>IF(O591&lt;50%,"x","")</f>
        <v/>
      </c>
      <c r="S591" s="33" t="str">
        <f>IF(O591&gt;150%,"x","")</f>
        <v/>
      </c>
      <c r="T591" s="33" t="s">
        <v>27</v>
      </c>
      <c r="U591" s="34" t="s">
        <v>27</v>
      </c>
      <c r="V591" s="35" t="s">
        <v>27</v>
      </c>
    </row>
    <row r="592" spans="1:22" ht="16.5" thickTop="1" x14ac:dyDescent="0.25">
      <c r="A592" s="18" t="s">
        <v>444</v>
      </c>
      <c r="B592" s="18" t="s">
        <v>946</v>
      </c>
      <c r="C592" s="18" t="s">
        <v>445</v>
      </c>
      <c r="D592" s="18" t="s">
        <v>42</v>
      </c>
      <c r="E592" s="18" t="s">
        <v>27</v>
      </c>
      <c r="F592" s="18" t="s">
        <v>450</v>
      </c>
      <c r="G592" s="18" t="s">
        <v>29</v>
      </c>
      <c r="H592" s="19">
        <v>2000</v>
      </c>
      <c r="I592" s="18" t="s">
        <v>359</v>
      </c>
      <c r="J592" s="101" t="s">
        <v>27</v>
      </c>
      <c r="K592" s="20">
        <v>100</v>
      </c>
      <c r="L592" s="21">
        <v>8.5</v>
      </c>
      <c r="M592" s="22" t="s">
        <v>30</v>
      </c>
      <c r="N592" s="23">
        <v>8.5</v>
      </c>
      <c r="O592" s="24">
        <v>8.5000000000000006E-2</v>
      </c>
      <c r="P592" s="25" t="str">
        <f>IF(P594="x","x","")</f>
        <v/>
      </c>
      <c r="Q592" s="25" t="str">
        <f>IF(Q594="x","x","")</f>
        <v/>
      </c>
      <c r="R592" s="25" t="str">
        <f>IF(R594="x","x","")</f>
        <v/>
      </c>
      <c r="S592" s="25" t="str">
        <f>IF(S594="x","x","")</f>
        <v/>
      </c>
      <c r="T592" s="25" t="s">
        <v>27</v>
      </c>
      <c r="U592" s="26"/>
      <c r="V592" s="27"/>
    </row>
    <row r="593" spans="1:22" x14ac:dyDescent="0.25">
      <c r="A593" s="18" t="s">
        <v>444</v>
      </c>
      <c r="B593" s="18" t="s">
        <v>946</v>
      </c>
      <c r="C593" s="18" t="s">
        <v>445</v>
      </c>
      <c r="D593" s="18" t="s">
        <v>42</v>
      </c>
      <c r="E593" s="18" t="s">
        <v>27</v>
      </c>
      <c r="F593" s="18" t="s">
        <v>450</v>
      </c>
      <c r="G593" s="18" t="s">
        <v>32</v>
      </c>
      <c r="H593" s="19">
        <v>2007</v>
      </c>
      <c r="I593" s="18" t="s">
        <v>359</v>
      </c>
      <c r="J593" s="101" t="s">
        <v>27</v>
      </c>
      <c r="K593" s="20">
        <v>102</v>
      </c>
      <c r="L593" s="21">
        <v>4.9000000000000004</v>
      </c>
      <c r="M593" s="22" t="s">
        <v>30</v>
      </c>
      <c r="N593" s="23">
        <v>4.9000000000000004</v>
      </c>
      <c r="O593" s="24">
        <v>4.8039215686274513E-2</v>
      </c>
      <c r="P593" s="25" t="str">
        <f>IF(P594="x","x","")</f>
        <v/>
      </c>
      <c r="Q593" s="25" t="str">
        <f>IF(Q594="x","x","")</f>
        <v/>
      </c>
      <c r="R593" s="25" t="str">
        <f>IF(R594="x","x","")</f>
        <v/>
      </c>
      <c r="S593" s="25" t="str">
        <f>IF(S594="x","x","")</f>
        <v/>
      </c>
      <c r="T593" s="25" t="s">
        <v>27</v>
      </c>
      <c r="U593" s="26"/>
      <c r="V593" s="27"/>
    </row>
    <row r="594" spans="1:22" ht="16.5" thickBot="1" x14ac:dyDescent="0.3">
      <c r="A594" s="28" t="str">
        <f>A593</f>
        <v>Honduras</v>
      </c>
      <c r="B594" s="28" t="str">
        <f>B593</f>
        <v>Latin America and Caribbean</v>
      </c>
      <c r="C594" s="28" t="str">
        <f>C593</f>
        <v>P057538</v>
      </c>
      <c r="D594" s="28" t="s">
        <v>26</v>
      </c>
      <c r="E594" s="28" t="s">
        <v>27</v>
      </c>
      <c r="F594" s="28" t="str">
        <f>F593</f>
        <v>P057538C2</v>
      </c>
      <c r="G594" s="28" t="s">
        <v>16</v>
      </c>
      <c r="H594" s="29" t="str">
        <f>H592&amp;" / "&amp;H593</f>
        <v>2000 / 2007</v>
      </c>
      <c r="I594" s="29" t="str">
        <f>I593</f>
        <v>Reconstruction</v>
      </c>
      <c r="J594" s="97" t="str">
        <f>IFERROR(J593/J592,"")</f>
        <v/>
      </c>
      <c r="K594" s="32">
        <f>K593/K592</f>
        <v>1.02</v>
      </c>
      <c r="L594" s="32">
        <f>L593/L592</f>
        <v>0.57647058823529418</v>
      </c>
      <c r="M594" s="28"/>
      <c r="N594" s="32">
        <f>N593/N592</f>
        <v>0.57647058823529418</v>
      </c>
      <c r="O594" s="32">
        <f>O593/O592</f>
        <v>0.56516724336793545</v>
      </c>
      <c r="P594" s="33" t="str">
        <f>IF(K594&lt;50%,"x","")</f>
        <v/>
      </c>
      <c r="Q594" s="33" t="str">
        <f>IF(K594&gt;150%,"x","")</f>
        <v/>
      </c>
      <c r="R594" s="33" t="str">
        <f>IF(O594&lt;50%,"x","")</f>
        <v/>
      </c>
      <c r="S594" s="33" t="str">
        <f>IF(O594&gt;150%,"x","")</f>
        <v/>
      </c>
      <c r="T594" s="33" t="s">
        <v>27</v>
      </c>
      <c r="U594" s="34" t="s">
        <v>27</v>
      </c>
      <c r="V594" s="35" t="s">
        <v>27</v>
      </c>
    </row>
    <row r="595" spans="1:22" ht="16.5" thickTop="1" x14ac:dyDescent="0.25">
      <c r="A595" s="18" t="s">
        <v>444</v>
      </c>
      <c r="B595" s="18" t="s">
        <v>946</v>
      </c>
      <c r="C595" s="18" t="s">
        <v>445</v>
      </c>
      <c r="D595" s="18" t="s">
        <v>60</v>
      </c>
      <c r="E595" s="18" t="s">
        <v>27</v>
      </c>
      <c r="F595" s="18" t="s">
        <v>451</v>
      </c>
      <c r="G595" s="18" t="s">
        <v>29</v>
      </c>
      <c r="H595" s="19">
        <v>2000</v>
      </c>
      <c r="I595" s="18" t="s">
        <v>44</v>
      </c>
      <c r="J595" s="101" t="s">
        <v>27</v>
      </c>
      <c r="K595" s="20">
        <v>900</v>
      </c>
      <c r="L595" s="21">
        <v>4</v>
      </c>
      <c r="M595" s="22" t="s">
        <v>30</v>
      </c>
      <c r="N595" s="23">
        <v>4</v>
      </c>
      <c r="O595" s="24">
        <v>4.4444444444444444E-3</v>
      </c>
      <c r="P595" s="25" t="str">
        <f>IF(P597="x","x","")</f>
        <v/>
      </c>
      <c r="Q595" s="25" t="str">
        <f>IF(Q597="x","x","")</f>
        <v>x</v>
      </c>
      <c r="R595" s="25" t="str">
        <f>IF(R597="x","x","")</f>
        <v/>
      </c>
      <c r="S595" s="25" t="str">
        <f>IF(S597="x","x","")</f>
        <v/>
      </c>
      <c r="T595" s="25" t="s">
        <v>31</v>
      </c>
      <c r="U595" s="26"/>
      <c r="V595" s="27"/>
    </row>
    <row r="596" spans="1:22" x14ac:dyDescent="0.25">
      <c r="A596" s="18" t="s">
        <v>444</v>
      </c>
      <c r="B596" s="18" t="s">
        <v>946</v>
      </c>
      <c r="C596" s="18" t="s">
        <v>445</v>
      </c>
      <c r="D596" s="18" t="s">
        <v>60</v>
      </c>
      <c r="E596" s="18" t="s">
        <v>27</v>
      </c>
      <c r="F596" s="18" t="s">
        <v>451</v>
      </c>
      <c r="G596" s="18" t="s">
        <v>32</v>
      </c>
      <c r="H596" s="19">
        <v>2007</v>
      </c>
      <c r="I596" s="18" t="s">
        <v>44</v>
      </c>
      <c r="J596" s="101" t="s">
        <v>27</v>
      </c>
      <c r="K596" s="20">
        <v>1670</v>
      </c>
      <c r="L596" s="21">
        <v>7.8</v>
      </c>
      <c r="M596" s="22" t="s">
        <v>30</v>
      </c>
      <c r="N596" s="23">
        <v>7.8</v>
      </c>
      <c r="O596" s="24">
        <v>4.6706586826347303E-3</v>
      </c>
      <c r="P596" s="25" t="str">
        <f>IF(P597="x","x","")</f>
        <v/>
      </c>
      <c r="Q596" s="25" t="str">
        <f>IF(Q597="x","x","")</f>
        <v>x</v>
      </c>
      <c r="R596" s="25" t="str">
        <f>IF(R597="x","x","")</f>
        <v/>
      </c>
      <c r="S596" s="25" t="str">
        <f>IF(S597="x","x","")</f>
        <v/>
      </c>
      <c r="T596" s="25" t="s">
        <v>31</v>
      </c>
      <c r="U596" s="26"/>
      <c r="V596" s="27"/>
    </row>
    <row r="597" spans="1:22" ht="32.25" thickBot="1" x14ac:dyDescent="0.3">
      <c r="A597" s="28" t="str">
        <f>A596</f>
        <v>Honduras</v>
      </c>
      <c r="B597" s="28" t="str">
        <f>B596</f>
        <v>Latin America and Caribbean</v>
      </c>
      <c r="C597" s="28" t="str">
        <f>C596</f>
        <v>P057538</v>
      </c>
      <c r="D597" s="28" t="s">
        <v>26</v>
      </c>
      <c r="E597" s="28" t="s">
        <v>27</v>
      </c>
      <c r="F597" s="28" t="str">
        <f>F596</f>
        <v>P057538C3</v>
      </c>
      <c r="G597" s="28" t="s">
        <v>16</v>
      </c>
      <c r="H597" s="29" t="str">
        <f>H595&amp;" / "&amp;H596</f>
        <v>2000 / 2007</v>
      </c>
      <c r="I597" s="29" t="str">
        <f>I596</f>
        <v>Routine Maintenance</v>
      </c>
      <c r="J597" s="97" t="str">
        <f>IFERROR(J596/J595,"")</f>
        <v/>
      </c>
      <c r="K597" s="32">
        <f>K596/K595</f>
        <v>1.8555555555555556</v>
      </c>
      <c r="L597" s="32">
        <f>L596/L595</f>
        <v>1.95</v>
      </c>
      <c r="M597" s="28"/>
      <c r="N597" s="32">
        <f>N596/N595</f>
        <v>1.95</v>
      </c>
      <c r="O597" s="32">
        <f>O596/O595</f>
        <v>1.0508982035928143</v>
      </c>
      <c r="P597" s="33" t="str">
        <f>IF(K597&lt;50%,"x","")</f>
        <v/>
      </c>
      <c r="Q597" s="33" t="str">
        <f>IF(K597&gt;150%,"x","")</f>
        <v>x</v>
      </c>
      <c r="R597" s="33" t="str">
        <f>IF(O597&lt;50%,"x","")</f>
        <v/>
      </c>
      <c r="S597" s="33" t="str">
        <f>IF(O597&gt;150%,"x","")</f>
        <v/>
      </c>
      <c r="T597" s="33" t="s">
        <v>31</v>
      </c>
      <c r="U597" s="34" t="s">
        <v>988</v>
      </c>
      <c r="V597" s="35" t="s">
        <v>989</v>
      </c>
    </row>
    <row r="598" spans="1:22" ht="16.5" thickTop="1" x14ac:dyDescent="0.25">
      <c r="A598" s="18" t="s">
        <v>444</v>
      </c>
      <c r="B598" s="18" t="s">
        <v>946</v>
      </c>
      <c r="C598" s="18" t="s">
        <v>907</v>
      </c>
      <c r="D598" s="18" t="s">
        <v>26</v>
      </c>
      <c r="E598" s="18" t="s">
        <v>36</v>
      </c>
      <c r="F598" s="18" t="s">
        <v>908</v>
      </c>
      <c r="G598" s="18" t="s">
        <v>29</v>
      </c>
      <c r="H598" s="19">
        <v>2008</v>
      </c>
      <c r="I598" s="18" t="s">
        <v>387</v>
      </c>
      <c r="J598" s="101" t="s">
        <v>27</v>
      </c>
      <c r="K598" s="20">
        <v>46.4</v>
      </c>
      <c r="L598" s="21">
        <v>16.87</v>
      </c>
      <c r="M598" s="22" t="s">
        <v>30</v>
      </c>
      <c r="N598" s="23">
        <v>16.87</v>
      </c>
      <c r="O598" s="24">
        <v>0.36357758620689656</v>
      </c>
      <c r="P598" s="25" t="str">
        <f>IF(P600="x","x","")</f>
        <v/>
      </c>
      <c r="Q598" s="25" t="str">
        <f>IF(Q600="x","x","")</f>
        <v/>
      </c>
      <c r="R598" s="25" t="str">
        <f>IF(R600="x","x","")</f>
        <v/>
      </c>
      <c r="S598" s="25" t="str">
        <f>IF(S600="x","x","")</f>
        <v/>
      </c>
      <c r="T598" s="25" t="s">
        <v>27</v>
      </c>
      <c r="U598" s="26"/>
      <c r="V598" s="27"/>
    </row>
    <row r="599" spans="1:22" x14ac:dyDescent="0.25">
      <c r="A599" s="18" t="s">
        <v>444</v>
      </c>
      <c r="B599" s="18" t="s">
        <v>946</v>
      </c>
      <c r="C599" s="18" t="s">
        <v>907</v>
      </c>
      <c r="D599" s="18" t="s">
        <v>26</v>
      </c>
      <c r="E599" s="18" t="s">
        <v>36</v>
      </c>
      <c r="F599" s="18" t="s">
        <v>908</v>
      </c>
      <c r="G599" s="18" t="s">
        <v>32</v>
      </c>
      <c r="H599" s="19">
        <v>2015</v>
      </c>
      <c r="I599" s="18" t="s">
        <v>387</v>
      </c>
      <c r="J599" s="101">
        <v>16</v>
      </c>
      <c r="K599" s="20">
        <v>46.4</v>
      </c>
      <c r="L599" s="21">
        <v>18.3</v>
      </c>
      <c r="M599" s="22" t="s">
        <v>30</v>
      </c>
      <c r="N599" s="23">
        <v>18.3</v>
      </c>
      <c r="O599" s="24">
        <v>0.39439655172413796</v>
      </c>
      <c r="P599" s="25" t="str">
        <f>IF(P600="x","x","")</f>
        <v/>
      </c>
      <c r="Q599" s="25" t="str">
        <f>IF(Q600="x","x","")</f>
        <v/>
      </c>
      <c r="R599" s="25" t="str">
        <f>IF(R600="x","x","")</f>
        <v/>
      </c>
      <c r="S599" s="25" t="str">
        <f>IF(S600="x","x","")</f>
        <v/>
      </c>
      <c r="T599" s="25" t="s">
        <v>27</v>
      </c>
      <c r="U599" s="26"/>
      <c r="V599" s="27"/>
    </row>
    <row r="600" spans="1:22" ht="16.5" thickBot="1" x14ac:dyDescent="0.3">
      <c r="A600" s="28" t="str">
        <f>A599</f>
        <v>Honduras</v>
      </c>
      <c r="B600" s="28" t="str">
        <f>B599</f>
        <v>Latin America and Caribbean</v>
      </c>
      <c r="C600" s="28" t="str">
        <f>C599</f>
        <v>P109058</v>
      </c>
      <c r="D600" s="28" t="s">
        <v>26</v>
      </c>
      <c r="E600" s="28" t="s">
        <v>27</v>
      </c>
      <c r="F600" s="28" t="str">
        <f>F599</f>
        <v>P109058C1S1</v>
      </c>
      <c r="G600" s="28" t="s">
        <v>16</v>
      </c>
      <c r="H600" s="29" t="str">
        <f>H598&amp;" / "&amp;H599</f>
        <v>2008 / 2015</v>
      </c>
      <c r="I600" s="29" t="str">
        <f>I599</f>
        <v>Upgrading</v>
      </c>
      <c r="J600" s="97" t="str">
        <f>IFERROR(J599/J598,"")</f>
        <v/>
      </c>
      <c r="K600" s="32">
        <f>K599/K598</f>
        <v>1</v>
      </c>
      <c r="L600" s="32">
        <f>L599/L598</f>
        <v>1.0847658565500888</v>
      </c>
      <c r="M600" s="28"/>
      <c r="N600" s="32">
        <f>N599/N598</f>
        <v>1.0847658565500888</v>
      </c>
      <c r="O600" s="32">
        <f>O599/O598</f>
        <v>1.0847658565500891</v>
      </c>
      <c r="P600" s="33" t="str">
        <f>IF(K600&lt;50%,"x","")</f>
        <v/>
      </c>
      <c r="Q600" s="33" t="str">
        <f>IF(K600&gt;150%,"x","")</f>
        <v/>
      </c>
      <c r="R600" s="33" t="str">
        <f>IF(O600&lt;50%,"x","")</f>
        <v/>
      </c>
      <c r="S600" s="33" t="str">
        <f>IF(O600&gt;150%,"x","")</f>
        <v/>
      </c>
      <c r="T600" s="33" t="s">
        <v>27</v>
      </c>
      <c r="U600" s="34" t="s">
        <v>27</v>
      </c>
      <c r="V600" s="35" t="s">
        <v>27</v>
      </c>
    </row>
    <row r="601" spans="1:22" ht="16.5" thickTop="1" x14ac:dyDescent="0.25">
      <c r="A601" s="18" t="s">
        <v>444</v>
      </c>
      <c r="B601" s="18" t="s">
        <v>946</v>
      </c>
      <c r="C601" s="18" t="s">
        <v>907</v>
      </c>
      <c r="D601" s="18" t="s">
        <v>26</v>
      </c>
      <c r="E601" s="18" t="s">
        <v>40</v>
      </c>
      <c r="F601" s="18" t="s">
        <v>909</v>
      </c>
      <c r="G601" s="18" t="s">
        <v>29</v>
      </c>
      <c r="H601" s="19">
        <v>2008</v>
      </c>
      <c r="I601" s="18" t="s">
        <v>387</v>
      </c>
      <c r="J601" s="101" t="s">
        <v>27</v>
      </c>
      <c r="K601" s="20">
        <v>30.5</v>
      </c>
      <c r="L601" s="21">
        <v>17.07</v>
      </c>
      <c r="M601" s="22" t="s">
        <v>30</v>
      </c>
      <c r="N601" s="23">
        <v>17.07</v>
      </c>
      <c r="O601" s="24">
        <v>0.559672131147541</v>
      </c>
      <c r="P601" s="25" t="str">
        <f>IF(P603="x","x","")</f>
        <v/>
      </c>
      <c r="Q601" s="25" t="str">
        <f>IF(Q603="x","x","")</f>
        <v/>
      </c>
      <c r="R601" s="25" t="str">
        <f>IF(R603="x","x","")</f>
        <v/>
      </c>
      <c r="S601" s="25" t="str">
        <f>IF(S603="x","x","")</f>
        <v/>
      </c>
      <c r="T601" s="25" t="s">
        <v>27</v>
      </c>
      <c r="U601" s="26"/>
      <c r="V601" s="27"/>
    </row>
    <row r="602" spans="1:22" x14ac:dyDescent="0.25">
      <c r="A602" s="18" t="s">
        <v>444</v>
      </c>
      <c r="B602" s="18" t="s">
        <v>946</v>
      </c>
      <c r="C602" s="18" t="s">
        <v>907</v>
      </c>
      <c r="D602" s="18" t="s">
        <v>26</v>
      </c>
      <c r="E602" s="18" t="s">
        <v>40</v>
      </c>
      <c r="F602" s="18" t="s">
        <v>909</v>
      </c>
      <c r="G602" s="18" t="s">
        <v>32</v>
      </c>
      <c r="H602" s="19">
        <v>2015</v>
      </c>
      <c r="I602" s="18" t="s">
        <v>387</v>
      </c>
      <c r="J602" s="101">
        <v>24</v>
      </c>
      <c r="K602" s="20">
        <v>30.5</v>
      </c>
      <c r="L602" s="21">
        <v>22.1</v>
      </c>
      <c r="M602" s="22" t="s">
        <v>30</v>
      </c>
      <c r="N602" s="23">
        <v>22.1</v>
      </c>
      <c r="O602" s="24">
        <v>0.72459016393442632</v>
      </c>
      <c r="P602" s="25" t="str">
        <f>IF(P603="x","x","")</f>
        <v/>
      </c>
      <c r="Q602" s="25" t="str">
        <f>IF(Q603="x","x","")</f>
        <v/>
      </c>
      <c r="R602" s="25" t="str">
        <f>IF(R603="x","x","")</f>
        <v/>
      </c>
      <c r="S602" s="25" t="str">
        <f>IF(S603="x","x","")</f>
        <v/>
      </c>
      <c r="T602" s="25" t="s">
        <v>27</v>
      </c>
      <c r="U602" s="26"/>
      <c r="V602" s="27"/>
    </row>
    <row r="603" spans="1:22" ht="16.5" thickBot="1" x14ac:dyDescent="0.3">
      <c r="A603" s="28" t="str">
        <f>A602</f>
        <v>Honduras</v>
      </c>
      <c r="B603" s="28" t="str">
        <f>B602</f>
        <v>Latin America and Caribbean</v>
      </c>
      <c r="C603" s="28" t="str">
        <f>C602</f>
        <v>P109058</v>
      </c>
      <c r="D603" s="28" t="s">
        <v>26</v>
      </c>
      <c r="E603" s="28" t="s">
        <v>27</v>
      </c>
      <c r="F603" s="28" t="str">
        <f>F602</f>
        <v>P109058C1S2</v>
      </c>
      <c r="G603" s="28" t="s">
        <v>16</v>
      </c>
      <c r="H603" s="29" t="str">
        <f>H601&amp;" / "&amp;H602</f>
        <v>2008 / 2015</v>
      </c>
      <c r="I603" s="29" t="str">
        <f>I602</f>
        <v>Upgrading</v>
      </c>
      <c r="J603" s="97" t="str">
        <f>IFERROR(J602/J601,"")</f>
        <v/>
      </c>
      <c r="K603" s="32">
        <f>K602/K601</f>
        <v>1</v>
      </c>
      <c r="L603" s="32">
        <f>L602/L601</f>
        <v>1.2946690099589924</v>
      </c>
      <c r="M603" s="28"/>
      <c r="N603" s="32">
        <f>N602/N601</f>
        <v>1.2946690099589924</v>
      </c>
      <c r="O603" s="32">
        <f>O602/O601</f>
        <v>1.2946690099589926</v>
      </c>
      <c r="P603" s="33" t="str">
        <f>IF(K603&lt;50%,"x","")</f>
        <v/>
      </c>
      <c r="Q603" s="33" t="str">
        <f>IF(K603&gt;150%,"x","")</f>
        <v/>
      </c>
      <c r="R603" s="33" t="str">
        <f>IF(O603&lt;50%,"x","")</f>
        <v/>
      </c>
      <c r="S603" s="33" t="str">
        <f>IF(O603&gt;150%,"x","")</f>
        <v/>
      </c>
      <c r="T603" s="33" t="s">
        <v>27</v>
      </c>
      <c r="U603" s="34" t="s">
        <v>27</v>
      </c>
      <c r="V603" s="35" t="s">
        <v>27</v>
      </c>
    </row>
    <row r="604" spans="1:22" ht="16.5" thickTop="1" x14ac:dyDescent="0.25">
      <c r="A604" s="18" t="s">
        <v>444</v>
      </c>
      <c r="B604" s="18" t="s">
        <v>946</v>
      </c>
      <c r="C604" s="18" t="s">
        <v>907</v>
      </c>
      <c r="D604" s="18" t="s">
        <v>26</v>
      </c>
      <c r="E604" s="18" t="s">
        <v>69</v>
      </c>
      <c r="F604" s="18" t="s">
        <v>910</v>
      </c>
      <c r="G604" s="18" t="s">
        <v>29</v>
      </c>
      <c r="H604" s="19">
        <v>2008</v>
      </c>
      <c r="I604" s="18" t="s">
        <v>387</v>
      </c>
      <c r="J604" s="101" t="s">
        <v>27</v>
      </c>
      <c r="K604" s="20">
        <v>60.5</v>
      </c>
      <c r="L604" s="21">
        <v>17.73</v>
      </c>
      <c r="M604" s="22" t="s">
        <v>30</v>
      </c>
      <c r="N604" s="23">
        <v>17.73</v>
      </c>
      <c r="O604" s="24">
        <v>0.29305785123966943</v>
      </c>
      <c r="P604" s="25" t="str">
        <f>IF(P606="x","x","")</f>
        <v>x</v>
      </c>
      <c r="Q604" s="25" t="str">
        <f>IF(Q606="x","x","")</f>
        <v/>
      </c>
      <c r="R604" s="25" t="str">
        <f>IF(R606="x","x","")</f>
        <v/>
      </c>
      <c r="S604" s="25" t="str">
        <f>IF(S606="x","x","")</f>
        <v>x</v>
      </c>
      <c r="T604" s="25" t="s">
        <v>31</v>
      </c>
      <c r="U604" s="26"/>
      <c r="V604" s="27"/>
    </row>
    <row r="605" spans="1:22" x14ac:dyDescent="0.25">
      <c r="A605" s="18" t="s">
        <v>444</v>
      </c>
      <c r="B605" s="18" t="s">
        <v>946</v>
      </c>
      <c r="C605" s="18" t="s">
        <v>907</v>
      </c>
      <c r="D605" s="18" t="s">
        <v>26</v>
      </c>
      <c r="E605" s="18" t="s">
        <v>69</v>
      </c>
      <c r="F605" s="18" t="s">
        <v>910</v>
      </c>
      <c r="G605" s="18" t="s">
        <v>32</v>
      </c>
      <c r="H605" s="19">
        <v>2015</v>
      </c>
      <c r="I605" s="18" t="s">
        <v>387</v>
      </c>
      <c r="J605" s="101">
        <v>43</v>
      </c>
      <c r="K605" s="20">
        <v>22</v>
      </c>
      <c r="L605" s="21">
        <v>20.260000000000002</v>
      </c>
      <c r="M605" s="22" t="s">
        <v>30</v>
      </c>
      <c r="N605" s="23">
        <v>20.260000000000002</v>
      </c>
      <c r="O605" s="24">
        <v>0.92090909090909101</v>
      </c>
      <c r="P605" s="25" t="str">
        <f>IF(P606="x","x","")</f>
        <v>x</v>
      </c>
      <c r="Q605" s="25" t="str">
        <f>IF(Q606="x","x","")</f>
        <v/>
      </c>
      <c r="R605" s="25" t="str">
        <f>IF(R606="x","x","")</f>
        <v/>
      </c>
      <c r="S605" s="25" t="str">
        <f>IF(S606="x","x","")</f>
        <v>x</v>
      </c>
      <c r="T605" s="25" t="s">
        <v>31</v>
      </c>
      <c r="U605" s="26"/>
      <c r="V605" s="27"/>
    </row>
    <row r="606" spans="1:22" ht="48" thickBot="1" x14ac:dyDescent="0.3">
      <c r="A606" s="28" t="str">
        <f>A605</f>
        <v>Honduras</v>
      </c>
      <c r="B606" s="28" t="str">
        <f>B605</f>
        <v>Latin America and Caribbean</v>
      </c>
      <c r="C606" s="28" t="str">
        <f>C605</f>
        <v>P109058</v>
      </c>
      <c r="D606" s="28" t="s">
        <v>26</v>
      </c>
      <c r="E606" s="28" t="s">
        <v>27</v>
      </c>
      <c r="F606" s="28" t="str">
        <f>F605</f>
        <v>P109058C1S3</v>
      </c>
      <c r="G606" s="28" t="s">
        <v>16</v>
      </c>
      <c r="H606" s="29" t="str">
        <f>H604&amp;" / "&amp;H605</f>
        <v>2008 / 2015</v>
      </c>
      <c r="I606" s="29" t="str">
        <f>I605</f>
        <v>Upgrading</v>
      </c>
      <c r="J606" s="97" t="str">
        <f>IFERROR(J605/J604,"")</f>
        <v/>
      </c>
      <c r="K606" s="32">
        <f>K605/K604</f>
        <v>0.36363636363636365</v>
      </c>
      <c r="L606" s="32">
        <f>L605/L604</f>
        <v>1.1426959954878737</v>
      </c>
      <c r="M606" s="28"/>
      <c r="N606" s="32">
        <f>N605/N604</f>
        <v>1.1426959954878737</v>
      </c>
      <c r="O606" s="32">
        <f>O605/O604</f>
        <v>3.1424139875916528</v>
      </c>
      <c r="P606" s="33" t="str">
        <f>IF(K606&lt;50%,"x","")</f>
        <v>x</v>
      </c>
      <c r="Q606" s="33" t="str">
        <f>IF(K606&gt;150%,"x","")</f>
        <v/>
      </c>
      <c r="R606" s="33" t="str">
        <f>IF(O606&lt;50%,"x","")</f>
        <v/>
      </c>
      <c r="S606" s="33" t="str">
        <f>IF(O606&gt;150%,"x","")</f>
        <v>x</v>
      </c>
      <c r="T606" s="33" t="s">
        <v>31</v>
      </c>
      <c r="U606" s="34" t="s">
        <v>1063</v>
      </c>
      <c r="V606" s="35" t="s">
        <v>1103</v>
      </c>
    </row>
    <row r="607" spans="1:22" ht="16.5" thickTop="1" x14ac:dyDescent="0.25">
      <c r="A607" s="18" t="s">
        <v>123</v>
      </c>
      <c r="B607" s="18" t="s">
        <v>948</v>
      </c>
      <c r="C607" s="18" t="s">
        <v>124</v>
      </c>
      <c r="D607" s="18" t="s">
        <v>26</v>
      </c>
      <c r="E607" s="18" t="s">
        <v>27</v>
      </c>
      <c r="F607" s="18" t="s">
        <v>125</v>
      </c>
      <c r="G607" s="18" t="s">
        <v>29</v>
      </c>
      <c r="H607" s="19">
        <v>2002</v>
      </c>
      <c r="I607" s="18" t="s">
        <v>387</v>
      </c>
      <c r="J607" s="101">
        <v>36</v>
      </c>
      <c r="K607" s="20">
        <v>971</v>
      </c>
      <c r="L607" s="21">
        <v>286</v>
      </c>
      <c r="M607" s="22" t="s">
        <v>30</v>
      </c>
      <c r="N607" s="23">
        <v>286</v>
      </c>
      <c r="O607" s="24">
        <v>0.29454170957775488</v>
      </c>
      <c r="P607" s="25" t="str">
        <f>IF(P609="x","x","")</f>
        <v/>
      </c>
      <c r="Q607" s="25" t="str">
        <f>IF(Q609="x","x","")</f>
        <v/>
      </c>
      <c r="R607" s="25" t="str">
        <f>IF(R609="x","x","")</f>
        <v/>
      </c>
      <c r="S607" s="25" t="str">
        <f>IF(S609="x","x","")</f>
        <v/>
      </c>
      <c r="T607" s="25" t="s">
        <v>27</v>
      </c>
      <c r="U607" s="26"/>
      <c r="V607" s="27"/>
    </row>
    <row r="608" spans="1:22" x14ac:dyDescent="0.25">
      <c r="A608" s="18" t="s">
        <v>123</v>
      </c>
      <c r="B608" s="18" t="s">
        <v>948</v>
      </c>
      <c r="C608" s="18" t="s">
        <v>124</v>
      </c>
      <c r="D608" s="18" t="s">
        <v>26</v>
      </c>
      <c r="E608" s="18" t="s">
        <v>27</v>
      </c>
      <c r="F608" s="18" t="s">
        <v>125</v>
      </c>
      <c r="G608" s="18" t="s">
        <v>32</v>
      </c>
      <c r="H608" s="19">
        <v>2011</v>
      </c>
      <c r="I608" s="18" t="s">
        <v>387</v>
      </c>
      <c r="J608" s="101">
        <v>45</v>
      </c>
      <c r="K608" s="20">
        <v>685</v>
      </c>
      <c r="L608" s="21">
        <v>217</v>
      </c>
      <c r="M608" s="22" t="s">
        <v>30</v>
      </c>
      <c r="N608" s="23">
        <v>217</v>
      </c>
      <c r="O608" s="24">
        <v>0.31678832116788319</v>
      </c>
      <c r="P608" s="25" t="str">
        <f>IF(P609="x","x","")</f>
        <v/>
      </c>
      <c r="Q608" s="25" t="str">
        <f>IF(Q609="x","x","")</f>
        <v/>
      </c>
      <c r="R608" s="25" t="str">
        <f>IF(R609="x","x","")</f>
        <v/>
      </c>
      <c r="S608" s="25" t="str">
        <f>IF(S609="x","x","")</f>
        <v/>
      </c>
      <c r="T608" s="25" t="s">
        <v>27</v>
      </c>
      <c r="U608" s="26"/>
      <c r="V608" s="27"/>
    </row>
    <row r="609" spans="1:22" ht="16.5" thickBot="1" x14ac:dyDescent="0.3">
      <c r="A609" s="28" t="str">
        <f>A608</f>
        <v>India</v>
      </c>
      <c r="B609" s="28" t="str">
        <f>B608</f>
        <v>South Asia</v>
      </c>
      <c r="C609" s="28" t="str">
        <f>C608</f>
        <v>P067606</v>
      </c>
      <c r="D609" s="28" t="s">
        <v>26</v>
      </c>
      <c r="E609" s="28" t="s">
        <v>27</v>
      </c>
      <c r="F609" s="28" t="str">
        <f>F608</f>
        <v>P067606C1</v>
      </c>
      <c r="G609" s="28" t="s">
        <v>16</v>
      </c>
      <c r="H609" s="29" t="str">
        <f>H607&amp;" / "&amp;H608</f>
        <v>2002 / 2011</v>
      </c>
      <c r="I609" s="29" t="str">
        <f>I608</f>
        <v>Upgrading</v>
      </c>
      <c r="J609" s="97">
        <f>IFERROR(J608/J607,"")</f>
        <v>1.25</v>
      </c>
      <c r="K609" s="32">
        <f>K608/K607</f>
        <v>0.70545829042224506</v>
      </c>
      <c r="L609" s="32">
        <f>L608/L607</f>
        <v>0.75874125874125875</v>
      </c>
      <c r="M609" s="28"/>
      <c r="N609" s="32">
        <f>N608/N607</f>
        <v>0.75874125874125875</v>
      </c>
      <c r="O609" s="32">
        <f>O608/O607</f>
        <v>1.075529579909142</v>
      </c>
      <c r="P609" s="33" t="str">
        <f>IF(K609&lt;50%,"x","")</f>
        <v/>
      </c>
      <c r="Q609" s="33" t="str">
        <f>IF(K609&gt;150%,"x","")</f>
        <v/>
      </c>
      <c r="R609" s="33" t="str">
        <f>IF(O609&lt;50%,"x","")</f>
        <v/>
      </c>
      <c r="S609" s="33" t="str">
        <f>IF(O609&gt;150%,"x","")</f>
        <v/>
      </c>
      <c r="T609" s="33" t="s">
        <v>27</v>
      </c>
      <c r="U609" s="34" t="s">
        <v>27</v>
      </c>
      <c r="V609" s="35" t="s">
        <v>27</v>
      </c>
    </row>
    <row r="610" spans="1:22" ht="16.5" thickTop="1" x14ac:dyDescent="0.25">
      <c r="A610" s="18" t="s">
        <v>123</v>
      </c>
      <c r="B610" s="18" t="s">
        <v>948</v>
      </c>
      <c r="C610" s="18" t="s">
        <v>124</v>
      </c>
      <c r="D610" s="18" t="s">
        <v>42</v>
      </c>
      <c r="E610" s="18" t="s">
        <v>27</v>
      </c>
      <c r="F610" s="18" t="s">
        <v>127</v>
      </c>
      <c r="G610" s="18" t="s">
        <v>29</v>
      </c>
      <c r="H610" s="19">
        <v>2002</v>
      </c>
      <c r="I610" s="18" t="s">
        <v>68</v>
      </c>
      <c r="J610" s="101">
        <v>24</v>
      </c>
      <c r="K610" s="20">
        <v>2513</v>
      </c>
      <c r="L610" s="21">
        <v>225.2</v>
      </c>
      <c r="M610" s="22" t="s">
        <v>30</v>
      </c>
      <c r="N610" s="23">
        <v>225.2</v>
      </c>
      <c r="O610" s="24">
        <v>8.9614007162753681E-2</v>
      </c>
      <c r="P610" s="25" t="str">
        <f>IF(P612="x","x","")</f>
        <v/>
      </c>
      <c r="Q610" s="25" t="str">
        <f>IF(Q612="x","x","")</f>
        <v/>
      </c>
      <c r="R610" s="25" t="str">
        <f>IF(R612="x","x","")</f>
        <v/>
      </c>
      <c r="S610" s="25" t="str">
        <f>IF(S612="x","x","")</f>
        <v>x</v>
      </c>
      <c r="T610" s="25" t="s">
        <v>31</v>
      </c>
      <c r="U610" s="26"/>
      <c r="V610" s="27"/>
    </row>
    <row r="611" spans="1:22" x14ac:dyDescent="0.25">
      <c r="A611" s="18" t="s">
        <v>123</v>
      </c>
      <c r="B611" s="18" t="s">
        <v>948</v>
      </c>
      <c r="C611" s="18" t="s">
        <v>124</v>
      </c>
      <c r="D611" s="18" t="s">
        <v>42</v>
      </c>
      <c r="E611" s="18" t="s">
        <v>27</v>
      </c>
      <c r="F611" s="18" t="s">
        <v>127</v>
      </c>
      <c r="G611" s="18" t="s">
        <v>32</v>
      </c>
      <c r="H611" s="19">
        <v>2011</v>
      </c>
      <c r="I611" s="18" t="s">
        <v>68</v>
      </c>
      <c r="J611" s="101">
        <v>30</v>
      </c>
      <c r="K611" s="20">
        <v>1910</v>
      </c>
      <c r="L611" s="21">
        <v>271</v>
      </c>
      <c r="M611" s="22" t="s">
        <v>30</v>
      </c>
      <c r="N611" s="23">
        <v>271</v>
      </c>
      <c r="O611" s="24">
        <v>0.1418848167539267</v>
      </c>
      <c r="P611" s="25" t="str">
        <f>IF(P612="x","x","")</f>
        <v/>
      </c>
      <c r="Q611" s="25" t="str">
        <f>IF(Q612="x","x","")</f>
        <v/>
      </c>
      <c r="R611" s="25" t="str">
        <f>IF(R612="x","x","")</f>
        <v/>
      </c>
      <c r="S611" s="25" t="str">
        <f>IF(S612="x","x","")</f>
        <v>x</v>
      </c>
      <c r="T611" s="25" t="s">
        <v>31</v>
      </c>
      <c r="U611" s="26"/>
      <c r="V611" s="27"/>
    </row>
    <row r="612" spans="1:22" ht="20.25" customHeight="1" thickBot="1" x14ac:dyDescent="0.3">
      <c r="A612" s="28" t="str">
        <f>A611</f>
        <v>India</v>
      </c>
      <c r="B612" s="28" t="str">
        <f>B611</f>
        <v>South Asia</v>
      </c>
      <c r="C612" s="28" t="str">
        <f>C611</f>
        <v>P067606</v>
      </c>
      <c r="D612" s="28" t="s">
        <v>26</v>
      </c>
      <c r="E612" s="28" t="s">
        <v>27</v>
      </c>
      <c r="F612" s="28" t="str">
        <f>F611</f>
        <v>P067606C2</v>
      </c>
      <c r="G612" s="28" t="s">
        <v>16</v>
      </c>
      <c r="H612" s="29" t="str">
        <f>H610&amp;" / "&amp;H611</f>
        <v>2002 / 2011</v>
      </c>
      <c r="I612" s="29" t="str">
        <f>I611</f>
        <v>Asphalt Mix Resurfacing</v>
      </c>
      <c r="J612" s="97">
        <f>IFERROR(J611/J610,"")</f>
        <v>1.25</v>
      </c>
      <c r="K612" s="32">
        <f>K611/K610</f>
        <v>0.76004775169120575</v>
      </c>
      <c r="L612" s="32">
        <f>L611/L610</f>
        <v>1.2033747779751334</v>
      </c>
      <c r="M612" s="28"/>
      <c r="N612" s="32">
        <f>N611/N610</f>
        <v>1.2033747779751334</v>
      </c>
      <c r="O612" s="32">
        <f>O611/O610</f>
        <v>1.5832883858908426</v>
      </c>
      <c r="P612" s="33" t="str">
        <f>IF(K612&lt;50%,"x","")</f>
        <v/>
      </c>
      <c r="Q612" s="33" t="str">
        <f>IF(K612&gt;150%,"x","")</f>
        <v/>
      </c>
      <c r="R612" s="33" t="str">
        <f>IF(O612&lt;50%,"x","")</f>
        <v/>
      </c>
      <c r="S612" s="33" t="str">
        <f>IF(O612&gt;150%,"x","")</f>
        <v>x</v>
      </c>
      <c r="T612" s="33" t="s">
        <v>31</v>
      </c>
      <c r="U612" s="34" t="s">
        <v>1123</v>
      </c>
      <c r="V612" s="35" t="s">
        <v>1124</v>
      </c>
    </row>
    <row r="613" spans="1:22" ht="16.5" thickTop="1" x14ac:dyDescent="0.25">
      <c r="A613" s="18" t="s">
        <v>123</v>
      </c>
      <c r="B613" s="18" t="s">
        <v>948</v>
      </c>
      <c r="C613" s="18" t="s">
        <v>145</v>
      </c>
      <c r="D613" s="18" t="s">
        <v>26</v>
      </c>
      <c r="E613" s="18" t="s">
        <v>27</v>
      </c>
      <c r="F613" s="18" t="s">
        <v>146</v>
      </c>
      <c r="G613" s="18" t="s">
        <v>29</v>
      </c>
      <c r="H613" s="19">
        <v>2007</v>
      </c>
      <c r="I613" s="18" t="s">
        <v>364</v>
      </c>
      <c r="J613" s="101" t="s">
        <v>27</v>
      </c>
      <c r="K613" s="20">
        <v>184</v>
      </c>
      <c r="L613" s="21">
        <v>36.76</v>
      </c>
      <c r="M613" s="22" t="s">
        <v>30</v>
      </c>
      <c r="N613" s="23">
        <v>36.76</v>
      </c>
      <c r="O613" s="24">
        <v>0.19978260869565218</v>
      </c>
      <c r="P613" s="25" t="str">
        <f>IF(P615="x","x","")</f>
        <v/>
      </c>
      <c r="Q613" s="25" t="str">
        <f>IF(Q615="x","x","")</f>
        <v/>
      </c>
      <c r="R613" s="25" t="str">
        <f>IF(R615="x","x","")</f>
        <v/>
      </c>
      <c r="S613" s="25" t="str">
        <f>IF(S615="x","x","")</f>
        <v>x</v>
      </c>
      <c r="T613" s="25" t="s">
        <v>31</v>
      </c>
      <c r="U613" s="26"/>
      <c r="V613" s="27"/>
    </row>
    <row r="614" spans="1:22" x14ac:dyDescent="0.25">
      <c r="A614" s="18" t="s">
        <v>123</v>
      </c>
      <c r="B614" s="18" t="s">
        <v>948</v>
      </c>
      <c r="C614" s="18" t="s">
        <v>145</v>
      </c>
      <c r="D614" s="18" t="s">
        <v>26</v>
      </c>
      <c r="E614" s="18" t="s">
        <v>27</v>
      </c>
      <c r="F614" s="18" t="s">
        <v>146</v>
      </c>
      <c r="G614" s="18" t="s">
        <v>32</v>
      </c>
      <c r="H614" s="19">
        <v>2011</v>
      </c>
      <c r="I614" s="18" t="s">
        <v>364</v>
      </c>
      <c r="J614" s="101" t="s">
        <v>27</v>
      </c>
      <c r="K614" s="20">
        <v>174</v>
      </c>
      <c r="L614" s="21">
        <v>87.6</v>
      </c>
      <c r="M614" s="22" t="s">
        <v>30</v>
      </c>
      <c r="N614" s="23">
        <v>87.6</v>
      </c>
      <c r="O614" s="24">
        <v>0.50344827586206897</v>
      </c>
      <c r="P614" s="25" t="str">
        <f>IF(P615="x","x","")</f>
        <v/>
      </c>
      <c r="Q614" s="25" t="str">
        <f>IF(Q615="x","x","")</f>
        <v/>
      </c>
      <c r="R614" s="25" t="str">
        <f>IF(R615="x","x","")</f>
        <v/>
      </c>
      <c r="S614" s="25" t="str">
        <f>IF(S615="x","x","")</f>
        <v>x</v>
      </c>
      <c r="T614" s="25" t="s">
        <v>31</v>
      </c>
      <c r="U614" s="26"/>
      <c r="V614" s="27"/>
    </row>
    <row r="615" spans="1:22" ht="26.25" customHeight="1" thickBot="1" x14ac:dyDescent="0.3">
      <c r="A615" s="28" t="str">
        <f>A614</f>
        <v>India</v>
      </c>
      <c r="B615" s="28" t="str">
        <f>B614</f>
        <v>South Asia</v>
      </c>
      <c r="C615" s="28" t="str">
        <f>C614</f>
        <v>P069889</v>
      </c>
      <c r="D615" s="28" t="s">
        <v>26</v>
      </c>
      <c r="E615" s="28" t="s">
        <v>27</v>
      </c>
      <c r="F615" s="28" t="str">
        <f>F614</f>
        <v>P069889C1</v>
      </c>
      <c r="G615" s="28" t="s">
        <v>16</v>
      </c>
      <c r="H615" s="29" t="str">
        <f>H613&amp;" / "&amp;H614</f>
        <v>2007 / 2011</v>
      </c>
      <c r="I615" s="29" t="str">
        <f>I614</f>
        <v>Widening and Reconstruction</v>
      </c>
      <c r="J615" s="97" t="str">
        <f>IFERROR(J614/J613,"")</f>
        <v/>
      </c>
      <c r="K615" s="32">
        <f>K614/K613</f>
        <v>0.94565217391304346</v>
      </c>
      <c r="L615" s="32">
        <f>L614/L613</f>
        <v>2.3830250272034821</v>
      </c>
      <c r="M615" s="28"/>
      <c r="N615" s="32">
        <f>N614/N613</f>
        <v>2.3830250272034821</v>
      </c>
      <c r="O615" s="32">
        <f>O614/O613</f>
        <v>2.5199804885370156</v>
      </c>
      <c r="P615" s="33" t="str">
        <f>IF(K615&lt;50%,"x","")</f>
        <v/>
      </c>
      <c r="Q615" s="33" t="str">
        <f>IF(K615&gt;150%,"x","")</f>
        <v/>
      </c>
      <c r="R615" s="33" t="str">
        <f>IF(O615&lt;50%,"x","")</f>
        <v/>
      </c>
      <c r="S615" s="33" t="str">
        <f>IF(O615&gt;150%,"x","")</f>
        <v>x</v>
      </c>
      <c r="T615" s="33" t="s">
        <v>31</v>
      </c>
      <c r="U615" s="34" t="s">
        <v>1131</v>
      </c>
      <c r="V615" s="35" t="s">
        <v>1132</v>
      </c>
    </row>
    <row r="616" spans="1:22" ht="16.5" thickTop="1" x14ac:dyDescent="0.25">
      <c r="A616" s="18" t="s">
        <v>123</v>
      </c>
      <c r="B616" s="18" t="s">
        <v>948</v>
      </c>
      <c r="C616" s="18" t="s">
        <v>145</v>
      </c>
      <c r="D616" s="18" t="s">
        <v>42</v>
      </c>
      <c r="E616" s="18" t="s">
        <v>27</v>
      </c>
      <c r="F616" s="18" t="s">
        <v>148</v>
      </c>
      <c r="G616" s="18" t="s">
        <v>29</v>
      </c>
      <c r="H616" s="19">
        <v>2007</v>
      </c>
      <c r="I616" s="18" t="s">
        <v>78</v>
      </c>
      <c r="J616" s="101" t="s">
        <v>27</v>
      </c>
      <c r="K616" s="20">
        <v>520</v>
      </c>
      <c r="L616" s="21">
        <v>17.66</v>
      </c>
      <c r="M616" s="22" t="s">
        <v>30</v>
      </c>
      <c r="N616" s="23">
        <v>17.66</v>
      </c>
      <c r="O616" s="24">
        <v>3.396153846153846E-2</v>
      </c>
      <c r="P616" s="25" t="str">
        <f>IF(P618="x","x","")</f>
        <v/>
      </c>
      <c r="Q616" s="25" t="str">
        <f>IF(Q618="x","x","")</f>
        <v/>
      </c>
      <c r="R616" s="25" t="str">
        <f>IF(R618="x","x","")</f>
        <v/>
      </c>
      <c r="S616" s="25" t="str">
        <f>IF(S618="x","x","")</f>
        <v/>
      </c>
      <c r="T616" s="25" t="s">
        <v>27</v>
      </c>
      <c r="U616" s="26"/>
      <c r="V616" s="27"/>
    </row>
    <row r="617" spans="1:22" x14ac:dyDescent="0.25">
      <c r="A617" s="18" t="s">
        <v>123</v>
      </c>
      <c r="B617" s="18" t="s">
        <v>948</v>
      </c>
      <c r="C617" s="18" t="s">
        <v>145</v>
      </c>
      <c r="D617" s="18" t="s">
        <v>42</v>
      </c>
      <c r="E617" s="18" t="s">
        <v>27</v>
      </c>
      <c r="F617" s="18" t="s">
        <v>148</v>
      </c>
      <c r="G617" s="18" t="s">
        <v>32</v>
      </c>
      <c r="H617" s="19">
        <v>2011</v>
      </c>
      <c r="I617" s="18" t="s">
        <v>78</v>
      </c>
      <c r="J617" s="101" t="s">
        <v>27</v>
      </c>
      <c r="K617" s="20">
        <v>300</v>
      </c>
      <c r="L617" s="21">
        <v>11.4</v>
      </c>
      <c r="M617" s="22" t="s">
        <v>30</v>
      </c>
      <c r="N617" s="23">
        <v>11.4</v>
      </c>
      <c r="O617" s="24">
        <v>3.7999999999999999E-2</v>
      </c>
      <c r="P617" s="25" t="str">
        <f>IF(P618="x","x","")</f>
        <v/>
      </c>
      <c r="Q617" s="25" t="str">
        <f>IF(Q618="x","x","")</f>
        <v/>
      </c>
      <c r="R617" s="25" t="str">
        <f>IF(R618="x","x","")</f>
        <v/>
      </c>
      <c r="S617" s="25" t="str">
        <f>IF(S618="x","x","")</f>
        <v/>
      </c>
      <c r="T617" s="25" t="s">
        <v>27</v>
      </c>
      <c r="U617" s="26"/>
      <c r="V617" s="27"/>
    </row>
    <row r="618" spans="1:22" ht="16.5" thickBot="1" x14ac:dyDescent="0.3">
      <c r="A618" s="28" t="str">
        <f>A617</f>
        <v>India</v>
      </c>
      <c r="B618" s="28" t="str">
        <f>B617</f>
        <v>South Asia</v>
      </c>
      <c r="C618" s="28" t="str">
        <f>C617</f>
        <v>P069889</v>
      </c>
      <c r="D618" s="28" t="s">
        <v>26</v>
      </c>
      <c r="E618" s="28" t="s">
        <v>27</v>
      </c>
      <c r="F618" s="28" t="str">
        <f>F617</f>
        <v>P069889C2</v>
      </c>
      <c r="G618" s="28" t="s">
        <v>16</v>
      </c>
      <c r="H618" s="29" t="str">
        <f>H616&amp;" / "&amp;H617</f>
        <v>2007 / 2011</v>
      </c>
      <c r="I618" s="29" t="str">
        <f>I617</f>
        <v>Surface Treatment Resurfacing</v>
      </c>
      <c r="J618" s="97" t="str">
        <f>IFERROR(J617/J616,"")</f>
        <v/>
      </c>
      <c r="K618" s="32">
        <f>K617/K616</f>
        <v>0.57692307692307687</v>
      </c>
      <c r="L618" s="32">
        <f>L617/L616</f>
        <v>0.64552661381653453</v>
      </c>
      <c r="M618" s="28"/>
      <c r="N618" s="32">
        <f>N617/N616</f>
        <v>0.64552661381653453</v>
      </c>
      <c r="O618" s="32">
        <f>O617/O616</f>
        <v>1.1189127972819932</v>
      </c>
      <c r="P618" s="33" t="str">
        <f>IF(K618&lt;50%,"x","")</f>
        <v/>
      </c>
      <c r="Q618" s="33" t="str">
        <f>IF(K618&gt;150%,"x","")</f>
        <v/>
      </c>
      <c r="R618" s="33" t="str">
        <f>IF(O618&lt;50%,"x","")</f>
        <v/>
      </c>
      <c r="S618" s="33" t="str">
        <f>IF(O618&gt;150%,"x","")</f>
        <v/>
      </c>
      <c r="T618" s="33" t="s">
        <v>27</v>
      </c>
      <c r="U618" s="34" t="s">
        <v>27</v>
      </c>
      <c r="V618" s="35" t="s">
        <v>1133</v>
      </c>
    </row>
    <row r="619" spans="1:22" ht="16.5" thickTop="1" x14ac:dyDescent="0.25">
      <c r="A619" s="18" t="s">
        <v>123</v>
      </c>
      <c r="B619" s="18" t="s">
        <v>948</v>
      </c>
      <c r="C619" s="18" t="s">
        <v>157</v>
      </c>
      <c r="D619" s="18" t="s">
        <v>26</v>
      </c>
      <c r="E619" s="18" t="s">
        <v>27</v>
      </c>
      <c r="F619" s="18" t="s">
        <v>158</v>
      </c>
      <c r="G619" s="18" t="s">
        <v>29</v>
      </c>
      <c r="H619" s="19">
        <v>2001</v>
      </c>
      <c r="I619" s="18" t="s">
        <v>56</v>
      </c>
      <c r="J619" s="101" t="s">
        <v>27</v>
      </c>
      <c r="K619" s="20">
        <v>420</v>
      </c>
      <c r="L619" s="21">
        <v>618.08000000000004</v>
      </c>
      <c r="M619" s="22" t="s">
        <v>30</v>
      </c>
      <c r="N619" s="23">
        <v>618.08000000000004</v>
      </c>
      <c r="O619" s="24">
        <v>1.4716190476190478</v>
      </c>
      <c r="P619" s="25" t="str">
        <f>IF(P621="x","x","")</f>
        <v/>
      </c>
      <c r="Q619" s="25" t="str">
        <f>IF(Q621="x","x","")</f>
        <v/>
      </c>
      <c r="R619" s="25" t="str">
        <f>IF(R621="x","x","")</f>
        <v/>
      </c>
      <c r="S619" s="25" t="str">
        <f>IF(S621="x","x","")</f>
        <v/>
      </c>
      <c r="T619" s="25" t="s">
        <v>27</v>
      </c>
      <c r="U619" s="26"/>
      <c r="V619" s="27"/>
    </row>
    <row r="620" spans="1:22" x14ac:dyDescent="0.25">
      <c r="A620" s="18" t="s">
        <v>123</v>
      </c>
      <c r="B620" s="18" t="s">
        <v>948</v>
      </c>
      <c r="C620" s="18" t="s">
        <v>157</v>
      </c>
      <c r="D620" s="18" t="s">
        <v>26</v>
      </c>
      <c r="E620" s="18" t="s">
        <v>27</v>
      </c>
      <c r="F620" s="18" t="s">
        <v>158</v>
      </c>
      <c r="G620" s="18" t="s">
        <v>32</v>
      </c>
      <c r="H620" s="19">
        <v>2009</v>
      </c>
      <c r="I620" s="18" t="s">
        <v>56</v>
      </c>
      <c r="J620" s="101">
        <v>81</v>
      </c>
      <c r="K620" s="20">
        <v>416.76</v>
      </c>
      <c r="L620" s="21">
        <v>694.44</v>
      </c>
      <c r="M620" s="22" t="s">
        <v>30</v>
      </c>
      <c r="N620" s="23">
        <v>694.44</v>
      </c>
      <c r="O620" s="24">
        <v>1.6662827526634036</v>
      </c>
      <c r="P620" s="25" t="str">
        <f>IF(P621="x","x","")</f>
        <v/>
      </c>
      <c r="Q620" s="25" t="str">
        <f>IF(Q621="x","x","")</f>
        <v/>
      </c>
      <c r="R620" s="25" t="str">
        <f>IF(R621="x","x","")</f>
        <v/>
      </c>
      <c r="S620" s="25" t="str">
        <f>IF(S621="x","x","")</f>
        <v/>
      </c>
      <c r="T620" s="25" t="s">
        <v>27</v>
      </c>
      <c r="U620" s="26"/>
      <c r="V620" s="27"/>
    </row>
    <row r="621" spans="1:22" ht="16.5" thickBot="1" x14ac:dyDescent="0.3">
      <c r="A621" s="28" t="str">
        <f>A620</f>
        <v>India</v>
      </c>
      <c r="B621" s="28" t="str">
        <f>B620</f>
        <v>South Asia</v>
      </c>
      <c r="C621" s="28" t="str">
        <f>C620</f>
        <v>P071244</v>
      </c>
      <c r="D621" s="28" t="s">
        <v>26</v>
      </c>
      <c r="E621" s="28" t="s">
        <v>27</v>
      </c>
      <c r="F621" s="28" t="str">
        <f>F620</f>
        <v>P071244C1</v>
      </c>
      <c r="G621" s="28" t="s">
        <v>16</v>
      </c>
      <c r="H621" s="29" t="str">
        <f>H619&amp;" / "&amp;H620</f>
        <v>2001 / 2009</v>
      </c>
      <c r="I621" s="29" t="str">
        <f>I620</f>
        <v>Widening</v>
      </c>
      <c r="J621" s="97" t="str">
        <f>IFERROR(J620/J619,"")</f>
        <v/>
      </c>
      <c r="K621" s="32">
        <f>K620/K619</f>
        <v>0.99228571428571422</v>
      </c>
      <c r="L621" s="32">
        <f>L620/L619</f>
        <v>1.1235438778151696</v>
      </c>
      <c r="M621" s="28"/>
      <c r="N621" s="32">
        <f>N620/N619</f>
        <v>1.1235438778151696</v>
      </c>
      <c r="O621" s="32">
        <f>O620/O619</f>
        <v>1.1322785984316421</v>
      </c>
      <c r="P621" s="33" t="str">
        <f>IF(K621&lt;50%,"x","")</f>
        <v/>
      </c>
      <c r="Q621" s="33" t="str">
        <f>IF(K621&gt;150%,"x","")</f>
        <v/>
      </c>
      <c r="R621" s="33" t="str">
        <f>IF(O621&lt;50%,"x","")</f>
        <v/>
      </c>
      <c r="S621" s="33" t="str">
        <f>IF(O621&gt;150%,"x","")</f>
        <v/>
      </c>
      <c r="T621" s="33" t="s">
        <v>27</v>
      </c>
      <c r="U621" s="34" t="s">
        <v>27</v>
      </c>
      <c r="V621" s="35" t="s">
        <v>27</v>
      </c>
    </row>
    <row r="622" spans="1:22" ht="16.5" thickTop="1" x14ac:dyDescent="0.25">
      <c r="A622" s="18" t="s">
        <v>123</v>
      </c>
      <c r="B622" s="18" t="s">
        <v>948</v>
      </c>
      <c r="C622" s="18" t="s">
        <v>170</v>
      </c>
      <c r="D622" s="18" t="s">
        <v>26</v>
      </c>
      <c r="E622" s="18" t="s">
        <v>27</v>
      </c>
      <c r="F622" s="18" t="s">
        <v>171</v>
      </c>
      <c r="G622" s="18" t="s">
        <v>29</v>
      </c>
      <c r="H622" s="19">
        <v>2003</v>
      </c>
      <c r="I622" s="18" t="s">
        <v>111</v>
      </c>
      <c r="J622" s="101">
        <v>24</v>
      </c>
      <c r="K622" s="20">
        <v>84.707999999999998</v>
      </c>
      <c r="L622" s="21">
        <v>240.41</v>
      </c>
      <c r="M622" s="22" t="s">
        <v>30</v>
      </c>
      <c r="N622" s="23">
        <v>240.41</v>
      </c>
      <c r="O622" s="24">
        <v>2.8381026585446474</v>
      </c>
      <c r="P622" s="25" t="str">
        <f>IF(P624="x","x","")</f>
        <v/>
      </c>
      <c r="Q622" s="25" t="str">
        <f>IF(Q624="x","x","")</f>
        <v/>
      </c>
      <c r="R622" s="25" t="str">
        <f>IF(R624="x","x","")</f>
        <v/>
      </c>
      <c r="S622" s="25" t="str">
        <f>IF(S624="x","x","")</f>
        <v/>
      </c>
      <c r="T622" s="25" t="s">
        <v>27</v>
      </c>
      <c r="U622" s="26"/>
      <c r="V622" s="27"/>
    </row>
    <row r="623" spans="1:22" x14ac:dyDescent="0.25">
      <c r="A623" s="18" t="s">
        <v>123</v>
      </c>
      <c r="B623" s="18" t="s">
        <v>948</v>
      </c>
      <c r="C623" s="18" t="s">
        <v>170</v>
      </c>
      <c r="D623" s="18" t="s">
        <v>26</v>
      </c>
      <c r="E623" s="18" t="s">
        <v>27</v>
      </c>
      <c r="F623" s="18" t="s">
        <v>171</v>
      </c>
      <c r="G623" s="18" t="s">
        <v>32</v>
      </c>
      <c r="H623" s="19">
        <v>2010</v>
      </c>
      <c r="I623" s="18" t="s">
        <v>111</v>
      </c>
      <c r="J623" s="101">
        <v>63</v>
      </c>
      <c r="K623" s="20">
        <v>84.8</v>
      </c>
      <c r="L623" s="21">
        <v>301.36</v>
      </c>
      <c r="M623" s="22" t="s">
        <v>30</v>
      </c>
      <c r="N623" s="23">
        <v>301.36</v>
      </c>
      <c r="O623" s="24">
        <v>3.5537735849056609</v>
      </c>
      <c r="P623" s="25" t="str">
        <f>IF(P624="x","x","")</f>
        <v/>
      </c>
      <c r="Q623" s="25" t="str">
        <f>IF(Q624="x","x","")</f>
        <v/>
      </c>
      <c r="R623" s="25" t="str">
        <f>IF(R624="x","x","")</f>
        <v/>
      </c>
      <c r="S623" s="25" t="str">
        <f>IF(S624="x","x","")</f>
        <v/>
      </c>
      <c r="T623" s="25" t="s">
        <v>27</v>
      </c>
      <c r="U623" s="26"/>
      <c r="V623" s="27"/>
    </row>
    <row r="624" spans="1:22" ht="16.5" thickBot="1" x14ac:dyDescent="0.3">
      <c r="A624" s="28" t="str">
        <f>A623</f>
        <v>India</v>
      </c>
      <c r="B624" s="28" t="str">
        <f>B623</f>
        <v>South Asia</v>
      </c>
      <c r="C624" s="28" t="str">
        <f>C623</f>
        <v>P073776</v>
      </c>
      <c r="D624" s="28" t="s">
        <v>26</v>
      </c>
      <c r="E624" s="28" t="s">
        <v>27</v>
      </c>
      <c r="F624" s="28" t="str">
        <f>F623</f>
        <v>P073776C1</v>
      </c>
      <c r="G624" s="28" t="s">
        <v>16</v>
      </c>
      <c r="H624" s="29" t="str">
        <f>H622&amp;" / "&amp;H623</f>
        <v>2003 / 2010</v>
      </c>
      <c r="I624" s="29" t="str">
        <f>I623</f>
        <v>New 4L Expressway</v>
      </c>
      <c r="J624" s="97">
        <f>IFERROR(J623/J622,"")</f>
        <v>2.625</v>
      </c>
      <c r="K624" s="32">
        <f>K623/K622</f>
        <v>1.0010860839590121</v>
      </c>
      <c r="L624" s="32">
        <f>L623/L622</f>
        <v>1.2535252277359512</v>
      </c>
      <c r="M624" s="28"/>
      <c r="N624" s="32">
        <f>N623/N622</f>
        <v>1.2535252277359512</v>
      </c>
      <c r="O624" s="32">
        <f>O623/O622</f>
        <v>1.2521652711209548</v>
      </c>
      <c r="P624" s="33" t="str">
        <f>IF(K624&lt;50%,"x","")</f>
        <v/>
      </c>
      <c r="Q624" s="33" t="str">
        <f>IF(K624&gt;150%,"x","")</f>
        <v/>
      </c>
      <c r="R624" s="33" t="str">
        <f>IF(O624&lt;50%,"x","")</f>
        <v/>
      </c>
      <c r="S624" s="33" t="str">
        <f>IF(O624&gt;150%,"x","")</f>
        <v/>
      </c>
      <c r="T624" s="33" t="s">
        <v>27</v>
      </c>
      <c r="U624" s="34" t="s">
        <v>27</v>
      </c>
      <c r="V624" s="35" t="s">
        <v>27</v>
      </c>
    </row>
    <row r="625" spans="1:22" ht="16.5" thickTop="1" x14ac:dyDescent="0.25">
      <c r="A625" s="18" t="s">
        <v>123</v>
      </c>
      <c r="B625" s="18" t="s">
        <v>948</v>
      </c>
      <c r="C625" s="18" t="s">
        <v>205</v>
      </c>
      <c r="D625" s="18" t="s">
        <v>26</v>
      </c>
      <c r="E625" s="18" t="s">
        <v>27</v>
      </c>
      <c r="F625" s="18" t="s">
        <v>206</v>
      </c>
      <c r="G625" s="18" t="s">
        <v>29</v>
      </c>
      <c r="H625" s="19">
        <v>2004</v>
      </c>
      <c r="I625" s="18" t="s">
        <v>56</v>
      </c>
      <c r="J625" s="101">
        <v>48</v>
      </c>
      <c r="K625" s="20">
        <v>483</v>
      </c>
      <c r="L625" s="21">
        <v>802.87</v>
      </c>
      <c r="M625" s="22" t="s">
        <v>30</v>
      </c>
      <c r="N625" s="23">
        <v>802.87</v>
      </c>
      <c r="O625" s="24">
        <v>1.662256728778468</v>
      </c>
      <c r="P625" s="25" t="str">
        <f>IF(P627="x","x","")</f>
        <v/>
      </c>
      <c r="Q625" s="25" t="str">
        <f>IF(Q627="x","x","")</f>
        <v/>
      </c>
      <c r="R625" s="25" t="str">
        <f>IF(R627="x","x","")</f>
        <v/>
      </c>
      <c r="S625" s="25" t="str">
        <f>IF(S627="x","x","")</f>
        <v/>
      </c>
      <c r="T625" s="25" t="s">
        <v>27</v>
      </c>
      <c r="U625" s="26"/>
      <c r="V625" s="27"/>
    </row>
    <row r="626" spans="1:22" x14ac:dyDescent="0.25">
      <c r="A626" s="18" t="s">
        <v>123</v>
      </c>
      <c r="B626" s="18" t="s">
        <v>948</v>
      </c>
      <c r="C626" s="18" t="s">
        <v>205</v>
      </c>
      <c r="D626" s="18" t="s">
        <v>26</v>
      </c>
      <c r="E626" s="18" t="s">
        <v>27</v>
      </c>
      <c r="F626" s="18" t="s">
        <v>206</v>
      </c>
      <c r="G626" s="18" t="s">
        <v>32</v>
      </c>
      <c r="H626" s="19">
        <v>2012</v>
      </c>
      <c r="I626" s="18" t="s">
        <v>56</v>
      </c>
      <c r="J626" s="101">
        <v>84</v>
      </c>
      <c r="K626" s="20">
        <v>327</v>
      </c>
      <c r="L626" s="21">
        <v>800.12</v>
      </c>
      <c r="M626" s="22" t="s">
        <v>30</v>
      </c>
      <c r="N626" s="23">
        <v>800.12</v>
      </c>
      <c r="O626" s="24">
        <v>2.4468501529051987</v>
      </c>
      <c r="P626" s="25" t="str">
        <f>IF(P627="x","x","")</f>
        <v/>
      </c>
      <c r="Q626" s="25" t="str">
        <f>IF(Q627="x","x","")</f>
        <v/>
      </c>
      <c r="R626" s="25" t="str">
        <f>IF(R627="x","x","")</f>
        <v/>
      </c>
      <c r="S626" s="25" t="str">
        <f>IF(S627="x","x","")</f>
        <v/>
      </c>
      <c r="T626" s="25" t="s">
        <v>27</v>
      </c>
      <c r="U626" s="26"/>
      <c r="V626" s="27"/>
    </row>
    <row r="627" spans="1:22" ht="16.5" thickBot="1" x14ac:dyDescent="0.3">
      <c r="A627" s="28" t="str">
        <f>A626</f>
        <v>India</v>
      </c>
      <c r="B627" s="28" t="str">
        <f>B626</f>
        <v>South Asia</v>
      </c>
      <c r="C627" s="28" t="str">
        <f>C626</f>
        <v>P077856</v>
      </c>
      <c r="D627" s="28" t="s">
        <v>26</v>
      </c>
      <c r="E627" s="28" t="s">
        <v>27</v>
      </c>
      <c r="F627" s="28" t="str">
        <f>F626</f>
        <v>P077856C1</v>
      </c>
      <c r="G627" s="28" t="s">
        <v>16</v>
      </c>
      <c r="H627" s="29" t="str">
        <f>H625&amp;" / "&amp;H626</f>
        <v>2004 / 2012</v>
      </c>
      <c r="I627" s="29" t="str">
        <f>I626</f>
        <v>Widening</v>
      </c>
      <c r="J627" s="97">
        <f>IFERROR(J626/J625,"")</f>
        <v>1.75</v>
      </c>
      <c r="K627" s="32">
        <f>K626/K625</f>
        <v>0.67701863354037262</v>
      </c>
      <c r="L627" s="32">
        <f>L626/L625</f>
        <v>0.99657478794823573</v>
      </c>
      <c r="M627" s="28"/>
      <c r="N627" s="32">
        <f>N626/N625</f>
        <v>0.99657478794823573</v>
      </c>
      <c r="O627" s="32">
        <f>O626/O625</f>
        <v>1.4720049620152837</v>
      </c>
      <c r="P627" s="33" t="str">
        <f>IF(K627&lt;50%,"x","")</f>
        <v/>
      </c>
      <c r="Q627" s="33" t="str">
        <f>IF(K627&gt;150%,"x","")</f>
        <v/>
      </c>
      <c r="R627" s="33" t="str">
        <f>IF(O627&lt;50%,"x","")</f>
        <v/>
      </c>
      <c r="S627" s="33" t="str">
        <f>IF(O627&gt;150%,"x","")</f>
        <v/>
      </c>
      <c r="T627" s="33" t="s">
        <v>27</v>
      </c>
      <c r="U627" s="34" t="s">
        <v>27</v>
      </c>
      <c r="V627" s="35" t="s">
        <v>27</v>
      </c>
    </row>
    <row r="628" spans="1:22" ht="16.5" thickTop="1" x14ac:dyDescent="0.25">
      <c r="A628" s="18" t="s">
        <v>123</v>
      </c>
      <c r="B628" s="18" t="s">
        <v>948</v>
      </c>
      <c r="C628" s="18" t="s">
        <v>362</v>
      </c>
      <c r="D628" s="18" t="s">
        <v>26</v>
      </c>
      <c r="E628" s="18" t="s">
        <v>36</v>
      </c>
      <c r="F628" s="18" t="s">
        <v>363</v>
      </c>
      <c r="G628" s="18" t="s">
        <v>29</v>
      </c>
      <c r="H628" s="19">
        <v>2000</v>
      </c>
      <c r="I628" s="18" t="s">
        <v>364</v>
      </c>
      <c r="J628" s="101">
        <v>42</v>
      </c>
      <c r="K628" s="20">
        <v>62</v>
      </c>
      <c r="L628" s="21">
        <v>86</v>
      </c>
      <c r="M628" s="22" t="s">
        <v>30</v>
      </c>
      <c r="N628" s="23">
        <v>86</v>
      </c>
      <c r="O628" s="24">
        <v>1.3870967741935485</v>
      </c>
      <c r="P628" s="25" t="str">
        <f>IF(P630="x","x","")</f>
        <v/>
      </c>
      <c r="Q628" s="25" t="str">
        <f>IF(Q630="x","x","")</f>
        <v/>
      </c>
      <c r="R628" s="25" t="str">
        <f>IF(R630="x","x","")</f>
        <v/>
      </c>
      <c r="S628" s="25" t="str">
        <f>IF(S630="x","x","")</f>
        <v/>
      </c>
      <c r="T628" s="25" t="s">
        <v>27</v>
      </c>
      <c r="U628" s="26"/>
      <c r="V628" s="27"/>
    </row>
    <row r="629" spans="1:22" x14ac:dyDescent="0.25">
      <c r="A629" s="18" t="s">
        <v>123</v>
      </c>
      <c r="B629" s="18" t="s">
        <v>948</v>
      </c>
      <c r="C629" s="18" t="s">
        <v>362</v>
      </c>
      <c r="D629" s="18" t="s">
        <v>26</v>
      </c>
      <c r="E629" s="18" t="s">
        <v>36</v>
      </c>
      <c r="F629" s="18" t="s">
        <v>363</v>
      </c>
      <c r="G629" s="18" t="s">
        <v>32</v>
      </c>
      <c r="H629" s="19">
        <v>2008</v>
      </c>
      <c r="I629" s="18" t="s">
        <v>364</v>
      </c>
      <c r="J629" s="101">
        <v>77</v>
      </c>
      <c r="K629" s="20">
        <v>62</v>
      </c>
      <c r="L629" s="21">
        <v>2893</v>
      </c>
      <c r="M629" s="22" t="s">
        <v>365</v>
      </c>
      <c r="N629" s="23">
        <v>62.134879725085909</v>
      </c>
      <c r="O629" s="24">
        <v>1.0021754794368696</v>
      </c>
      <c r="P629" s="25" t="str">
        <f>IF(P630="x","x","")</f>
        <v/>
      </c>
      <c r="Q629" s="25" t="str">
        <f>IF(Q630="x","x","")</f>
        <v/>
      </c>
      <c r="R629" s="25" t="str">
        <f>IF(R630="x","x","")</f>
        <v/>
      </c>
      <c r="S629" s="25" t="str">
        <f>IF(S630="x","x","")</f>
        <v/>
      </c>
      <c r="T629" s="25" t="s">
        <v>27</v>
      </c>
      <c r="U629" s="26"/>
      <c r="V629" s="27"/>
    </row>
    <row r="630" spans="1:22" ht="16.5" thickBot="1" x14ac:dyDescent="0.3">
      <c r="A630" s="28" t="str">
        <f>A629</f>
        <v>India</v>
      </c>
      <c r="B630" s="28" t="str">
        <f>B629</f>
        <v>South Asia</v>
      </c>
      <c r="C630" s="28" t="str">
        <f>C629</f>
        <v>P009972</v>
      </c>
      <c r="D630" s="28" t="s">
        <v>26</v>
      </c>
      <c r="E630" s="28" t="s">
        <v>27</v>
      </c>
      <c r="F630" s="28" t="str">
        <f>F629</f>
        <v>P009972C1S1</v>
      </c>
      <c r="G630" s="28" t="s">
        <v>16</v>
      </c>
      <c r="H630" s="29" t="str">
        <f>H628&amp;" / "&amp;H629</f>
        <v>2000 / 2008</v>
      </c>
      <c r="I630" s="29" t="str">
        <f>I629</f>
        <v>Widening and Reconstruction</v>
      </c>
      <c r="J630" s="97">
        <f>IFERROR(J629/J628,"")</f>
        <v>1.8333333333333333</v>
      </c>
      <c r="K630" s="32">
        <f>K629/K628</f>
        <v>1</v>
      </c>
      <c r="L630" s="32">
        <f>L629/L628</f>
        <v>33.639534883720927</v>
      </c>
      <c r="M630" s="28"/>
      <c r="N630" s="32">
        <f>N629/N628</f>
        <v>0.7224986014544873</v>
      </c>
      <c r="O630" s="32">
        <f>O629/O628</f>
        <v>0.7224986014544873</v>
      </c>
      <c r="P630" s="33" t="str">
        <f>IF(K630&lt;50%,"x","")</f>
        <v/>
      </c>
      <c r="Q630" s="33" t="str">
        <f>IF(K630&gt;150%,"x","")</f>
        <v/>
      </c>
      <c r="R630" s="33" t="str">
        <f>IF(O630&lt;50%,"x","")</f>
        <v/>
      </c>
      <c r="S630" s="33" t="str">
        <f>IF(O630&gt;150%,"x","")</f>
        <v/>
      </c>
      <c r="T630" s="33" t="s">
        <v>27</v>
      </c>
      <c r="U630" s="34" t="s">
        <v>27</v>
      </c>
      <c r="V630" s="35" t="s">
        <v>27</v>
      </c>
    </row>
    <row r="631" spans="1:22" ht="16.5" thickTop="1" x14ac:dyDescent="0.25">
      <c r="A631" s="18" t="s">
        <v>123</v>
      </c>
      <c r="B631" s="18" t="s">
        <v>948</v>
      </c>
      <c r="C631" s="18" t="s">
        <v>362</v>
      </c>
      <c r="D631" s="18" t="s">
        <v>26</v>
      </c>
      <c r="E631" s="18" t="s">
        <v>40</v>
      </c>
      <c r="F631" s="18" t="s">
        <v>366</v>
      </c>
      <c r="G631" s="18" t="s">
        <v>29</v>
      </c>
      <c r="H631" s="19">
        <v>2000</v>
      </c>
      <c r="I631" s="18" t="s">
        <v>364</v>
      </c>
      <c r="J631" s="101">
        <v>40</v>
      </c>
      <c r="K631" s="20">
        <v>77</v>
      </c>
      <c r="L631" s="21">
        <v>101.7</v>
      </c>
      <c r="M631" s="22" t="s">
        <v>30</v>
      </c>
      <c r="N631" s="23">
        <v>101.7</v>
      </c>
      <c r="O631" s="24">
        <v>1.3207792207792208</v>
      </c>
      <c r="P631" s="25" t="str">
        <f>IF(P633="x","x","")</f>
        <v/>
      </c>
      <c r="Q631" s="25" t="str">
        <f>IF(Q633="x","x","")</f>
        <v/>
      </c>
      <c r="R631" s="25" t="str">
        <f>IF(R633="x","x","")</f>
        <v/>
      </c>
      <c r="S631" s="25" t="str">
        <f>IF(S633="x","x","")</f>
        <v/>
      </c>
      <c r="T631" s="25" t="s">
        <v>27</v>
      </c>
      <c r="U631" s="26"/>
      <c r="V631" s="27"/>
    </row>
    <row r="632" spans="1:22" x14ac:dyDescent="0.25">
      <c r="A632" s="18" t="s">
        <v>123</v>
      </c>
      <c r="B632" s="18" t="s">
        <v>948</v>
      </c>
      <c r="C632" s="18" t="s">
        <v>362</v>
      </c>
      <c r="D632" s="18" t="s">
        <v>26</v>
      </c>
      <c r="E632" s="18" t="s">
        <v>40</v>
      </c>
      <c r="F632" s="18" t="s">
        <v>366</v>
      </c>
      <c r="G632" s="18" t="s">
        <v>32</v>
      </c>
      <c r="H632" s="19">
        <v>2008</v>
      </c>
      <c r="I632" s="18" t="s">
        <v>364</v>
      </c>
      <c r="J632" s="101">
        <v>93</v>
      </c>
      <c r="K632" s="20">
        <v>77</v>
      </c>
      <c r="L632" s="21">
        <v>2955.3</v>
      </c>
      <c r="M632" s="22" t="s">
        <v>365</v>
      </c>
      <c r="N632" s="23">
        <v>63.472938144329895</v>
      </c>
      <c r="O632" s="24">
        <v>0.82432387200428436</v>
      </c>
      <c r="P632" s="25" t="str">
        <f>IF(P633="x","x","")</f>
        <v/>
      </c>
      <c r="Q632" s="25" t="str">
        <f>IF(Q633="x","x","")</f>
        <v/>
      </c>
      <c r="R632" s="25" t="str">
        <f>IF(R633="x","x","")</f>
        <v/>
      </c>
      <c r="S632" s="25" t="str">
        <f>IF(S633="x","x","")</f>
        <v/>
      </c>
      <c r="T632" s="25" t="s">
        <v>27</v>
      </c>
      <c r="U632" s="26"/>
      <c r="V632" s="27"/>
    </row>
    <row r="633" spans="1:22" ht="16.5" thickBot="1" x14ac:dyDescent="0.3">
      <c r="A633" s="28" t="str">
        <f>A632</f>
        <v>India</v>
      </c>
      <c r="B633" s="28" t="str">
        <f>B632</f>
        <v>South Asia</v>
      </c>
      <c r="C633" s="28" t="str">
        <f>C632</f>
        <v>P009972</v>
      </c>
      <c r="D633" s="28" t="s">
        <v>26</v>
      </c>
      <c r="E633" s="28" t="s">
        <v>27</v>
      </c>
      <c r="F633" s="28" t="str">
        <f>F632</f>
        <v>P009972C1S2</v>
      </c>
      <c r="G633" s="28" t="s">
        <v>16</v>
      </c>
      <c r="H633" s="29" t="str">
        <f>H631&amp;" / "&amp;H632</f>
        <v>2000 / 2008</v>
      </c>
      <c r="I633" s="29" t="str">
        <f>I632</f>
        <v>Widening and Reconstruction</v>
      </c>
      <c r="J633" s="97">
        <f>IFERROR(J632/J631,"")</f>
        <v>2.3250000000000002</v>
      </c>
      <c r="K633" s="32">
        <f>K632/K631</f>
        <v>1</v>
      </c>
      <c r="L633" s="32">
        <f>L632/L631</f>
        <v>29.058997050147493</v>
      </c>
      <c r="M633" s="28"/>
      <c r="N633" s="32">
        <f>N632/N631</f>
        <v>0.62411935245162131</v>
      </c>
      <c r="O633" s="32">
        <f>O632/O631</f>
        <v>0.62411935245162142</v>
      </c>
      <c r="P633" s="33" t="str">
        <f>IF(K633&lt;50%,"x","")</f>
        <v/>
      </c>
      <c r="Q633" s="33" t="str">
        <f>IF(K633&gt;150%,"x","")</f>
        <v/>
      </c>
      <c r="R633" s="33" t="str">
        <f>IF(O633&lt;50%,"x","")</f>
        <v/>
      </c>
      <c r="S633" s="33" t="str">
        <f>IF(O633&gt;150%,"x","")</f>
        <v/>
      </c>
      <c r="T633" s="33" t="s">
        <v>27</v>
      </c>
      <c r="U633" s="34" t="s">
        <v>27</v>
      </c>
      <c r="V633" s="35" t="s">
        <v>27</v>
      </c>
    </row>
    <row r="634" spans="1:22" ht="16.5" thickTop="1" x14ac:dyDescent="0.25">
      <c r="A634" s="18" t="s">
        <v>123</v>
      </c>
      <c r="B634" s="18" t="s">
        <v>948</v>
      </c>
      <c r="C634" s="18" t="s">
        <v>362</v>
      </c>
      <c r="D634" s="18" t="s">
        <v>26</v>
      </c>
      <c r="E634" s="18" t="s">
        <v>69</v>
      </c>
      <c r="F634" s="18" t="s">
        <v>367</v>
      </c>
      <c r="G634" s="18" t="s">
        <v>29</v>
      </c>
      <c r="H634" s="19">
        <v>2000</v>
      </c>
      <c r="I634" s="18" t="s">
        <v>364</v>
      </c>
      <c r="J634" s="101">
        <v>36</v>
      </c>
      <c r="K634" s="20">
        <v>43</v>
      </c>
      <c r="L634" s="21">
        <v>50.3</v>
      </c>
      <c r="M634" s="22" t="s">
        <v>30</v>
      </c>
      <c r="N634" s="23">
        <v>50.3</v>
      </c>
      <c r="O634" s="24">
        <v>1.1697674418604651</v>
      </c>
      <c r="P634" s="25" t="str">
        <f>IF(P636="x","x","")</f>
        <v/>
      </c>
      <c r="Q634" s="25" t="str">
        <f>IF(Q636="x","x","")</f>
        <v/>
      </c>
      <c r="R634" s="25" t="str">
        <f>IF(R636="x","x","")</f>
        <v/>
      </c>
      <c r="S634" s="25" t="str">
        <f>IF(S636="x","x","")</f>
        <v/>
      </c>
      <c r="T634" s="25" t="s">
        <v>27</v>
      </c>
      <c r="U634" s="26"/>
      <c r="V634" s="27"/>
    </row>
    <row r="635" spans="1:22" x14ac:dyDescent="0.25">
      <c r="A635" s="18" t="s">
        <v>123</v>
      </c>
      <c r="B635" s="18" t="s">
        <v>948</v>
      </c>
      <c r="C635" s="18" t="s">
        <v>362</v>
      </c>
      <c r="D635" s="18" t="s">
        <v>26</v>
      </c>
      <c r="E635" s="18" t="s">
        <v>69</v>
      </c>
      <c r="F635" s="18" t="s">
        <v>367</v>
      </c>
      <c r="G635" s="18" t="s">
        <v>32</v>
      </c>
      <c r="H635" s="19">
        <v>2008</v>
      </c>
      <c r="I635" s="18" t="s">
        <v>364</v>
      </c>
      <c r="J635" s="101">
        <v>46</v>
      </c>
      <c r="K635" s="20">
        <v>43</v>
      </c>
      <c r="L635" s="21">
        <v>1798.6</v>
      </c>
      <c r="M635" s="22" t="s">
        <v>365</v>
      </c>
      <c r="N635" s="23">
        <v>38.62972508591065</v>
      </c>
      <c r="O635" s="24">
        <v>0.8983656996723407</v>
      </c>
      <c r="P635" s="25" t="str">
        <f>IF(P636="x","x","")</f>
        <v/>
      </c>
      <c r="Q635" s="25" t="str">
        <f>IF(Q636="x","x","")</f>
        <v/>
      </c>
      <c r="R635" s="25" t="str">
        <f>IF(R636="x","x","")</f>
        <v/>
      </c>
      <c r="S635" s="25" t="str">
        <f>IF(S636="x","x","")</f>
        <v/>
      </c>
      <c r="T635" s="25" t="s">
        <v>27</v>
      </c>
      <c r="U635" s="26"/>
      <c r="V635" s="27"/>
    </row>
    <row r="636" spans="1:22" ht="16.5" thickBot="1" x14ac:dyDescent="0.3">
      <c r="A636" s="28" t="str">
        <f>A635</f>
        <v>India</v>
      </c>
      <c r="B636" s="28" t="str">
        <f>B635</f>
        <v>South Asia</v>
      </c>
      <c r="C636" s="28" t="str">
        <f>C635</f>
        <v>P009972</v>
      </c>
      <c r="D636" s="28" t="s">
        <v>26</v>
      </c>
      <c r="E636" s="28" t="s">
        <v>27</v>
      </c>
      <c r="F636" s="28" t="str">
        <f>F635</f>
        <v>P009972C1S3</v>
      </c>
      <c r="G636" s="28" t="s">
        <v>16</v>
      </c>
      <c r="H636" s="29" t="str">
        <f>H634&amp;" / "&amp;H635</f>
        <v>2000 / 2008</v>
      </c>
      <c r="I636" s="29" t="str">
        <f>I635</f>
        <v>Widening and Reconstruction</v>
      </c>
      <c r="J636" s="97">
        <f>IFERROR(J635/J634,"")</f>
        <v>1.2777777777777777</v>
      </c>
      <c r="K636" s="32">
        <f>K635/K634</f>
        <v>1</v>
      </c>
      <c r="L636" s="32">
        <f>L635/L634</f>
        <v>35.757455268389663</v>
      </c>
      <c r="M636" s="28"/>
      <c r="N636" s="32">
        <f>N635/N634</f>
        <v>0.76798658222486382</v>
      </c>
      <c r="O636" s="32">
        <f>O635/O634</f>
        <v>0.76798658222486382</v>
      </c>
      <c r="P636" s="33" t="str">
        <f>IF(K636&lt;50%,"x","")</f>
        <v/>
      </c>
      <c r="Q636" s="33" t="str">
        <f>IF(K636&gt;150%,"x","")</f>
        <v/>
      </c>
      <c r="R636" s="33" t="str">
        <f>IF(O636&lt;50%,"x","")</f>
        <v/>
      </c>
      <c r="S636" s="33" t="str">
        <f>IF(O636&gt;150%,"x","")</f>
        <v/>
      </c>
      <c r="T636" s="33" t="s">
        <v>27</v>
      </c>
      <c r="U636" s="34" t="s">
        <v>27</v>
      </c>
      <c r="V636" s="35" t="s">
        <v>27</v>
      </c>
    </row>
    <row r="637" spans="1:22" ht="16.5" thickTop="1" x14ac:dyDescent="0.25">
      <c r="A637" s="18" t="s">
        <v>123</v>
      </c>
      <c r="B637" s="18" t="s">
        <v>948</v>
      </c>
      <c r="C637" s="18" t="s">
        <v>362</v>
      </c>
      <c r="D637" s="18" t="s">
        <v>26</v>
      </c>
      <c r="E637" s="18" t="s">
        <v>71</v>
      </c>
      <c r="F637" s="18" t="s">
        <v>368</v>
      </c>
      <c r="G637" s="18" t="s">
        <v>29</v>
      </c>
      <c r="H637" s="19">
        <v>2000</v>
      </c>
      <c r="I637" s="18" t="s">
        <v>364</v>
      </c>
      <c r="J637" s="101">
        <v>39</v>
      </c>
      <c r="K637" s="20">
        <v>72</v>
      </c>
      <c r="L637" s="21">
        <v>77.599999999999994</v>
      </c>
      <c r="M637" s="22" t="s">
        <v>30</v>
      </c>
      <c r="N637" s="23">
        <v>77.599999999999994</v>
      </c>
      <c r="O637" s="24">
        <v>1.0777777777777777</v>
      </c>
      <c r="P637" s="25" t="str">
        <f>IF(P639="x","x","")</f>
        <v/>
      </c>
      <c r="Q637" s="25" t="str">
        <f>IF(Q639="x","x","")</f>
        <v/>
      </c>
      <c r="R637" s="25" t="str">
        <f>IF(R639="x","x","")</f>
        <v/>
      </c>
      <c r="S637" s="25" t="str">
        <f>IF(S639="x","x","")</f>
        <v/>
      </c>
      <c r="T637" s="25" t="s">
        <v>27</v>
      </c>
      <c r="U637" s="26"/>
      <c r="V637" s="27"/>
    </row>
    <row r="638" spans="1:22" x14ac:dyDescent="0.25">
      <c r="A638" s="18" t="s">
        <v>123</v>
      </c>
      <c r="B638" s="18" t="s">
        <v>948</v>
      </c>
      <c r="C638" s="18" t="s">
        <v>362</v>
      </c>
      <c r="D638" s="18" t="s">
        <v>26</v>
      </c>
      <c r="E638" s="18" t="s">
        <v>71</v>
      </c>
      <c r="F638" s="18" t="s">
        <v>368</v>
      </c>
      <c r="G638" s="18" t="s">
        <v>32</v>
      </c>
      <c r="H638" s="19">
        <v>2008</v>
      </c>
      <c r="I638" s="18" t="s">
        <v>364</v>
      </c>
      <c r="J638" s="101">
        <v>83</v>
      </c>
      <c r="K638" s="20">
        <v>72</v>
      </c>
      <c r="L638" s="21">
        <v>2654.8</v>
      </c>
      <c r="M638" s="22" t="s">
        <v>365</v>
      </c>
      <c r="N638" s="23">
        <v>57.018900343642613</v>
      </c>
      <c r="O638" s="24">
        <v>0.79192917143948072</v>
      </c>
      <c r="P638" s="25" t="str">
        <f>IF(P639="x","x","")</f>
        <v/>
      </c>
      <c r="Q638" s="25" t="str">
        <f>IF(Q639="x","x","")</f>
        <v/>
      </c>
      <c r="R638" s="25" t="str">
        <f>IF(R639="x","x","")</f>
        <v/>
      </c>
      <c r="S638" s="25" t="str">
        <f>IF(S639="x","x","")</f>
        <v/>
      </c>
      <c r="T638" s="25" t="s">
        <v>27</v>
      </c>
      <c r="U638" s="26"/>
      <c r="V638" s="27"/>
    </row>
    <row r="639" spans="1:22" ht="16.5" thickBot="1" x14ac:dyDescent="0.3">
      <c r="A639" s="28" t="str">
        <f>A638</f>
        <v>India</v>
      </c>
      <c r="B639" s="28" t="str">
        <f>B638</f>
        <v>South Asia</v>
      </c>
      <c r="C639" s="28" t="str">
        <f>C638</f>
        <v>P009972</v>
      </c>
      <c r="D639" s="28" t="s">
        <v>26</v>
      </c>
      <c r="E639" s="28" t="s">
        <v>27</v>
      </c>
      <c r="F639" s="28" t="str">
        <f>F638</f>
        <v>P009972C1S4</v>
      </c>
      <c r="G639" s="28" t="s">
        <v>16</v>
      </c>
      <c r="H639" s="29" t="str">
        <f>H637&amp;" / "&amp;H638</f>
        <v>2000 / 2008</v>
      </c>
      <c r="I639" s="29" t="str">
        <f>I638</f>
        <v>Widening and Reconstruction</v>
      </c>
      <c r="J639" s="97">
        <f>IFERROR(J638/J637,"")</f>
        <v>2.1282051282051282</v>
      </c>
      <c r="K639" s="32">
        <f>K638/K637</f>
        <v>1</v>
      </c>
      <c r="L639" s="32">
        <f>L638/L637</f>
        <v>34.211340206185575</v>
      </c>
      <c r="M639" s="28"/>
      <c r="N639" s="32">
        <f>N638/N637</f>
        <v>0.73477964360364201</v>
      </c>
      <c r="O639" s="32">
        <f>O638/O637</f>
        <v>0.7347796436036419</v>
      </c>
      <c r="P639" s="33" t="str">
        <f>IF(K639&lt;50%,"x","")</f>
        <v/>
      </c>
      <c r="Q639" s="33" t="str">
        <f>IF(K639&gt;150%,"x","")</f>
        <v/>
      </c>
      <c r="R639" s="33" t="str">
        <f>IF(O639&lt;50%,"x","")</f>
        <v/>
      </c>
      <c r="S639" s="33" t="str">
        <f>IF(O639&gt;150%,"x","")</f>
        <v/>
      </c>
      <c r="T639" s="33" t="s">
        <v>27</v>
      </c>
      <c r="U639" s="34" t="s">
        <v>27</v>
      </c>
      <c r="V639" s="35" t="s">
        <v>27</v>
      </c>
    </row>
    <row r="640" spans="1:22" ht="16.5" thickTop="1" x14ac:dyDescent="0.25">
      <c r="A640" s="18" t="s">
        <v>123</v>
      </c>
      <c r="B640" s="18" t="s">
        <v>948</v>
      </c>
      <c r="C640" s="18" t="s">
        <v>362</v>
      </c>
      <c r="D640" s="18" t="s">
        <v>26</v>
      </c>
      <c r="E640" s="18" t="s">
        <v>141</v>
      </c>
      <c r="F640" s="18" t="s">
        <v>369</v>
      </c>
      <c r="G640" s="18" t="s">
        <v>29</v>
      </c>
      <c r="H640" s="19">
        <v>2000</v>
      </c>
      <c r="I640" s="18" t="s">
        <v>364</v>
      </c>
      <c r="J640" s="101">
        <v>36</v>
      </c>
      <c r="K640" s="20">
        <v>40</v>
      </c>
      <c r="L640" s="21">
        <v>68</v>
      </c>
      <c r="M640" s="22" t="s">
        <v>30</v>
      </c>
      <c r="N640" s="23">
        <v>68</v>
      </c>
      <c r="O640" s="24">
        <v>1.7</v>
      </c>
      <c r="P640" s="25" t="str">
        <f>IF(P642="x","x","")</f>
        <v/>
      </c>
      <c r="Q640" s="25" t="str">
        <f>IF(Q642="x","x","")</f>
        <v/>
      </c>
      <c r="R640" s="25" t="str">
        <f>IF(R642="x","x","")</f>
        <v/>
      </c>
      <c r="S640" s="25" t="str">
        <f>IF(S642="x","x","")</f>
        <v/>
      </c>
      <c r="T640" s="25" t="s">
        <v>27</v>
      </c>
      <c r="U640" s="26"/>
      <c r="V640" s="27"/>
    </row>
    <row r="641" spans="1:22" x14ac:dyDescent="0.25">
      <c r="A641" s="18" t="s">
        <v>123</v>
      </c>
      <c r="B641" s="18" t="s">
        <v>948</v>
      </c>
      <c r="C641" s="18" t="s">
        <v>362</v>
      </c>
      <c r="D641" s="18" t="s">
        <v>26</v>
      </c>
      <c r="E641" s="18" t="s">
        <v>141</v>
      </c>
      <c r="F641" s="18" t="s">
        <v>369</v>
      </c>
      <c r="G641" s="18" t="s">
        <v>32</v>
      </c>
      <c r="H641" s="19">
        <v>2008</v>
      </c>
      <c r="I641" s="18" t="s">
        <v>364</v>
      </c>
      <c r="J641" s="101">
        <v>63</v>
      </c>
      <c r="K641" s="20">
        <v>45</v>
      </c>
      <c r="L641" s="21">
        <v>2299.6</v>
      </c>
      <c r="M641" s="22" t="s">
        <v>365</v>
      </c>
      <c r="N641" s="23">
        <v>49.390034364261162</v>
      </c>
      <c r="O641" s="24">
        <v>1.0975563192058035</v>
      </c>
      <c r="P641" s="25" t="str">
        <f>IF(P642="x","x","")</f>
        <v/>
      </c>
      <c r="Q641" s="25" t="str">
        <f>IF(Q642="x","x","")</f>
        <v/>
      </c>
      <c r="R641" s="25" t="str">
        <f>IF(R642="x","x","")</f>
        <v/>
      </c>
      <c r="S641" s="25" t="str">
        <f>IF(S642="x","x","")</f>
        <v/>
      </c>
      <c r="T641" s="25" t="s">
        <v>27</v>
      </c>
      <c r="U641" s="26"/>
      <c r="V641" s="27"/>
    </row>
    <row r="642" spans="1:22" ht="16.5" thickBot="1" x14ac:dyDescent="0.3">
      <c r="A642" s="28" t="str">
        <f>A641</f>
        <v>India</v>
      </c>
      <c r="B642" s="28" t="str">
        <f>B641</f>
        <v>South Asia</v>
      </c>
      <c r="C642" s="28" t="str">
        <f>C641</f>
        <v>P009972</v>
      </c>
      <c r="D642" s="28" t="s">
        <v>26</v>
      </c>
      <c r="E642" s="28" t="s">
        <v>27</v>
      </c>
      <c r="F642" s="28" t="str">
        <f>F641</f>
        <v>P009972C1S5</v>
      </c>
      <c r="G642" s="28" t="s">
        <v>16</v>
      </c>
      <c r="H642" s="29" t="str">
        <f>H640&amp;" / "&amp;H641</f>
        <v>2000 / 2008</v>
      </c>
      <c r="I642" s="29" t="str">
        <f>I641</f>
        <v>Widening and Reconstruction</v>
      </c>
      <c r="J642" s="97">
        <f>IFERROR(J641/J640,"")</f>
        <v>1.75</v>
      </c>
      <c r="K642" s="32">
        <f>K641/K640</f>
        <v>1.125</v>
      </c>
      <c r="L642" s="32">
        <f>L641/L640</f>
        <v>33.817647058823525</v>
      </c>
      <c r="M642" s="28"/>
      <c r="N642" s="32">
        <f>N641/N640</f>
        <v>0.72632403476854646</v>
      </c>
      <c r="O642" s="32">
        <f>O641/O640</f>
        <v>0.64562136423870797</v>
      </c>
      <c r="P642" s="33" t="str">
        <f>IF(K642&lt;50%,"x","")</f>
        <v/>
      </c>
      <c r="Q642" s="33" t="str">
        <f>IF(K642&gt;150%,"x","")</f>
        <v/>
      </c>
      <c r="R642" s="33" t="str">
        <f>IF(O642&lt;50%,"x","")</f>
        <v/>
      </c>
      <c r="S642" s="33" t="str">
        <f>IF(O642&gt;150%,"x","")</f>
        <v/>
      </c>
      <c r="T642" s="33" t="s">
        <v>27</v>
      </c>
      <c r="U642" s="34" t="s">
        <v>27</v>
      </c>
      <c r="V642" s="35" t="s">
        <v>27</v>
      </c>
    </row>
    <row r="643" spans="1:22" ht="16.5" thickTop="1" x14ac:dyDescent="0.25">
      <c r="A643" s="18" t="s">
        <v>123</v>
      </c>
      <c r="B643" s="18" t="s">
        <v>948</v>
      </c>
      <c r="C643" s="18" t="s">
        <v>362</v>
      </c>
      <c r="D643" s="18" t="s">
        <v>26</v>
      </c>
      <c r="E643" s="18" t="s">
        <v>143</v>
      </c>
      <c r="F643" s="18" t="s">
        <v>370</v>
      </c>
      <c r="G643" s="18" t="s">
        <v>29</v>
      </c>
      <c r="H643" s="19">
        <v>2000</v>
      </c>
      <c r="I643" s="18" t="s">
        <v>364</v>
      </c>
      <c r="J643" s="101">
        <v>36</v>
      </c>
      <c r="K643" s="20">
        <v>45</v>
      </c>
      <c r="L643" s="21">
        <v>65.400000000000006</v>
      </c>
      <c r="M643" s="22" t="s">
        <v>30</v>
      </c>
      <c r="N643" s="23">
        <v>65.400000000000006</v>
      </c>
      <c r="O643" s="24">
        <v>1.4533333333333334</v>
      </c>
      <c r="P643" s="25" t="str">
        <f>IF(P645="x","x","")</f>
        <v/>
      </c>
      <c r="Q643" s="25" t="str">
        <f>IF(Q645="x","x","")</f>
        <v/>
      </c>
      <c r="R643" s="25" t="str">
        <f>IF(R645="x","x","")</f>
        <v/>
      </c>
      <c r="S643" s="25" t="str">
        <f>IF(S645="x","x","")</f>
        <v/>
      </c>
      <c r="T643" s="25" t="s">
        <v>27</v>
      </c>
      <c r="U643" s="26"/>
      <c r="V643" s="27"/>
    </row>
    <row r="644" spans="1:22" x14ac:dyDescent="0.25">
      <c r="A644" s="18" t="s">
        <v>123</v>
      </c>
      <c r="B644" s="18" t="s">
        <v>948</v>
      </c>
      <c r="C644" s="18" t="s">
        <v>362</v>
      </c>
      <c r="D644" s="18" t="s">
        <v>26</v>
      </c>
      <c r="E644" s="18" t="s">
        <v>143</v>
      </c>
      <c r="F644" s="18" t="s">
        <v>370</v>
      </c>
      <c r="G644" s="18" t="s">
        <v>32</v>
      </c>
      <c r="H644" s="19">
        <v>2008</v>
      </c>
      <c r="I644" s="18" t="s">
        <v>364</v>
      </c>
      <c r="J644" s="101">
        <v>57</v>
      </c>
      <c r="K644" s="20">
        <v>40</v>
      </c>
      <c r="L644" s="21">
        <v>2179.9</v>
      </c>
      <c r="M644" s="22" t="s">
        <v>365</v>
      </c>
      <c r="N644" s="23">
        <v>46.819158075601372</v>
      </c>
      <c r="O644" s="24">
        <v>1.1704789518900343</v>
      </c>
      <c r="P644" s="25" t="str">
        <f>IF(P645="x","x","")</f>
        <v/>
      </c>
      <c r="Q644" s="25" t="str">
        <f>IF(Q645="x","x","")</f>
        <v/>
      </c>
      <c r="R644" s="25" t="str">
        <f>IF(R645="x","x","")</f>
        <v/>
      </c>
      <c r="S644" s="25" t="str">
        <f>IF(S645="x","x","")</f>
        <v/>
      </c>
      <c r="T644" s="25" t="s">
        <v>27</v>
      </c>
      <c r="U644" s="26"/>
      <c r="V644" s="27"/>
    </row>
    <row r="645" spans="1:22" ht="16.5" thickBot="1" x14ac:dyDescent="0.3">
      <c r="A645" s="28" t="str">
        <f>A644</f>
        <v>India</v>
      </c>
      <c r="B645" s="28" t="str">
        <f>B644</f>
        <v>South Asia</v>
      </c>
      <c r="C645" s="28" t="str">
        <f>C644</f>
        <v>P009972</v>
      </c>
      <c r="D645" s="28" t="s">
        <v>26</v>
      </c>
      <c r="E645" s="28" t="s">
        <v>27</v>
      </c>
      <c r="F645" s="28" t="str">
        <f>F644</f>
        <v>P009972C1S6</v>
      </c>
      <c r="G645" s="28" t="s">
        <v>16</v>
      </c>
      <c r="H645" s="29" t="str">
        <f>H643&amp;" / "&amp;H644</f>
        <v>2000 / 2008</v>
      </c>
      <c r="I645" s="29" t="str">
        <f>I644</f>
        <v>Widening and Reconstruction</v>
      </c>
      <c r="J645" s="97">
        <f>IFERROR(J644/J643,"")</f>
        <v>1.5833333333333333</v>
      </c>
      <c r="K645" s="32">
        <f>K644/K643</f>
        <v>0.88888888888888884</v>
      </c>
      <c r="L645" s="32">
        <f>L644/L643</f>
        <v>33.331804281345562</v>
      </c>
      <c r="M645" s="28"/>
      <c r="N645" s="32">
        <f>N644/N643</f>
        <v>0.71588926721103008</v>
      </c>
      <c r="O645" s="32">
        <f>O644/O643</f>
        <v>0.80537542561240882</v>
      </c>
      <c r="P645" s="33" t="str">
        <f>IF(K645&lt;50%,"x","")</f>
        <v/>
      </c>
      <c r="Q645" s="33" t="str">
        <f>IF(K645&gt;150%,"x","")</f>
        <v/>
      </c>
      <c r="R645" s="33" t="str">
        <f>IF(O645&lt;50%,"x","")</f>
        <v/>
      </c>
      <c r="S645" s="33" t="str">
        <f>IF(O645&gt;150%,"x","")</f>
        <v/>
      </c>
      <c r="T645" s="33" t="s">
        <v>27</v>
      </c>
      <c r="U645" s="34" t="s">
        <v>27</v>
      </c>
      <c r="V645" s="35" t="s">
        <v>27</v>
      </c>
    </row>
    <row r="646" spans="1:22" ht="16.5" thickTop="1" x14ac:dyDescent="0.25">
      <c r="A646" s="18" t="s">
        <v>123</v>
      </c>
      <c r="B646" s="18" t="s">
        <v>948</v>
      </c>
      <c r="C646" s="18" t="s">
        <v>362</v>
      </c>
      <c r="D646" s="18" t="s">
        <v>26</v>
      </c>
      <c r="E646" s="18" t="s">
        <v>245</v>
      </c>
      <c r="F646" s="18" t="s">
        <v>371</v>
      </c>
      <c r="G646" s="18" t="s">
        <v>29</v>
      </c>
      <c r="H646" s="19">
        <v>2000</v>
      </c>
      <c r="I646" s="18" t="s">
        <v>364</v>
      </c>
      <c r="J646" s="101">
        <v>42</v>
      </c>
      <c r="K646" s="20">
        <v>138.80000000000001</v>
      </c>
      <c r="L646" s="21">
        <v>161.80000000000001</v>
      </c>
      <c r="M646" s="22" t="s">
        <v>30</v>
      </c>
      <c r="N646" s="23">
        <v>161.80000000000001</v>
      </c>
      <c r="O646" s="24">
        <v>1.1657060518731988</v>
      </c>
      <c r="P646" s="25" t="str">
        <f>IF(P648="x","x","")</f>
        <v/>
      </c>
      <c r="Q646" s="25" t="str">
        <f>IF(Q648="x","x","")</f>
        <v/>
      </c>
      <c r="R646" s="25" t="str">
        <f>IF(R648="x","x","")</f>
        <v/>
      </c>
      <c r="S646" s="25" t="str">
        <f>IF(S648="x","x","")</f>
        <v/>
      </c>
      <c r="T646" s="25" t="s">
        <v>27</v>
      </c>
      <c r="U646" s="26"/>
      <c r="V646" s="27"/>
    </row>
    <row r="647" spans="1:22" x14ac:dyDescent="0.25">
      <c r="A647" s="18" t="s">
        <v>123</v>
      </c>
      <c r="B647" s="18" t="s">
        <v>948</v>
      </c>
      <c r="C647" s="18" t="s">
        <v>362</v>
      </c>
      <c r="D647" s="18" t="s">
        <v>26</v>
      </c>
      <c r="E647" s="18" t="s">
        <v>245</v>
      </c>
      <c r="F647" s="18" t="s">
        <v>371</v>
      </c>
      <c r="G647" s="18" t="s">
        <v>32</v>
      </c>
      <c r="H647" s="19">
        <v>2008</v>
      </c>
      <c r="I647" s="18" t="s">
        <v>364</v>
      </c>
      <c r="J647" s="101">
        <v>84</v>
      </c>
      <c r="K647" s="20">
        <v>138.80000000000001</v>
      </c>
      <c r="L647" s="21">
        <v>5845.9</v>
      </c>
      <c r="M647" s="22" t="s">
        <v>365</v>
      </c>
      <c r="N647" s="23">
        <v>125.55627147766322</v>
      </c>
      <c r="O647" s="24">
        <v>0.90458408845578675</v>
      </c>
      <c r="P647" s="25" t="str">
        <f>IF(P648="x","x","")</f>
        <v/>
      </c>
      <c r="Q647" s="25" t="str">
        <f>IF(Q648="x","x","")</f>
        <v/>
      </c>
      <c r="R647" s="25" t="str">
        <f>IF(R648="x","x","")</f>
        <v/>
      </c>
      <c r="S647" s="25" t="str">
        <f>IF(S648="x","x","")</f>
        <v/>
      </c>
      <c r="T647" s="25" t="s">
        <v>27</v>
      </c>
      <c r="U647" s="26"/>
      <c r="V647" s="27"/>
    </row>
    <row r="648" spans="1:22" ht="16.5" thickBot="1" x14ac:dyDescent="0.3">
      <c r="A648" s="28" t="str">
        <f>A647</f>
        <v>India</v>
      </c>
      <c r="B648" s="28" t="str">
        <f>B647</f>
        <v>South Asia</v>
      </c>
      <c r="C648" s="28" t="str">
        <f>C647</f>
        <v>P009972</v>
      </c>
      <c r="D648" s="28" t="s">
        <v>26</v>
      </c>
      <c r="E648" s="28" t="s">
        <v>27</v>
      </c>
      <c r="F648" s="28" t="str">
        <f>F647</f>
        <v>P009972C1S7</v>
      </c>
      <c r="G648" s="28" t="s">
        <v>16</v>
      </c>
      <c r="H648" s="29" t="str">
        <f>H646&amp;" / "&amp;H647</f>
        <v>2000 / 2008</v>
      </c>
      <c r="I648" s="29" t="str">
        <f>I647</f>
        <v>Widening and Reconstruction</v>
      </c>
      <c r="J648" s="97">
        <f>IFERROR(J647/J646,"")</f>
        <v>2</v>
      </c>
      <c r="K648" s="32">
        <f>K647/K646</f>
        <v>1</v>
      </c>
      <c r="L648" s="32">
        <f>L647/L646</f>
        <v>36.130407911001228</v>
      </c>
      <c r="M648" s="28"/>
      <c r="N648" s="32">
        <f>N647/N646</f>
        <v>0.77599673348370335</v>
      </c>
      <c r="O648" s="32">
        <f>O647/O646</f>
        <v>0.77599673348370335</v>
      </c>
      <c r="P648" s="33" t="str">
        <f>IF(K648&lt;50%,"x","")</f>
        <v/>
      </c>
      <c r="Q648" s="33" t="str">
        <f>IF(K648&gt;150%,"x","")</f>
        <v/>
      </c>
      <c r="R648" s="33" t="str">
        <f>IF(O648&lt;50%,"x","")</f>
        <v/>
      </c>
      <c r="S648" s="33" t="str">
        <f>IF(O648&gt;150%,"x","")</f>
        <v/>
      </c>
      <c r="T648" s="33" t="s">
        <v>27</v>
      </c>
      <c r="U648" s="34" t="s">
        <v>27</v>
      </c>
      <c r="V648" s="35" t="s">
        <v>27</v>
      </c>
    </row>
    <row r="649" spans="1:22" ht="16.5" thickTop="1" x14ac:dyDescent="0.25">
      <c r="A649" s="18" t="s">
        <v>123</v>
      </c>
      <c r="B649" s="18" t="s">
        <v>948</v>
      </c>
      <c r="C649" s="18" t="s">
        <v>420</v>
      </c>
      <c r="D649" s="18" t="s">
        <v>26</v>
      </c>
      <c r="E649" s="18" t="s">
        <v>27</v>
      </c>
      <c r="F649" s="18" t="s">
        <v>421</v>
      </c>
      <c r="G649" s="18" t="s">
        <v>29</v>
      </c>
      <c r="H649" s="19">
        <v>2003</v>
      </c>
      <c r="I649" s="18" t="s">
        <v>364</v>
      </c>
      <c r="J649" s="101">
        <v>48</v>
      </c>
      <c r="K649" s="20">
        <v>750</v>
      </c>
      <c r="L649" s="21">
        <v>320.97000000000003</v>
      </c>
      <c r="M649" s="22" t="s">
        <v>30</v>
      </c>
      <c r="N649" s="23">
        <v>320.97000000000003</v>
      </c>
      <c r="O649" s="24">
        <v>0.42796000000000006</v>
      </c>
      <c r="P649" s="25" t="str">
        <f>IF(P651="x","x","")</f>
        <v/>
      </c>
      <c r="Q649" s="25" t="str">
        <f>IF(Q651="x","x","")</f>
        <v/>
      </c>
      <c r="R649" s="25" t="str">
        <f>IF(R651="x","x","")</f>
        <v/>
      </c>
      <c r="S649" s="25" t="str">
        <f>IF(S651="x","x","")</f>
        <v/>
      </c>
      <c r="T649" s="25" t="s">
        <v>27</v>
      </c>
      <c r="U649" s="26"/>
      <c r="V649" s="27"/>
    </row>
    <row r="650" spans="1:22" x14ac:dyDescent="0.25">
      <c r="A650" s="18" t="s">
        <v>123</v>
      </c>
      <c r="B650" s="18" t="s">
        <v>948</v>
      </c>
      <c r="C650" s="18" t="s">
        <v>420</v>
      </c>
      <c r="D650" s="18" t="s">
        <v>26</v>
      </c>
      <c r="E650" s="18" t="s">
        <v>27</v>
      </c>
      <c r="F650" s="18" t="s">
        <v>421</v>
      </c>
      <c r="G650" s="18" t="s">
        <v>32</v>
      </c>
      <c r="H650" s="19">
        <v>2012</v>
      </c>
      <c r="I650" s="18" t="s">
        <v>364</v>
      </c>
      <c r="J650" s="101" t="s">
        <v>27</v>
      </c>
      <c r="K650" s="20">
        <v>724</v>
      </c>
      <c r="L650" s="21">
        <v>385.83</v>
      </c>
      <c r="M650" s="22" t="s">
        <v>30</v>
      </c>
      <c r="N650" s="23">
        <v>385.83</v>
      </c>
      <c r="O650" s="24">
        <v>0.53291436464088393</v>
      </c>
      <c r="P650" s="25" t="str">
        <f>IF(P651="x","x","")</f>
        <v/>
      </c>
      <c r="Q650" s="25" t="str">
        <f>IF(Q651="x","x","")</f>
        <v/>
      </c>
      <c r="R650" s="25" t="str">
        <f>IF(R651="x","x","")</f>
        <v/>
      </c>
      <c r="S650" s="25" t="str">
        <f>IF(S651="x","x","")</f>
        <v/>
      </c>
      <c r="T650" s="25" t="s">
        <v>27</v>
      </c>
      <c r="U650" s="26"/>
      <c r="V650" s="27"/>
    </row>
    <row r="651" spans="1:22" ht="16.5" thickBot="1" x14ac:dyDescent="0.3">
      <c r="A651" s="28" t="str">
        <f>A650</f>
        <v>India</v>
      </c>
      <c r="B651" s="28" t="str">
        <f>B650</f>
        <v>South Asia</v>
      </c>
      <c r="C651" s="28" t="str">
        <f>C650</f>
        <v>P050649</v>
      </c>
      <c r="D651" s="28" t="s">
        <v>26</v>
      </c>
      <c r="E651" s="28" t="s">
        <v>27</v>
      </c>
      <c r="F651" s="28" t="str">
        <f>F650</f>
        <v>P050649C1</v>
      </c>
      <c r="G651" s="28" t="s">
        <v>16</v>
      </c>
      <c r="H651" s="29" t="str">
        <f>H649&amp;" / "&amp;H650</f>
        <v>2003 / 2012</v>
      </c>
      <c r="I651" s="29" t="str">
        <f>I650</f>
        <v>Widening and Reconstruction</v>
      </c>
      <c r="J651" s="97" t="str">
        <f>IFERROR(J650/J649,"")</f>
        <v/>
      </c>
      <c r="K651" s="32">
        <f>K650/K649</f>
        <v>0.96533333333333338</v>
      </c>
      <c r="L651" s="32">
        <f>L650/L649</f>
        <v>1.2020749602766612</v>
      </c>
      <c r="M651" s="28"/>
      <c r="N651" s="32">
        <f>N650/N649</f>
        <v>1.2020749602766612</v>
      </c>
      <c r="O651" s="32">
        <f>O650/O649</f>
        <v>1.2452433980766517</v>
      </c>
      <c r="P651" s="33" t="str">
        <f>IF(K651&lt;50%,"x","")</f>
        <v/>
      </c>
      <c r="Q651" s="33" t="str">
        <f>IF(K651&gt;150%,"x","")</f>
        <v/>
      </c>
      <c r="R651" s="33" t="str">
        <f>IF(O651&lt;50%,"x","")</f>
        <v/>
      </c>
      <c r="S651" s="33" t="str">
        <f>IF(O651&gt;150%,"x","")</f>
        <v/>
      </c>
      <c r="T651" s="33" t="s">
        <v>27</v>
      </c>
      <c r="U651" s="34" t="s">
        <v>27</v>
      </c>
      <c r="V651" s="35" t="s">
        <v>27</v>
      </c>
    </row>
    <row r="652" spans="1:22" ht="16.5" thickTop="1" x14ac:dyDescent="0.25">
      <c r="A652" s="18" t="s">
        <v>123</v>
      </c>
      <c r="B652" s="18" t="s">
        <v>948</v>
      </c>
      <c r="C652" s="18" t="s">
        <v>420</v>
      </c>
      <c r="D652" s="18" t="s">
        <v>26</v>
      </c>
      <c r="E652" s="18" t="s">
        <v>36</v>
      </c>
      <c r="F652" s="18" t="s">
        <v>423</v>
      </c>
      <c r="G652" s="18" t="s">
        <v>29</v>
      </c>
      <c r="H652" s="19">
        <v>2003</v>
      </c>
      <c r="I652" s="18" t="s">
        <v>364</v>
      </c>
      <c r="J652" s="101" t="s">
        <v>27</v>
      </c>
      <c r="K652" s="20">
        <v>401</v>
      </c>
      <c r="L652" s="21">
        <v>138.54</v>
      </c>
      <c r="M652" s="22" t="s">
        <v>30</v>
      </c>
      <c r="N652" s="23">
        <v>138.54</v>
      </c>
      <c r="O652" s="24">
        <v>0.3454862842892768</v>
      </c>
      <c r="P652" s="25" t="str">
        <f>IF(P654="x","x","")</f>
        <v/>
      </c>
      <c r="Q652" s="25" t="str">
        <f>IF(Q654="x","x","")</f>
        <v/>
      </c>
      <c r="R652" s="25" t="str">
        <f>IF(R654="x","x","")</f>
        <v/>
      </c>
      <c r="S652" s="25" t="str">
        <f>IF(S654="x","x","")</f>
        <v/>
      </c>
      <c r="T652" s="25" t="s">
        <v>27</v>
      </c>
      <c r="U652" s="26"/>
      <c r="V652" s="27"/>
    </row>
    <row r="653" spans="1:22" x14ac:dyDescent="0.25">
      <c r="A653" s="18" t="s">
        <v>123</v>
      </c>
      <c r="B653" s="18" t="s">
        <v>948</v>
      </c>
      <c r="C653" s="18" t="s">
        <v>420</v>
      </c>
      <c r="D653" s="18" t="s">
        <v>26</v>
      </c>
      <c r="E653" s="18" t="s">
        <v>36</v>
      </c>
      <c r="F653" s="18" t="s">
        <v>423</v>
      </c>
      <c r="G653" s="18" t="s">
        <v>32</v>
      </c>
      <c r="H653" s="19">
        <v>2012</v>
      </c>
      <c r="I653" s="18" t="s">
        <v>364</v>
      </c>
      <c r="J653" s="101" t="s">
        <v>27</v>
      </c>
      <c r="K653" s="20">
        <v>378.6</v>
      </c>
      <c r="L653" s="21">
        <v>6796</v>
      </c>
      <c r="M653" s="22" t="s">
        <v>365</v>
      </c>
      <c r="N653" s="23">
        <v>133.51669941060905</v>
      </c>
      <c r="O653" s="24">
        <v>0.35265900531064193</v>
      </c>
      <c r="P653" s="25" t="str">
        <f>IF(P654="x","x","")</f>
        <v/>
      </c>
      <c r="Q653" s="25" t="str">
        <f>IF(Q654="x","x","")</f>
        <v/>
      </c>
      <c r="R653" s="25" t="str">
        <f>IF(R654="x","x","")</f>
        <v/>
      </c>
      <c r="S653" s="25" t="str">
        <f>IF(S654="x","x","")</f>
        <v/>
      </c>
      <c r="T653" s="25" t="s">
        <v>27</v>
      </c>
      <c r="U653" s="26"/>
      <c r="V653" s="27"/>
    </row>
    <row r="654" spans="1:22" ht="16.5" thickBot="1" x14ac:dyDescent="0.3">
      <c r="A654" s="28" t="str">
        <f>A653</f>
        <v>India</v>
      </c>
      <c r="B654" s="28" t="str">
        <f>B653</f>
        <v>South Asia</v>
      </c>
      <c r="C654" s="28" t="str">
        <f>C653</f>
        <v>P050649</v>
      </c>
      <c r="D654" s="28" t="s">
        <v>26</v>
      </c>
      <c r="E654" s="28" t="s">
        <v>27</v>
      </c>
      <c r="F654" s="28" t="str">
        <f>F653</f>
        <v>P050649C1S1</v>
      </c>
      <c r="G654" s="28" t="s">
        <v>16</v>
      </c>
      <c r="H654" s="29" t="str">
        <f>H652&amp;" / "&amp;H653</f>
        <v>2003 / 2012</v>
      </c>
      <c r="I654" s="29" t="str">
        <f>I653</f>
        <v>Widening and Reconstruction</v>
      </c>
      <c r="J654" s="97" t="str">
        <f>IFERROR(J653/J652,"")</f>
        <v/>
      </c>
      <c r="K654" s="32">
        <f>K653/K652</f>
        <v>0.94413965087281804</v>
      </c>
      <c r="L654" s="32">
        <f>L653/L652</f>
        <v>49.054424714883794</v>
      </c>
      <c r="M654" s="28"/>
      <c r="N654" s="32">
        <f>N653/N652</f>
        <v>0.96374115353406276</v>
      </c>
      <c r="O654" s="32">
        <f>O653/O652</f>
        <v>1.0207612323485449</v>
      </c>
      <c r="P654" s="33" t="str">
        <f>IF(K654&lt;50%,"x","")</f>
        <v/>
      </c>
      <c r="Q654" s="33" t="str">
        <f>IF(K654&gt;150%,"x","")</f>
        <v/>
      </c>
      <c r="R654" s="33" t="str">
        <f>IF(O654&lt;50%,"x","")</f>
        <v/>
      </c>
      <c r="S654" s="33" t="str">
        <f>IF(O654&gt;150%,"x","")</f>
        <v/>
      </c>
      <c r="T654" s="33" t="s">
        <v>27</v>
      </c>
      <c r="U654" s="34" t="s">
        <v>27</v>
      </c>
      <c r="V654" s="35" t="s">
        <v>27</v>
      </c>
    </row>
    <row r="655" spans="1:22" ht="16.5" thickTop="1" x14ac:dyDescent="0.25">
      <c r="A655" s="18" t="s">
        <v>123</v>
      </c>
      <c r="B655" s="18" t="s">
        <v>948</v>
      </c>
      <c r="C655" s="18" t="s">
        <v>420</v>
      </c>
      <c r="D655" s="18" t="s">
        <v>26</v>
      </c>
      <c r="E655" s="18" t="s">
        <v>40</v>
      </c>
      <c r="F655" s="18" t="s">
        <v>424</v>
      </c>
      <c r="G655" s="18" t="s">
        <v>29</v>
      </c>
      <c r="H655" s="19">
        <v>2003</v>
      </c>
      <c r="I655" s="18" t="s">
        <v>364</v>
      </c>
      <c r="J655" s="101" t="s">
        <v>27</v>
      </c>
      <c r="K655" s="20">
        <v>116</v>
      </c>
      <c r="L655" s="21">
        <v>42.71</v>
      </c>
      <c r="M655" s="22" t="s">
        <v>30</v>
      </c>
      <c r="N655" s="23">
        <v>42.71</v>
      </c>
      <c r="O655" s="24">
        <v>0.36818965517241381</v>
      </c>
      <c r="P655" s="25" t="str">
        <f>IF(P657="x","x","")</f>
        <v/>
      </c>
      <c r="Q655" s="25" t="str">
        <f>IF(Q657="x","x","")</f>
        <v/>
      </c>
      <c r="R655" s="25" t="str">
        <f>IF(R657="x","x","")</f>
        <v/>
      </c>
      <c r="S655" s="25" t="str">
        <f>IF(S657="x","x","")</f>
        <v>x</v>
      </c>
      <c r="T655" s="25" t="s">
        <v>31</v>
      </c>
      <c r="U655" s="26"/>
      <c r="V655" s="27"/>
    </row>
    <row r="656" spans="1:22" x14ac:dyDescent="0.25">
      <c r="A656" s="18" t="s">
        <v>123</v>
      </c>
      <c r="B656" s="18" t="s">
        <v>948</v>
      </c>
      <c r="C656" s="18" t="s">
        <v>420</v>
      </c>
      <c r="D656" s="18" t="s">
        <v>26</v>
      </c>
      <c r="E656" s="18" t="s">
        <v>40</v>
      </c>
      <c r="F656" s="18" t="s">
        <v>424</v>
      </c>
      <c r="G656" s="18" t="s">
        <v>32</v>
      </c>
      <c r="H656" s="19">
        <v>2012</v>
      </c>
      <c r="I656" s="18" t="s">
        <v>364</v>
      </c>
      <c r="J656" s="101" t="s">
        <v>27</v>
      </c>
      <c r="K656" s="20">
        <v>118.6</v>
      </c>
      <c r="L656" s="21">
        <v>3494.8</v>
      </c>
      <c r="M656" s="22" t="s">
        <v>365</v>
      </c>
      <c r="N656" s="23">
        <v>68.660117878192537</v>
      </c>
      <c r="O656" s="24">
        <v>0.57892173590381568</v>
      </c>
      <c r="P656" s="25" t="str">
        <f>IF(P657="x","x","")</f>
        <v/>
      </c>
      <c r="Q656" s="25" t="str">
        <f>IF(Q657="x","x","")</f>
        <v/>
      </c>
      <c r="R656" s="25" t="str">
        <f>IF(R657="x","x","")</f>
        <v/>
      </c>
      <c r="S656" s="25" t="str">
        <f>IF(S657="x","x","")</f>
        <v>x</v>
      </c>
      <c r="T656" s="25" t="s">
        <v>31</v>
      </c>
      <c r="U656" s="26"/>
      <c r="V656" s="27"/>
    </row>
    <row r="657" spans="1:22" ht="79.5" thickBot="1" x14ac:dyDescent="0.3">
      <c r="A657" s="28" t="str">
        <f>A656</f>
        <v>India</v>
      </c>
      <c r="B657" s="28" t="str">
        <f>B656</f>
        <v>South Asia</v>
      </c>
      <c r="C657" s="28" t="str">
        <f>C656</f>
        <v>P050649</v>
      </c>
      <c r="D657" s="28" t="s">
        <v>26</v>
      </c>
      <c r="E657" s="28" t="s">
        <v>27</v>
      </c>
      <c r="F657" s="28" t="str">
        <f>F656</f>
        <v>P050649C1S2</v>
      </c>
      <c r="G657" s="28" t="s">
        <v>16</v>
      </c>
      <c r="H657" s="29" t="str">
        <f>H655&amp;" / "&amp;H656</f>
        <v>2003 / 2012</v>
      </c>
      <c r="I657" s="29" t="str">
        <f>I656</f>
        <v>Widening and Reconstruction</v>
      </c>
      <c r="J657" s="97" t="str">
        <f>IFERROR(J656/J655,"")</f>
        <v/>
      </c>
      <c r="K657" s="32">
        <f>K656/K655</f>
        <v>1.0224137931034483</v>
      </c>
      <c r="L657" s="32">
        <f>L656/L655</f>
        <v>81.826270194333887</v>
      </c>
      <c r="M657" s="28"/>
      <c r="N657" s="32">
        <f>N656/N655</f>
        <v>1.6075888053896636</v>
      </c>
      <c r="O657" s="32">
        <f>O656/O655</f>
        <v>1.572346555018558</v>
      </c>
      <c r="P657" s="33" t="str">
        <f>IF(K657&lt;50%,"x","")</f>
        <v/>
      </c>
      <c r="Q657" s="33" t="str">
        <f>IF(K657&gt;150%,"x","")</f>
        <v/>
      </c>
      <c r="R657" s="33" t="str">
        <f>IF(O657&lt;50%,"x","")</f>
        <v/>
      </c>
      <c r="S657" s="33" t="str">
        <f>IF(O657&gt;150%,"x","")</f>
        <v>x</v>
      </c>
      <c r="T657" s="33" t="s">
        <v>31</v>
      </c>
      <c r="U657" s="34" t="s">
        <v>976</v>
      </c>
      <c r="V657" s="35" t="s">
        <v>977</v>
      </c>
    </row>
    <row r="658" spans="1:22" ht="16.5" thickTop="1" x14ac:dyDescent="0.25">
      <c r="A658" s="18" t="s">
        <v>123</v>
      </c>
      <c r="B658" s="18" t="s">
        <v>948</v>
      </c>
      <c r="C658" s="18" t="s">
        <v>420</v>
      </c>
      <c r="D658" s="18" t="s">
        <v>26</v>
      </c>
      <c r="E658" s="18" t="s">
        <v>69</v>
      </c>
      <c r="F658" s="18" t="s">
        <v>425</v>
      </c>
      <c r="G658" s="18" t="s">
        <v>29</v>
      </c>
      <c r="H658" s="19">
        <v>2003</v>
      </c>
      <c r="I658" s="18" t="s">
        <v>364</v>
      </c>
      <c r="J658" s="101" t="s">
        <v>27</v>
      </c>
      <c r="K658" s="20">
        <v>100</v>
      </c>
      <c r="L658" s="21">
        <v>25.83</v>
      </c>
      <c r="M658" s="22" t="s">
        <v>30</v>
      </c>
      <c r="N658" s="23">
        <v>25.83</v>
      </c>
      <c r="O658" s="24">
        <v>0.25829999999999997</v>
      </c>
      <c r="P658" s="25" t="str">
        <f>IF(P660="x","x","")</f>
        <v/>
      </c>
      <c r="Q658" s="25" t="str">
        <f>IF(Q660="x","x","")</f>
        <v/>
      </c>
      <c r="R658" s="25" t="str">
        <f>IF(R660="x","x","")</f>
        <v/>
      </c>
      <c r="S658" s="25" t="str">
        <f>IF(S660="x","x","")</f>
        <v>x</v>
      </c>
      <c r="T658" s="25" t="s">
        <v>31</v>
      </c>
      <c r="U658" s="26"/>
      <c r="V658" s="27"/>
    </row>
    <row r="659" spans="1:22" x14ac:dyDescent="0.25">
      <c r="A659" s="18" t="s">
        <v>123</v>
      </c>
      <c r="B659" s="18" t="s">
        <v>948</v>
      </c>
      <c r="C659" s="18" t="s">
        <v>420</v>
      </c>
      <c r="D659" s="18" t="s">
        <v>26</v>
      </c>
      <c r="E659" s="18" t="s">
        <v>69</v>
      </c>
      <c r="F659" s="18" t="s">
        <v>425</v>
      </c>
      <c r="G659" s="18" t="s">
        <v>32</v>
      </c>
      <c r="H659" s="19">
        <v>2012</v>
      </c>
      <c r="I659" s="18" t="s">
        <v>364</v>
      </c>
      <c r="J659" s="101" t="s">
        <v>27</v>
      </c>
      <c r="K659" s="20">
        <v>100</v>
      </c>
      <c r="L659" s="21">
        <v>2642.2</v>
      </c>
      <c r="M659" s="22" t="s">
        <v>365</v>
      </c>
      <c r="N659" s="23">
        <v>51.909626719056973</v>
      </c>
      <c r="O659" s="24">
        <v>0.51909626719056978</v>
      </c>
      <c r="P659" s="25" t="str">
        <f>IF(P660="x","x","")</f>
        <v/>
      </c>
      <c r="Q659" s="25" t="str">
        <f>IF(Q660="x","x","")</f>
        <v/>
      </c>
      <c r="R659" s="25" t="str">
        <f>IF(R660="x","x","")</f>
        <v/>
      </c>
      <c r="S659" s="25" t="str">
        <f>IF(S660="x","x","")</f>
        <v>x</v>
      </c>
      <c r="T659" s="25" t="s">
        <v>31</v>
      </c>
      <c r="U659" s="26"/>
      <c r="V659" s="27"/>
    </row>
    <row r="660" spans="1:22" ht="79.5" thickBot="1" x14ac:dyDescent="0.3">
      <c r="A660" s="28" t="str">
        <f>A659</f>
        <v>India</v>
      </c>
      <c r="B660" s="28" t="str">
        <f>B659</f>
        <v>South Asia</v>
      </c>
      <c r="C660" s="28" t="str">
        <f>C659</f>
        <v>P050649</v>
      </c>
      <c r="D660" s="28" t="s">
        <v>26</v>
      </c>
      <c r="E660" s="28" t="s">
        <v>27</v>
      </c>
      <c r="F660" s="28" t="str">
        <f>F659</f>
        <v>P050649C1S3</v>
      </c>
      <c r="G660" s="28" t="s">
        <v>16</v>
      </c>
      <c r="H660" s="29" t="str">
        <f>H658&amp;" / "&amp;H659</f>
        <v>2003 / 2012</v>
      </c>
      <c r="I660" s="29" t="str">
        <f>I659</f>
        <v>Widening and Reconstruction</v>
      </c>
      <c r="J660" s="97" t="str">
        <f>IFERROR(J659/J658,"")</f>
        <v/>
      </c>
      <c r="K660" s="32">
        <f>K659/K658</f>
        <v>1</v>
      </c>
      <c r="L660" s="32">
        <f>L659/L658</f>
        <v>102.29190863337205</v>
      </c>
      <c r="M660" s="28"/>
      <c r="N660" s="32">
        <f>N659/N658</f>
        <v>2.0096642167656591</v>
      </c>
      <c r="O660" s="32">
        <f>O659/O658</f>
        <v>2.0096642167656595</v>
      </c>
      <c r="P660" s="33" t="str">
        <f>IF(K660&lt;50%,"x","")</f>
        <v/>
      </c>
      <c r="Q660" s="33" t="str">
        <f>IF(K660&gt;150%,"x","")</f>
        <v/>
      </c>
      <c r="R660" s="33" t="str">
        <f>IF(O660&lt;50%,"x","")</f>
        <v/>
      </c>
      <c r="S660" s="33" t="str">
        <f>IF(O660&gt;150%,"x","")</f>
        <v>x</v>
      </c>
      <c r="T660" s="33" t="s">
        <v>31</v>
      </c>
      <c r="U660" s="34" t="s">
        <v>976</v>
      </c>
      <c r="V660" s="35" t="s">
        <v>977</v>
      </c>
    </row>
    <row r="661" spans="1:22" ht="16.5" thickTop="1" x14ac:dyDescent="0.25">
      <c r="A661" s="18" t="s">
        <v>123</v>
      </c>
      <c r="B661" s="18" t="s">
        <v>948</v>
      </c>
      <c r="C661" s="18" t="s">
        <v>420</v>
      </c>
      <c r="D661" s="18" t="s">
        <v>26</v>
      </c>
      <c r="E661" s="18" t="s">
        <v>71</v>
      </c>
      <c r="F661" s="18" t="s">
        <v>426</v>
      </c>
      <c r="G661" s="18" t="s">
        <v>29</v>
      </c>
      <c r="H661" s="19">
        <v>2003</v>
      </c>
      <c r="I661" s="18" t="s">
        <v>364</v>
      </c>
      <c r="J661" s="101" t="s">
        <v>27</v>
      </c>
      <c r="K661" s="20">
        <v>118</v>
      </c>
      <c r="L661" s="21">
        <v>23.96</v>
      </c>
      <c r="M661" s="22" t="s">
        <v>30</v>
      </c>
      <c r="N661" s="23">
        <v>23.96</v>
      </c>
      <c r="O661" s="24">
        <v>0.20305084745762714</v>
      </c>
      <c r="P661" s="25" t="str">
        <f>IF(P663="x","x","")</f>
        <v/>
      </c>
      <c r="Q661" s="25" t="str">
        <f>IF(Q663="x","x","")</f>
        <v/>
      </c>
      <c r="R661" s="25" t="str">
        <f>IF(R663="x","x","")</f>
        <v/>
      </c>
      <c r="S661" s="25" t="str">
        <f>IF(S663="x","x","")</f>
        <v>x</v>
      </c>
      <c r="T661" s="25" t="s">
        <v>31</v>
      </c>
      <c r="U661" s="26"/>
      <c r="V661" s="27"/>
    </row>
    <row r="662" spans="1:22" x14ac:dyDescent="0.25">
      <c r="A662" s="18" t="s">
        <v>123</v>
      </c>
      <c r="B662" s="18" t="s">
        <v>948</v>
      </c>
      <c r="C662" s="18" t="s">
        <v>420</v>
      </c>
      <c r="D662" s="18" t="s">
        <v>26</v>
      </c>
      <c r="E662" s="18" t="s">
        <v>71</v>
      </c>
      <c r="F662" s="18" t="s">
        <v>426</v>
      </c>
      <c r="G662" s="18" t="s">
        <v>32</v>
      </c>
      <c r="H662" s="19">
        <v>2012</v>
      </c>
      <c r="I662" s="18" t="s">
        <v>364</v>
      </c>
      <c r="J662" s="101" t="s">
        <v>27</v>
      </c>
      <c r="K662" s="20">
        <v>114.6</v>
      </c>
      <c r="L662" s="21">
        <v>2162.6</v>
      </c>
      <c r="M662" s="22" t="s">
        <v>365</v>
      </c>
      <c r="N662" s="23">
        <v>42.487229862475445</v>
      </c>
      <c r="O662" s="24">
        <v>0.37074371607744716</v>
      </c>
      <c r="P662" s="25" t="str">
        <f>IF(P663="x","x","")</f>
        <v/>
      </c>
      <c r="Q662" s="25" t="str">
        <f>IF(Q663="x","x","")</f>
        <v/>
      </c>
      <c r="R662" s="25" t="str">
        <f>IF(R663="x","x","")</f>
        <v/>
      </c>
      <c r="S662" s="25" t="str">
        <f>IF(S663="x","x","")</f>
        <v>x</v>
      </c>
      <c r="T662" s="25" t="s">
        <v>31</v>
      </c>
      <c r="U662" s="26"/>
      <c r="V662" s="27"/>
    </row>
    <row r="663" spans="1:22" ht="79.5" thickBot="1" x14ac:dyDescent="0.3">
      <c r="A663" s="28" t="str">
        <f>A662</f>
        <v>India</v>
      </c>
      <c r="B663" s="28" t="str">
        <f>B662</f>
        <v>South Asia</v>
      </c>
      <c r="C663" s="28" t="str">
        <f>C662</f>
        <v>P050649</v>
      </c>
      <c r="D663" s="28" t="s">
        <v>26</v>
      </c>
      <c r="E663" s="28" t="s">
        <v>27</v>
      </c>
      <c r="F663" s="28" t="str">
        <f>F662</f>
        <v>P050649C1S4</v>
      </c>
      <c r="G663" s="28" t="s">
        <v>16</v>
      </c>
      <c r="H663" s="29" t="str">
        <f>H661&amp;" / "&amp;H662</f>
        <v>2003 / 2012</v>
      </c>
      <c r="I663" s="29" t="str">
        <f>I662</f>
        <v>Widening and Reconstruction</v>
      </c>
      <c r="J663" s="97" t="str">
        <f>IFERROR(J662/J661,"")</f>
        <v/>
      </c>
      <c r="K663" s="32">
        <f>K662/K661</f>
        <v>0.971186440677966</v>
      </c>
      <c r="L663" s="32">
        <f>L662/L661</f>
        <v>90.258764607679453</v>
      </c>
      <c r="M663" s="28"/>
      <c r="N663" s="32">
        <f>N662/N661</f>
        <v>1.773256672056571</v>
      </c>
      <c r="O663" s="32">
        <f>O662/O661</f>
        <v>1.8258663813496978</v>
      </c>
      <c r="P663" s="33" t="str">
        <f>IF(K663&lt;50%,"x","")</f>
        <v/>
      </c>
      <c r="Q663" s="33" t="str">
        <f>IF(K663&gt;150%,"x","")</f>
        <v/>
      </c>
      <c r="R663" s="33" t="str">
        <f>IF(O663&lt;50%,"x","")</f>
        <v/>
      </c>
      <c r="S663" s="33" t="str">
        <f>IF(O663&gt;150%,"x","")</f>
        <v>x</v>
      </c>
      <c r="T663" s="33" t="s">
        <v>31</v>
      </c>
      <c r="U663" s="34" t="s">
        <v>976</v>
      </c>
      <c r="V663" s="35" t="s">
        <v>977</v>
      </c>
    </row>
    <row r="664" spans="1:22" ht="16.5" thickTop="1" x14ac:dyDescent="0.25">
      <c r="A664" s="18" t="s">
        <v>123</v>
      </c>
      <c r="B664" s="18" t="s">
        <v>948</v>
      </c>
      <c r="C664" s="18" t="s">
        <v>420</v>
      </c>
      <c r="D664" s="18" t="s">
        <v>42</v>
      </c>
      <c r="E664" s="18" t="s">
        <v>27</v>
      </c>
      <c r="F664" s="18" t="s">
        <v>427</v>
      </c>
      <c r="G664" s="18" t="s">
        <v>29</v>
      </c>
      <c r="H664" s="19">
        <v>2003</v>
      </c>
      <c r="I664" s="18" t="s">
        <v>359</v>
      </c>
      <c r="J664" s="101">
        <v>48</v>
      </c>
      <c r="K664" s="20">
        <v>2000</v>
      </c>
      <c r="L664" s="21">
        <v>110.72</v>
      </c>
      <c r="M664" s="22" t="s">
        <v>30</v>
      </c>
      <c r="N664" s="23">
        <v>110.72</v>
      </c>
      <c r="O664" s="24">
        <v>5.5359999999999999E-2</v>
      </c>
      <c r="P664" s="25" t="str">
        <f>IF(P666="x","x","")</f>
        <v/>
      </c>
      <c r="Q664" s="25" t="str">
        <f>IF(Q666="x","x","")</f>
        <v/>
      </c>
      <c r="R664" s="25" t="str">
        <f>IF(R666="x","x","")</f>
        <v/>
      </c>
      <c r="S664" s="25" t="str">
        <f>IF(S666="x","x","")</f>
        <v/>
      </c>
      <c r="T664" s="25" t="s">
        <v>27</v>
      </c>
      <c r="U664" s="26"/>
      <c r="V664" s="27"/>
    </row>
    <row r="665" spans="1:22" x14ac:dyDescent="0.25">
      <c r="A665" s="18" t="s">
        <v>123</v>
      </c>
      <c r="B665" s="18" t="s">
        <v>948</v>
      </c>
      <c r="C665" s="18" t="s">
        <v>420</v>
      </c>
      <c r="D665" s="18" t="s">
        <v>42</v>
      </c>
      <c r="E665" s="18" t="s">
        <v>27</v>
      </c>
      <c r="F665" s="18" t="s">
        <v>427</v>
      </c>
      <c r="G665" s="18" t="s">
        <v>32</v>
      </c>
      <c r="H665" s="19">
        <v>2012</v>
      </c>
      <c r="I665" s="18" t="s">
        <v>359</v>
      </c>
      <c r="J665" s="101" t="s">
        <v>27</v>
      </c>
      <c r="K665" s="20">
        <v>1330</v>
      </c>
      <c r="L665" s="21">
        <v>106.18</v>
      </c>
      <c r="M665" s="22" t="s">
        <v>30</v>
      </c>
      <c r="N665" s="23">
        <v>106.18</v>
      </c>
      <c r="O665" s="24">
        <v>7.9834586466165425E-2</v>
      </c>
      <c r="P665" s="25" t="str">
        <f>IF(P666="x","x","")</f>
        <v/>
      </c>
      <c r="Q665" s="25" t="str">
        <f>IF(Q666="x","x","")</f>
        <v/>
      </c>
      <c r="R665" s="25" t="str">
        <f>IF(R666="x","x","")</f>
        <v/>
      </c>
      <c r="S665" s="25" t="str">
        <f>IF(S666="x","x","")</f>
        <v/>
      </c>
      <c r="T665" s="25" t="s">
        <v>27</v>
      </c>
      <c r="U665" s="26"/>
      <c r="V665" s="27"/>
    </row>
    <row r="666" spans="1:22" ht="16.5" thickBot="1" x14ac:dyDescent="0.3">
      <c r="A666" s="28" t="str">
        <f>A665</f>
        <v>India</v>
      </c>
      <c r="B666" s="28" t="str">
        <f>B665</f>
        <v>South Asia</v>
      </c>
      <c r="C666" s="28" t="str">
        <f>C665</f>
        <v>P050649</v>
      </c>
      <c r="D666" s="28" t="s">
        <v>26</v>
      </c>
      <c r="E666" s="28" t="s">
        <v>27</v>
      </c>
      <c r="F666" s="28" t="str">
        <f>F665</f>
        <v>P050649C2</v>
      </c>
      <c r="G666" s="28" t="s">
        <v>16</v>
      </c>
      <c r="H666" s="29" t="str">
        <f>H664&amp;" / "&amp;H665</f>
        <v>2003 / 2012</v>
      </c>
      <c r="I666" s="29" t="str">
        <f>I665</f>
        <v>Reconstruction</v>
      </c>
      <c r="J666" s="97" t="str">
        <f>IFERROR(J665/J664,"")</f>
        <v/>
      </c>
      <c r="K666" s="32">
        <f>K665/K664</f>
        <v>0.66500000000000004</v>
      </c>
      <c r="L666" s="32">
        <f>L665/L664</f>
        <v>0.95899566473988451</v>
      </c>
      <c r="M666" s="28"/>
      <c r="N666" s="32">
        <f>N665/N664</f>
        <v>0.95899566473988451</v>
      </c>
      <c r="O666" s="32">
        <f>O665/O664</f>
        <v>1.4420987439697512</v>
      </c>
      <c r="P666" s="33" t="str">
        <f>IF(K666&lt;50%,"x","")</f>
        <v/>
      </c>
      <c r="Q666" s="33" t="str">
        <f>IF(K666&gt;150%,"x","")</f>
        <v/>
      </c>
      <c r="R666" s="33" t="str">
        <f>IF(O666&lt;50%,"x","")</f>
        <v/>
      </c>
      <c r="S666" s="33" t="str">
        <f>IF(O666&gt;150%,"x","")</f>
        <v/>
      </c>
      <c r="T666" s="33" t="s">
        <v>27</v>
      </c>
      <c r="U666" s="34" t="s">
        <v>27</v>
      </c>
      <c r="V666" s="35" t="s">
        <v>27</v>
      </c>
    </row>
    <row r="667" spans="1:22" ht="16.5" thickTop="1" x14ac:dyDescent="0.25">
      <c r="A667" s="18" t="s">
        <v>123</v>
      </c>
      <c r="B667" s="18" t="s">
        <v>948</v>
      </c>
      <c r="C667" s="18" t="s">
        <v>604</v>
      </c>
      <c r="D667" s="18" t="s">
        <v>26</v>
      </c>
      <c r="E667" s="18" t="s">
        <v>27</v>
      </c>
      <c r="F667" s="18" t="s">
        <v>605</v>
      </c>
      <c r="G667" s="18" t="s">
        <v>29</v>
      </c>
      <c r="H667" s="19">
        <v>2001</v>
      </c>
      <c r="I667" s="18" t="s">
        <v>364</v>
      </c>
      <c r="J667" s="101" t="s">
        <v>27</v>
      </c>
      <c r="K667" s="20">
        <v>1000</v>
      </c>
      <c r="L667" s="21">
        <v>270.83</v>
      </c>
      <c r="M667" s="22" t="s">
        <v>30</v>
      </c>
      <c r="N667" s="23">
        <v>270.83</v>
      </c>
      <c r="O667" s="24">
        <v>0.27082999999999996</v>
      </c>
      <c r="P667" s="25" t="str">
        <f>IF(P669="x","x","")</f>
        <v/>
      </c>
      <c r="Q667" s="25" t="str">
        <f>IF(Q669="x","x","")</f>
        <v/>
      </c>
      <c r="R667" s="25" t="str">
        <f>IF(R669="x","x","")</f>
        <v/>
      </c>
      <c r="S667" s="25" t="str">
        <f>IF(S669="x","x","")</f>
        <v>x</v>
      </c>
      <c r="T667" s="25" t="s">
        <v>31</v>
      </c>
      <c r="U667" s="26"/>
      <c r="V667" s="27"/>
    </row>
    <row r="668" spans="1:22" x14ac:dyDescent="0.25">
      <c r="A668" s="18" t="s">
        <v>123</v>
      </c>
      <c r="B668" s="18" t="s">
        <v>948</v>
      </c>
      <c r="C668" s="18" t="s">
        <v>604</v>
      </c>
      <c r="D668" s="18" t="s">
        <v>26</v>
      </c>
      <c r="E668" s="18" t="s">
        <v>27</v>
      </c>
      <c r="F668" s="18" t="s">
        <v>605</v>
      </c>
      <c r="G668" s="18" t="s">
        <v>32</v>
      </c>
      <c r="H668" s="19">
        <v>2008</v>
      </c>
      <c r="I668" s="18" t="s">
        <v>364</v>
      </c>
      <c r="J668" s="101" t="s">
        <v>27</v>
      </c>
      <c r="K668" s="20">
        <v>874</v>
      </c>
      <c r="L668" s="21">
        <v>356.2</v>
      </c>
      <c r="M668" s="22" t="s">
        <v>30</v>
      </c>
      <c r="N668" s="23">
        <v>356.2</v>
      </c>
      <c r="O668" s="24">
        <v>0.40755148741418762</v>
      </c>
      <c r="P668" s="25" t="str">
        <f>IF(P669="x","x","")</f>
        <v/>
      </c>
      <c r="Q668" s="25" t="str">
        <f>IF(Q669="x","x","")</f>
        <v/>
      </c>
      <c r="R668" s="25" t="str">
        <f>IF(R669="x","x","")</f>
        <v/>
      </c>
      <c r="S668" s="25" t="str">
        <f>IF(S669="x","x","")</f>
        <v>x</v>
      </c>
      <c r="T668" s="25" t="s">
        <v>31</v>
      </c>
      <c r="U668" s="26"/>
      <c r="V668" s="27"/>
    </row>
    <row r="669" spans="1:22" ht="63.75" thickBot="1" x14ac:dyDescent="0.3">
      <c r="A669" s="28" t="str">
        <f>A668</f>
        <v>India</v>
      </c>
      <c r="B669" s="28" t="str">
        <f>B668</f>
        <v>South Asia</v>
      </c>
      <c r="C669" s="28" t="str">
        <f>C668</f>
        <v>P070421</v>
      </c>
      <c r="D669" s="28" t="s">
        <v>26</v>
      </c>
      <c r="E669" s="28" t="s">
        <v>27</v>
      </c>
      <c r="F669" s="28" t="str">
        <f>F668</f>
        <v>P070421C1</v>
      </c>
      <c r="G669" s="28" t="s">
        <v>16</v>
      </c>
      <c r="H669" s="29" t="str">
        <f>H667&amp;" / "&amp;H668</f>
        <v>2001 / 2008</v>
      </c>
      <c r="I669" s="29" t="str">
        <f>I668</f>
        <v>Widening and Reconstruction</v>
      </c>
      <c r="J669" s="97" t="str">
        <f>IFERROR(J668/J667,"")</f>
        <v/>
      </c>
      <c r="K669" s="32">
        <f>K668/K667</f>
        <v>0.874</v>
      </c>
      <c r="L669" s="32">
        <f>L668/L667</f>
        <v>1.3152161872761512</v>
      </c>
      <c r="M669" s="28"/>
      <c r="N669" s="32">
        <f>N668/N667</f>
        <v>1.3152161872761512</v>
      </c>
      <c r="O669" s="32">
        <f>O668/O667</f>
        <v>1.5048240129017749</v>
      </c>
      <c r="P669" s="33" t="str">
        <f>IF(K669&lt;50%,"x","")</f>
        <v/>
      </c>
      <c r="Q669" s="33" t="str">
        <f>IF(K669&gt;150%,"x","")</f>
        <v/>
      </c>
      <c r="R669" s="33" t="str">
        <f>IF(O669&lt;50%,"x","")</f>
        <v/>
      </c>
      <c r="S669" s="33" t="str">
        <f>IF(O669&gt;150%,"x","")</f>
        <v>x</v>
      </c>
      <c r="T669" s="33" t="s">
        <v>31</v>
      </c>
      <c r="U669" s="34" t="s">
        <v>1017</v>
      </c>
      <c r="V669" s="35" t="s">
        <v>1018</v>
      </c>
    </row>
    <row r="670" spans="1:22" ht="16.5" thickTop="1" x14ac:dyDescent="0.25">
      <c r="A670" s="18" t="s">
        <v>123</v>
      </c>
      <c r="B670" s="18" t="s">
        <v>948</v>
      </c>
      <c r="C670" s="18" t="s">
        <v>604</v>
      </c>
      <c r="D670" s="18" t="s">
        <v>26</v>
      </c>
      <c r="E670" s="18" t="s">
        <v>36</v>
      </c>
      <c r="F670" s="18" t="s">
        <v>606</v>
      </c>
      <c r="G670" s="18" t="s">
        <v>29</v>
      </c>
      <c r="H670" s="19">
        <v>2001</v>
      </c>
      <c r="I670" s="18" t="s">
        <v>364</v>
      </c>
      <c r="J670" s="101" t="s">
        <v>27</v>
      </c>
      <c r="K670" s="20">
        <v>76</v>
      </c>
      <c r="L670" s="21">
        <v>16.510000000000002</v>
      </c>
      <c r="M670" s="22" t="s">
        <v>30</v>
      </c>
      <c r="N670" s="23">
        <v>16.510000000000002</v>
      </c>
      <c r="O670" s="24">
        <v>0.21723684210526317</v>
      </c>
      <c r="P670" s="25" t="str">
        <f>IF(P672="x","x","")</f>
        <v/>
      </c>
      <c r="Q670" s="25" t="str">
        <f>IF(Q672="x","x","")</f>
        <v/>
      </c>
      <c r="R670" s="25" t="str">
        <f>IF(R672="x","x","")</f>
        <v/>
      </c>
      <c r="S670" s="25" t="str">
        <f>IF(S672="x","x","")</f>
        <v/>
      </c>
      <c r="T670" s="25" t="s">
        <v>27</v>
      </c>
      <c r="U670" s="26"/>
      <c r="V670" s="27"/>
    </row>
    <row r="671" spans="1:22" x14ac:dyDescent="0.25">
      <c r="A671" s="18" t="s">
        <v>123</v>
      </c>
      <c r="B671" s="18" t="s">
        <v>948</v>
      </c>
      <c r="C671" s="18" t="s">
        <v>604</v>
      </c>
      <c r="D671" s="18" t="s">
        <v>26</v>
      </c>
      <c r="E671" s="18" t="s">
        <v>36</v>
      </c>
      <c r="F671" s="18" t="s">
        <v>606</v>
      </c>
      <c r="G671" s="18" t="s">
        <v>32</v>
      </c>
      <c r="H671" s="19">
        <v>2008</v>
      </c>
      <c r="I671" s="18" t="s">
        <v>364</v>
      </c>
      <c r="J671" s="101" t="s">
        <v>27</v>
      </c>
      <c r="K671" s="20">
        <v>76</v>
      </c>
      <c r="L671" s="21">
        <v>23.5</v>
      </c>
      <c r="M671" s="22" t="s">
        <v>30</v>
      </c>
      <c r="N671" s="23">
        <v>23.5</v>
      </c>
      <c r="O671" s="24">
        <v>0.30921052631578949</v>
      </c>
      <c r="P671" s="25" t="str">
        <f>IF(P672="x","x","")</f>
        <v/>
      </c>
      <c r="Q671" s="25" t="str">
        <f>IF(Q672="x","x","")</f>
        <v/>
      </c>
      <c r="R671" s="25" t="str">
        <f>IF(R672="x","x","")</f>
        <v/>
      </c>
      <c r="S671" s="25" t="str">
        <f>IF(S672="x","x","")</f>
        <v/>
      </c>
      <c r="T671" s="25" t="s">
        <v>27</v>
      </c>
      <c r="U671" s="26"/>
      <c r="V671" s="27"/>
    </row>
    <row r="672" spans="1:22" ht="16.5" thickBot="1" x14ac:dyDescent="0.3">
      <c r="A672" s="28" t="str">
        <f>A671</f>
        <v>India</v>
      </c>
      <c r="B672" s="28" t="str">
        <f>B671</f>
        <v>South Asia</v>
      </c>
      <c r="C672" s="28" t="str">
        <f>C671</f>
        <v>P070421</v>
      </c>
      <c r="D672" s="28" t="s">
        <v>26</v>
      </c>
      <c r="E672" s="28" t="s">
        <v>27</v>
      </c>
      <c r="F672" s="28" t="str">
        <f>F671</f>
        <v>P070421C1S1</v>
      </c>
      <c r="G672" s="28" t="s">
        <v>16</v>
      </c>
      <c r="H672" s="29" t="str">
        <f>H670&amp;" / "&amp;H671</f>
        <v>2001 / 2008</v>
      </c>
      <c r="I672" s="29" t="str">
        <f>I671</f>
        <v>Widening and Reconstruction</v>
      </c>
      <c r="J672" s="97" t="str">
        <f>IFERROR(J671/J670,"")</f>
        <v/>
      </c>
      <c r="K672" s="32">
        <f>K671/K670</f>
        <v>1</v>
      </c>
      <c r="L672" s="32">
        <f>L671/L670</f>
        <v>1.4233797698364625</v>
      </c>
      <c r="M672" s="28"/>
      <c r="N672" s="32">
        <f>N671/N670</f>
        <v>1.4233797698364625</v>
      </c>
      <c r="O672" s="32">
        <f>O671/O670</f>
        <v>1.4233797698364627</v>
      </c>
      <c r="P672" s="33" t="str">
        <f>IF(K672&lt;50%,"x","")</f>
        <v/>
      </c>
      <c r="Q672" s="33" t="str">
        <f>IF(K672&gt;150%,"x","")</f>
        <v/>
      </c>
      <c r="R672" s="33" t="str">
        <f>IF(O672&lt;50%,"x","")</f>
        <v/>
      </c>
      <c r="S672" s="33" t="str">
        <f>IF(O672&gt;150%,"x","")</f>
        <v/>
      </c>
      <c r="T672" s="33" t="s">
        <v>27</v>
      </c>
      <c r="U672" s="34" t="s">
        <v>27</v>
      </c>
      <c r="V672" s="35" t="s">
        <v>27</v>
      </c>
    </row>
    <row r="673" spans="1:22" ht="16.5" thickTop="1" x14ac:dyDescent="0.25">
      <c r="A673" s="18" t="s">
        <v>123</v>
      </c>
      <c r="B673" s="18" t="s">
        <v>948</v>
      </c>
      <c r="C673" s="18" t="s">
        <v>604</v>
      </c>
      <c r="D673" s="18" t="s">
        <v>26</v>
      </c>
      <c r="E673" s="18" t="s">
        <v>234</v>
      </c>
      <c r="F673" s="18" t="s">
        <v>607</v>
      </c>
      <c r="G673" s="18" t="s">
        <v>29</v>
      </c>
      <c r="H673" s="19">
        <v>2001</v>
      </c>
      <c r="I673" s="18" t="s">
        <v>364</v>
      </c>
      <c r="J673" s="101" t="s">
        <v>27</v>
      </c>
      <c r="K673" s="20">
        <v>143.49</v>
      </c>
      <c r="L673" s="21">
        <v>34.61</v>
      </c>
      <c r="M673" s="22" t="s">
        <v>30</v>
      </c>
      <c r="N673" s="23">
        <v>34.61</v>
      </c>
      <c r="O673" s="24">
        <v>0.24120147745487489</v>
      </c>
      <c r="P673" s="25" t="str">
        <f>IF(P675="x","x","")</f>
        <v/>
      </c>
      <c r="Q673" s="25" t="str">
        <f>IF(Q675="x","x","")</f>
        <v/>
      </c>
      <c r="R673" s="25" t="str">
        <f>IF(R675="x","x","")</f>
        <v/>
      </c>
      <c r="S673" s="25" t="str">
        <f>IF(S675="x","x","")</f>
        <v>x</v>
      </c>
      <c r="T673" s="25" t="s">
        <v>31</v>
      </c>
      <c r="U673" s="26"/>
      <c r="V673" s="27"/>
    </row>
    <row r="674" spans="1:22" x14ac:dyDescent="0.25">
      <c r="A674" s="18" t="s">
        <v>123</v>
      </c>
      <c r="B674" s="18" t="s">
        <v>948</v>
      </c>
      <c r="C674" s="18" t="s">
        <v>604</v>
      </c>
      <c r="D674" s="18" t="s">
        <v>26</v>
      </c>
      <c r="E674" s="18" t="s">
        <v>234</v>
      </c>
      <c r="F674" s="18" t="s">
        <v>607</v>
      </c>
      <c r="G674" s="18" t="s">
        <v>32</v>
      </c>
      <c r="H674" s="19">
        <v>2008</v>
      </c>
      <c r="I674" s="18" t="s">
        <v>364</v>
      </c>
      <c r="J674" s="101" t="s">
        <v>27</v>
      </c>
      <c r="K674" s="20">
        <v>143.49</v>
      </c>
      <c r="L674" s="21">
        <v>68.5</v>
      </c>
      <c r="M674" s="22" t="s">
        <v>30</v>
      </c>
      <c r="N674" s="23">
        <v>68.5</v>
      </c>
      <c r="O674" s="24">
        <v>0.4773851836364903</v>
      </c>
      <c r="P674" s="25" t="str">
        <f>IF(P675="x","x","")</f>
        <v/>
      </c>
      <c r="Q674" s="25" t="str">
        <f>IF(Q675="x","x","")</f>
        <v/>
      </c>
      <c r="R674" s="25" t="str">
        <f>IF(R675="x","x","")</f>
        <v/>
      </c>
      <c r="S674" s="25" t="str">
        <f>IF(S675="x","x","")</f>
        <v>x</v>
      </c>
      <c r="T674" s="25" t="s">
        <v>31</v>
      </c>
      <c r="U674" s="26"/>
      <c r="V674" s="27"/>
    </row>
    <row r="675" spans="1:22" ht="63.75" thickBot="1" x14ac:dyDescent="0.3">
      <c r="A675" s="28" t="str">
        <f>A674</f>
        <v>India</v>
      </c>
      <c r="B675" s="28" t="str">
        <f>B674</f>
        <v>South Asia</v>
      </c>
      <c r="C675" s="28" t="str">
        <f>C674</f>
        <v>P070421</v>
      </c>
      <c r="D675" s="28" t="s">
        <v>26</v>
      </c>
      <c r="E675" s="28" t="s">
        <v>27</v>
      </c>
      <c r="F675" s="28" t="str">
        <f>F674</f>
        <v>P070421C1S10</v>
      </c>
      <c r="G675" s="28" t="s">
        <v>16</v>
      </c>
      <c r="H675" s="29" t="str">
        <f>H673&amp;" / "&amp;H674</f>
        <v>2001 / 2008</v>
      </c>
      <c r="I675" s="29" t="str">
        <f>I674</f>
        <v>Widening and Reconstruction</v>
      </c>
      <c r="J675" s="97" t="str">
        <f>IFERROR(J674/J673,"")</f>
        <v/>
      </c>
      <c r="K675" s="32">
        <f>K674/K673</f>
        <v>1</v>
      </c>
      <c r="L675" s="32">
        <f>L674/L673</f>
        <v>1.9791967639410575</v>
      </c>
      <c r="M675" s="28"/>
      <c r="N675" s="32">
        <f>N674/N673</f>
        <v>1.9791967639410575</v>
      </c>
      <c r="O675" s="32">
        <f>O674/O673</f>
        <v>1.9791967639410575</v>
      </c>
      <c r="P675" s="33" t="str">
        <f>IF(K675&lt;50%,"x","")</f>
        <v/>
      </c>
      <c r="Q675" s="33" t="str">
        <f>IF(K675&gt;150%,"x","")</f>
        <v/>
      </c>
      <c r="R675" s="33" t="str">
        <f>IF(O675&lt;50%,"x","")</f>
        <v/>
      </c>
      <c r="S675" s="33" t="str">
        <f>IF(O675&gt;150%,"x","")</f>
        <v>x</v>
      </c>
      <c r="T675" s="33" t="s">
        <v>31</v>
      </c>
      <c r="U675" s="34" t="s">
        <v>1017</v>
      </c>
      <c r="V675" s="35" t="s">
        <v>1018</v>
      </c>
    </row>
    <row r="676" spans="1:22" ht="16.5" thickTop="1" x14ac:dyDescent="0.25">
      <c r="A676" s="18" t="s">
        <v>123</v>
      </c>
      <c r="B676" s="18" t="s">
        <v>948</v>
      </c>
      <c r="C676" s="18" t="s">
        <v>604</v>
      </c>
      <c r="D676" s="18" t="s">
        <v>26</v>
      </c>
      <c r="E676" s="18" t="s">
        <v>236</v>
      </c>
      <c r="F676" s="18" t="s">
        <v>608</v>
      </c>
      <c r="G676" s="18" t="s">
        <v>29</v>
      </c>
      <c r="H676" s="19">
        <v>2001</v>
      </c>
      <c r="I676" s="18" t="s">
        <v>213</v>
      </c>
      <c r="J676" s="101" t="s">
        <v>27</v>
      </c>
      <c r="K676" s="20">
        <v>50</v>
      </c>
      <c r="L676" s="21">
        <v>12.19</v>
      </c>
      <c r="M676" s="22" t="s">
        <v>30</v>
      </c>
      <c r="N676" s="23">
        <v>12.19</v>
      </c>
      <c r="O676" s="24">
        <v>0.24379999999999999</v>
      </c>
      <c r="P676" s="25" t="str">
        <f>IF(P678="x","x","")</f>
        <v/>
      </c>
      <c r="Q676" s="25" t="str">
        <f>IF(Q678="x","x","")</f>
        <v/>
      </c>
      <c r="R676" s="25" t="str">
        <f>IF(R678="x","x","")</f>
        <v>x</v>
      </c>
      <c r="S676" s="25" t="str">
        <f>IF(S678="x","x","")</f>
        <v/>
      </c>
      <c r="T676" s="25" t="s">
        <v>31</v>
      </c>
      <c r="U676" s="26"/>
      <c r="V676" s="27"/>
    </row>
    <row r="677" spans="1:22" x14ac:dyDescent="0.25">
      <c r="A677" s="18" t="s">
        <v>123</v>
      </c>
      <c r="B677" s="18" t="s">
        <v>948</v>
      </c>
      <c r="C677" s="18" t="s">
        <v>604</v>
      </c>
      <c r="D677" s="18" t="s">
        <v>26</v>
      </c>
      <c r="E677" s="18" t="s">
        <v>236</v>
      </c>
      <c r="F677" s="18" t="s">
        <v>608</v>
      </c>
      <c r="G677" s="18" t="s">
        <v>32</v>
      </c>
      <c r="H677" s="19">
        <v>2008</v>
      </c>
      <c r="I677" s="18" t="s">
        <v>213</v>
      </c>
      <c r="J677" s="101" t="s">
        <v>27</v>
      </c>
      <c r="K677" s="20">
        <v>50</v>
      </c>
      <c r="L677" s="21">
        <v>2.1</v>
      </c>
      <c r="M677" s="22" t="s">
        <v>30</v>
      </c>
      <c r="N677" s="23">
        <v>2.1</v>
      </c>
      <c r="O677" s="24">
        <v>4.2000000000000003E-2</v>
      </c>
      <c r="P677" s="25" t="str">
        <f>IF(P678="x","x","")</f>
        <v/>
      </c>
      <c r="Q677" s="25" t="str">
        <f>IF(Q678="x","x","")</f>
        <v/>
      </c>
      <c r="R677" s="25" t="str">
        <f>IF(R678="x","x","")</f>
        <v>x</v>
      </c>
      <c r="S677" s="25" t="str">
        <f>IF(S678="x","x","")</f>
        <v/>
      </c>
      <c r="T677" s="25" t="s">
        <v>31</v>
      </c>
      <c r="U677" s="26"/>
      <c r="V677" s="27"/>
    </row>
    <row r="678" spans="1:22" ht="32.25" thickBot="1" x14ac:dyDescent="0.3">
      <c r="A678" s="28" t="str">
        <f>A677</f>
        <v>India</v>
      </c>
      <c r="B678" s="28" t="str">
        <f>B677</f>
        <v>South Asia</v>
      </c>
      <c r="C678" s="28" t="str">
        <f>C677</f>
        <v>P070421</v>
      </c>
      <c r="D678" s="28" t="s">
        <v>26</v>
      </c>
      <c r="E678" s="28" t="s">
        <v>27</v>
      </c>
      <c r="F678" s="28" t="str">
        <f>F677</f>
        <v>P070421C1S11</v>
      </c>
      <c r="G678" s="28" t="s">
        <v>16</v>
      </c>
      <c r="H678" s="29" t="str">
        <f>H676&amp;" / "&amp;H677</f>
        <v>2001 / 2008</v>
      </c>
      <c r="I678" s="29" t="str">
        <f>I677</f>
        <v>New 2L Highway</v>
      </c>
      <c r="J678" s="97" t="str">
        <f>IFERROR(J677/J676,"")</f>
        <v/>
      </c>
      <c r="K678" s="32">
        <f>K677/K676</f>
        <v>1</v>
      </c>
      <c r="L678" s="32">
        <f>L677/L676</f>
        <v>0.17227235438884334</v>
      </c>
      <c r="M678" s="28"/>
      <c r="N678" s="32">
        <f>N677/N676</f>
        <v>0.17227235438884334</v>
      </c>
      <c r="O678" s="32">
        <f>O677/O676</f>
        <v>0.17227235438884334</v>
      </c>
      <c r="P678" s="33" t="str">
        <f>IF(K678&lt;50%,"x","")</f>
        <v/>
      </c>
      <c r="Q678" s="33" t="str">
        <f>IF(K678&gt;150%,"x","")</f>
        <v/>
      </c>
      <c r="R678" s="33" t="str">
        <f>IF(O678&lt;50%,"x","")</f>
        <v>x</v>
      </c>
      <c r="S678" s="33" t="str">
        <f>IF(O678&gt;150%,"x","")</f>
        <v/>
      </c>
      <c r="T678" s="33" t="s">
        <v>31</v>
      </c>
      <c r="U678" s="34" t="s">
        <v>982</v>
      </c>
      <c r="V678" s="35" t="s">
        <v>1019</v>
      </c>
    </row>
    <row r="679" spans="1:22" ht="16.5" thickTop="1" x14ac:dyDescent="0.25">
      <c r="A679" s="18" t="s">
        <v>123</v>
      </c>
      <c r="B679" s="18" t="s">
        <v>948</v>
      </c>
      <c r="C679" s="18" t="s">
        <v>604</v>
      </c>
      <c r="D679" s="18" t="s">
        <v>26</v>
      </c>
      <c r="E679" s="18" t="s">
        <v>40</v>
      </c>
      <c r="F679" s="18" t="s">
        <v>609</v>
      </c>
      <c r="G679" s="18" t="s">
        <v>29</v>
      </c>
      <c r="H679" s="19">
        <v>2001</v>
      </c>
      <c r="I679" s="18" t="s">
        <v>364</v>
      </c>
      <c r="J679" s="101" t="s">
        <v>27</v>
      </c>
      <c r="K679" s="20">
        <v>78</v>
      </c>
      <c r="L679" s="21">
        <v>18.89</v>
      </c>
      <c r="M679" s="22" t="s">
        <v>30</v>
      </c>
      <c r="N679" s="23">
        <v>18.89</v>
      </c>
      <c r="O679" s="24">
        <v>0.24217948717948717</v>
      </c>
      <c r="P679" s="25" t="str">
        <f>IF(P681="x","x","")</f>
        <v/>
      </c>
      <c r="Q679" s="25" t="str">
        <f>IF(Q681="x","x","")</f>
        <v/>
      </c>
      <c r="R679" s="25" t="str">
        <f>IF(R681="x","x","")</f>
        <v/>
      </c>
      <c r="S679" s="25" t="str">
        <f>IF(S681="x","x","")</f>
        <v/>
      </c>
      <c r="T679" s="25" t="s">
        <v>27</v>
      </c>
      <c r="U679" s="26"/>
      <c r="V679" s="27"/>
    </row>
    <row r="680" spans="1:22" x14ac:dyDescent="0.25">
      <c r="A680" s="18" t="s">
        <v>123</v>
      </c>
      <c r="B680" s="18" t="s">
        <v>948</v>
      </c>
      <c r="C680" s="18" t="s">
        <v>604</v>
      </c>
      <c r="D680" s="18" t="s">
        <v>26</v>
      </c>
      <c r="E680" s="18" t="s">
        <v>40</v>
      </c>
      <c r="F680" s="18" t="s">
        <v>609</v>
      </c>
      <c r="G680" s="18" t="s">
        <v>32</v>
      </c>
      <c r="H680" s="19">
        <v>2008</v>
      </c>
      <c r="I680" s="18" t="s">
        <v>364</v>
      </c>
      <c r="J680" s="101" t="s">
        <v>27</v>
      </c>
      <c r="K680" s="20">
        <v>78</v>
      </c>
      <c r="L680" s="21">
        <v>21.7</v>
      </c>
      <c r="M680" s="22" t="s">
        <v>30</v>
      </c>
      <c r="N680" s="23">
        <v>21.7</v>
      </c>
      <c r="O680" s="24">
        <v>0.27820512820512822</v>
      </c>
      <c r="P680" s="25" t="str">
        <f>IF(P681="x","x","")</f>
        <v/>
      </c>
      <c r="Q680" s="25" t="str">
        <f>IF(Q681="x","x","")</f>
        <v/>
      </c>
      <c r="R680" s="25" t="str">
        <f>IF(R681="x","x","")</f>
        <v/>
      </c>
      <c r="S680" s="25" t="str">
        <f>IF(S681="x","x","")</f>
        <v/>
      </c>
      <c r="T680" s="25" t="s">
        <v>27</v>
      </c>
      <c r="U680" s="26"/>
      <c r="V680" s="27"/>
    </row>
    <row r="681" spans="1:22" ht="16.5" thickBot="1" x14ac:dyDescent="0.3">
      <c r="A681" s="28" t="str">
        <f>A680</f>
        <v>India</v>
      </c>
      <c r="B681" s="28" t="str">
        <f>B680</f>
        <v>South Asia</v>
      </c>
      <c r="C681" s="28" t="str">
        <f>C680</f>
        <v>P070421</v>
      </c>
      <c r="D681" s="28" t="s">
        <v>26</v>
      </c>
      <c r="E681" s="28" t="s">
        <v>27</v>
      </c>
      <c r="F681" s="28" t="str">
        <f>F680</f>
        <v>P070421C1S2</v>
      </c>
      <c r="G681" s="28" t="s">
        <v>16</v>
      </c>
      <c r="H681" s="29" t="str">
        <f>H679&amp;" / "&amp;H680</f>
        <v>2001 / 2008</v>
      </c>
      <c r="I681" s="29" t="str">
        <f>I680</f>
        <v>Widening and Reconstruction</v>
      </c>
      <c r="J681" s="97" t="str">
        <f>IFERROR(J680/J679,"")</f>
        <v/>
      </c>
      <c r="K681" s="32">
        <f>K680/K679</f>
        <v>1</v>
      </c>
      <c r="L681" s="32">
        <f>L680/L679</f>
        <v>1.1487559555320275</v>
      </c>
      <c r="M681" s="28"/>
      <c r="N681" s="32">
        <f>N680/N679</f>
        <v>1.1487559555320275</v>
      </c>
      <c r="O681" s="32">
        <f>O680/O679</f>
        <v>1.1487559555320277</v>
      </c>
      <c r="P681" s="33" t="str">
        <f>IF(K681&lt;50%,"x","")</f>
        <v/>
      </c>
      <c r="Q681" s="33" t="str">
        <f>IF(K681&gt;150%,"x","")</f>
        <v/>
      </c>
      <c r="R681" s="33" t="str">
        <f>IF(O681&lt;50%,"x","")</f>
        <v/>
      </c>
      <c r="S681" s="33" t="str">
        <f>IF(O681&gt;150%,"x","")</f>
        <v/>
      </c>
      <c r="T681" s="33" t="s">
        <v>27</v>
      </c>
      <c r="U681" s="34" t="s">
        <v>27</v>
      </c>
      <c r="V681" s="35" t="s">
        <v>27</v>
      </c>
    </row>
    <row r="682" spans="1:22" ht="16.5" thickTop="1" x14ac:dyDescent="0.25">
      <c r="A682" s="18" t="s">
        <v>123</v>
      </c>
      <c r="B682" s="18" t="s">
        <v>948</v>
      </c>
      <c r="C682" s="18" t="s">
        <v>604</v>
      </c>
      <c r="D682" s="18" t="s">
        <v>26</v>
      </c>
      <c r="E682" s="18" t="s">
        <v>69</v>
      </c>
      <c r="F682" s="18" t="s">
        <v>610</v>
      </c>
      <c r="G682" s="18" t="s">
        <v>29</v>
      </c>
      <c r="H682" s="19">
        <v>2001</v>
      </c>
      <c r="I682" s="18" t="s">
        <v>364</v>
      </c>
      <c r="J682" s="101" t="s">
        <v>27</v>
      </c>
      <c r="K682" s="20">
        <v>189</v>
      </c>
      <c r="L682" s="21">
        <v>40.01</v>
      </c>
      <c r="M682" s="22" t="s">
        <v>30</v>
      </c>
      <c r="N682" s="23">
        <v>40.01</v>
      </c>
      <c r="O682" s="24">
        <v>0.21169312169312168</v>
      </c>
      <c r="P682" s="25" t="str">
        <f>IF(P684="x","x","")</f>
        <v/>
      </c>
      <c r="Q682" s="25" t="str">
        <f>IF(Q684="x","x","")</f>
        <v/>
      </c>
      <c r="R682" s="25" t="str">
        <f>IF(R684="x","x","")</f>
        <v/>
      </c>
      <c r="S682" s="25" t="str">
        <f>IF(S684="x","x","")</f>
        <v/>
      </c>
      <c r="T682" s="25" t="s">
        <v>27</v>
      </c>
      <c r="U682" s="26"/>
      <c r="V682" s="27"/>
    </row>
    <row r="683" spans="1:22" x14ac:dyDescent="0.25">
      <c r="A683" s="18" t="s">
        <v>123</v>
      </c>
      <c r="B683" s="18" t="s">
        <v>948</v>
      </c>
      <c r="C683" s="18" t="s">
        <v>604</v>
      </c>
      <c r="D683" s="18" t="s">
        <v>26</v>
      </c>
      <c r="E683" s="18" t="s">
        <v>69</v>
      </c>
      <c r="F683" s="18" t="s">
        <v>610</v>
      </c>
      <c r="G683" s="18" t="s">
        <v>32</v>
      </c>
      <c r="H683" s="19">
        <v>2008</v>
      </c>
      <c r="I683" s="18" t="s">
        <v>364</v>
      </c>
      <c r="J683" s="101" t="s">
        <v>27</v>
      </c>
      <c r="K683" s="20">
        <v>189</v>
      </c>
      <c r="L683" s="21">
        <v>43.6</v>
      </c>
      <c r="M683" s="22" t="s">
        <v>30</v>
      </c>
      <c r="N683" s="23">
        <v>43.6</v>
      </c>
      <c r="O683" s="24">
        <v>0.23068783068783069</v>
      </c>
      <c r="P683" s="25" t="str">
        <f>IF(P684="x","x","")</f>
        <v/>
      </c>
      <c r="Q683" s="25" t="str">
        <f>IF(Q684="x","x","")</f>
        <v/>
      </c>
      <c r="R683" s="25" t="str">
        <f>IF(R684="x","x","")</f>
        <v/>
      </c>
      <c r="S683" s="25" t="str">
        <f>IF(S684="x","x","")</f>
        <v/>
      </c>
      <c r="T683" s="25" t="s">
        <v>27</v>
      </c>
      <c r="U683" s="26"/>
      <c r="V683" s="27"/>
    </row>
    <row r="684" spans="1:22" ht="16.5" thickBot="1" x14ac:dyDescent="0.3">
      <c r="A684" s="28" t="str">
        <f>A683</f>
        <v>India</v>
      </c>
      <c r="B684" s="28" t="str">
        <f>B683</f>
        <v>South Asia</v>
      </c>
      <c r="C684" s="28" t="str">
        <f>C683</f>
        <v>P070421</v>
      </c>
      <c r="D684" s="28" t="s">
        <v>26</v>
      </c>
      <c r="E684" s="28" t="s">
        <v>27</v>
      </c>
      <c r="F684" s="28" t="str">
        <f>F683</f>
        <v>P070421C1S3</v>
      </c>
      <c r="G684" s="28" t="s">
        <v>16</v>
      </c>
      <c r="H684" s="29" t="str">
        <f>H682&amp;" / "&amp;H683</f>
        <v>2001 / 2008</v>
      </c>
      <c r="I684" s="29" t="str">
        <f>I683</f>
        <v>Widening and Reconstruction</v>
      </c>
      <c r="J684" s="97" t="str">
        <f>IFERROR(J683/J682,"")</f>
        <v/>
      </c>
      <c r="K684" s="32">
        <f>K683/K682</f>
        <v>1</v>
      </c>
      <c r="L684" s="32">
        <f>L683/L682</f>
        <v>1.089727568107973</v>
      </c>
      <c r="M684" s="28"/>
      <c r="N684" s="32">
        <f>N683/N682</f>
        <v>1.089727568107973</v>
      </c>
      <c r="O684" s="32">
        <f>O683/O682</f>
        <v>1.089727568107973</v>
      </c>
      <c r="P684" s="33" t="str">
        <f>IF(K684&lt;50%,"x","")</f>
        <v/>
      </c>
      <c r="Q684" s="33" t="str">
        <f>IF(K684&gt;150%,"x","")</f>
        <v/>
      </c>
      <c r="R684" s="33" t="str">
        <f>IF(O684&lt;50%,"x","")</f>
        <v/>
      </c>
      <c r="S684" s="33" t="str">
        <f>IF(O684&gt;150%,"x","")</f>
        <v/>
      </c>
      <c r="T684" s="33" t="s">
        <v>27</v>
      </c>
      <c r="U684" s="34" t="s">
        <v>27</v>
      </c>
      <c r="V684" s="35" t="s">
        <v>27</v>
      </c>
    </row>
    <row r="685" spans="1:22" ht="16.5" thickTop="1" x14ac:dyDescent="0.25">
      <c r="A685" s="18" t="s">
        <v>123</v>
      </c>
      <c r="B685" s="18" t="s">
        <v>948</v>
      </c>
      <c r="C685" s="18" t="s">
        <v>604</v>
      </c>
      <c r="D685" s="18" t="s">
        <v>26</v>
      </c>
      <c r="E685" s="18" t="s">
        <v>71</v>
      </c>
      <c r="F685" s="18" t="s">
        <v>611</v>
      </c>
      <c r="G685" s="18" t="s">
        <v>29</v>
      </c>
      <c r="H685" s="19">
        <v>2001</v>
      </c>
      <c r="I685" s="18" t="s">
        <v>364</v>
      </c>
      <c r="J685" s="101" t="s">
        <v>27</v>
      </c>
      <c r="K685" s="20">
        <v>20</v>
      </c>
      <c r="L685" s="21">
        <v>4.34</v>
      </c>
      <c r="M685" s="22" t="s">
        <v>30</v>
      </c>
      <c r="N685" s="23">
        <v>4.34</v>
      </c>
      <c r="O685" s="24">
        <v>0.217</v>
      </c>
      <c r="P685" s="25" t="str">
        <f>IF(P687="x","x","")</f>
        <v/>
      </c>
      <c r="Q685" s="25" t="str">
        <f>IF(Q687="x","x","")</f>
        <v/>
      </c>
      <c r="R685" s="25" t="str">
        <f>IF(R687="x","x","")</f>
        <v/>
      </c>
      <c r="S685" s="25" t="str">
        <f>IF(S687="x","x","")</f>
        <v/>
      </c>
      <c r="T685" s="25" t="s">
        <v>27</v>
      </c>
      <c r="U685" s="26"/>
      <c r="V685" s="27"/>
    </row>
    <row r="686" spans="1:22" x14ac:dyDescent="0.25">
      <c r="A686" s="18" t="s">
        <v>123</v>
      </c>
      <c r="B686" s="18" t="s">
        <v>948</v>
      </c>
      <c r="C686" s="18" t="s">
        <v>604</v>
      </c>
      <c r="D686" s="18" t="s">
        <v>26</v>
      </c>
      <c r="E686" s="18" t="s">
        <v>71</v>
      </c>
      <c r="F686" s="18" t="s">
        <v>611</v>
      </c>
      <c r="G686" s="18" t="s">
        <v>32</v>
      </c>
      <c r="H686" s="19">
        <v>2008</v>
      </c>
      <c r="I686" s="18" t="s">
        <v>364</v>
      </c>
      <c r="J686" s="101" t="s">
        <v>27</v>
      </c>
      <c r="K686" s="20">
        <v>20</v>
      </c>
      <c r="L686" s="21">
        <v>3.5</v>
      </c>
      <c r="M686" s="22" t="s">
        <v>30</v>
      </c>
      <c r="N686" s="23">
        <v>3.5</v>
      </c>
      <c r="O686" s="24">
        <v>0.17499999999999999</v>
      </c>
      <c r="P686" s="25" t="str">
        <f>IF(P687="x","x","")</f>
        <v/>
      </c>
      <c r="Q686" s="25" t="str">
        <f>IF(Q687="x","x","")</f>
        <v/>
      </c>
      <c r="R686" s="25" t="str">
        <f>IF(R687="x","x","")</f>
        <v/>
      </c>
      <c r="S686" s="25" t="str">
        <f>IF(S687="x","x","")</f>
        <v/>
      </c>
      <c r="T686" s="25" t="s">
        <v>27</v>
      </c>
      <c r="U686" s="26"/>
      <c r="V686" s="27"/>
    </row>
    <row r="687" spans="1:22" ht="16.5" thickBot="1" x14ac:dyDescent="0.3">
      <c r="A687" s="28" t="str">
        <f>A686</f>
        <v>India</v>
      </c>
      <c r="B687" s="28" t="str">
        <f>B686</f>
        <v>South Asia</v>
      </c>
      <c r="C687" s="28" t="str">
        <f>C686</f>
        <v>P070421</v>
      </c>
      <c r="D687" s="28" t="s">
        <v>26</v>
      </c>
      <c r="E687" s="28" t="s">
        <v>27</v>
      </c>
      <c r="F687" s="28" t="str">
        <f>F686</f>
        <v>P070421C1S4</v>
      </c>
      <c r="G687" s="28" t="s">
        <v>16</v>
      </c>
      <c r="H687" s="29" t="str">
        <f>H685&amp;" / "&amp;H686</f>
        <v>2001 / 2008</v>
      </c>
      <c r="I687" s="29" t="str">
        <f>I686</f>
        <v>Widening and Reconstruction</v>
      </c>
      <c r="J687" s="97" t="str">
        <f>IFERROR(J686/J685,"")</f>
        <v/>
      </c>
      <c r="K687" s="32">
        <f>K686/K685</f>
        <v>1</v>
      </c>
      <c r="L687" s="32">
        <f>L686/L685</f>
        <v>0.80645161290322587</v>
      </c>
      <c r="M687" s="28"/>
      <c r="N687" s="32">
        <f>N686/N685</f>
        <v>0.80645161290322587</v>
      </c>
      <c r="O687" s="32">
        <f>O686/O685</f>
        <v>0.80645161290322576</v>
      </c>
      <c r="P687" s="33" t="str">
        <f>IF(K687&lt;50%,"x","")</f>
        <v/>
      </c>
      <c r="Q687" s="33" t="str">
        <f>IF(K687&gt;150%,"x","")</f>
        <v/>
      </c>
      <c r="R687" s="33" t="str">
        <f>IF(O687&lt;50%,"x","")</f>
        <v/>
      </c>
      <c r="S687" s="33" t="str">
        <f>IF(O687&gt;150%,"x","")</f>
        <v/>
      </c>
      <c r="T687" s="33" t="s">
        <v>27</v>
      </c>
      <c r="U687" s="34" t="s">
        <v>27</v>
      </c>
      <c r="V687" s="35" t="s">
        <v>27</v>
      </c>
    </row>
    <row r="688" spans="1:22" ht="16.5" thickTop="1" x14ac:dyDescent="0.25">
      <c r="A688" s="18" t="s">
        <v>123</v>
      </c>
      <c r="B688" s="18" t="s">
        <v>948</v>
      </c>
      <c r="C688" s="18" t="s">
        <v>604</v>
      </c>
      <c r="D688" s="18" t="s">
        <v>26</v>
      </c>
      <c r="E688" s="18" t="s">
        <v>141</v>
      </c>
      <c r="F688" s="18" t="s">
        <v>612</v>
      </c>
      <c r="G688" s="18" t="s">
        <v>29</v>
      </c>
      <c r="H688" s="19">
        <v>2001</v>
      </c>
      <c r="I688" s="18" t="s">
        <v>364</v>
      </c>
      <c r="J688" s="101" t="s">
        <v>27</v>
      </c>
      <c r="K688" s="20">
        <v>31</v>
      </c>
      <c r="L688" s="21">
        <v>7.76</v>
      </c>
      <c r="M688" s="22" t="s">
        <v>30</v>
      </c>
      <c r="N688" s="23">
        <v>7.76</v>
      </c>
      <c r="O688" s="24">
        <v>0.25032258064516127</v>
      </c>
      <c r="P688" s="25" t="str">
        <f>IF(P690="x","x","")</f>
        <v/>
      </c>
      <c r="Q688" s="25" t="str">
        <f>IF(Q690="x","x","")</f>
        <v/>
      </c>
      <c r="R688" s="25" t="str">
        <f>IF(R690="x","x","")</f>
        <v/>
      </c>
      <c r="S688" s="25" t="str">
        <f>IF(S690="x","x","")</f>
        <v/>
      </c>
      <c r="T688" s="25" t="s">
        <v>27</v>
      </c>
      <c r="U688" s="26"/>
      <c r="V688" s="27"/>
    </row>
    <row r="689" spans="1:22" x14ac:dyDescent="0.25">
      <c r="A689" s="18" t="s">
        <v>123</v>
      </c>
      <c r="B689" s="18" t="s">
        <v>948</v>
      </c>
      <c r="C689" s="18" t="s">
        <v>604</v>
      </c>
      <c r="D689" s="18" t="s">
        <v>26</v>
      </c>
      <c r="E689" s="18" t="s">
        <v>141</v>
      </c>
      <c r="F689" s="18" t="s">
        <v>612</v>
      </c>
      <c r="G689" s="18" t="s">
        <v>32</v>
      </c>
      <c r="H689" s="19">
        <v>2008</v>
      </c>
      <c r="I689" s="18" t="s">
        <v>364</v>
      </c>
      <c r="J689" s="101" t="s">
        <v>27</v>
      </c>
      <c r="K689" s="20">
        <v>31</v>
      </c>
      <c r="L689" s="21">
        <v>9</v>
      </c>
      <c r="M689" s="22" t="s">
        <v>30</v>
      </c>
      <c r="N689" s="23">
        <v>9</v>
      </c>
      <c r="O689" s="24">
        <v>0.29032258064516131</v>
      </c>
      <c r="P689" s="25" t="str">
        <f>IF(P690="x","x","")</f>
        <v/>
      </c>
      <c r="Q689" s="25" t="str">
        <f>IF(Q690="x","x","")</f>
        <v/>
      </c>
      <c r="R689" s="25" t="str">
        <f>IF(R690="x","x","")</f>
        <v/>
      </c>
      <c r="S689" s="25" t="str">
        <f>IF(S690="x","x","")</f>
        <v/>
      </c>
      <c r="T689" s="25" t="s">
        <v>27</v>
      </c>
      <c r="U689" s="26"/>
      <c r="V689" s="27"/>
    </row>
    <row r="690" spans="1:22" ht="16.5" thickBot="1" x14ac:dyDescent="0.3">
      <c r="A690" s="28" t="str">
        <f>A689</f>
        <v>India</v>
      </c>
      <c r="B690" s="28" t="str">
        <f>B689</f>
        <v>South Asia</v>
      </c>
      <c r="C690" s="28" t="str">
        <f>C689</f>
        <v>P070421</v>
      </c>
      <c r="D690" s="28" t="s">
        <v>26</v>
      </c>
      <c r="E690" s="28" t="s">
        <v>27</v>
      </c>
      <c r="F690" s="28" t="str">
        <f>F689</f>
        <v>P070421C1S5</v>
      </c>
      <c r="G690" s="28" t="s">
        <v>16</v>
      </c>
      <c r="H690" s="29" t="str">
        <f>H688&amp;" / "&amp;H689</f>
        <v>2001 / 2008</v>
      </c>
      <c r="I690" s="29" t="str">
        <f>I689</f>
        <v>Widening and Reconstruction</v>
      </c>
      <c r="J690" s="97" t="str">
        <f>IFERROR(J689/J688,"")</f>
        <v/>
      </c>
      <c r="K690" s="32">
        <f>K689/K688</f>
        <v>1</v>
      </c>
      <c r="L690" s="32">
        <f>L689/L688</f>
        <v>1.1597938144329898</v>
      </c>
      <c r="M690" s="28"/>
      <c r="N690" s="32">
        <f>N689/N688</f>
        <v>1.1597938144329898</v>
      </c>
      <c r="O690" s="32">
        <f>O689/O688</f>
        <v>1.1597938144329898</v>
      </c>
      <c r="P690" s="33" t="str">
        <f>IF(K690&lt;50%,"x","")</f>
        <v/>
      </c>
      <c r="Q690" s="33" t="str">
        <f>IF(K690&gt;150%,"x","")</f>
        <v/>
      </c>
      <c r="R690" s="33" t="str">
        <f>IF(O690&lt;50%,"x","")</f>
        <v/>
      </c>
      <c r="S690" s="33" t="str">
        <f>IF(O690&gt;150%,"x","")</f>
        <v/>
      </c>
      <c r="T690" s="33" t="s">
        <v>27</v>
      </c>
      <c r="U690" s="34" t="s">
        <v>27</v>
      </c>
      <c r="V690" s="35" t="s">
        <v>27</v>
      </c>
    </row>
    <row r="691" spans="1:22" ht="16.5" thickTop="1" x14ac:dyDescent="0.25">
      <c r="A691" s="18" t="s">
        <v>123</v>
      </c>
      <c r="B691" s="18" t="s">
        <v>948</v>
      </c>
      <c r="C691" s="18" t="s">
        <v>604</v>
      </c>
      <c r="D691" s="18" t="s">
        <v>26</v>
      </c>
      <c r="E691" s="18" t="s">
        <v>143</v>
      </c>
      <c r="F691" s="18" t="s">
        <v>613</v>
      </c>
      <c r="G691" s="18" t="s">
        <v>29</v>
      </c>
      <c r="H691" s="19">
        <v>2001</v>
      </c>
      <c r="I691" s="18" t="s">
        <v>364</v>
      </c>
      <c r="J691" s="101" t="s">
        <v>27</v>
      </c>
      <c r="K691" s="20">
        <v>94.13</v>
      </c>
      <c r="L691" s="21">
        <v>22.94</v>
      </c>
      <c r="M691" s="22" t="s">
        <v>30</v>
      </c>
      <c r="N691" s="23">
        <v>22.94</v>
      </c>
      <c r="O691" s="24">
        <v>0.24370551365133328</v>
      </c>
      <c r="P691" s="25" t="str">
        <f>IF(P693="x","x","")</f>
        <v/>
      </c>
      <c r="Q691" s="25" t="str">
        <f>IF(Q693="x","x","")</f>
        <v/>
      </c>
      <c r="R691" s="25" t="str">
        <f>IF(R693="x","x","")</f>
        <v/>
      </c>
      <c r="S691" s="25" t="str">
        <f>IF(S693="x","x","")</f>
        <v/>
      </c>
      <c r="T691" s="25" t="s">
        <v>27</v>
      </c>
      <c r="U691" s="26"/>
      <c r="V691" s="27"/>
    </row>
    <row r="692" spans="1:22" x14ac:dyDescent="0.25">
      <c r="A692" s="18" t="s">
        <v>123</v>
      </c>
      <c r="B692" s="18" t="s">
        <v>948</v>
      </c>
      <c r="C692" s="18" t="s">
        <v>604</v>
      </c>
      <c r="D692" s="18" t="s">
        <v>26</v>
      </c>
      <c r="E692" s="18" t="s">
        <v>143</v>
      </c>
      <c r="F692" s="18" t="s">
        <v>613</v>
      </c>
      <c r="G692" s="18" t="s">
        <v>32</v>
      </c>
      <c r="H692" s="19">
        <v>2008</v>
      </c>
      <c r="I692" s="18" t="s">
        <v>364</v>
      </c>
      <c r="J692" s="101" t="s">
        <v>27</v>
      </c>
      <c r="K692" s="20">
        <v>94.13</v>
      </c>
      <c r="L692" s="21">
        <v>21.5</v>
      </c>
      <c r="M692" s="22" t="s">
        <v>30</v>
      </c>
      <c r="N692" s="23">
        <v>21.5</v>
      </c>
      <c r="O692" s="24">
        <v>0.22840752151280144</v>
      </c>
      <c r="P692" s="25" t="str">
        <f>IF(P693="x","x","")</f>
        <v/>
      </c>
      <c r="Q692" s="25" t="str">
        <f>IF(Q693="x","x","")</f>
        <v/>
      </c>
      <c r="R692" s="25" t="str">
        <f>IF(R693="x","x","")</f>
        <v/>
      </c>
      <c r="S692" s="25" t="str">
        <f>IF(S693="x","x","")</f>
        <v/>
      </c>
      <c r="T692" s="25" t="s">
        <v>27</v>
      </c>
      <c r="U692" s="26"/>
      <c r="V692" s="27"/>
    </row>
    <row r="693" spans="1:22" ht="16.5" thickBot="1" x14ac:dyDescent="0.3">
      <c r="A693" s="28" t="str">
        <f>A692</f>
        <v>India</v>
      </c>
      <c r="B693" s="28" t="str">
        <f>B692</f>
        <v>South Asia</v>
      </c>
      <c r="C693" s="28" t="str">
        <f>C692</f>
        <v>P070421</v>
      </c>
      <c r="D693" s="28" t="s">
        <v>26</v>
      </c>
      <c r="E693" s="28" t="s">
        <v>27</v>
      </c>
      <c r="F693" s="28" t="str">
        <f>F692</f>
        <v>P070421C1S6</v>
      </c>
      <c r="G693" s="28" t="s">
        <v>16</v>
      </c>
      <c r="H693" s="29" t="str">
        <f>H691&amp;" / "&amp;H692</f>
        <v>2001 / 2008</v>
      </c>
      <c r="I693" s="29" t="str">
        <f>I692</f>
        <v>Widening and Reconstruction</v>
      </c>
      <c r="J693" s="97" t="str">
        <f>IFERROR(J692/J691,"")</f>
        <v/>
      </c>
      <c r="K693" s="32">
        <f>K692/K691</f>
        <v>1</v>
      </c>
      <c r="L693" s="32">
        <f>L692/L691</f>
        <v>0.93722755013077585</v>
      </c>
      <c r="M693" s="28"/>
      <c r="N693" s="32">
        <f>N692/N691</f>
        <v>0.93722755013077585</v>
      </c>
      <c r="O693" s="32">
        <f>O692/O691</f>
        <v>0.93722755013077585</v>
      </c>
      <c r="P693" s="33" t="str">
        <f>IF(K693&lt;50%,"x","")</f>
        <v/>
      </c>
      <c r="Q693" s="33" t="str">
        <f>IF(K693&gt;150%,"x","")</f>
        <v/>
      </c>
      <c r="R693" s="33" t="str">
        <f>IF(O693&lt;50%,"x","")</f>
        <v/>
      </c>
      <c r="S693" s="33" t="str">
        <f>IF(O693&gt;150%,"x","")</f>
        <v/>
      </c>
      <c r="T693" s="33" t="s">
        <v>27</v>
      </c>
      <c r="U693" s="34" t="s">
        <v>27</v>
      </c>
      <c r="V693" s="35" t="s">
        <v>27</v>
      </c>
    </row>
    <row r="694" spans="1:22" ht="16.5" thickTop="1" x14ac:dyDescent="0.25">
      <c r="A694" s="18" t="s">
        <v>123</v>
      </c>
      <c r="B694" s="18" t="s">
        <v>948</v>
      </c>
      <c r="C694" s="18" t="s">
        <v>604</v>
      </c>
      <c r="D694" s="18" t="s">
        <v>26</v>
      </c>
      <c r="E694" s="18" t="s">
        <v>245</v>
      </c>
      <c r="F694" s="18" t="s">
        <v>614</v>
      </c>
      <c r="G694" s="18" t="s">
        <v>29</v>
      </c>
      <c r="H694" s="19">
        <v>2001</v>
      </c>
      <c r="I694" s="18" t="s">
        <v>364</v>
      </c>
      <c r="J694" s="101" t="s">
        <v>27</v>
      </c>
      <c r="K694" s="20">
        <v>103.94</v>
      </c>
      <c r="L694" s="21">
        <v>25.35</v>
      </c>
      <c r="M694" s="22" t="s">
        <v>30</v>
      </c>
      <c r="N694" s="23">
        <v>25.35</v>
      </c>
      <c r="O694" s="24">
        <v>0.24389070617664038</v>
      </c>
      <c r="P694" s="25" t="str">
        <f>IF(P696="x","x","")</f>
        <v/>
      </c>
      <c r="Q694" s="25" t="str">
        <f>IF(Q696="x","x","")</f>
        <v/>
      </c>
      <c r="R694" s="25" t="str">
        <f>IF(R696="x","x","")</f>
        <v/>
      </c>
      <c r="S694" s="25" t="str">
        <f>IF(S696="x","x","")</f>
        <v/>
      </c>
      <c r="T694" s="25" t="s">
        <v>27</v>
      </c>
      <c r="U694" s="26"/>
      <c r="V694" s="27"/>
    </row>
    <row r="695" spans="1:22" x14ac:dyDescent="0.25">
      <c r="A695" s="18" t="s">
        <v>123</v>
      </c>
      <c r="B695" s="18" t="s">
        <v>948</v>
      </c>
      <c r="C695" s="18" t="s">
        <v>604</v>
      </c>
      <c r="D695" s="18" t="s">
        <v>26</v>
      </c>
      <c r="E695" s="18" t="s">
        <v>245</v>
      </c>
      <c r="F695" s="18" t="s">
        <v>614</v>
      </c>
      <c r="G695" s="18" t="s">
        <v>32</v>
      </c>
      <c r="H695" s="19">
        <v>2008</v>
      </c>
      <c r="I695" s="18" t="s">
        <v>364</v>
      </c>
      <c r="J695" s="101" t="s">
        <v>27</v>
      </c>
      <c r="K695" s="20">
        <v>103.94</v>
      </c>
      <c r="L695" s="21">
        <v>14.5</v>
      </c>
      <c r="M695" s="22" t="s">
        <v>30</v>
      </c>
      <c r="N695" s="23">
        <v>14.5</v>
      </c>
      <c r="O695" s="24">
        <v>0.13950355974600731</v>
      </c>
      <c r="P695" s="25" t="str">
        <f>IF(P696="x","x","")</f>
        <v/>
      </c>
      <c r="Q695" s="25" t="str">
        <f>IF(Q696="x","x","")</f>
        <v/>
      </c>
      <c r="R695" s="25" t="str">
        <f>IF(R696="x","x","")</f>
        <v/>
      </c>
      <c r="S695" s="25" t="str">
        <f>IF(S696="x","x","")</f>
        <v/>
      </c>
      <c r="T695" s="25" t="s">
        <v>27</v>
      </c>
      <c r="U695" s="26"/>
      <c r="V695" s="27"/>
    </row>
    <row r="696" spans="1:22" ht="16.5" thickBot="1" x14ac:dyDescent="0.3">
      <c r="A696" s="28" t="str">
        <f>A695</f>
        <v>India</v>
      </c>
      <c r="B696" s="28" t="str">
        <f>B695</f>
        <v>South Asia</v>
      </c>
      <c r="C696" s="28" t="str">
        <f>C695</f>
        <v>P070421</v>
      </c>
      <c r="D696" s="28" t="s">
        <v>26</v>
      </c>
      <c r="E696" s="28" t="s">
        <v>27</v>
      </c>
      <c r="F696" s="28" t="str">
        <f>F695</f>
        <v>P070421C1S7</v>
      </c>
      <c r="G696" s="28" t="s">
        <v>16</v>
      </c>
      <c r="H696" s="29" t="str">
        <f>H694&amp;" / "&amp;H695</f>
        <v>2001 / 2008</v>
      </c>
      <c r="I696" s="29" t="str">
        <f>I695</f>
        <v>Widening and Reconstruction</v>
      </c>
      <c r="J696" s="97" t="str">
        <f>IFERROR(J695/J694,"")</f>
        <v/>
      </c>
      <c r="K696" s="32">
        <f>K695/K694</f>
        <v>1</v>
      </c>
      <c r="L696" s="32">
        <f>L695/L694</f>
        <v>0.57199211045364884</v>
      </c>
      <c r="M696" s="28"/>
      <c r="N696" s="32">
        <f>N695/N694</f>
        <v>0.57199211045364884</v>
      </c>
      <c r="O696" s="32">
        <f>O695/O694</f>
        <v>0.57199211045364884</v>
      </c>
      <c r="P696" s="33" t="str">
        <f>IF(K696&lt;50%,"x","")</f>
        <v/>
      </c>
      <c r="Q696" s="33" t="str">
        <f>IF(K696&gt;150%,"x","")</f>
        <v/>
      </c>
      <c r="R696" s="33" t="str">
        <f>IF(O696&lt;50%,"x","")</f>
        <v/>
      </c>
      <c r="S696" s="33" t="str">
        <f>IF(O696&gt;150%,"x","")</f>
        <v/>
      </c>
      <c r="T696" s="33" t="s">
        <v>27</v>
      </c>
      <c r="U696" s="34" t="s">
        <v>27</v>
      </c>
      <c r="V696" s="35" t="s">
        <v>27</v>
      </c>
    </row>
    <row r="697" spans="1:22" ht="16.5" thickTop="1" x14ac:dyDescent="0.25">
      <c r="A697" s="18" t="s">
        <v>123</v>
      </c>
      <c r="B697" s="18" t="s">
        <v>948</v>
      </c>
      <c r="C697" s="18" t="s">
        <v>604</v>
      </c>
      <c r="D697" s="18" t="s">
        <v>26</v>
      </c>
      <c r="E697" s="18" t="s">
        <v>247</v>
      </c>
      <c r="F697" s="18" t="s">
        <v>615</v>
      </c>
      <c r="G697" s="18" t="s">
        <v>29</v>
      </c>
      <c r="H697" s="19">
        <v>2001</v>
      </c>
      <c r="I697" s="18" t="s">
        <v>364</v>
      </c>
      <c r="J697" s="101" t="s">
        <v>27</v>
      </c>
      <c r="K697" s="20">
        <v>170.62</v>
      </c>
      <c r="L697" s="21">
        <v>45.67</v>
      </c>
      <c r="M697" s="22" t="s">
        <v>30</v>
      </c>
      <c r="N697" s="23">
        <v>45.67</v>
      </c>
      <c r="O697" s="24">
        <v>0.26767084749736259</v>
      </c>
      <c r="P697" s="25" t="str">
        <f>IF(P699="x","x","")</f>
        <v/>
      </c>
      <c r="Q697" s="25" t="str">
        <f>IF(Q699="x","x","")</f>
        <v/>
      </c>
      <c r="R697" s="25" t="str">
        <f>IF(R699="x","x","")</f>
        <v>x</v>
      </c>
      <c r="S697" s="25" t="str">
        <f>IF(S699="x","x","")</f>
        <v/>
      </c>
      <c r="T697" s="25" t="s">
        <v>31</v>
      </c>
      <c r="U697" s="26"/>
      <c r="V697" s="27"/>
    </row>
    <row r="698" spans="1:22" x14ac:dyDescent="0.25">
      <c r="A698" s="18" t="s">
        <v>123</v>
      </c>
      <c r="B698" s="18" t="s">
        <v>948</v>
      </c>
      <c r="C698" s="18" t="s">
        <v>604</v>
      </c>
      <c r="D698" s="18" t="s">
        <v>26</v>
      </c>
      <c r="E698" s="18" t="s">
        <v>247</v>
      </c>
      <c r="F698" s="18" t="s">
        <v>615</v>
      </c>
      <c r="G698" s="18" t="s">
        <v>32</v>
      </c>
      <c r="H698" s="19">
        <v>2008</v>
      </c>
      <c r="I698" s="18" t="s">
        <v>364</v>
      </c>
      <c r="J698" s="101" t="s">
        <v>27</v>
      </c>
      <c r="K698" s="20">
        <v>170.62</v>
      </c>
      <c r="L698" s="21">
        <v>17.7</v>
      </c>
      <c r="M698" s="22" t="s">
        <v>30</v>
      </c>
      <c r="N698" s="23">
        <v>17.7</v>
      </c>
      <c r="O698" s="24">
        <v>0.10373930371585979</v>
      </c>
      <c r="P698" s="25" t="str">
        <f>IF(P699="x","x","")</f>
        <v/>
      </c>
      <c r="Q698" s="25" t="str">
        <f>IF(Q699="x","x","")</f>
        <v/>
      </c>
      <c r="R698" s="25" t="str">
        <f>IF(R699="x","x","")</f>
        <v>x</v>
      </c>
      <c r="S698" s="25" t="str">
        <f>IF(S699="x","x","")</f>
        <v/>
      </c>
      <c r="T698" s="25" t="s">
        <v>31</v>
      </c>
      <c r="U698" s="26"/>
      <c r="V698" s="27"/>
    </row>
    <row r="699" spans="1:22" ht="32.25" thickBot="1" x14ac:dyDescent="0.3">
      <c r="A699" s="28" t="str">
        <f>A698</f>
        <v>India</v>
      </c>
      <c r="B699" s="28" t="str">
        <f>B698</f>
        <v>South Asia</v>
      </c>
      <c r="C699" s="28" t="str">
        <f>C698</f>
        <v>P070421</v>
      </c>
      <c r="D699" s="28" t="s">
        <v>26</v>
      </c>
      <c r="E699" s="28" t="s">
        <v>27</v>
      </c>
      <c r="F699" s="28" t="str">
        <f>F698</f>
        <v>P070421C1S8</v>
      </c>
      <c r="G699" s="28" t="s">
        <v>16</v>
      </c>
      <c r="H699" s="29" t="str">
        <f>H697&amp;" / "&amp;H698</f>
        <v>2001 / 2008</v>
      </c>
      <c r="I699" s="29" t="str">
        <f>I698</f>
        <v>Widening and Reconstruction</v>
      </c>
      <c r="J699" s="97" t="str">
        <f>IFERROR(J698/J697,"")</f>
        <v/>
      </c>
      <c r="K699" s="32">
        <f>K698/K697</f>
        <v>1</v>
      </c>
      <c r="L699" s="32">
        <f>L698/L697</f>
        <v>0.38756295160937154</v>
      </c>
      <c r="M699" s="28"/>
      <c r="N699" s="32">
        <f>N698/N697</f>
        <v>0.38756295160937154</v>
      </c>
      <c r="O699" s="32">
        <f>O698/O697</f>
        <v>0.38756295160937149</v>
      </c>
      <c r="P699" s="33" t="str">
        <f>IF(K699&lt;50%,"x","")</f>
        <v/>
      </c>
      <c r="Q699" s="33" t="str">
        <f>IF(K699&gt;150%,"x","")</f>
        <v/>
      </c>
      <c r="R699" s="33" t="str">
        <f>IF(O699&lt;50%,"x","")</f>
        <v>x</v>
      </c>
      <c r="S699" s="33" t="str">
        <f>IF(O699&gt;150%,"x","")</f>
        <v/>
      </c>
      <c r="T699" s="33" t="s">
        <v>31</v>
      </c>
      <c r="U699" s="34" t="s">
        <v>982</v>
      </c>
      <c r="V699" s="35" t="s">
        <v>1019</v>
      </c>
    </row>
    <row r="700" spans="1:22" ht="16.5" thickTop="1" x14ac:dyDescent="0.25">
      <c r="A700" s="18" t="s">
        <v>123</v>
      </c>
      <c r="B700" s="18" t="s">
        <v>948</v>
      </c>
      <c r="C700" s="18" t="s">
        <v>604</v>
      </c>
      <c r="D700" s="18" t="s">
        <v>26</v>
      </c>
      <c r="E700" s="18" t="s">
        <v>249</v>
      </c>
      <c r="F700" s="18" t="s">
        <v>616</v>
      </c>
      <c r="G700" s="18" t="s">
        <v>29</v>
      </c>
      <c r="H700" s="19">
        <v>2001</v>
      </c>
      <c r="I700" s="18" t="s">
        <v>364</v>
      </c>
      <c r="J700" s="101" t="s">
        <v>27</v>
      </c>
      <c r="K700" s="20">
        <v>35.200000000000003</v>
      </c>
      <c r="L700" s="21">
        <v>8.58</v>
      </c>
      <c r="M700" s="22" t="s">
        <v>30</v>
      </c>
      <c r="N700" s="23">
        <v>8.58</v>
      </c>
      <c r="O700" s="24">
        <v>0.24374999999999999</v>
      </c>
      <c r="P700" s="25" t="str">
        <f>IF(P702="x","x","")</f>
        <v/>
      </c>
      <c r="Q700" s="25" t="str">
        <f>IF(Q702="x","x","")</f>
        <v/>
      </c>
      <c r="R700" s="25" t="str">
        <f>IF(R702="x","x","")</f>
        <v/>
      </c>
      <c r="S700" s="25" t="str">
        <f>IF(S702="x","x","")</f>
        <v>x</v>
      </c>
      <c r="T700" s="25" t="s">
        <v>31</v>
      </c>
      <c r="U700" s="26"/>
      <c r="V700" s="27"/>
    </row>
    <row r="701" spans="1:22" x14ac:dyDescent="0.25">
      <c r="A701" s="18" t="s">
        <v>123</v>
      </c>
      <c r="B701" s="18" t="s">
        <v>948</v>
      </c>
      <c r="C701" s="18" t="s">
        <v>604</v>
      </c>
      <c r="D701" s="18" t="s">
        <v>26</v>
      </c>
      <c r="E701" s="18" t="s">
        <v>249</v>
      </c>
      <c r="F701" s="18" t="s">
        <v>616</v>
      </c>
      <c r="G701" s="18" t="s">
        <v>32</v>
      </c>
      <c r="H701" s="19">
        <v>2008</v>
      </c>
      <c r="I701" s="18" t="s">
        <v>364</v>
      </c>
      <c r="J701" s="101" t="s">
        <v>27</v>
      </c>
      <c r="K701" s="20">
        <v>35.200000000000003</v>
      </c>
      <c r="L701" s="21">
        <v>84.8</v>
      </c>
      <c r="M701" s="22" t="s">
        <v>30</v>
      </c>
      <c r="N701" s="23">
        <v>84.8</v>
      </c>
      <c r="O701" s="24">
        <v>2.4090909090909087</v>
      </c>
      <c r="P701" s="25" t="str">
        <f>IF(P702="x","x","")</f>
        <v/>
      </c>
      <c r="Q701" s="25" t="str">
        <f>IF(Q702="x","x","")</f>
        <v/>
      </c>
      <c r="R701" s="25" t="str">
        <f>IF(R702="x","x","")</f>
        <v/>
      </c>
      <c r="S701" s="25" t="str">
        <f>IF(S702="x","x","")</f>
        <v>x</v>
      </c>
      <c r="T701" s="25" t="s">
        <v>31</v>
      </c>
      <c r="U701" s="26"/>
      <c r="V701" s="27"/>
    </row>
    <row r="702" spans="1:22" ht="63.75" thickBot="1" x14ac:dyDescent="0.3">
      <c r="A702" s="28" t="str">
        <f>A701</f>
        <v>India</v>
      </c>
      <c r="B702" s="28" t="str">
        <f>B701</f>
        <v>South Asia</v>
      </c>
      <c r="C702" s="28" t="str">
        <f>C701</f>
        <v>P070421</v>
      </c>
      <c r="D702" s="28" t="s">
        <v>26</v>
      </c>
      <c r="E702" s="28" t="s">
        <v>27</v>
      </c>
      <c r="F702" s="28" t="str">
        <f>F701</f>
        <v>P070421C1S9</v>
      </c>
      <c r="G702" s="28" t="s">
        <v>16</v>
      </c>
      <c r="H702" s="29" t="str">
        <f>H700&amp;" / "&amp;H701</f>
        <v>2001 / 2008</v>
      </c>
      <c r="I702" s="29" t="str">
        <f>I701</f>
        <v>Widening and Reconstruction</v>
      </c>
      <c r="J702" s="97" t="str">
        <f>IFERROR(J701/J700,"")</f>
        <v/>
      </c>
      <c r="K702" s="32">
        <f>K701/K700</f>
        <v>1</v>
      </c>
      <c r="L702" s="32">
        <f>L701/L700</f>
        <v>9.8834498834498827</v>
      </c>
      <c r="M702" s="28"/>
      <c r="N702" s="32">
        <f>N701/N700</f>
        <v>9.8834498834498827</v>
      </c>
      <c r="O702" s="32">
        <f>O701/O700</f>
        <v>9.8834498834498827</v>
      </c>
      <c r="P702" s="33" t="str">
        <f>IF(K702&lt;50%,"x","")</f>
        <v/>
      </c>
      <c r="Q702" s="33" t="str">
        <f>IF(K702&gt;150%,"x","")</f>
        <v/>
      </c>
      <c r="R702" s="33" t="str">
        <f>IF(O702&lt;50%,"x","")</f>
        <v/>
      </c>
      <c r="S702" s="33" t="str">
        <f>IF(O702&gt;150%,"x","")</f>
        <v>x</v>
      </c>
      <c r="T702" s="33" t="s">
        <v>31</v>
      </c>
      <c r="U702" s="34" t="s">
        <v>1020</v>
      </c>
      <c r="V702" s="35" t="s">
        <v>1021</v>
      </c>
    </row>
    <row r="703" spans="1:22" ht="16.5" thickTop="1" x14ac:dyDescent="0.25">
      <c r="A703" s="18" t="s">
        <v>123</v>
      </c>
      <c r="B703" s="18" t="s">
        <v>948</v>
      </c>
      <c r="C703" s="18" t="s">
        <v>604</v>
      </c>
      <c r="D703" s="18" t="s">
        <v>42</v>
      </c>
      <c r="E703" s="18" t="s">
        <v>27</v>
      </c>
      <c r="F703" s="18" t="s">
        <v>617</v>
      </c>
      <c r="G703" s="18" t="s">
        <v>29</v>
      </c>
      <c r="H703" s="19">
        <v>2001</v>
      </c>
      <c r="I703" s="18" t="s">
        <v>68</v>
      </c>
      <c r="J703" s="101" t="s">
        <v>27</v>
      </c>
      <c r="K703" s="20">
        <v>1300</v>
      </c>
      <c r="L703" s="21">
        <v>91.15</v>
      </c>
      <c r="M703" s="22" t="s">
        <v>30</v>
      </c>
      <c r="N703" s="23">
        <v>91.15</v>
      </c>
      <c r="O703" s="24">
        <v>7.0115384615384621E-2</v>
      </c>
      <c r="P703" s="25" t="str">
        <f>IF(P705="x","x","")</f>
        <v/>
      </c>
      <c r="Q703" s="25" t="str">
        <f>IF(Q705="x","x","")</f>
        <v/>
      </c>
      <c r="R703" s="25" t="str">
        <f>IF(R705="x","x","")</f>
        <v/>
      </c>
      <c r="S703" s="25" t="str">
        <f>IF(S705="x","x","")</f>
        <v>x</v>
      </c>
      <c r="T703" s="25" t="s">
        <v>31</v>
      </c>
      <c r="U703" s="26"/>
      <c r="V703" s="27"/>
    </row>
    <row r="704" spans="1:22" x14ac:dyDescent="0.25">
      <c r="A704" s="18" t="s">
        <v>123</v>
      </c>
      <c r="B704" s="18" t="s">
        <v>948</v>
      </c>
      <c r="C704" s="18" t="s">
        <v>604</v>
      </c>
      <c r="D704" s="18" t="s">
        <v>42</v>
      </c>
      <c r="E704" s="18" t="s">
        <v>27</v>
      </c>
      <c r="F704" s="18" t="s">
        <v>617</v>
      </c>
      <c r="G704" s="18" t="s">
        <v>32</v>
      </c>
      <c r="H704" s="19">
        <v>2008</v>
      </c>
      <c r="I704" s="18" t="s">
        <v>68</v>
      </c>
      <c r="J704" s="101" t="s">
        <v>27</v>
      </c>
      <c r="K704" s="20">
        <v>1250</v>
      </c>
      <c r="L704" s="21">
        <v>158.72999999999999</v>
      </c>
      <c r="M704" s="22" t="s">
        <v>30</v>
      </c>
      <c r="N704" s="23">
        <v>158.72999999999999</v>
      </c>
      <c r="O704" s="24">
        <v>0.12698399999999999</v>
      </c>
      <c r="P704" s="25" t="str">
        <f>IF(P705="x","x","")</f>
        <v/>
      </c>
      <c r="Q704" s="25" t="str">
        <f>IF(Q705="x","x","")</f>
        <v/>
      </c>
      <c r="R704" s="25" t="str">
        <f>IF(R705="x","x","")</f>
        <v/>
      </c>
      <c r="S704" s="25" t="str">
        <f>IF(S705="x","x","")</f>
        <v>x</v>
      </c>
      <c r="T704" s="25" t="s">
        <v>31</v>
      </c>
      <c r="U704" s="26"/>
      <c r="V704" s="27"/>
    </row>
    <row r="705" spans="1:22" ht="63.75" thickBot="1" x14ac:dyDescent="0.3">
      <c r="A705" s="28" t="str">
        <f>A704</f>
        <v>India</v>
      </c>
      <c r="B705" s="28" t="str">
        <f>B704</f>
        <v>South Asia</v>
      </c>
      <c r="C705" s="28" t="str">
        <f>C704</f>
        <v>P070421</v>
      </c>
      <c r="D705" s="28" t="s">
        <v>26</v>
      </c>
      <c r="E705" s="28" t="s">
        <v>27</v>
      </c>
      <c r="F705" s="28" t="str">
        <f>F704</f>
        <v>P070421C2</v>
      </c>
      <c r="G705" s="28" t="s">
        <v>16</v>
      </c>
      <c r="H705" s="29" t="str">
        <f>H703&amp;" / "&amp;H704</f>
        <v>2001 / 2008</v>
      </c>
      <c r="I705" s="29" t="str">
        <f>I704</f>
        <v>Asphalt Mix Resurfacing</v>
      </c>
      <c r="J705" s="97" t="str">
        <f>IFERROR(J704/J703,"")</f>
        <v/>
      </c>
      <c r="K705" s="32">
        <f>K704/K703</f>
        <v>0.96153846153846156</v>
      </c>
      <c r="L705" s="32">
        <f>L704/L703</f>
        <v>1.74141524958859</v>
      </c>
      <c r="M705" s="28"/>
      <c r="N705" s="32">
        <f>N704/N703</f>
        <v>1.74141524958859</v>
      </c>
      <c r="O705" s="32">
        <f>O704/O703</f>
        <v>1.8110718595721336</v>
      </c>
      <c r="P705" s="33" t="str">
        <f>IF(K705&lt;50%,"x","")</f>
        <v/>
      </c>
      <c r="Q705" s="33" t="str">
        <f>IF(K705&gt;150%,"x","")</f>
        <v/>
      </c>
      <c r="R705" s="33" t="str">
        <f>IF(O705&lt;50%,"x","")</f>
        <v/>
      </c>
      <c r="S705" s="33" t="str">
        <f>IF(O705&gt;150%,"x","")</f>
        <v>x</v>
      </c>
      <c r="T705" s="33" t="s">
        <v>31</v>
      </c>
      <c r="U705" s="34" t="s">
        <v>1020</v>
      </c>
      <c r="V705" s="35" t="s">
        <v>1021</v>
      </c>
    </row>
    <row r="706" spans="1:22" ht="16.5" thickTop="1" x14ac:dyDescent="0.25">
      <c r="A706" s="18" t="s">
        <v>123</v>
      </c>
      <c r="B706" s="18" t="s">
        <v>948</v>
      </c>
      <c r="C706" s="18" t="s">
        <v>648</v>
      </c>
      <c r="D706" s="18" t="s">
        <v>26</v>
      </c>
      <c r="E706" s="18" t="s">
        <v>27</v>
      </c>
      <c r="F706" s="18" t="s">
        <v>649</v>
      </c>
      <c r="G706" s="18" t="s">
        <v>29</v>
      </c>
      <c r="H706" s="19">
        <v>2002</v>
      </c>
      <c r="I706" s="18" t="s">
        <v>364</v>
      </c>
      <c r="J706" s="101" t="s">
        <v>27</v>
      </c>
      <c r="K706" s="20">
        <v>579</v>
      </c>
      <c r="L706" s="21">
        <v>227.2</v>
      </c>
      <c r="M706" s="22" t="s">
        <v>30</v>
      </c>
      <c r="N706" s="23">
        <v>227.2</v>
      </c>
      <c r="O706" s="24">
        <v>0.3924006908462867</v>
      </c>
      <c r="P706" s="25" t="str">
        <f>IF(P708="x","x","")</f>
        <v>x</v>
      </c>
      <c r="Q706" s="25" t="str">
        <f>IF(Q708="x","x","")</f>
        <v/>
      </c>
      <c r="R706" s="25" t="str">
        <f>IF(R708="x","x","")</f>
        <v/>
      </c>
      <c r="S706" s="25" t="str">
        <f>IF(S708="x","x","")</f>
        <v>x</v>
      </c>
      <c r="T706" s="25" t="s">
        <v>31</v>
      </c>
      <c r="U706" s="26"/>
      <c r="V706" s="27"/>
    </row>
    <row r="707" spans="1:22" x14ac:dyDescent="0.25">
      <c r="A707" s="18" t="s">
        <v>123</v>
      </c>
      <c r="B707" s="18" t="s">
        <v>948</v>
      </c>
      <c r="C707" s="18" t="s">
        <v>648</v>
      </c>
      <c r="D707" s="18" t="s">
        <v>26</v>
      </c>
      <c r="E707" s="18" t="s">
        <v>27</v>
      </c>
      <c r="F707" s="18" t="s">
        <v>649</v>
      </c>
      <c r="G707" s="18" t="s">
        <v>32</v>
      </c>
      <c r="H707" s="19">
        <v>2011</v>
      </c>
      <c r="I707" s="18" t="s">
        <v>364</v>
      </c>
      <c r="J707" s="101" t="s">
        <v>27</v>
      </c>
      <c r="K707" s="20">
        <v>254</v>
      </c>
      <c r="L707" s="21">
        <v>163.41</v>
      </c>
      <c r="M707" s="22" t="s">
        <v>30</v>
      </c>
      <c r="N707" s="23">
        <v>163.41</v>
      </c>
      <c r="O707" s="24">
        <v>0.64334645669291335</v>
      </c>
      <c r="P707" s="25" t="str">
        <f>IF(P708="x","x","")</f>
        <v>x</v>
      </c>
      <c r="Q707" s="25" t="str">
        <f>IF(Q708="x","x","")</f>
        <v/>
      </c>
      <c r="R707" s="25" t="str">
        <f>IF(R708="x","x","")</f>
        <v/>
      </c>
      <c r="S707" s="25" t="str">
        <f>IF(S708="x","x","")</f>
        <v>x</v>
      </c>
      <c r="T707" s="25" t="s">
        <v>31</v>
      </c>
      <c r="U707" s="26"/>
      <c r="V707" s="27"/>
    </row>
    <row r="708" spans="1:22" ht="111" thickBot="1" x14ac:dyDescent="0.3">
      <c r="A708" s="28" t="str">
        <f>A707</f>
        <v>India</v>
      </c>
      <c r="B708" s="28" t="str">
        <f>B707</f>
        <v>South Asia</v>
      </c>
      <c r="C708" s="28" t="str">
        <f>C707</f>
        <v>P072539</v>
      </c>
      <c r="D708" s="28" t="s">
        <v>26</v>
      </c>
      <c r="E708" s="28" t="s">
        <v>27</v>
      </c>
      <c r="F708" s="28" t="str">
        <f>F707</f>
        <v>P072539C1</v>
      </c>
      <c r="G708" s="28" t="s">
        <v>16</v>
      </c>
      <c r="H708" s="29" t="str">
        <f>H706&amp;" / "&amp;H707</f>
        <v>2002 / 2011</v>
      </c>
      <c r="I708" s="29" t="str">
        <f>I707</f>
        <v>Widening and Reconstruction</v>
      </c>
      <c r="J708" s="97" t="str">
        <f>IFERROR(J707/J706,"")</f>
        <v/>
      </c>
      <c r="K708" s="32">
        <f>K707/K706</f>
        <v>0.43868739205526769</v>
      </c>
      <c r="L708" s="32">
        <f>L707/L706</f>
        <v>0.71923415492957754</v>
      </c>
      <c r="M708" s="28"/>
      <c r="N708" s="32">
        <f>N707/N706</f>
        <v>0.71923415492957754</v>
      </c>
      <c r="O708" s="32">
        <f>O707/O706</f>
        <v>1.6395140775756902</v>
      </c>
      <c r="P708" s="33" t="str">
        <f>IF(K708&lt;50%,"x","")</f>
        <v>x</v>
      </c>
      <c r="Q708" s="33" t="str">
        <f>IF(K708&gt;150%,"x","")</f>
        <v/>
      </c>
      <c r="R708" s="33" t="str">
        <f>IF(O708&lt;50%,"x","")</f>
        <v/>
      </c>
      <c r="S708" s="33" t="str">
        <f>IF(O708&gt;150%,"x","")</f>
        <v>x</v>
      </c>
      <c r="T708" s="33" t="s">
        <v>31</v>
      </c>
      <c r="U708" s="34" t="s">
        <v>1030</v>
      </c>
      <c r="V708" s="35" t="s">
        <v>1031</v>
      </c>
    </row>
    <row r="709" spans="1:22" ht="16.5" thickTop="1" x14ac:dyDescent="0.25">
      <c r="A709" s="18" t="s">
        <v>123</v>
      </c>
      <c r="B709" s="18" t="s">
        <v>948</v>
      </c>
      <c r="C709" s="18" t="s">
        <v>648</v>
      </c>
      <c r="D709" s="18" t="s">
        <v>42</v>
      </c>
      <c r="E709" s="18" t="s">
        <v>27</v>
      </c>
      <c r="F709" s="18" t="s">
        <v>650</v>
      </c>
      <c r="G709" s="18" t="s">
        <v>29</v>
      </c>
      <c r="H709" s="19">
        <v>2002</v>
      </c>
      <c r="I709" s="18" t="s">
        <v>68</v>
      </c>
      <c r="J709" s="101" t="s">
        <v>27</v>
      </c>
      <c r="K709" s="20">
        <v>1009</v>
      </c>
      <c r="L709" s="21">
        <v>54.1</v>
      </c>
      <c r="M709" s="22" t="s">
        <v>30</v>
      </c>
      <c r="N709" s="23">
        <v>54.1</v>
      </c>
      <c r="O709" s="24">
        <v>5.3617443012884042E-2</v>
      </c>
      <c r="P709" s="25" t="str">
        <f>IF(P711="x","x","")</f>
        <v/>
      </c>
      <c r="Q709" s="25" t="str">
        <f>IF(Q711="x","x","")</f>
        <v/>
      </c>
      <c r="R709" s="25" t="str">
        <f>IF(R711="x","x","")</f>
        <v/>
      </c>
      <c r="S709" s="25" t="str">
        <f>IF(S711="x","x","")</f>
        <v>x</v>
      </c>
      <c r="T709" s="25" t="s">
        <v>31</v>
      </c>
      <c r="U709" s="26"/>
      <c r="V709" s="27"/>
    </row>
    <row r="710" spans="1:22" x14ac:dyDescent="0.25">
      <c r="A710" s="18" t="s">
        <v>123</v>
      </c>
      <c r="B710" s="18" t="s">
        <v>948</v>
      </c>
      <c r="C710" s="18" t="s">
        <v>648</v>
      </c>
      <c r="D710" s="18" t="s">
        <v>42</v>
      </c>
      <c r="E710" s="18" t="s">
        <v>27</v>
      </c>
      <c r="F710" s="18" t="s">
        <v>650</v>
      </c>
      <c r="G710" s="18" t="s">
        <v>32</v>
      </c>
      <c r="H710" s="19">
        <v>2011</v>
      </c>
      <c r="I710" s="18" t="s">
        <v>68</v>
      </c>
      <c r="J710" s="101" t="s">
        <v>27</v>
      </c>
      <c r="K710" s="20">
        <v>1156</v>
      </c>
      <c r="L710" s="21">
        <v>129.44</v>
      </c>
      <c r="M710" s="22" t="s">
        <v>30</v>
      </c>
      <c r="N710" s="23">
        <v>129.44</v>
      </c>
      <c r="O710" s="24">
        <v>0.11197231833910035</v>
      </c>
      <c r="P710" s="25" t="str">
        <f>IF(P711="x","x","")</f>
        <v/>
      </c>
      <c r="Q710" s="25" t="str">
        <f>IF(Q711="x","x","")</f>
        <v/>
      </c>
      <c r="R710" s="25" t="str">
        <f>IF(R711="x","x","")</f>
        <v/>
      </c>
      <c r="S710" s="25" t="str">
        <f>IF(S711="x","x","")</f>
        <v>x</v>
      </c>
      <c r="T710" s="25" t="s">
        <v>31</v>
      </c>
      <c r="U710" s="26"/>
      <c r="V710" s="27"/>
    </row>
    <row r="711" spans="1:22" ht="79.5" thickBot="1" x14ac:dyDescent="0.3">
      <c r="A711" s="28" t="str">
        <f>A710</f>
        <v>India</v>
      </c>
      <c r="B711" s="28" t="str">
        <f>B710</f>
        <v>South Asia</v>
      </c>
      <c r="C711" s="28" t="str">
        <f>C710</f>
        <v>P072539</v>
      </c>
      <c r="D711" s="28" t="s">
        <v>26</v>
      </c>
      <c r="E711" s="28" t="s">
        <v>27</v>
      </c>
      <c r="F711" s="28" t="str">
        <f>F710</f>
        <v>P072539C2</v>
      </c>
      <c r="G711" s="28" t="s">
        <v>16</v>
      </c>
      <c r="H711" s="29" t="str">
        <f>H709&amp;" / "&amp;H710</f>
        <v>2002 / 2011</v>
      </c>
      <c r="I711" s="29" t="str">
        <f>I710</f>
        <v>Asphalt Mix Resurfacing</v>
      </c>
      <c r="J711" s="97" t="str">
        <f>IFERROR(J710/J709,"")</f>
        <v/>
      </c>
      <c r="K711" s="32">
        <f>K710/K709</f>
        <v>1.1456888007928643</v>
      </c>
      <c r="L711" s="32">
        <f>L710/L709</f>
        <v>2.3926062846580405</v>
      </c>
      <c r="M711" s="28"/>
      <c r="N711" s="32">
        <f>N710/N709</f>
        <v>2.3926062846580405</v>
      </c>
      <c r="O711" s="32">
        <f>O710/O709</f>
        <v>2.0883561775259198</v>
      </c>
      <c r="P711" s="33" t="str">
        <f>IF(K711&lt;50%,"x","")</f>
        <v/>
      </c>
      <c r="Q711" s="33" t="str">
        <f>IF(K711&gt;150%,"x","")</f>
        <v/>
      </c>
      <c r="R711" s="33" t="str">
        <f>IF(O711&lt;50%,"x","")</f>
        <v/>
      </c>
      <c r="S711" s="33" t="str">
        <f>IF(O711&gt;150%,"x","")</f>
        <v>x</v>
      </c>
      <c r="T711" s="33" t="s">
        <v>31</v>
      </c>
      <c r="U711" s="34" t="s">
        <v>1032</v>
      </c>
      <c r="V711" s="35" t="s">
        <v>1033</v>
      </c>
    </row>
    <row r="712" spans="1:22" ht="16.5" thickTop="1" x14ac:dyDescent="0.25">
      <c r="A712" s="18" t="s">
        <v>123</v>
      </c>
      <c r="B712" s="18" t="s">
        <v>948</v>
      </c>
      <c r="C712" s="18" t="s">
        <v>685</v>
      </c>
      <c r="D712" s="18" t="s">
        <v>26</v>
      </c>
      <c r="E712" s="18" t="s">
        <v>36</v>
      </c>
      <c r="F712" s="18" t="s">
        <v>686</v>
      </c>
      <c r="G712" s="18" t="s">
        <v>29</v>
      </c>
      <c r="H712" s="19">
        <v>2004</v>
      </c>
      <c r="I712" s="18" t="s">
        <v>387</v>
      </c>
      <c r="J712" s="101">
        <v>12</v>
      </c>
      <c r="K712" s="20">
        <v>672</v>
      </c>
      <c r="L712" s="21">
        <v>1135.68</v>
      </c>
      <c r="M712" s="22" t="s">
        <v>365</v>
      </c>
      <c r="N712" s="23">
        <v>25.237333333333336</v>
      </c>
      <c r="O712" s="24">
        <v>3.7555555555555557E-2</v>
      </c>
      <c r="P712" s="25" t="str">
        <f>IF(P714="x","x","")</f>
        <v/>
      </c>
      <c r="Q712" s="25" t="str">
        <f>IF(Q714="x","x","")</f>
        <v/>
      </c>
      <c r="R712" s="25" t="str">
        <f>IF(R714="x","x","")</f>
        <v/>
      </c>
      <c r="S712" s="25" t="str">
        <f>IF(S714="x","x","")</f>
        <v/>
      </c>
      <c r="T712" s="25" t="s">
        <v>27</v>
      </c>
      <c r="U712" s="26"/>
      <c r="V712" s="27"/>
    </row>
    <row r="713" spans="1:22" x14ac:dyDescent="0.25">
      <c r="A713" s="18" t="s">
        <v>123</v>
      </c>
      <c r="B713" s="18" t="s">
        <v>948</v>
      </c>
      <c r="C713" s="18" t="s">
        <v>685</v>
      </c>
      <c r="D713" s="18" t="s">
        <v>26</v>
      </c>
      <c r="E713" s="18" t="s">
        <v>36</v>
      </c>
      <c r="F713" s="18" t="s">
        <v>686</v>
      </c>
      <c r="G713" s="18" t="s">
        <v>32</v>
      </c>
      <c r="H713" s="19">
        <v>2012</v>
      </c>
      <c r="I713" s="18" t="s">
        <v>387</v>
      </c>
      <c r="J713" s="101">
        <v>24</v>
      </c>
      <c r="K713" s="20">
        <v>984</v>
      </c>
      <c r="L713" s="21">
        <v>2192.3000000000002</v>
      </c>
      <c r="M713" s="22" t="s">
        <v>365</v>
      </c>
      <c r="N713" s="23">
        <v>39.415677813736075</v>
      </c>
      <c r="O713" s="24">
        <v>4.0056583144040724E-2</v>
      </c>
      <c r="P713" s="25" t="str">
        <f>IF(P714="x","x","")</f>
        <v/>
      </c>
      <c r="Q713" s="25" t="str">
        <f>IF(Q714="x","x","")</f>
        <v/>
      </c>
      <c r="R713" s="25" t="str">
        <f>IF(R714="x","x","")</f>
        <v/>
      </c>
      <c r="S713" s="25" t="str">
        <f>IF(S714="x","x","")</f>
        <v/>
      </c>
      <c r="T713" s="25" t="s">
        <v>27</v>
      </c>
      <c r="U713" s="26"/>
      <c r="V713" s="27"/>
    </row>
    <row r="714" spans="1:22" ht="32.25" thickBot="1" x14ac:dyDescent="0.3">
      <c r="A714" s="28" t="str">
        <f>A713</f>
        <v>India</v>
      </c>
      <c r="B714" s="28" t="str">
        <f>B713</f>
        <v>South Asia</v>
      </c>
      <c r="C714" s="28" t="str">
        <f>C713</f>
        <v>P077977</v>
      </c>
      <c r="D714" s="28" t="s">
        <v>26</v>
      </c>
      <c r="E714" s="28" t="s">
        <v>27</v>
      </c>
      <c r="F714" s="28" t="str">
        <f>F713</f>
        <v>P077977C1S1</v>
      </c>
      <c r="G714" s="28" t="s">
        <v>16</v>
      </c>
      <c r="H714" s="29" t="str">
        <f>H712&amp;" / "&amp;H713</f>
        <v>2004 / 2012</v>
      </c>
      <c r="I714" s="29" t="str">
        <f>I713</f>
        <v>Upgrading</v>
      </c>
      <c r="J714" s="97">
        <f>IFERROR(J713/J712,"")</f>
        <v>2</v>
      </c>
      <c r="K714" s="32">
        <f>K713/K712</f>
        <v>1.4642857142857142</v>
      </c>
      <c r="L714" s="32">
        <f>L713/L712</f>
        <v>1.9303853198083969</v>
      </c>
      <c r="M714" s="28"/>
      <c r="N714" s="32">
        <f>N713/N712</f>
        <v>1.5618004205569556</v>
      </c>
      <c r="O714" s="32">
        <f>O713/O712</f>
        <v>1.0665954091608476</v>
      </c>
      <c r="P714" s="33" t="str">
        <f>IF(K714&lt;50%,"x","")</f>
        <v/>
      </c>
      <c r="Q714" s="33" t="str">
        <f>IF(K714&gt;150%,"x","")</f>
        <v/>
      </c>
      <c r="R714" s="33" t="str">
        <f>IF(O714&lt;50%,"x","")</f>
        <v/>
      </c>
      <c r="S714" s="33" t="str">
        <f>IF(O714&gt;150%,"x","")</f>
        <v/>
      </c>
      <c r="T714" s="33" t="s">
        <v>27</v>
      </c>
      <c r="U714" s="34" t="s">
        <v>988</v>
      </c>
      <c r="V714" s="35" t="s">
        <v>1047</v>
      </c>
    </row>
    <row r="715" spans="1:22" ht="16.5" thickTop="1" x14ac:dyDescent="0.25">
      <c r="A715" s="18" t="s">
        <v>123</v>
      </c>
      <c r="B715" s="18" t="s">
        <v>948</v>
      </c>
      <c r="C715" s="18" t="s">
        <v>685</v>
      </c>
      <c r="D715" s="18" t="s">
        <v>26</v>
      </c>
      <c r="E715" s="18" t="s">
        <v>40</v>
      </c>
      <c r="F715" s="18" t="s">
        <v>687</v>
      </c>
      <c r="G715" s="18" t="s">
        <v>29</v>
      </c>
      <c r="H715" s="19">
        <v>2004</v>
      </c>
      <c r="I715" s="18" t="s">
        <v>387</v>
      </c>
      <c r="J715" s="101">
        <v>12</v>
      </c>
      <c r="K715" s="20">
        <v>130</v>
      </c>
      <c r="L715" s="21">
        <v>291.20000000000005</v>
      </c>
      <c r="M715" s="22" t="s">
        <v>365</v>
      </c>
      <c r="N715" s="23">
        <v>6.4711111111111119</v>
      </c>
      <c r="O715" s="24">
        <v>4.9777777777777782E-2</v>
      </c>
      <c r="P715" s="25" t="str">
        <f>IF(P717="x","x","")</f>
        <v/>
      </c>
      <c r="Q715" s="25" t="str">
        <f>IF(Q717="x","x","")</f>
        <v/>
      </c>
      <c r="R715" s="25" t="str">
        <f>IF(R717="x","x","")</f>
        <v/>
      </c>
      <c r="S715" s="25" t="str">
        <f>IF(S717="x","x","")</f>
        <v/>
      </c>
      <c r="T715" s="25" t="s">
        <v>27</v>
      </c>
      <c r="U715" s="26"/>
      <c r="V715" s="27"/>
    </row>
    <row r="716" spans="1:22" x14ac:dyDescent="0.25">
      <c r="A716" s="18" t="s">
        <v>123</v>
      </c>
      <c r="B716" s="18" t="s">
        <v>948</v>
      </c>
      <c r="C716" s="18" t="s">
        <v>685</v>
      </c>
      <c r="D716" s="18" t="s">
        <v>26</v>
      </c>
      <c r="E716" s="18" t="s">
        <v>40</v>
      </c>
      <c r="F716" s="18" t="s">
        <v>687</v>
      </c>
      <c r="G716" s="18" t="s">
        <v>32</v>
      </c>
      <c r="H716" s="19">
        <v>2012</v>
      </c>
      <c r="I716" s="18" t="s">
        <v>387</v>
      </c>
      <c r="J716" s="101">
        <v>18</v>
      </c>
      <c r="K716" s="20">
        <v>126</v>
      </c>
      <c r="L716" s="21">
        <v>308.5</v>
      </c>
      <c r="M716" s="22" t="s">
        <v>365</v>
      </c>
      <c r="N716" s="23">
        <v>5.5465659834591872</v>
      </c>
      <c r="O716" s="24">
        <v>4.4020364948088787E-2</v>
      </c>
      <c r="P716" s="25" t="str">
        <f>IF(P717="x","x","")</f>
        <v/>
      </c>
      <c r="Q716" s="25" t="str">
        <f>IF(Q717="x","x","")</f>
        <v/>
      </c>
      <c r="R716" s="25" t="str">
        <f>IF(R717="x","x","")</f>
        <v/>
      </c>
      <c r="S716" s="25" t="str">
        <f>IF(S717="x","x","")</f>
        <v/>
      </c>
      <c r="T716" s="25" t="s">
        <v>27</v>
      </c>
      <c r="U716" s="26"/>
      <c r="V716" s="27"/>
    </row>
    <row r="717" spans="1:22" ht="16.5" thickBot="1" x14ac:dyDescent="0.3">
      <c r="A717" s="28" t="str">
        <f>A716</f>
        <v>India</v>
      </c>
      <c r="B717" s="28" t="str">
        <f>B716</f>
        <v>South Asia</v>
      </c>
      <c r="C717" s="28" t="str">
        <f>C716</f>
        <v>P077977</v>
      </c>
      <c r="D717" s="28" t="s">
        <v>26</v>
      </c>
      <c r="E717" s="28" t="s">
        <v>27</v>
      </c>
      <c r="F717" s="28" t="str">
        <f>F716</f>
        <v>P077977C1S2</v>
      </c>
      <c r="G717" s="28" t="s">
        <v>16</v>
      </c>
      <c r="H717" s="29" t="str">
        <f>H715&amp;" / "&amp;H716</f>
        <v>2004 / 2012</v>
      </c>
      <c r="I717" s="29" t="str">
        <f>I716</f>
        <v>Upgrading</v>
      </c>
      <c r="J717" s="97">
        <f>IFERROR(J716/J715,"")</f>
        <v>1.5</v>
      </c>
      <c r="K717" s="32">
        <f>K716/K715</f>
        <v>0.96923076923076923</v>
      </c>
      <c r="L717" s="32">
        <f>L716/L715</f>
        <v>1.0594093406593406</v>
      </c>
      <c r="M717" s="28"/>
      <c r="N717" s="32">
        <f>N716/N715</f>
        <v>0.85712729826807488</v>
      </c>
      <c r="O717" s="32">
        <f>O716/O715</f>
        <v>0.88433768868928364</v>
      </c>
      <c r="P717" s="33" t="str">
        <f>IF(K717&lt;50%,"x","")</f>
        <v/>
      </c>
      <c r="Q717" s="33" t="str">
        <f>IF(K717&gt;150%,"x","")</f>
        <v/>
      </c>
      <c r="R717" s="33" t="str">
        <f>IF(O717&lt;50%,"x","")</f>
        <v/>
      </c>
      <c r="S717" s="33" t="str">
        <f>IF(O717&gt;150%,"x","")</f>
        <v/>
      </c>
      <c r="T717" s="33" t="s">
        <v>27</v>
      </c>
      <c r="U717" s="34" t="s">
        <v>27</v>
      </c>
      <c r="V717" s="35" t="s">
        <v>27</v>
      </c>
    </row>
    <row r="718" spans="1:22" ht="16.5" thickTop="1" x14ac:dyDescent="0.25">
      <c r="A718" s="18" t="s">
        <v>123</v>
      </c>
      <c r="B718" s="18" t="s">
        <v>948</v>
      </c>
      <c r="C718" s="18" t="s">
        <v>685</v>
      </c>
      <c r="D718" s="18" t="s">
        <v>26</v>
      </c>
      <c r="E718" s="18" t="s">
        <v>69</v>
      </c>
      <c r="F718" s="18" t="s">
        <v>688</v>
      </c>
      <c r="G718" s="18" t="s">
        <v>29</v>
      </c>
      <c r="H718" s="19">
        <v>2004</v>
      </c>
      <c r="I718" s="18" t="s">
        <v>387</v>
      </c>
      <c r="J718" s="101">
        <v>12</v>
      </c>
      <c r="K718" s="20">
        <v>2282</v>
      </c>
      <c r="L718" s="21">
        <v>3605.56</v>
      </c>
      <c r="M718" s="22" t="s">
        <v>365</v>
      </c>
      <c r="N718" s="23">
        <v>80.123555555555555</v>
      </c>
      <c r="O718" s="24">
        <v>3.5111111111111114E-2</v>
      </c>
      <c r="P718" s="25" t="str">
        <f>IF(P720="x","x","")</f>
        <v/>
      </c>
      <c r="Q718" s="25" t="str">
        <f>IF(Q720="x","x","")</f>
        <v>x</v>
      </c>
      <c r="R718" s="25" t="str">
        <f>IF(R720="x","x","")</f>
        <v/>
      </c>
      <c r="S718" s="25" t="str">
        <f>IF(S720="x","x","")</f>
        <v/>
      </c>
      <c r="T718" s="25" t="s">
        <v>31</v>
      </c>
      <c r="U718" s="26"/>
      <c r="V718" s="27"/>
    </row>
    <row r="719" spans="1:22" x14ac:dyDescent="0.25">
      <c r="A719" s="18" t="s">
        <v>123</v>
      </c>
      <c r="B719" s="18" t="s">
        <v>948</v>
      </c>
      <c r="C719" s="18" t="s">
        <v>685</v>
      </c>
      <c r="D719" s="18" t="s">
        <v>26</v>
      </c>
      <c r="E719" s="18" t="s">
        <v>69</v>
      </c>
      <c r="F719" s="18" t="s">
        <v>688</v>
      </c>
      <c r="G719" s="18" t="s">
        <v>32</v>
      </c>
      <c r="H719" s="19">
        <v>2012</v>
      </c>
      <c r="I719" s="18" t="s">
        <v>387</v>
      </c>
      <c r="J719" s="101">
        <v>18</v>
      </c>
      <c r="K719" s="20">
        <v>6287</v>
      </c>
      <c r="L719" s="21">
        <v>10619.3</v>
      </c>
      <c r="M719" s="22" t="s">
        <v>365</v>
      </c>
      <c r="N719" s="23">
        <v>190.92592592592592</v>
      </c>
      <c r="O719" s="24">
        <v>3.0368367413062817E-2</v>
      </c>
      <c r="P719" s="25" t="str">
        <f>IF(P720="x","x","")</f>
        <v/>
      </c>
      <c r="Q719" s="25" t="str">
        <f>IF(Q720="x","x","")</f>
        <v>x</v>
      </c>
      <c r="R719" s="25" t="str">
        <f>IF(R720="x","x","")</f>
        <v/>
      </c>
      <c r="S719" s="25" t="str">
        <f>IF(S720="x","x","")</f>
        <v/>
      </c>
      <c r="T719" s="25" t="s">
        <v>31</v>
      </c>
      <c r="U719" s="26"/>
      <c r="V719" s="27"/>
    </row>
    <row r="720" spans="1:22" ht="32.25" thickBot="1" x14ac:dyDescent="0.3">
      <c r="A720" s="28" t="str">
        <f>A719</f>
        <v>India</v>
      </c>
      <c r="B720" s="28" t="str">
        <f>B719</f>
        <v>South Asia</v>
      </c>
      <c r="C720" s="28" t="str">
        <f>C719</f>
        <v>P077977</v>
      </c>
      <c r="D720" s="28" t="s">
        <v>26</v>
      </c>
      <c r="E720" s="28" t="s">
        <v>27</v>
      </c>
      <c r="F720" s="28" t="str">
        <f>F719</f>
        <v>P077977C1S3</v>
      </c>
      <c r="G720" s="28" t="s">
        <v>16</v>
      </c>
      <c r="H720" s="29" t="str">
        <f>H718&amp;" / "&amp;H719</f>
        <v>2004 / 2012</v>
      </c>
      <c r="I720" s="29" t="str">
        <f>I719</f>
        <v>Upgrading</v>
      </c>
      <c r="J720" s="97">
        <f>IFERROR(J719/J718,"")</f>
        <v>1.5</v>
      </c>
      <c r="K720" s="32">
        <f>K719/K718</f>
        <v>2.7550394390885189</v>
      </c>
      <c r="L720" s="32">
        <f>L719/L718</f>
        <v>2.9452567700995127</v>
      </c>
      <c r="M720" s="28"/>
      <c r="N720" s="32">
        <f>N719/N718</f>
        <v>2.3828938269413533</v>
      </c>
      <c r="O720" s="32">
        <f>O719/O718</f>
        <v>0.86492185670115607</v>
      </c>
      <c r="P720" s="33" t="str">
        <f>IF(K720&lt;50%,"x","")</f>
        <v/>
      </c>
      <c r="Q720" s="33" t="str">
        <f>IF(K720&gt;150%,"x","")</f>
        <v>x</v>
      </c>
      <c r="R720" s="33" t="str">
        <f>IF(O720&lt;50%,"x","")</f>
        <v/>
      </c>
      <c r="S720" s="33" t="str">
        <f>IF(O720&gt;150%,"x","")</f>
        <v/>
      </c>
      <c r="T720" s="33" t="s">
        <v>31</v>
      </c>
      <c r="U720" s="34" t="s">
        <v>988</v>
      </c>
      <c r="V720" s="35" t="s">
        <v>1047</v>
      </c>
    </row>
    <row r="721" spans="1:22" ht="16.5" thickTop="1" x14ac:dyDescent="0.25">
      <c r="A721" s="18" t="s">
        <v>123</v>
      </c>
      <c r="B721" s="18" t="s">
        <v>948</v>
      </c>
      <c r="C721" s="18" t="s">
        <v>685</v>
      </c>
      <c r="D721" s="18" t="s">
        <v>26</v>
      </c>
      <c r="E721" s="18" t="s">
        <v>71</v>
      </c>
      <c r="F721" s="18" t="s">
        <v>689</v>
      </c>
      <c r="G721" s="18" t="s">
        <v>29</v>
      </c>
      <c r="H721" s="19">
        <v>2004</v>
      </c>
      <c r="I721" s="18" t="s">
        <v>387</v>
      </c>
      <c r="J721" s="101">
        <v>12</v>
      </c>
      <c r="K721" s="20">
        <v>1466</v>
      </c>
      <c r="L721" s="21">
        <v>3342.4799999999996</v>
      </c>
      <c r="M721" s="22" t="s">
        <v>365</v>
      </c>
      <c r="N721" s="23">
        <v>74.277333333333317</v>
      </c>
      <c r="O721" s="24">
        <v>5.0666666666666658E-2</v>
      </c>
      <c r="P721" s="25" t="str">
        <f>IF(P723="x","x","")</f>
        <v/>
      </c>
      <c r="Q721" s="25" t="str">
        <f>IF(Q723="x","x","")</f>
        <v>x</v>
      </c>
      <c r="R721" s="25" t="str">
        <f>IF(R723="x","x","")</f>
        <v/>
      </c>
      <c r="S721" s="25" t="str">
        <f>IF(S723="x","x","")</f>
        <v/>
      </c>
      <c r="T721" s="25" t="s">
        <v>31</v>
      </c>
      <c r="U721" s="26"/>
      <c r="V721" s="27"/>
    </row>
    <row r="722" spans="1:22" x14ac:dyDescent="0.25">
      <c r="A722" s="18" t="s">
        <v>123</v>
      </c>
      <c r="B722" s="18" t="s">
        <v>948</v>
      </c>
      <c r="C722" s="18" t="s">
        <v>685</v>
      </c>
      <c r="D722" s="18" t="s">
        <v>26</v>
      </c>
      <c r="E722" s="18" t="s">
        <v>71</v>
      </c>
      <c r="F722" s="18" t="s">
        <v>689</v>
      </c>
      <c r="G722" s="18" t="s">
        <v>32</v>
      </c>
      <c r="H722" s="19">
        <v>2012</v>
      </c>
      <c r="I722" s="18" t="s">
        <v>387</v>
      </c>
      <c r="J722" s="101">
        <v>18</v>
      </c>
      <c r="K722" s="20">
        <v>2227.9</v>
      </c>
      <c r="L722" s="21">
        <v>6874.3</v>
      </c>
      <c r="M722" s="22" t="s">
        <v>365</v>
      </c>
      <c r="N722" s="23">
        <v>123.59403092412802</v>
      </c>
      <c r="O722" s="24">
        <v>5.5475573824735405E-2</v>
      </c>
      <c r="P722" s="25" t="str">
        <f>IF(P723="x","x","")</f>
        <v/>
      </c>
      <c r="Q722" s="25" t="str">
        <f>IF(Q723="x","x","")</f>
        <v>x</v>
      </c>
      <c r="R722" s="25" t="str">
        <f>IF(R723="x","x","")</f>
        <v/>
      </c>
      <c r="S722" s="25" t="str">
        <f>IF(S723="x","x","")</f>
        <v/>
      </c>
      <c r="T722" s="25" t="s">
        <v>31</v>
      </c>
      <c r="U722" s="26"/>
      <c r="V722" s="27"/>
    </row>
    <row r="723" spans="1:22" ht="32.25" thickBot="1" x14ac:dyDescent="0.3">
      <c r="A723" s="28" t="str">
        <f>A722</f>
        <v>India</v>
      </c>
      <c r="B723" s="28" t="str">
        <f>B722</f>
        <v>South Asia</v>
      </c>
      <c r="C723" s="28" t="str">
        <f>C722</f>
        <v>P077977</v>
      </c>
      <c r="D723" s="28" t="s">
        <v>26</v>
      </c>
      <c r="E723" s="28" t="s">
        <v>27</v>
      </c>
      <c r="F723" s="28" t="str">
        <f>F722</f>
        <v>P077977C1S4</v>
      </c>
      <c r="G723" s="28" t="s">
        <v>16</v>
      </c>
      <c r="H723" s="29" t="str">
        <f>H721&amp;" / "&amp;H722</f>
        <v>2004 / 2012</v>
      </c>
      <c r="I723" s="29" t="str">
        <f>I722</f>
        <v>Upgrading</v>
      </c>
      <c r="J723" s="97">
        <f>IFERROR(J722/J721,"")</f>
        <v>1.5</v>
      </c>
      <c r="K723" s="32">
        <f>K722/K721</f>
        <v>1.5197135061391542</v>
      </c>
      <c r="L723" s="32">
        <f>L722/L721</f>
        <v>2.0566465618343268</v>
      </c>
      <c r="M723" s="28"/>
      <c r="N723" s="32">
        <f>N722/N721</f>
        <v>1.6639535289921741</v>
      </c>
      <c r="O723" s="32">
        <f>O722/O721</f>
        <v>1.0949126412776726</v>
      </c>
      <c r="P723" s="33" t="str">
        <f>IF(K723&lt;50%,"x","")</f>
        <v/>
      </c>
      <c r="Q723" s="33" t="str">
        <f>IF(K723&gt;150%,"x","")</f>
        <v>x</v>
      </c>
      <c r="R723" s="33" t="str">
        <f>IF(O723&lt;50%,"x","")</f>
        <v/>
      </c>
      <c r="S723" s="33" t="str">
        <f>IF(O723&gt;150%,"x","")</f>
        <v/>
      </c>
      <c r="T723" s="33" t="s">
        <v>31</v>
      </c>
      <c r="U723" s="34" t="s">
        <v>988</v>
      </c>
      <c r="V723" s="35" t="s">
        <v>1047</v>
      </c>
    </row>
    <row r="724" spans="1:22" ht="16.5" thickTop="1" x14ac:dyDescent="0.25">
      <c r="A724" s="18" t="s">
        <v>123</v>
      </c>
      <c r="B724" s="18" t="s">
        <v>948</v>
      </c>
      <c r="C724" s="18" t="s">
        <v>860</v>
      </c>
      <c r="D724" s="18" t="s">
        <v>26</v>
      </c>
      <c r="E724" s="18" t="s">
        <v>36</v>
      </c>
      <c r="F724" s="18" t="s">
        <v>861</v>
      </c>
      <c r="G724" s="18" t="s">
        <v>29</v>
      </c>
      <c r="H724" s="19">
        <v>2008</v>
      </c>
      <c r="I724" s="18" t="s">
        <v>131</v>
      </c>
      <c r="J724" s="101" t="s">
        <v>27</v>
      </c>
      <c r="K724" s="20">
        <v>68</v>
      </c>
      <c r="L724" s="21">
        <v>32.200000000000003</v>
      </c>
      <c r="M724" s="22" t="s">
        <v>30</v>
      </c>
      <c r="N724" s="23">
        <v>32.200000000000003</v>
      </c>
      <c r="O724" s="24">
        <v>0.47352941176470592</v>
      </c>
      <c r="P724" s="25" t="str">
        <f>IF(P726="x","x","")</f>
        <v/>
      </c>
      <c r="Q724" s="25" t="str">
        <f>IF(Q726="x","x","")</f>
        <v/>
      </c>
      <c r="R724" s="25" t="str">
        <f>IF(R726="x","x","")</f>
        <v/>
      </c>
      <c r="S724" s="25" t="str">
        <f>IF(S726="x","x","")</f>
        <v/>
      </c>
      <c r="T724" s="25" t="s">
        <v>27</v>
      </c>
      <c r="U724" s="26"/>
      <c r="V724" s="27"/>
    </row>
    <row r="725" spans="1:22" x14ac:dyDescent="0.25">
      <c r="A725" s="18" t="s">
        <v>123</v>
      </c>
      <c r="B725" s="18" t="s">
        <v>948</v>
      </c>
      <c r="C725" s="18" t="s">
        <v>860</v>
      </c>
      <c r="D725" s="18" t="s">
        <v>26</v>
      </c>
      <c r="E725" s="18" t="s">
        <v>36</v>
      </c>
      <c r="F725" s="18" t="s">
        <v>861</v>
      </c>
      <c r="G725" s="18" t="s">
        <v>32</v>
      </c>
      <c r="H725" s="19">
        <v>2017</v>
      </c>
      <c r="I725" s="18" t="s">
        <v>131</v>
      </c>
      <c r="J725" s="101">
        <v>48</v>
      </c>
      <c r="K725" s="20">
        <v>68</v>
      </c>
      <c r="L725" s="21">
        <v>1830</v>
      </c>
      <c r="M725" s="22" t="s">
        <v>365</v>
      </c>
      <c r="N725" s="23">
        <v>27.50638809559597</v>
      </c>
      <c r="O725" s="24">
        <v>0.40450570728817603</v>
      </c>
      <c r="P725" s="25" t="str">
        <f>IF(P726="x","x","")</f>
        <v/>
      </c>
      <c r="Q725" s="25" t="str">
        <f>IF(Q726="x","x","")</f>
        <v/>
      </c>
      <c r="R725" s="25" t="str">
        <f>IF(R726="x","x","")</f>
        <v/>
      </c>
      <c r="S725" s="25" t="str">
        <f>IF(S726="x","x","")</f>
        <v/>
      </c>
      <c r="T725" s="25" t="s">
        <v>27</v>
      </c>
      <c r="U725" s="26"/>
      <c r="V725" s="27"/>
    </row>
    <row r="726" spans="1:22" ht="16.5" thickBot="1" x14ac:dyDescent="0.3">
      <c r="A726" s="28" t="str">
        <f>A725</f>
        <v>India</v>
      </c>
      <c r="B726" s="28" t="str">
        <f>B725</f>
        <v>South Asia</v>
      </c>
      <c r="C726" s="28" t="str">
        <f>C725</f>
        <v>P096023</v>
      </c>
      <c r="D726" s="28" t="s">
        <v>26</v>
      </c>
      <c r="E726" s="28" t="s">
        <v>27</v>
      </c>
      <c r="F726" s="28" t="str">
        <f>F725</f>
        <v>P096023C1S1</v>
      </c>
      <c r="G726" s="28" t="s">
        <v>16</v>
      </c>
      <c r="H726" s="29" t="str">
        <f>H724&amp;" / "&amp;H725</f>
        <v>2008 / 2017</v>
      </c>
      <c r="I726" s="29" t="str">
        <f>I725</f>
        <v>Partial Widening and Reconstruction</v>
      </c>
      <c r="J726" s="97" t="str">
        <f>IFERROR(J725/J724,"")</f>
        <v/>
      </c>
      <c r="K726" s="32">
        <f>K725/K724</f>
        <v>1</v>
      </c>
      <c r="L726" s="32">
        <f>L725/L724</f>
        <v>56.83229813664596</v>
      </c>
      <c r="M726" s="28"/>
      <c r="N726" s="32">
        <f>N725/N724</f>
        <v>0.85423565514273192</v>
      </c>
      <c r="O726" s="32">
        <f>O725/O724</f>
        <v>0.85423565514273192</v>
      </c>
      <c r="P726" s="33" t="str">
        <f>IF(K726&lt;50%,"x","")</f>
        <v/>
      </c>
      <c r="Q726" s="33" t="str">
        <f>IF(K726&gt;150%,"x","")</f>
        <v/>
      </c>
      <c r="R726" s="33" t="str">
        <f>IF(O726&lt;50%,"x","")</f>
        <v/>
      </c>
      <c r="S726" s="33" t="str">
        <f>IF(O726&gt;150%,"x","")</f>
        <v/>
      </c>
      <c r="T726" s="33" t="s">
        <v>27</v>
      </c>
      <c r="U726" s="34" t="s">
        <v>27</v>
      </c>
      <c r="V726" s="35" t="s">
        <v>27</v>
      </c>
    </row>
    <row r="727" spans="1:22" ht="16.5" thickTop="1" x14ac:dyDescent="0.25">
      <c r="A727" s="18" t="s">
        <v>123</v>
      </c>
      <c r="B727" s="18" t="s">
        <v>948</v>
      </c>
      <c r="C727" s="18" t="s">
        <v>860</v>
      </c>
      <c r="D727" s="18" t="s">
        <v>26</v>
      </c>
      <c r="E727" s="18" t="s">
        <v>40</v>
      </c>
      <c r="F727" s="18" t="s">
        <v>863</v>
      </c>
      <c r="G727" s="18" t="s">
        <v>29</v>
      </c>
      <c r="H727" s="19">
        <v>2008</v>
      </c>
      <c r="I727" s="18" t="s">
        <v>131</v>
      </c>
      <c r="J727" s="101" t="s">
        <v>27</v>
      </c>
      <c r="K727" s="20">
        <v>41</v>
      </c>
      <c r="L727" s="21">
        <v>22</v>
      </c>
      <c r="M727" s="22" t="s">
        <v>30</v>
      </c>
      <c r="N727" s="23">
        <v>22</v>
      </c>
      <c r="O727" s="24">
        <v>0.53658536585365857</v>
      </c>
      <c r="P727" s="25" t="str">
        <f>IF(P729="x","x","")</f>
        <v/>
      </c>
      <c r="Q727" s="25" t="str">
        <f>IF(Q729="x","x","")</f>
        <v/>
      </c>
      <c r="R727" s="25" t="str">
        <f>IF(R729="x","x","")</f>
        <v/>
      </c>
      <c r="S727" s="25" t="str">
        <f>IF(S729="x","x","")</f>
        <v/>
      </c>
      <c r="T727" s="25" t="s">
        <v>27</v>
      </c>
      <c r="U727" s="26"/>
      <c r="V727" s="27"/>
    </row>
    <row r="728" spans="1:22" x14ac:dyDescent="0.25">
      <c r="A728" s="18" t="s">
        <v>123</v>
      </c>
      <c r="B728" s="18" t="s">
        <v>948</v>
      </c>
      <c r="C728" s="18" t="s">
        <v>860</v>
      </c>
      <c r="D728" s="18" t="s">
        <v>26</v>
      </c>
      <c r="E728" s="18" t="s">
        <v>40</v>
      </c>
      <c r="F728" s="18" t="s">
        <v>863</v>
      </c>
      <c r="G728" s="18" t="s">
        <v>32</v>
      </c>
      <c r="H728" s="19">
        <v>2017</v>
      </c>
      <c r="I728" s="18" t="s">
        <v>131</v>
      </c>
      <c r="J728" s="101">
        <v>36</v>
      </c>
      <c r="K728" s="20">
        <v>39</v>
      </c>
      <c r="L728" s="21">
        <v>1529</v>
      </c>
      <c r="M728" s="22" t="s">
        <v>365</v>
      </c>
      <c r="N728" s="23">
        <v>22.982113332331277</v>
      </c>
      <c r="O728" s="24">
        <v>0.58928495723926355</v>
      </c>
      <c r="P728" s="25" t="str">
        <f>IF(P729="x","x","")</f>
        <v/>
      </c>
      <c r="Q728" s="25" t="str">
        <f>IF(Q729="x","x","")</f>
        <v/>
      </c>
      <c r="R728" s="25" t="str">
        <f>IF(R729="x","x","")</f>
        <v/>
      </c>
      <c r="S728" s="25" t="str">
        <f>IF(S729="x","x","")</f>
        <v/>
      </c>
      <c r="T728" s="25" t="s">
        <v>27</v>
      </c>
      <c r="U728" s="26"/>
      <c r="V728" s="27"/>
    </row>
    <row r="729" spans="1:22" ht="16.5" thickBot="1" x14ac:dyDescent="0.3">
      <c r="A729" s="28" t="str">
        <f>A728</f>
        <v>India</v>
      </c>
      <c r="B729" s="28" t="str">
        <f>B728</f>
        <v>South Asia</v>
      </c>
      <c r="C729" s="28" t="str">
        <f>C728</f>
        <v>P096023</v>
      </c>
      <c r="D729" s="28" t="s">
        <v>26</v>
      </c>
      <c r="E729" s="28" t="s">
        <v>27</v>
      </c>
      <c r="F729" s="28" t="str">
        <f>F728</f>
        <v>P096023C1S2</v>
      </c>
      <c r="G729" s="28" t="s">
        <v>16</v>
      </c>
      <c r="H729" s="29" t="str">
        <f>H727&amp;" / "&amp;H728</f>
        <v>2008 / 2017</v>
      </c>
      <c r="I729" s="29" t="str">
        <f>I728</f>
        <v>Partial Widening and Reconstruction</v>
      </c>
      <c r="J729" s="97" t="str">
        <f>IFERROR(J728/J727,"")</f>
        <v/>
      </c>
      <c r="K729" s="32">
        <f>K728/K727</f>
        <v>0.95121951219512191</v>
      </c>
      <c r="L729" s="32">
        <f>L728/L727</f>
        <v>69.5</v>
      </c>
      <c r="M729" s="28"/>
      <c r="N729" s="32">
        <f>N728/N727</f>
        <v>1.0446415151059671</v>
      </c>
      <c r="O729" s="32">
        <f>O728/O727</f>
        <v>1.0982128748549911</v>
      </c>
      <c r="P729" s="33" t="str">
        <f>IF(K729&lt;50%,"x","")</f>
        <v/>
      </c>
      <c r="Q729" s="33" t="str">
        <f>IF(K729&gt;150%,"x","")</f>
        <v/>
      </c>
      <c r="R729" s="33" t="str">
        <f>IF(O729&lt;50%,"x","")</f>
        <v/>
      </c>
      <c r="S729" s="33" t="str">
        <f>IF(O729&gt;150%,"x","")</f>
        <v/>
      </c>
      <c r="T729" s="33" t="s">
        <v>27</v>
      </c>
      <c r="U729" s="34" t="s">
        <v>27</v>
      </c>
      <c r="V729" s="35" t="s">
        <v>27</v>
      </c>
    </row>
    <row r="730" spans="1:22" ht="16.5" thickTop="1" x14ac:dyDescent="0.25">
      <c r="A730" s="18" t="s">
        <v>400</v>
      </c>
      <c r="B730" s="18" t="s">
        <v>945</v>
      </c>
      <c r="C730" s="18" t="s">
        <v>401</v>
      </c>
      <c r="D730" s="18" t="s">
        <v>26</v>
      </c>
      <c r="E730" s="18" t="s">
        <v>36</v>
      </c>
      <c r="F730" s="18" t="s">
        <v>402</v>
      </c>
      <c r="G730" s="18" t="s">
        <v>29</v>
      </c>
      <c r="H730" s="19">
        <v>2001</v>
      </c>
      <c r="I730" s="18" t="s">
        <v>68</v>
      </c>
      <c r="J730" s="101" t="s">
        <v>27</v>
      </c>
      <c r="K730" s="20">
        <v>1000</v>
      </c>
      <c r="L730" s="21">
        <v>44.78</v>
      </c>
      <c r="M730" s="22" t="s">
        <v>30</v>
      </c>
      <c r="N730" s="23">
        <v>44.78</v>
      </c>
      <c r="O730" s="24">
        <v>4.478E-2</v>
      </c>
      <c r="P730" s="25" t="str">
        <f>IF(P732="x","x","")</f>
        <v/>
      </c>
      <c r="Q730" s="25" t="str">
        <f>IF(Q732="x","x","")</f>
        <v/>
      </c>
      <c r="R730" s="25" t="str">
        <f>IF(R732="x","x","")</f>
        <v/>
      </c>
      <c r="S730" s="25" t="str">
        <f>IF(S732="x","x","")</f>
        <v/>
      </c>
      <c r="T730" s="25" t="s">
        <v>27</v>
      </c>
      <c r="U730" s="26"/>
      <c r="V730" s="27"/>
    </row>
    <row r="731" spans="1:22" x14ac:dyDescent="0.25">
      <c r="A731" s="18" t="s">
        <v>400</v>
      </c>
      <c r="B731" s="18" t="s">
        <v>945</v>
      </c>
      <c r="C731" s="18" t="s">
        <v>401</v>
      </c>
      <c r="D731" s="18" t="s">
        <v>26</v>
      </c>
      <c r="E731" s="18" t="s">
        <v>36</v>
      </c>
      <c r="F731" s="18" t="s">
        <v>402</v>
      </c>
      <c r="G731" s="18" t="s">
        <v>32</v>
      </c>
      <c r="H731" s="19">
        <v>2006</v>
      </c>
      <c r="I731" s="18" t="s">
        <v>68</v>
      </c>
      <c r="J731" s="101" t="s">
        <v>27</v>
      </c>
      <c r="K731" s="20">
        <v>1111</v>
      </c>
      <c r="L731" s="21">
        <v>50.33</v>
      </c>
      <c r="M731" s="22" t="s">
        <v>30</v>
      </c>
      <c r="N731" s="23">
        <v>50.33</v>
      </c>
      <c r="O731" s="24">
        <v>4.5301530153015301E-2</v>
      </c>
      <c r="P731" s="25" t="str">
        <f>IF(P732="x","x","")</f>
        <v/>
      </c>
      <c r="Q731" s="25" t="str">
        <f>IF(Q732="x","x","")</f>
        <v/>
      </c>
      <c r="R731" s="25" t="str">
        <f>IF(R732="x","x","")</f>
        <v/>
      </c>
      <c r="S731" s="25" t="str">
        <f>IF(S732="x","x","")</f>
        <v/>
      </c>
      <c r="T731" s="25" t="s">
        <v>27</v>
      </c>
      <c r="U731" s="26"/>
      <c r="V731" s="27"/>
    </row>
    <row r="732" spans="1:22" ht="16.5" thickBot="1" x14ac:dyDescent="0.3">
      <c r="A732" s="28" t="str">
        <f>A731</f>
        <v>Indonesia</v>
      </c>
      <c r="B732" s="28" t="str">
        <f>B731</f>
        <v>East Asia and Pacific</v>
      </c>
      <c r="C732" s="28" t="str">
        <f>C731</f>
        <v>P040578</v>
      </c>
      <c r="D732" s="28" t="s">
        <v>26</v>
      </c>
      <c r="E732" s="28" t="s">
        <v>27</v>
      </c>
      <c r="F732" s="28" t="str">
        <f>F731</f>
        <v>P040578C1S1</v>
      </c>
      <c r="G732" s="28" t="s">
        <v>16</v>
      </c>
      <c r="H732" s="29" t="str">
        <f>H730&amp;" / "&amp;H731</f>
        <v>2001 / 2006</v>
      </c>
      <c r="I732" s="29" t="str">
        <f>I731</f>
        <v>Asphalt Mix Resurfacing</v>
      </c>
      <c r="J732" s="97" t="str">
        <f>IFERROR(J731/J730,"")</f>
        <v/>
      </c>
      <c r="K732" s="32">
        <f>K731/K730</f>
        <v>1.111</v>
      </c>
      <c r="L732" s="32">
        <f>L731/L730</f>
        <v>1.1239392585975883</v>
      </c>
      <c r="M732" s="28"/>
      <c r="N732" s="32">
        <f>N731/N730</f>
        <v>1.1239392585975883</v>
      </c>
      <c r="O732" s="32">
        <f>O731/O730</f>
        <v>1.0116464973875681</v>
      </c>
      <c r="P732" s="33" t="str">
        <f>IF(K732&lt;50%,"x","")</f>
        <v/>
      </c>
      <c r="Q732" s="33" t="str">
        <f>IF(K732&gt;150%,"x","")</f>
        <v/>
      </c>
      <c r="R732" s="33" t="str">
        <f>IF(O732&lt;50%,"x","")</f>
        <v/>
      </c>
      <c r="S732" s="33" t="str">
        <f>IF(O732&gt;150%,"x","")</f>
        <v/>
      </c>
      <c r="T732" s="33" t="s">
        <v>27</v>
      </c>
      <c r="U732" s="34" t="s">
        <v>27</v>
      </c>
      <c r="V732" s="35" t="s">
        <v>27</v>
      </c>
    </row>
    <row r="733" spans="1:22" ht="16.5" thickTop="1" x14ac:dyDescent="0.25">
      <c r="A733" s="18" t="s">
        <v>400</v>
      </c>
      <c r="B733" s="18" t="s">
        <v>945</v>
      </c>
      <c r="C733" s="18" t="s">
        <v>401</v>
      </c>
      <c r="D733" s="18" t="s">
        <v>26</v>
      </c>
      <c r="E733" s="18" t="s">
        <v>40</v>
      </c>
      <c r="F733" s="18" t="s">
        <v>403</v>
      </c>
      <c r="G733" s="18" t="s">
        <v>29</v>
      </c>
      <c r="H733" s="19">
        <v>2001</v>
      </c>
      <c r="I733" s="18" t="s">
        <v>359</v>
      </c>
      <c r="J733" s="101" t="s">
        <v>27</v>
      </c>
      <c r="K733" s="20">
        <v>1250</v>
      </c>
      <c r="L733" s="21">
        <v>104.03</v>
      </c>
      <c r="M733" s="22" t="s">
        <v>30</v>
      </c>
      <c r="N733" s="23">
        <v>104.03</v>
      </c>
      <c r="O733" s="24">
        <v>8.3224000000000006E-2</v>
      </c>
      <c r="P733" s="25" t="str">
        <f>IF(P735="x","x","")</f>
        <v/>
      </c>
      <c r="Q733" s="25" t="str">
        <f>IF(Q735="x","x","")</f>
        <v/>
      </c>
      <c r="R733" s="25" t="str">
        <f>IF(R735="x","x","")</f>
        <v/>
      </c>
      <c r="S733" s="25" t="str">
        <f>IF(S735="x","x","")</f>
        <v/>
      </c>
      <c r="T733" s="25" t="s">
        <v>27</v>
      </c>
      <c r="U733" s="26"/>
      <c r="V733" s="27"/>
    </row>
    <row r="734" spans="1:22" x14ac:dyDescent="0.25">
      <c r="A734" s="18" t="s">
        <v>400</v>
      </c>
      <c r="B734" s="18" t="s">
        <v>945</v>
      </c>
      <c r="C734" s="18" t="s">
        <v>401</v>
      </c>
      <c r="D734" s="18" t="s">
        <v>26</v>
      </c>
      <c r="E734" s="18" t="s">
        <v>40</v>
      </c>
      <c r="F734" s="18" t="s">
        <v>403</v>
      </c>
      <c r="G734" s="18" t="s">
        <v>32</v>
      </c>
      <c r="H734" s="19">
        <v>2006</v>
      </c>
      <c r="I734" s="18" t="s">
        <v>359</v>
      </c>
      <c r="J734" s="101" t="s">
        <v>27</v>
      </c>
      <c r="K734" s="20">
        <v>1705</v>
      </c>
      <c r="L734" s="21">
        <v>145.96</v>
      </c>
      <c r="M734" s="22" t="s">
        <v>30</v>
      </c>
      <c r="N734" s="23">
        <v>145.96</v>
      </c>
      <c r="O734" s="24">
        <v>8.5607038123167153E-2</v>
      </c>
      <c r="P734" s="25" t="str">
        <f>IF(P735="x","x","")</f>
        <v/>
      </c>
      <c r="Q734" s="25" t="str">
        <f>IF(Q735="x","x","")</f>
        <v/>
      </c>
      <c r="R734" s="25" t="str">
        <f>IF(R735="x","x","")</f>
        <v/>
      </c>
      <c r="S734" s="25" t="str">
        <f>IF(S735="x","x","")</f>
        <v/>
      </c>
      <c r="T734" s="25" t="s">
        <v>27</v>
      </c>
      <c r="U734" s="26"/>
      <c r="V734" s="27"/>
    </row>
    <row r="735" spans="1:22" ht="16.5" thickBot="1" x14ac:dyDescent="0.3">
      <c r="A735" s="28" t="str">
        <f>A734</f>
        <v>Indonesia</v>
      </c>
      <c r="B735" s="28" t="str">
        <f>B734</f>
        <v>East Asia and Pacific</v>
      </c>
      <c r="C735" s="28" t="str">
        <f>C734</f>
        <v>P040578</v>
      </c>
      <c r="D735" s="28" t="s">
        <v>26</v>
      </c>
      <c r="E735" s="28" t="s">
        <v>27</v>
      </c>
      <c r="F735" s="28" t="str">
        <f>F734</f>
        <v>P040578C1S2</v>
      </c>
      <c r="G735" s="28" t="s">
        <v>16</v>
      </c>
      <c r="H735" s="29" t="str">
        <f>H733&amp;" / "&amp;H734</f>
        <v>2001 / 2006</v>
      </c>
      <c r="I735" s="29" t="str">
        <f>I734</f>
        <v>Reconstruction</v>
      </c>
      <c r="J735" s="97" t="str">
        <f>IFERROR(J734/J733,"")</f>
        <v/>
      </c>
      <c r="K735" s="32">
        <f>K734/K733</f>
        <v>1.3640000000000001</v>
      </c>
      <c r="L735" s="32">
        <f>L734/L733</f>
        <v>1.4030568105354226</v>
      </c>
      <c r="M735" s="28"/>
      <c r="N735" s="32">
        <f>N734/N733</f>
        <v>1.4030568105354226</v>
      </c>
      <c r="O735" s="32">
        <f>O734/O733</f>
        <v>1.0286340253192245</v>
      </c>
      <c r="P735" s="33" t="str">
        <f>IF(K735&lt;50%,"x","")</f>
        <v/>
      </c>
      <c r="Q735" s="33" t="str">
        <f>IF(K735&gt;150%,"x","")</f>
        <v/>
      </c>
      <c r="R735" s="33" t="str">
        <f>IF(O735&lt;50%,"x","")</f>
        <v/>
      </c>
      <c r="S735" s="33" t="str">
        <f>IF(O735&gt;150%,"x","")</f>
        <v/>
      </c>
      <c r="T735" s="33" t="s">
        <v>27</v>
      </c>
      <c r="U735" s="34" t="s">
        <v>27</v>
      </c>
      <c r="V735" s="35" t="s">
        <v>27</v>
      </c>
    </row>
    <row r="736" spans="1:22" ht="16.5" thickTop="1" x14ac:dyDescent="0.25">
      <c r="A736" s="18" t="s">
        <v>400</v>
      </c>
      <c r="B736" s="18" t="s">
        <v>945</v>
      </c>
      <c r="C736" s="18" t="s">
        <v>655</v>
      </c>
      <c r="D736" s="18" t="s">
        <v>26</v>
      </c>
      <c r="E736" s="18" t="s">
        <v>27</v>
      </c>
      <c r="F736" s="18" t="s">
        <v>656</v>
      </c>
      <c r="G736" s="18" t="s">
        <v>29</v>
      </c>
      <c r="H736" s="19">
        <v>2004</v>
      </c>
      <c r="I736" s="18" t="s">
        <v>359</v>
      </c>
      <c r="J736" s="101">
        <v>86</v>
      </c>
      <c r="K736" s="20">
        <v>3119.2</v>
      </c>
      <c r="L736" s="21">
        <v>158.75</v>
      </c>
      <c r="M736" s="22" t="s">
        <v>30</v>
      </c>
      <c r="N736" s="23">
        <v>158.75</v>
      </c>
      <c r="O736" s="24">
        <v>5.0894460117978969E-2</v>
      </c>
      <c r="P736" s="25" t="str">
        <f>IF(P738="x","x","")</f>
        <v>x</v>
      </c>
      <c r="Q736" s="25" t="str">
        <f>IF(Q738="x","x","")</f>
        <v/>
      </c>
      <c r="R736" s="25" t="str">
        <f>IF(R738="x","x","")</f>
        <v/>
      </c>
      <c r="S736" s="25" t="str">
        <f>IF(S738="x","x","")</f>
        <v>x</v>
      </c>
      <c r="T736" s="25" t="s">
        <v>31</v>
      </c>
      <c r="U736" s="26"/>
      <c r="V736" s="27"/>
    </row>
    <row r="737" spans="1:22" x14ac:dyDescent="0.25">
      <c r="A737" s="18" t="s">
        <v>400</v>
      </c>
      <c r="B737" s="18" t="s">
        <v>945</v>
      </c>
      <c r="C737" s="18" t="s">
        <v>655</v>
      </c>
      <c r="D737" s="18" t="s">
        <v>26</v>
      </c>
      <c r="E737" s="18" t="s">
        <v>27</v>
      </c>
      <c r="F737" s="18" t="s">
        <v>656</v>
      </c>
      <c r="G737" s="18" t="s">
        <v>32</v>
      </c>
      <c r="H737" s="19">
        <v>2012</v>
      </c>
      <c r="I737" s="18" t="s">
        <v>359</v>
      </c>
      <c r="J737" s="101">
        <v>86</v>
      </c>
      <c r="K737" s="20">
        <v>1543</v>
      </c>
      <c r="L737" s="21">
        <v>184.47</v>
      </c>
      <c r="M737" s="22" t="s">
        <v>30</v>
      </c>
      <c r="N737" s="23">
        <v>184.47</v>
      </c>
      <c r="O737" s="24">
        <v>0.11955281918340895</v>
      </c>
      <c r="P737" s="25" t="str">
        <f>IF(P738="x","x","")</f>
        <v>x</v>
      </c>
      <c r="Q737" s="25" t="str">
        <f>IF(Q738="x","x","")</f>
        <v/>
      </c>
      <c r="R737" s="25" t="str">
        <f>IF(R738="x","x","")</f>
        <v/>
      </c>
      <c r="S737" s="25" t="str">
        <f>IF(S738="x","x","")</f>
        <v>x</v>
      </c>
      <c r="T737" s="25" t="s">
        <v>31</v>
      </c>
      <c r="U737" s="26"/>
      <c r="V737" s="27"/>
    </row>
    <row r="738" spans="1:22" ht="95.25" thickBot="1" x14ac:dyDescent="0.3">
      <c r="A738" s="28" t="str">
        <f>A737</f>
        <v>Indonesia</v>
      </c>
      <c r="B738" s="28" t="str">
        <f>B737</f>
        <v>East Asia and Pacific</v>
      </c>
      <c r="C738" s="28" t="str">
        <f>C737</f>
        <v>P074290</v>
      </c>
      <c r="D738" s="28" t="s">
        <v>26</v>
      </c>
      <c r="E738" s="28" t="s">
        <v>27</v>
      </c>
      <c r="F738" s="28" t="str">
        <f>F737</f>
        <v>P074290C1</v>
      </c>
      <c r="G738" s="28" t="s">
        <v>16</v>
      </c>
      <c r="H738" s="29" t="str">
        <f>H736&amp;" / "&amp;H737</f>
        <v>2004 / 2012</v>
      </c>
      <c r="I738" s="29" t="str">
        <f>I737</f>
        <v>Reconstruction</v>
      </c>
      <c r="J738" s="97">
        <f>IFERROR(J737/J736,"")</f>
        <v>1</v>
      </c>
      <c r="K738" s="32">
        <f>K737/K736</f>
        <v>0.49467812259553734</v>
      </c>
      <c r="L738" s="32">
        <f>L737/L736</f>
        <v>1.1620157480314961</v>
      </c>
      <c r="M738" s="28"/>
      <c r="N738" s="32">
        <f>N737/N736</f>
        <v>1.1620157480314961</v>
      </c>
      <c r="O738" s="32">
        <f>O737/O736</f>
        <v>2.349034038405601</v>
      </c>
      <c r="P738" s="33" t="str">
        <f>IF(K738&lt;50%,"x","")</f>
        <v>x</v>
      </c>
      <c r="Q738" s="33" t="str">
        <f>IF(K738&gt;150%,"x","")</f>
        <v/>
      </c>
      <c r="R738" s="33" t="str">
        <f>IF(O738&lt;50%,"x","")</f>
        <v/>
      </c>
      <c r="S738" s="33" t="str">
        <f>IF(O738&gt;150%,"x","")</f>
        <v>x</v>
      </c>
      <c r="T738" s="33" t="s">
        <v>31</v>
      </c>
      <c r="U738" s="34" t="s">
        <v>1035</v>
      </c>
      <c r="V738" s="35" t="s">
        <v>1036</v>
      </c>
    </row>
    <row r="739" spans="1:22" ht="16.5" thickTop="1" x14ac:dyDescent="0.25">
      <c r="A739" s="18" t="s">
        <v>400</v>
      </c>
      <c r="B739" s="18" t="s">
        <v>945</v>
      </c>
      <c r="C739" s="18" t="s">
        <v>655</v>
      </c>
      <c r="D739" s="18" t="s">
        <v>26</v>
      </c>
      <c r="E739" s="18" t="s">
        <v>36</v>
      </c>
      <c r="F739" s="18" t="s">
        <v>657</v>
      </c>
      <c r="G739" s="18" t="s">
        <v>29</v>
      </c>
      <c r="H739" s="19">
        <v>2004</v>
      </c>
      <c r="I739" s="18" t="s">
        <v>68</v>
      </c>
      <c r="J739" s="101" t="s">
        <v>27</v>
      </c>
      <c r="K739" s="20">
        <v>124.1</v>
      </c>
      <c r="L739" s="21">
        <v>8.16</v>
      </c>
      <c r="M739" s="22" t="s">
        <v>30</v>
      </c>
      <c r="N739" s="23">
        <v>8.16</v>
      </c>
      <c r="O739" s="24">
        <v>6.5753424657534254E-2</v>
      </c>
      <c r="P739" s="25" t="str">
        <f>IF(P741="x","x","")</f>
        <v>x</v>
      </c>
      <c r="Q739" s="25" t="str">
        <f>IF(Q741="x","x","")</f>
        <v/>
      </c>
      <c r="R739" s="25" t="str">
        <f>IF(R741="x","x","")</f>
        <v/>
      </c>
      <c r="S739" s="25" t="str">
        <f>IF(S741="x","x","")</f>
        <v>x</v>
      </c>
      <c r="T739" s="25" t="s">
        <v>31</v>
      </c>
      <c r="U739" s="26"/>
      <c r="V739" s="27"/>
    </row>
    <row r="740" spans="1:22" x14ac:dyDescent="0.25">
      <c r="A740" s="18" t="s">
        <v>400</v>
      </c>
      <c r="B740" s="18" t="s">
        <v>945</v>
      </c>
      <c r="C740" s="18" t="s">
        <v>655</v>
      </c>
      <c r="D740" s="18" t="s">
        <v>26</v>
      </c>
      <c r="E740" s="18" t="s">
        <v>36</v>
      </c>
      <c r="F740" s="18" t="s">
        <v>657</v>
      </c>
      <c r="G740" s="18" t="s">
        <v>32</v>
      </c>
      <c r="H740" s="19">
        <v>2012</v>
      </c>
      <c r="I740" s="18" t="s">
        <v>68</v>
      </c>
      <c r="J740" s="101" t="s">
        <v>27</v>
      </c>
      <c r="K740" s="20">
        <v>47.2</v>
      </c>
      <c r="L740" s="21">
        <v>6.2</v>
      </c>
      <c r="M740" s="22" t="s">
        <v>30</v>
      </c>
      <c r="N740" s="23">
        <v>6.2</v>
      </c>
      <c r="O740" s="24">
        <v>0.13135593220338981</v>
      </c>
      <c r="P740" s="25" t="str">
        <f>IF(P741="x","x","")</f>
        <v>x</v>
      </c>
      <c r="Q740" s="25" t="str">
        <f>IF(Q741="x","x","")</f>
        <v/>
      </c>
      <c r="R740" s="25" t="str">
        <f>IF(R741="x","x","")</f>
        <v/>
      </c>
      <c r="S740" s="25" t="str">
        <f>IF(S741="x","x","")</f>
        <v>x</v>
      </c>
      <c r="T740" s="25" t="s">
        <v>31</v>
      </c>
      <c r="U740" s="26"/>
      <c r="V740" s="27"/>
    </row>
    <row r="741" spans="1:22" ht="63.75" thickBot="1" x14ac:dyDescent="0.3">
      <c r="A741" s="28" t="str">
        <f>A740</f>
        <v>Indonesia</v>
      </c>
      <c r="B741" s="28" t="str">
        <f>B740</f>
        <v>East Asia and Pacific</v>
      </c>
      <c r="C741" s="28" t="str">
        <f>C740</f>
        <v>P074290</v>
      </c>
      <c r="D741" s="28" t="s">
        <v>26</v>
      </c>
      <c r="E741" s="28" t="s">
        <v>27</v>
      </c>
      <c r="F741" s="28" t="str">
        <f>F740</f>
        <v>P074290C1S1</v>
      </c>
      <c r="G741" s="28" t="s">
        <v>16</v>
      </c>
      <c r="H741" s="29" t="str">
        <f>H739&amp;" / "&amp;H740</f>
        <v>2004 / 2012</v>
      </c>
      <c r="I741" s="29" t="str">
        <f>I740</f>
        <v>Asphalt Mix Resurfacing</v>
      </c>
      <c r="J741" s="97" t="str">
        <f>IFERROR(J740/J739,"")</f>
        <v/>
      </c>
      <c r="K741" s="32">
        <f>K740/K739</f>
        <v>0.38033843674456086</v>
      </c>
      <c r="L741" s="32">
        <f>L740/L739</f>
        <v>0.75980392156862742</v>
      </c>
      <c r="M741" s="28"/>
      <c r="N741" s="32">
        <f>N740/N739</f>
        <v>0.75980392156862742</v>
      </c>
      <c r="O741" s="32">
        <f>O740/O739</f>
        <v>1.9977048022598864</v>
      </c>
      <c r="P741" s="33" t="str">
        <f>IF(K741&lt;50%,"x","")</f>
        <v>x</v>
      </c>
      <c r="Q741" s="33" t="str">
        <f>IF(K741&gt;150%,"x","")</f>
        <v/>
      </c>
      <c r="R741" s="33" t="str">
        <f>IF(O741&lt;50%,"x","")</f>
        <v/>
      </c>
      <c r="S741" s="33" t="str">
        <f>IF(O741&gt;150%,"x","")</f>
        <v>x</v>
      </c>
      <c r="T741" s="33" t="s">
        <v>31</v>
      </c>
      <c r="U741" s="34" t="s">
        <v>1037</v>
      </c>
      <c r="V741" s="35" t="s">
        <v>1038</v>
      </c>
    </row>
    <row r="742" spans="1:22" ht="16.5" thickTop="1" x14ac:dyDescent="0.25">
      <c r="A742" s="18" t="s">
        <v>400</v>
      </c>
      <c r="B742" s="18" t="s">
        <v>945</v>
      </c>
      <c r="C742" s="18" t="s">
        <v>655</v>
      </c>
      <c r="D742" s="18" t="s">
        <v>26</v>
      </c>
      <c r="E742" s="18" t="s">
        <v>40</v>
      </c>
      <c r="F742" s="18" t="s">
        <v>658</v>
      </c>
      <c r="G742" s="18" t="s">
        <v>29</v>
      </c>
      <c r="H742" s="19">
        <v>2004</v>
      </c>
      <c r="I742" s="18" t="s">
        <v>359</v>
      </c>
      <c r="J742" s="101" t="s">
        <v>27</v>
      </c>
      <c r="K742" s="20">
        <v>90.2</v>
      </c>
      <c r="L742" s="21">
        <v>8.0500000000000007</v>
      </c>
      <c r="M742" s="22" t="s">
        <v>30</v>
      </c>
      <c r="N742" s="23">
        <v>8.0500000000000007</v>
      </c>
      <c r="O742" s="24">
        <v>8.9246119733924614E-2</v>
      </c>
      <c r="P742" s="25" t="str">
        <f>IF(P744="x","x","")</f>
        <v/>
      </c>
      <c r="Q742" s="25" t="str">
        <f>IF(Q744="x","x","")</f>
        <v>x</v>
      </c>
      <c r="R742" s="25" t="str">
        <f>IF(R744="x","x","")</f>
        <v/>
      </c>
      <c r="S742" s="25" t="str">
        <f>IF(S744="x","x","")</f>
        <v>x</v>
      </c>
      <c r="T742" s="25" t="s">
        <v>31</v>
      </c>
      <c r="U742" s="26"/>
      <c r="V742" s="27"/>
    </row>
    <row r="743" spans="1:22" x14ac:dyDescent="0.25">
      <c r="A743" s="18" t="s">
        <v>400</v>
      </c>
      <c r="B743" s="18" t="s">
        <v>945</v>
      </c>
      <c r="C743" s="18" t="s">
        <v>655</v>
      </c>
      <c r="D743" s="18" t="s">
        <v>26</v>
      </c>
      <c r="E743" s="18" t="s">
        <v>40</v>
      </c>
      <c r="F743" s="18" t="s">
        <v>658</v>
      </c>
      <c r="G743" s="18" t="s">
        <v>32</v>
      </c>
      <c r="H743" s="19">
        <v>2012</v>
      </c>
      <c r="I743" s="18" t="s">
        <v>359</v>
      </c>
      <c r="J743" s="101" t="s">
        <v>27</v>
      </c>
      <c r="K743" s="20">
        <v>392.2</v>
      </c>
      <c r="L743" s="21">
        <v>68.69</v>
      </c>
      <c r="M743" s="22" t="s">
        <v>30</v>
      </c>
      <c r="N743" s="23">
        <v>68.69</v>
      </c>
      <c r="O743" s="24">
        <v>0.17514023457419683</v>
      </c>
      <c r="P743" s="25" t="str">
        <f>IF(P744="x","x","")</f>
        <v/>
      </c>
      <c r="Q743" s="25" t="str">
        <f>IF(Q744="x","x","")</f>
        <v>x</v>
      </c>
      <c r="R743" s="25" t="str">
        <f>IF(R744="x","x","")</f>
        <v/>
      </c>
      <c r="S743" s="25" t="str">
        <f>IF(S744="x","x","")</f>
        <v>x</v>
      </c>
      <c r="T743" s="25" t="s">
        <v>31</v>
      </c>
      <c r="U743" s="26"/>
      <c r="V743" s="27"/>
    </row>
    <row r="744" spans="1:22" ht="95.25" thickBot="1" x14ac:dyDescent="0.3">
      <c r="A744" s="28" t="str">
        <f>A743</f>
        <v>Indonesia</v>
      </c>
      <c r="B744" s="28" t="str">
        <f>B743</f>
        <v>East Asia and Pacific</v>
      </c>
      <c r="C744" s="28" t="str">
        <f>C743</f>
        <v>P074290</v>
      </c>
      <c r="D744" s="28" t="s">
        <v>26</v>
      </c>
      <c r="E744" s="28" t="s">
        <v>27</v>
      </c>
      <c r="F744" s="28" t="str">
        <f>F743</f>
        <v>P074290C1S2</v>
      </c>
      <c r="G744" s="28" t="s">
        <v>16</v>
      </c>
      <c r="H744" s="29" t="str">
        <f>H742&amp;" / "&amp;H743</f>
        <v>2004 / 2012</v>
      </c>
      <c r="I744" s="29" t="str">
        <f>I743</f>
        <v>Reconstruction</v>
      </c>
      <c r="J744" s="97" t="str">
        <f>IFERROR(J743/J742,"")</f>
        <v/>
      </c>
      <c r="K744" s="32">
        <f>K743/K742</f>
        <v>4.3481152993348111</v>
      </c>
      <c r="L744" s="32">
        <f>L743/L742</f>
        <v>8.5329192546583847</v>
      </c>
      <c r="M744" s="28"/>
      <c r="N744" s="32">
        <f>N743/N742</f>
        <v>8.5329192546583847</v>
      </c>
      <c r="O744" s="32">
        <f>O743/O742</f>
        <v>1.9624408892661558</v>
      </c>
      <c r="P744" s="33" t="str">
        <f>IF(K744&lt;50%,"x","")</f>
        <v/>
      </c>
      <c r="Q744" s="33" t="str">
        <f>IF(K744&gt;150%,"x","")</f>
        <v>x</v>
      </c>
      <c r="R744" s="33" t="str">
        <f>IF(O744&lt;50%,"x","")</f>
        <v/>
      </c>
      <c r="S744" s="33" t="str">
        <f>IF(O744&gt;150%,"x","")</f>
        <v>x</v>
      </c>
      <c r="T744" s="33" t="s">
        <v>31</v>
      </c>
      <c r="U744" s="34" t="s">
        <v>1039</v>
      </c>
      <c r="V744" s="35" t="s">
        <v>1040</v>
      </c>
    </row>
    <row r="745" spans="1:22" ht="16.5" thickTop="1" x14ac:dyDescent="0.25">
      <c r="A745" s="18" t="s">
        <v>400</v>
      </c>
      <c r="B745" s="18" t="s">
        <v>945</v>
      </c>
      <c r="C745" s="18" t="s">
        <v>655</v>
      </c>
      <c r="D745" s="18" t="s">
        <v>26</v>
      </c>
      <c r="E745" s="18" t="s">
        <v>69</v>
      </c>
      <c r="F745" s="18" t="s">
        <v>659</v>
      </c>
      <c r="G745" s="18" t="s">
        <v>29</v>
      </c>
      <c r="H745" s="19">
        <v>2004</v>
      </c>
      <c r="I745" s="18" t="s">
        <v>68</v>
      </c>
      <c r="J745" s="101" t="s">
        <v>27</v>
      </c>
      <c r="K745" s="20">
        <v>58.4</v>
      </c>
      <c r="L745" s="21">
        <v>5.37</v>
      </c>
      <c r="M745" s="22" t="s">
        <v>30</v>
      </c>
      <c r="N745" s="23">
        <v>5.37</v>
      </c>
      <c r="O745" s="24">
        <v>9.1952054794520552E-2</v>
      </c>
      <c r="P745" s="25" t="str">
        <f>IF(P747="x","x","")</f>
        <v/>
      </c>
      <c r="Q745" s="25" t="str">
        <f>IF(Q747="x","x","")</f>
        <v/>
      </c>
      <c r="R745" s="25" t="str">
        <f>IF(R747="x","x","")</f>
        <v/>
      </c>
      <c r="S745" s="25" t="str">
        <f>IF(S747="x","x","")</f>
        <v/>
      </c>
      <c r="T745" s="25" t="s">
        <v>27</v>
      </c>
      <c r="U745" s="26"/>
      <c r="V745" s="27"/>
    </row>
    <row r="746" spans="1:22" x14ac:dyDescent="0.25">
      <c r="A746" s="18" t="s">
        <v>400</v>
      </c>
      <c r="B746" s="18" t="s">
        <v>945</v>
      </c>
      <c r="C746" s="18" t="s">
        <v>655</v>
      </c>
      <c r="D746" s="18" t="s">
        <v>26</v>
      </c>
      <c r="E746" s="18" t="s">
        <v>69</v>
      </c>
      <c r="F746" s="18" t="s">
        <v>659</v>
      </c>
      <c r="G746" s="18" t="s">
        <v>32</v>
      </c>
      <c r="H746" s="19">
        <v>2012</v>
      </c>
      <c r="I746" s="18" t="s">
        <v>68</v>
      </c>
      <c r="J746" s="101" t="s">
        <v>27</v>
      </c>
      <c r="K746" s="20">
        <v>51.8</v>
      </c>
      <c r="L746" s="21">
        <v>6.74</v>
      </c>
      <c r="M746" s="22" t="s">
        <v>30</v>
      </c>
      <c r="N746" s="23">
        <v>6.74</v>
      </c>
      <c r="O746" s="24">
        <v>0.13011583011583014</v>
      </c>
      <c r="P746" s="25" t="str">
        <f>IF(P747="x","x","")</f>
        <v/>
      </c>
      <c r="Q746" s="25" t="str">
        <f>IF(Q747="x","x","")</f>
        <v/>
      </c>
      <c r="R746" s="25" t="str">
        <f>IF(R747="x","x","")</f>
        <v/>
      </c>
      <c r="S746" s="25" t="str">
        <f>IF(S747="x","x","")</f>
        <v/>
      </c>
      <c r="T746" s="25" t="s">
        <v>27</v>
      </c>
      <c r="U746" s="26"/>
      <c r="V746" s="27"/>
    </row>
    <row r="747" spans="1:22" ht="16.5" thickBot="1" x14ac:dyDescent="0.3">
      <c r="A747" s="28" t="str">
        <f>A746</f>
        <v>Indonesia</v>
      </c>
      <c r="B747" s="28" t="str">
        <f>B746</f>
        <v>East Asia and Pacific</v>
      </c>
      <c r="C747" s="28" t="str">
        <f>C746</f>
        <v>P074290</v>
      </c>
      <c r="D747" s="28" t="s">
        <v>26</v>
      </c>
      <c r="E747" s="28" t="s">
        <v>27</v>
      </c>
      <c r="F747" s="28" t="str">
        <f>F746</f>
        <v>P074290C1S3</v>
      </c>
      <c r="G747" s="28" t="s">
        <v>16</v>
      </c>
      <c r="H747" s="29" t="str">
        <f>H745&amp;" / "&amp;H746</f>
        <v>2004 / 2012</v>
      </c>
      <c r="I747" s="29" t="str">
        <f>I746</f>
        <v>Asphalt Mix Resurfacing</v>
      </c>
      <c r="J747" s="97" t="str">
        <f>IFERROR(J746/J745,"")</f>
        <v/>
      </c>
      <c r="K747" s="32">
        <f>K746/K745</f>
        <v>0.88698630136986301</v>
      </c>
      <c r="L747" s="32">
        <f>L746/L745</f>
        <v>1.2551210428305402</v>
      </c>
      <c r="M747" s="28"/>
      <c r="N747" s="32">
        <f>N746/N745</f>
        <v>1.2551210428305402</v>
      </c>
      <c r="O747" s="32">
        <f>O746/O745</f>
        <v>1.4150399401796052</v>
      </c>
      <c r="P747" s="33" t="str">
        <f>IF(K747&lt;50%,"x","")</f>
        <v/>
      </c>
      <c r="Q747" s="33" t="str">
        <f>IF(K747&gt;150%,"x","")</f>
        <v/>
      </c>
      <c r="R747" s="33" t="str">
        <f>IF(O747&lt;50%,"x","")</f>
        <v/>
      </c>
      <c r="S747" s="33" t="str">
        <f>IF(O747&gt;150%,"x","")</f>
        <v/>
      </c>
      <c r="T747" s="33" t="s">
        <v>27</v>
      </c>
      <c r="U747" s="34" t="s">
        <v>27</v>
      </c>
      <c r="V747" s="35" t="s">
        <v>27</v>
      </c>
    </row>
    <row r="748" spans="1:22" ht="16.5" thickTop="1" x14ac:dyDescent="0.25">
      <c r="A748" s="18" t="s">
        <v>400</v>
      </c>
      <c r="B748" s="18" t="s">
        <v>945</v>
      </c>
      <c r="C748" s="18" t="s">
        <v>655</v>
      </c>
      <c r="D748" s="18" t="s">
        <v>26</v>
      </c>
      <c r="E748" s="18" t="s">
        <v>71</v>
      </c>
      <c r="F748" s="18" t="s">
        <v>660</v>
      </c>
      <c r="G748" s="18" t="s">
        <v>29</v>
      </c>
      <c r="H748" s="19">
        <v>2004</v>
      </c>
      <c r="I748" s="18" t="s">
        <v>359</v>
      </c>
      <c r="J748" s="101" t="s">
        <v>27</v>
      </c>
      <c r="K748" s="20">
        <v>51</v>
      </c>
      <c r="L748" s="21">
        <v>7.22</v>
      </c>
      <c r="M748" s="22" t="s">
        <v>30</v>
      </c>
      <c r="N748" s="23">
        <v>7.22</v>
      </c>
      <c r="O748" s="24">
        <v>0.14156862745098039</v>
      </c>
      <c r="P748" s="25" t="str">
        <f>IF(P750="x","x","")</f>
        <v>x</v>
      </c>
      <c r="Q748" s="25" t="str">
        <f>IF(Q750="x","x","")</f>
        <v/>
      </c>
      <c r="R748" s="25" t="str">
        <f>IF(R750="x","x","")</f>
        <v/>
      </c>
      <c r="S748" s="25" t="str">
        <f>IF(S750="x","x","")</f>
        <v>x</v>
      </c>
      <c r="T748" s="25" t="s">
        <v>31</v>
      </c>
      <c r="U748" s="26"/>
      <c r="V748" s="27"/>
    </row>
    <row r="749" spans="1:22" x14ac:dyDescent="0.25">
      <c r="A749" s="18" t="s">
        <v>400</v>
      </c>
      <c r="B749" s="18" t="s">
        <v>945</v>
      </c>
      <c r="C749" s="18" t="s">
        <v>655</v>
      </c>
      <c r="D749" s="18" t="s">
        <v>26</v>
      </c>
      <c r="E749" s="18" t="s">
        <v>71</v>
      </c>
      <c r="F749" s="18" t="s">
        <v>660</v>
      </c>
      <c r="G749" s="18" t="s">
        <v>32</v>
      </c>
      <c r="H749" s="19">
        <v>2012</v>
      </c>
      <c r="I749" s="18" t="s">
        <v>359</v>
      </c>
      <c r="J749" s="101" t="s">
        <v>27</v>
      </c>
      <c r="K749" s="20">
        <v>19.5</v>
      </c>
      <c r="L749" s="21">
        <v>6.25</v>
      </c>
      <c r="M749" s="22" t="s">
        <v>30</v>
      </c>
      <c r="N749" s="23">
        <v>6.25</v>
      </c>
      <c r="O749" s="24">
        <v>0.32051282051282054</v>
      </c>
      <c r="P749" s="25" t="str">
        <f>IF(P750="x","x","")</f>
        <v>x</v>
      </c>
      <c r="Q749" s="25" t="str">
        <f>IF(Q750="x","x","")</f>
        <v/>
      </c>
      <c r="R749" s="25" t="str">
        <f>IF(R750="x","x","")</f>
        <v/>
      </c>
      <c r="S749" s="25" t="str">
        <f>IF(S750="x","x","")</f>
        <v>x</v>
      </c>
      <c r="T749" s="25" t="s">
        <v>31</v>
      </c>
      <c r="U749" s="26"/>
      <c r="V749" s="27"/>
    </row>
    <row r="750" spans="1:22" ht="95.25" thickBot="1" x14ac:dyDescent="0.3">
      <c r="A750" s="28" t="str">
        <f>A749</f>
        <v>Indonesia</v>
      </c>
      <c r="B750" s="28" t="str">
        <f>B749</f>
        <v>East Asia and Pacific</v>
      </c>
      <c r="C750" s="28" t="str">
        <f>C749</f>
        <v>P074290</v>
      </c>
      <c r="D750" s="28" t="s">
        <v>26</v>
      </c>
      <c r="E750" s="28" t="s">
        <v>27</v>
      </c>
      <c r="F750" s="28" t="str">
        <f>F749</f>
        <v>P074290C1S4</v>
      </c>
      <c r="G750" s="28" t="s">
        <v>16</v>
      </c>
      <c r="H750" s="29" t="str">
        <f>H748&amp;" / "&amp;H749</f>
        <v>2004 / 2012</v>
      </c>
      <c r="I750" s="29" t="str">
        <f>I749</f>
        <v>Reconstruction</v>
      </c>
      <c r="J750" s="97" t="str">
        <f>IFERROR(J749/J748,"")</f>
        <v/>
      </c>
      <c r="K750" s="32">
        <f>K749/K748</f>
        <v>0.38235294117647056</v>
      </c>
      <c r="L750" s="32">
        <f>L749/L748</f>
        <v>0.86565096952908593</v>
      </c>
      <c r="M750" s="28"/>
      <c r="N750" s="32">
        <f>N749/N748</f>
        <v>0.86565096952908593</v>
      </c>
      <c r="O750" s="32">
        <f>O749/O748</f>
        <v>2.2640102279991479</v>
      </c>
      <c r="P750" s="33" t="str">
        <f>IF(K750&lt;50%,"x","")</f>
        <v>x</v>
      </c>
      <c r="Q750" s="33" t="str">
        <f>IF(K750&gt;150%,"x","")</f>
        <v/>
      </c>
      <c r="R750" s="33" t="str">
        <f>IF(O750&lt;50%,"x","")</f>
        <v/>
      </c>
      <c r="S750" s="33" t="str">
        <f>IF(O750&gt;150%,"x","")</f>
        <v>x</v>
      </c>
      <c r="T750" s="33" t="s">
        <v>31</v>
      </c>
      <c r="U750" s="34" t="s">
        <v>1035</v>
      </c>
      <c r="V750" s="35" t="s">
        <v>1036</v>
      </c>
    </row>
    <row r="751" spans="1:22" ht="16.5" thickTop="1" x14ac:dyDescent="0.25">
      <c r="A751" s="18" t="s">
        <v>400</v>
      </c>
      <c r="B751" s="18" t="s">
        <v>945</v>
      </c>
      <c r="C751" s="18" t="s">
        <v>655</v>
      </c>
      <c r="D751" s="18" t="s">
        <v>26</v>
      </c>
      <c r="E751" s="18" t="s">
        <v>141</v>
      </c>
      <c r="F751" s="18" t="s">
        <v>661</v>
      </c>
      <c r="G751" s="18" t="s">
        <v>29</v>
      </c>
      <c r="H751" s="19">
        <v>2004</v>
      </c>
      <c r="I751" s="18" t="s">
        <v>68</v>
      </c>
      <c r="J751" s="101" t="s">
        <v>27</v>
      </c>
      <c r="K751" s="20">
        <v>372.9</v>
      </c>
      <c r="L751" s="21">
        <v>19.309999999999999</v>
      </c>
      <c r="M751" s="22" t="s">
        <v>30</v>
      </c>
      <c r="N751" s="23">
        <v>19.309999999999999</v>
      </c>
      <c r="O751" s="24">
        <v>5.1783319924912842E-2</v>
      </c>
      <c r="P751" s="25" t="str">
        <f>IF(P753="x","x","")</f>
        <v>x</v>
      </c>
      <c r="Q751" s="25" t="str">
        <f>IF(Q753="x","x","")</f>
        <v/>
      </c>
      <c r="R751" s="25" t="str">
        <f>IF(R753="x","x","")</f>
        <v/>
      </c>
      <c r="S751" s="25" t="str">
        <f>IF(S753="x","x","")</f>
        <v/>
      </c>
      <c r="T751" s="25" t="s">
        <v>31</v>
      </c>
      <c r="U751" s="26"/>
      <c r="V751" s="27"/>
    </row>
    <row r="752" spans="1:22" x14ac:dyDescent="0.25">
      <c r="A752" s="18" t="s">
        <v>400</v>
      </c>
      <c r="B752" s="18" t="s">
        <v>945</v>
      </c>
      <c r="C752" s="18" t="s">
        <v>655</v>
      </c>
      <c r="D752" s="18" t="s">
        <v>26</v>
      </c>
      <c r="E752" s="18" t="s">
        <v>141</v>
      </c>
      <c r="F752" s="18" t="s">
        <v>661</v>
      </c>
      <c r="G752" s="18" t="s">
        <v>32</v>
      </c>
      <c r="H752" s="19">
        <v>2012</v>
      </c>
      <c r="I752" s="18" t="s">
        <v>68</v>
      </c>
      <c r="J752" s="101" t="s">
        <v>27</v>
      </c>
      <c r="K752" s="20">
        <v>120.7</v>
      </c>
      <c r="L752" s="21">
        <v>9.08</v>
      </c>
      <c r="M752" s="22" t="s">
        <v>30</v>
      </c>
      <c r="N752" s="23">
        <v>9.08</v>
      </c>
      <c r="O752" s="24">
        <v>7.522783761391881E-2</v>
      </c>
      <c r="P752" s="25" t="str">
        <f>IF(P753="x","x","")</f>
        <v>x</v>
      </c>
      <c r="Q752" s="25" t="str">
        <f>IF(Q753="x","x","")</f>
        <v/>
      </c>
      <c r="R752" s="25" t="str">
        <f>IF(R753="x","x","")</f>
        <v/>
      </c>
      <c r="S752" s="25" t="str">
        <f>IF(S753="x","x","")</f>
        <v/>
      </c>
      <c r="T752" s="25" t="s">
        <v>31</v>
      </c>
      <c r="U752" s="26"/>
      <c r="V752" s="27"/>
    </row>
    <row r="753" spans="1:22" ht="95.25" thickBot="1" x14ac:dyDescent="0.3">
      <c r="A753" s="28" t="str">
        <f>A752</f>
        <v>Indonesia</v>
      </c>
      <c r="B753" s="28" t="str">
        <f>B752</f>
        <v>East Asia and Pacific</v>
      </c>
      <c r="C753" s="28" t="str">
        <f>C752</f>
        <v>P074290</v>
      </c>
      <c r="D753" s="28" t="s">
        <v>26</v>
      </c>
      <c r="E753" s="28" t="s">
        <v>27</v>
      </c>
      <c r="F753" s="28" t="str">
        <f>F752</f>
        <v>P074290C1S5</v>
      </c>
      <c r="G753" s="28" t="s">
        <v>16</v>
      </c>
      <c r="H753" s="29" t="str">
        <f>H751&amp;" / "&amp;H752</f>
        <v>2004 / 2012</v>
      </c>
      <c r="I753" s="29" t="str">
        <f>I752</f>
        <v>Asphalt Mix Resurfacing</v>
      </c>
      <c r="J753" s="97" t="str">
        <f>IFERROR(J752/J751,"")</f>
        <v/>
      </c>
      <c r="K753" s="32">
        <f>K752/K751</f>
        <v>0.32367927058192547</v>
      </c>
      <c r="L753" s="32">
        <f>L752/L751</f>
        <v>0.47022268254790267</v>
      </c>
      <c r="M753" s="28"/>
      <c r="N753" s="32">
        <f>N752/N751</f>
        <v>0.47022268254790267</v>
      </c>
      <c r="O753" s="32">
        <f>O752/O751</f>
        <v>1.4527426538700323</v>
      </c>
      <c r="P753" s="33" t="str">
        <f>IF(K753&lt;50%,"x","")</f>
        <v>x</v>
      </c>
      <c r="Q753" s="33" t="str">
        <f>IF(K753&gt;150%,"x","")</f>
        <v/>
      </c>
      <c r="R753" s="33" t="str">
        <f>IF(O753&lt;50%,"x","")</f>
        <v/>
      </c>
      <c r="S753" s="33" t="str">
        <f>IF(O753&gt;150%,"x","")</f>
        <v/>
      </c>
      <c r="T753" s="33" t="s">
        <v>31</v>
      </c>
      <c r="U753" s="34" t="s">
        <v>1035</v>
      </c>
      <c r="V753" s="35" t="s">
        <v>1036</v>
      </c>
    </row>
    <row r="754" spans="1:22" ht="16.5" thickTop="1" x14ac:dyDescent="0.25">
      <c r="A754" s="18" t="s">
        <v>400</v>
      </c>
      <c r="B754" s="18" t="s">
        <v>945</v>
      </c>
      <c r="C754" s="18" t="s">
        <v>655</v>
      </c>
      <c r="D754" s="18" t="s">
        <v>26</v>
      </c>
      <c r="E754" s="18" t="s">
        <v>143</v>
      </c>
      <c r="F754" s="18" t="s">
        <v>662</v>
      </c>
      <c r="G754" s="18" t="s">
        <v>29</v>
      </c>
      <c r="H754" s="19">
        <v>2004</v>
      </c>
      <c r="I754" s="18" t="s">
        <v>359</v>
      </c>
      <c r="J754" s="101" t="s">
        <v>27</v>
      </c>
      <c r="K754" s="20">
        <v>438.1</v>
      </c>
      <c r="L754" s="21">
        <v>41.49</v>
      </c>
      <c r="M754" s="22" t="s">
        <v>30</v>
      </c>
      <c r="N754" s="23">
        <v>41.49</v>
      </c>
      <c r="O754" s="24">
        <v>9.4704405386897964E-2</v>
      </c>
      <c r="P754" s="25" t="str">
        <f>IF(P756="x","x","")</f>
        <v>x</v>
      </c>
      <c r="Q754" s="25" t="str">
        <f>IF(Q756="x","x","")</f>
        <v/>
      </c>
      <c r="R754" s="25" t="str">
        <f>IF(R756="x","x","")</f>
        <v/>
      </c>
      <c r="S754" s="25" t="str">
        <f>IF(S756="x","x","")</f>
        <v>x</v>
      </c>
      <c r="T754" s="25" t="s">
        <v>31</v>
      </c>
      <c r="U754" s="26"/>
      <c r="V754" s="27"/>
    </row>
    <row r="755" spans="1:22" x14ac:dyDescent="0.25">
      <c r="A755" s="18" t="s">
        <v>400</v>
      </c>
      <c r="B755" s="18" t="s">
        <v>945</v>
      </c>
      <c r="C755" s="18" t="s">
        <v>655</v>
      </c>
      <c r="D755" s="18" t="s">
        <v>26</v>
      </c>
      <c r="E755" s="18" t="s">
        <v>143</v>
      </c>
      <c r="F755" s="18" t="s">
        <v>662</v>
      </c>
      <c r="G755" s="18" t="s">
        <v>32</v>
      </c>
      <c r="H755" s="19">
        <v>2012</v>
      </c>
      <c r="I755" s="18" t="s">
        <v>359</v>
      </c>
      <c r="J755" s="101" t="s">
        <v>27</v>
      </c>
      <c r="K755" s="20">
        <v>179.2</v>
      </c>
      <c r="L755" s="21">
        <v>31.94</v>
      </c>
      <c r="M755" s="22" t="s">
        <v>30</v>
      </c>
      <c r="N755" s="23">
        <v>31.94</v>
      </c>
      <c r="O755" s="24">
        <v>0.17823660714285716</v>
      </c>
      <c r="P755" s="25" t="str">
        <f>IF(P756="x","x","")</f>
        <v>x</v>
      </c>
      <c r="Q755" s="25" t="str">
        <f>IF(Q756="x","x","")</f>
        <v/>
      </c>
      <c r="R755" s="25" t="str">
        <f>IF(R756="x","x","")</f>
        <v/>
      </c>
      <c r="S755" s="25" t="str">
        <f>IF(S756="x","x","")</f>
        <v>x</v>
      </c>
      <c r="T755" s="25" t="s">
        <v>31</v>
      </c>
      <c r="U755" s="26"/>
      <c r="V755" s="27"/>
    </row>
    <row r="756" spans="1:22" ht="95.25" thickBot="1" x14ac:dyDescent="0.3">
      <c r="A756" s="28" t="str">
        <f>A755</f>
        <v>Indonesia</v>
      </c>
      <c r="B756" s="28" t="str">
        <f>B755</f>
        <v>East Asia and Pacific</v>
      </c>
      <c r="C756" s="28" t="str">
        <f>C755</f>
        <v>P074290</v>
      </c>
      <c r="D756" s="28" t="s">
        <v>26</v>
      </c>
      <c r="E756" s="28" t="s">
        <v>27</v>
      </c>
      <c r="F756" s="28" t="str">
        <f>F755</f>
        <v>P074290C1S6</v>
      </c>
      <c r="G756" s="28" t="s">
        <v>16</v>
      </c>
      <c r="H756" s="29" t="str">
        <f>H754&amp;" / "&amp;H755</f>
        <v>2004 / 2012</v>
      </c>
      <c r="I756" s="29" t="str">
        <f>I755</f>
        <v>Reconstruction</v>
      </c>
      <c r="J756" s="97" t="str">
        <f>IFERROR(J755/J754,"")</f>
        <v/>
      </c>
      <c r="K756" s="32">
        <f>K755/K754</f>
        <v>0.40903903218443272</v>
      </c>
      <c r="L756" s="32">
        <f>L755/L754</f>
        <v>0.76982405398891296</v>
      </c>
      <c r="M756" s="28"/>
      <c r="N756" s="32">
        <f>N755/N754</f>
        <v>0.76982405398891296</v>
      </c>
      <c r="O756" s="32">
        <f>O755/O754</f>
        <v>1.8820307927039222</v>
      </c>
      <c r="P756" s="33" t="str">
        <f>IF(K756&lt;50%,"x","")</f>
        <v>x</v>
      </c>
      <c r="Q756" s="33" t="str">
        <f>IF(K756&gt;150%,"x","")</f>
        <v/>
      </c>
      <c r="R756" s="33" t="str">
        <f>IF(O756&lt;50%,"x","")</f>
        <v/>
      </c>
      <c r="S756" s="33" t="str">
        <f>IF(O756&gt;150%,"x","")</f>
        <v>x</v>
      </c>
      <c r="T756" s="33" t="s">
        <v>31</v>
      </c>
      <c r="U756" s="34" t="s">
        <v>1035</v>
      </c>
      <c r="V756" s="35" t="s">
        <v>1036</v>
      </c>
    </row>
    <row r="757" spans="1:22" ht="16.5" thickTop="1" x14ac:dyDescent="0.25">
      <c r="A757" s="18" t="s">
        <v>400</v>
      </c>
      <c r="B757" s="18" t="s">
        <v>945</v>
      </c>
      <c r="C757" s="18" t="s">
        <v>655</v>
      </c>
      <c r="D757" s="18" t="s">
        <v>26</v>
      </c>
      <c r="E757" s="18" t="s">
        <v>245</v>
      </c>
      <c r="F757" s="18" t="s">
        <v>663</v>
      </c>
      <c r="G757" s="18" t="s">
        <v>29</v>
      </c>
      <c r="H757" s="19">
        <v>2004</v>
      </c>
      <c r="I757" s="18" t="s">
        <v>68</v>
      </c>
      <c r="J757" s="101" t="s">
        <v>27</v>
      </c>
      <c r="K757" s="20">
        <v>1049.7</v>
      </c>
      <c r="L757" s="21">
        <v>25.26</v>
      </c>
      <c r="M757" s="22" t="s">
        <v>30</v>
      </c>
      <c r="N757" s="23">
        <v>25.26</v>
      </c>
      <c r="O757" s="24">
        <v>2.4064018290940268E-2</v>
      </c>
      <c r="P757" s="25" t="str">
        <f>IF(P759="x","x","")</f>
        <v>x</v>
      </c>
      <c r="Q757" s="25" t="str">
        <f>IF(Q759="x","x","")</f>
        <v/>
      </c>
      <c r="R757" s="25" t="str">
        <f>IF(R759="x","x","")</f>
        <v/>
      </c>
      <c r="S757" s="25" t="str">
        <f>IF(S759="x","x","")</f>
        <v>x</v>
      </c>
      <c r="T757" s="25" t="s">
        <v>31</v>
      </c>
      <c r="U757" s="26"/>
      <c r="V757" s="27"/>
    </row>
    <row r="758" spans="1:22" x14ac:dyDescent="0.25">
      <c r="A758" s="18" t="s">
        <v>400</v>
      </c>
      <c r="B758" s="18" t="s">
        <v>945</v>
      </c>
      <c r="C758" s="18" t="s">
        <v>655</v>
      </c>
      <c r="D758" s="18" t="s">
        <v>26</v>
      </c>
      <c r="E758" s="18" t="s">
        <v>245</v>
      </c>
      <c r="F758" s="18" t="s">
        <v>663</v>
      </c>
      <c r="G758" s="18" t="s">
        <v>32</v>
      </c>
      <c r="H758" s="19">
        <v>2012</v>
      </c>
      <c r="I758" s="18" t="s">
        <v>68</v>
      </c>
      <c r="J758" s="101" t="s">
        <v>27</v>
      </c>
      <c r="K758" s="20">
        <v>273.5</v>
      </c>
      <c r="L758" s="21">
        <v>14.29</v>
      </c>
      <c r="M758" s="22" t="s">
        <v>30</v>
      </c>
      <c r="N758" s="23">
        <v>14.29</v>
      </c>
      <c r="O758" s="24">
        <v>5.2248628884826322E-2</v>
      </c>
      <c r="P758" s="25" t="str">
        <f>IF(P759="x","x","")</f>
        <v>x</v>
      </c>
      <c r="Q758" s="25" t="str">
        <f>IF(Q759="x","x","")</f>
        <v/>
      </c>
      <c r="R758" s="25" t="str">
        <f>IF(R759="x","x","")</f>
        <v/>
      </c>
      <c r="S758" s="25" t="str">
        <f>IF(S759="x","x","")</f>
        <v>x</v>
      </c>
      <c r="T758" s="25" t="s">
        <v>31</v>
      </c>
      <c r="U758" s="26"/>
      <c r="V758" s="27"/>
    </row>
    <row r="759" spans="1:22" ht="95.25" thickBot="1" x14ac:dyDescent="0.3">
      <c r="A759" s="28" t="str">
        <f>A758</f>
        <v>Indonesia</v>
      </c>
      <c r="B759" s="28" t="str">
        <f>B758</f>
        <v>East Asia and Pacific</v>
      </c>
      <c r="C759" s="28" t="str">
        <f>C758</f>
        <v>P074290</v>
      </c>
      <c r="D759" s="28" t="s">
        <v>26</v>
      </c>
      <c r="E759" s="28" t="s">
        <v>27</v>
      </c>
      <c r="F759" s="28" t="str">
        <f>F758</f>
        <v>P074290C1S7</v>
      </c>
      <c r="G759" s="28" t="s">
        <v>16</v>
      </c>
      <c r="H759" s="29" t="str">
        <f>H757&amp;" / "&amp;H758</f>
        <v>2004 / 2012</v>
      </c>
      <c r="I759" s="29" t="str">
        <f>I758</f>
        <v>Asphalt Mix Resurfacing</v>
      </c>
      <c r="J759" s="97" t="str">
        <f>IFERROR(J758/J757,"")</f>
        <v/>
      </c>
      <c r="K759" s="32">
        <f>K758/K757</f>
        <v>0.26055063351433744</v>
      </c>
      <c r="L759" s="32">
        <f>L758/L757</f>
        <v>0.56571654790182102</v>
      </c>
      <c r="M759" s="28"/>
      <c r="N759" s="32">
        <f>N758/N757</f>
        <v>0.56571654790182102</v>
      </c>
      <c r="O759" s="32">
        <f>O758/O757</f>
        <v>2.1712345898813221</v>
      </c>
      <c r="P759" s="33" t="str">
        <f>IF(K759&lt;50%,"x","")</f>
        <v>x</v>
      </c>
      <c r="Q759" s="33" t="str">
        <f>IF(K759&gt;150%,"x","")</f>
        <v/>
      </c>
      <c r="R759" s="33" t="str">
        <f>IF(O759&lt;50%,"x","")</f>
        <v/>
      </c>
      <c r="S759" s="33" t="str">
        <f>IF(O759&gt;150%,"x","")</f>
        <v>x</v>
      </c>
      <c r="T759" s="33" t="s">
        <v>31</v>
      </c>
      <c r="U759" s="34" t="s">
        <v>1035</v>
      </c>
      <c r="V759" s="35" t="s">
        <v>1036</v>
      </c>
    </row>
    <row r="760" spans="1:22" ht="16.5" thickTop="1" x14ac:dyDescent="0.25">
      <c r="A760" s="18" t="s">
        <v>400</v>
      </c>
      <c r="B760" s="18" t="s">
        <v>945</v>
      </c>
      <c r="C760" s="18" t="s">
        <v>655</v>
      </c>
      <c r="D760" s="18" t="s">
        <v>26</v>
      </c>
      <c r="E760" s="18" t="s">
        <v>247</v>
      </c>
      <c r="F760" s="18" t="s">
        <v>664</v>
      </c>
      <c r="G760" s="18" t="s">
        <v>29</v>
      </c>
      <c r="H760" s="19">
        <v>2004</v>
      </c>
      <c r="I760" s="18" t="s">
        <v>359</v>
      </c>
      <c r="J760" s="101" t="s">
        <v>27</v>
      </c>
      <c r="K760" s="20">
        <v>934.8</v>
      </c>
      <c r="L760" s="21">
        <v>43.89</v>
      </c>
      <c r="M760" s="22" t="s">
        <v>30</v>
      </c>
      <c r="N760" s="23">
        <v>43.89</v>
      </c>
      <c r="O760" s="24">
        <v>4.6951219512195122E-2</v>
      </c>
      <c r="P760" s="25" t="str">
        <f>IF(P762="x","x","")</f>
        <v>x</v>
      </c>
      <c r="Q760" s="25" t="str">
        <f>IF(Q762="x","x","")</f>
        <v/>
      </c>
      <c r="R760" s="25" t="str">
        <f>IF(R762="x","x","")</f>
        <v/>
      </c>
      <c r="S760" s="25" t="str">
        <f>IF(S762="x","x","")</f>
        <v>x</v>
      </c>
      <c r="T760" s="25" t="s">
        <v>31</v>
      </c>
      <c r="U760" s="26"/>
      <c r="V760" s="27"/>
    </row>
    <row r="761" spans="1:22" x14ac:dyDescent="0.25">
      <c r="A761" s="18" t="s">
        <v>400</v>
      </c>
      <c r="B761" s="18" t="s">
        <v>945</v>
      </c>
      <c r="C761" s="18" t="s">
        <v>655</v>
      </c>
      <c r="D761" s="18" t="s">
        <v>26</v>
      </c>
      <c r="E761" s="18" t="s">
        <v>247</v>
      </c>
      <c r="F761" s="18" t="s">
        <v>664</v>
      </c>
      <c r="G761" s="18" t="s">
        <v>32</v>
      </c>
      <c r="H761" s="19">
        <v>2012</v>
      </c>
      <c r="I761" s="18" t="s">
        <v>359</v>
      </c>
      <c r="J761" s="101" t="s">
        <v>27</v>
      </c>
      <c r="K761" s="20">
        <v>458.9</v>
      </c>
      <c r="L761" s="21">
        <v>41.28</v>
      </c>
      <c r="M761" s="22" t="s">
        <v>30</v>
      </c>
      <c r="N761" s="23">
        <v>41.28</v>
      </c>
      <c r="O761" s="24">
        <v>8.9954238396164746E-2</v>
      </c>
      <c r="P761" s="25" t="str">
        <f>IF(P762="x","x","")</f>
        <v>x</v>
      </c>
      <c r="Q761" s="25" t="str">
        <f>IF(Q762="x","x","")</f>
        <v/>
      </c>
      <c r="R761" s="25" t="str">
        <f>IF(R762="x","x","")</f>
        <v/>
      </c>
      <c r="S761" s="25" t="str">
        <f>IF(S762="x","x","")</f>
        <v>x</v>
      </c>
      <c r="T761" s="25" t="s">
        <v>31</v>
      </c>
      <c r="U761" s="26"/>
      <c r="V761" s="27"/>
    </row>
    <row r="762" spans="1:22" ht="95.25" thickBot="1" x14ac:dyDescent="0.3">
      <c r="A762" s="28" t="str">
        <f>A761</f>
        <v>Indonesia</v>
      </c>
      <c r="B762" s="28" t="str">
        <f>B761</f>
        <v>East Asia and Pacific</v>
      </c>
      <c r="C762" s="28" t="str">
        <f>C761</f>
        <v>P074290</v>
      </c>
      <c r="D762" s="28" t="s">
        <v>26</v>
      </c>
      <c r="E762" s="28" t="s">
        <v>27</v>
      </c>
      <c r="F762" s="28" t="str">
        <f>F761</f>
        <v>P074290C1S8</v>
      </c>
      <c r="G762" s="28" t="s">
        <v>16</v>
      </c>
      <c r="H762" s="29" t="str">
        <f>H760&amp;" / "&amp;H761</f>
        <v>2004 / 2012</v>
      </c>
      <c r="I762" s="29" t="str">
        <f>I761</f>
        <v>Reconstruction</v>
      </c>
      <c r="J762" s="97" t="str">
        <f>IFERROR(J761/J760,"")</f>
        <v/>
      </c>
      <c r="K762" s="32">
        <f>K761/K760</f>
        <v>0.49090714591356438</v>
      </c>
      <c r="L762" s="32">
        <f>L761/L760</f>
        <v>0.94053315105946689</v>
      </c>
      <c r="M762" s="28"/>
      <c r="N762" s="32">
        <f>N761/N760</f>
        <v>0.94053315105946689</v>
      </c>
      <c r="O762" s="32">
        <f>O761/O760</f>
        <v>1.9159084541520803</v>
      </c>
      <c r="P762" s="33" t="str">
        <f>IF(K762&lt;50%,"x","")</f>
        <v>x</v>
      </c>
      <c r="Q762" s="33" t="str">
        <f>IF(K762&gt;150%,"x","")</f>
        <v/>
      </c>
      <c r="R762" s="33" t="str">
        <f>IF(O762&lt;50%,"x","")</f>
        <v/>
      </c>
      <c r="S762" s="33" t="str">
        <f>IF(O762&gt;150%,"x","")</f>
        <v>x</v>
      </c>
      <c r="T762" s="33" t="s">
        <v>31</v>
      </c>
      <c r="U762" s="34" t="s">
        <v>1035</v>
      </c>
      <c r="V762" s="35" t="s">
        <v>1036</v>
      </c>
    </row>
    <row r="763" spans="1:22" ht="16.5" thickTop="1" x14ac:dyDescent="0.25">
      <c r="A763" s="18" t="s">
        <v>400</v>
      </c>
      <c r="B763" s="18" t="s">
        <v>945</v>
      </c>
      <c r="C763" s="18" t="s">
        <v>711</v>
      </c>
      <c r="D763" s="18" t="s">
        <v>26</v>
      </c>
      <c r="E763" s="18" t="s">
        <v>27</v>
      </c>
      <c r="F763" s="18" t="s">
        <v>712</v>
      </c>
      <c r="G763" s="18" t="s">
        <v>29</v>
      </c>
      <c r="H763" s="19">
        <v>2006</v>
      </c>
      <c r="I763" s="18" t="s">
        <v>359</v>
      </c>
      <c r="J763" s="101" t="s">
        <v>27</v>
      </c>
      <c r="K763" s="20">
        <v>401.5</v>
      </c>
      <c r="L763" s="21">
        <v>262.10000000000002</v>
      </c>
      <c r="M763" s="22" t="s">
        <v>30</v>
      </c>
      <c r="N763" s="23">
        <v>262.10000000000002</v>
      </c>
      <c r="O763" s="24">
        <v>0.65280199252801996</v>
      </c>
      <c r="P763" s="25" t="str">
        <f>IF(P765="x","x","")</f>
        <v/>
      </c>
      <c r="Q763" s="25" t="str">
        <f>IF(Q765="x","x","")</f>
        <v/>
      </c>
      <c r="R763" s="25" t="str">
        <f>IF(R765="x","x","")</f>
        <v/>
      </c>
      <c r="S763" s="25" t="str">
        <f>IF(S765="x","x","")</f>
        <v/>
      </c>
      <c r="T763" s="25" t="s">
        <v>27</v>
      </c>
      <c r="U763" s="26"/>
      <c r="V763" s="27"/>
    </row>
    <row r="764" spans="1:22" x14ac:dyDescent="0.25">
      <c r="A764" s="18" t="s">
        <v>400</v>
      </c>
      <c r="B764" s="18" t="s">
        <v>945</v>
      </c>
      <c r="C764" s="18" t="s">
        <v>711</v>
      </c>
      <c r="D764" s="18" t="s">
        <v>26</v>
      </c>
      <c r="E764" s="18" t="s">
        <v>27</v>
      </c>
      <c r="F764" s="18" t="s">
        <v>712</v>
      </c>
      <c r="G764" s="18" t="s">
        <v>32</v>
      </c>
      <c r="H764" s="19">
        <v>2014</v>
      </c>
      <c r="I764" s="18" t="s">
        <v>359</v>
      </c>
      <c r="J764" s="101" t="s">
        <v>27</v>
      </c>
      <c r="K764" s="20">
        <v>228.41</v>
      </c>
      <c r="L764" s="21">
        <v>208.8</v>
      </c>
      <c r="M764" s="22" t="s">
        <v>30</v>
      </c>
      <c r="N764" s="23">
        <v>208.8</v>
      </c>
      <c r="O764" s="24">
        <v>0.91414561534083449</v>
      </c>
      <c r="P764" s="25" t="str">
        <f>IF(P765="x","x","")</f>
        <v/>
      </c>
      <c r="Q764" s="25" t="str">
        <f>IF(Q765="x","x","")</f>
        <v/>
      </c>
      <c r="R764" s="25" t="str">
        <f>IF(R765="x","x","")</f>
        <v/>
      </c>
      <c r="S764" s="25" t="str">
        <f>IF(S765="x","x","")</f>
        <v/>
      </c>
      <c r="T764" s="25" t="s">
        <v>27</v>
      </c>
      <c r="U764" s="26"/>
      <c r="V764" s="27"/>
    </row>
    <row r="765" spans="1:22" ht="16.5" thickBot="1" x14ac:dyDescent="0.3">
      <c r="A765" s="28" t="str">
        <f>A764</f>
        <v>Indonesia</v>
      </c>
      <c r="B765" s="28" t="str">
        <f>B764</f>
        <v>East Asia and Pacific</v>
      </c>
      <c r="C765" s="28" t="str">
        <f>C764</f>
        <v>P079906</v>
      </c>
      <c r="D765" s="28" t="s">
        <v>26</v>
      </c>
      <c r="E765" s="28" t="s">
        <v>27</v>
      </c>
      <c r="F765" s="28" t="str">
        <f>F764</f>
        <v>P079906C1</v>
      </c>
      <c r="G765" s="28" t="s">
        <v>16</v>
      </c>
      <c r="H765" s="29" t="str">
        <f>H763&amp;" / "&amp;H764</f>
        <v>2006 / 2014</v>
      </c>
      <c r="I765" s="29" t="str">
        <f>I764</f>
        <v>Reconstruction</v>
      </c>
      <c r="J765" s="97" t="str">
        <f>IFERROR(J764/J763,"")</f>
        <v/>
      </c>
      <c r="K765" s="32">
        <f>K764/K763</f>
        <v>0.56889165628891658</v>
      </c>
      <c r="L765" s="32">
        <f>L764/L763</f>
        <v>0.79664250286150318</v>
      </c>
      <c r="M765" s="28"/>
      <c r="N765" s="32">
        <f>N764/N763</f>
        <v>0.79664250286150318</v>
      </c>
      <c r="O765" s="32">
        <f>O764/O763</f>
        <v>1.4003413375022702</v>
      </c>
      <c r="P765" s="33" t="str">
        <f>IF(K765&lt;50%,"x","")</f>
        <v/>
      </c>
      <c r="Q765" s="33" t="str">
        <f>IF(K765&gt;150%,"x","")</f>
        <v/>
      </c>
      <c r="R765" s="33" t="str">
        <f>IF(O765&lt;50%,"x","")</f>
        <v/>
      </c>
      <c r="S765" s="33" t="str">
        <f>IF(O765&gt;150%,"x","")</f>
        <v/>
      </c>
      <c r="T765" s="33" t="s">
        <v>27</v>
      </c>
      <c r="U765" s="34" t="s">
        <v>27</v>
      </c>
      <c r="V765" s="35" t="s">
        <v>27</v>
      </c>
    </row>
    <row r="766" spans="1:22" ht="16.5" thickTop="1" x14ac:dyDescent="0.25">
      <c r="A766" s="18" t="s">
        <v>400</v>
      </c>
      <c r="B766" s="18" t="s">
        <v>945</v>
      </c>
      <c r="C766" s="18" t="s">
        <v>711</v>
      </c>
      <c r="D766" s="18" t="s">
        <v>26</v>
      </c>
      <c r="E766" s="18" t="s">
        <v>36</v>
      </c>
      <c r="F766" s="18" t="s">
        <v>713</v>
      </c>
      <c r="G766" s="18" t="s">
        <v>29</v>
      </c>
      <c r="H766" s="19">
        <v>2006</v>
      </c>
      <c r="I766" s="18" t="s">
        <v>38</v>
      </c>
      <c r="J766" s="101" t="s">
        <v>27</v>
      </c>
      <c r="K766" s="20">
        <v>141.80000000000001</v>
      </c>
      <c r="L766" s="21">
        <v>75.099999999999994</v>
      </c>
      <c r="M766" s="22" t="s">
        <v>30</v>
      </c>
      <c r="N766" s="23">
        <v>75.099999999999994</v>
      </c>
      <c r="O766" s="24">
        <v>0.52961918194640334</v>
      </c>
      <c r="P766" s="25" t="str">
        <f>IF(P768="x","x","")</f>
        <v/>
      </c>
      <c r="Q766" s="25" t="str">
        <f>IF(Q768="x","x","")</f>
        <v/>
      </c>
      <c r="R766" s="25" t="str">
        <f>IF(R768="x","x","")</f>
        <v/>
      </c>
      <c r="S766" s="25" t="str">
        <f>IF(S768="x","x","")</f>
        <v/>
      </c>
      <c r="T766" s="25" t="s">
        <v>27</v>
      </c>
      <c r="U766" s="26"/>
      <c r="V766" s="27"/>
    </row>
    <row r="767" spans="1:22" x14ac:dyDescent="0.25">
      <c r="A767" s="18" t="s">
        <v>400</v>
      </c>
      <c r="B767" s="18" t="s">
        <v>945</v>
      </c>
      <c r="C767" s="18" t="s">
        <v>711</v>
      </c>
      <c r="D767" s="18" t="s">
        <v>26</v>
      </c>
      <c r="E767" s="18" t="s">
        <v>36</v>
      </c>
      <c r="F767" s="18" t="s">
        <v>713</v>
      </c>
      <c r="G767" s="18" t="s">
        <v>32</v>
      </c>
      <c r="H767" s="19">
        <v>2014</v>
      </c>
      <c r="I767" s="18" t="s">
        <v>38</v>
      </c>
      <c r="J767" s="101" t="s">
        <v>27</v>
      </c>
      <c r="K767" s="20">
        <v>106.4</v>
      </c>
      <c r="L767" s="21">
        <v>63.2</v>
      </c>
      <c r="M767" s="22" t="s">
        <v>30</v>
      </c>
      <c r="N767" s="23">
        <v>63.2</v>
      </c>
      <c r="O767" s="24">
        <v>0.59398496240601506</v>
      </c>
      <c r="P767" s="25" t="str">
        <f>IF(P768="x","x","")</f>
        <v/>
      </c>
      <c r="Q767" s="25" t="str">
        <f>IF(Q768="x","x","")</f>
        <v/>
      </c>
      <c r="R767" s="25" t="str">
        <f>IF(R768="x","x","")</f>
        <v/>
      </c>
      <c r="S767" s="25" t="str">
        <f>IF(S768="x","x","")</f>
        <v/>
      </c>
      <c r="T767" s="25" t="s">
        <v>27</v>
      </c>
      <c r="U767" s="26"/>
      <c r="V767" s="27"/>
    </row>
    <row r="768" spans="1:22" ht="16.5" thickBot="1" x14ac:dyDescent="0.3">
      <c r="A768" s="28" t="str">
        <f>A767</f>
        <v>Indonesia</v>
      </c>
      <c r="B768" s="28" t="str">
        <f>B767</f>
        <v>East Asia and Pacific</v>
      </c>
      <c r="C768" s="28" t="str">
        <f>C767</f>
        <v>P079906</v>
      </c>
      <c r="D768" s="28" t="s">
        <v>26</v>
      </c>
      <c r="E768" s="28" t="s">
        <v>27</v>
      </c>
      <c r="F768" s="28" t="str">
        <f>F767</f>
        <v>P079906C1S1</v>
      </c>
      <c r="G768" s="28" t="s">
        <v>16</v>
      </c>
      <c r="H768" s="29" t="str">
        <f>H766&amp;" / "&amp;H767</f>
        <v>2006 / 2014</v>
      </c>
      <c r="I768" s="29" t="str">
        <f>I767</f>
        <v>Strengthening</v>
      </c>
      <c r="J768" s="97" t="str">
        <f>IFERROR(J767/J766,"")</f>
        <v/>
      </c>
      <c r="K768" s="32">
        <f>K767/K766</f>
        <v>0.7503526093088857</v>
      </c>
      <c r="L768" s="32">
        <f>L767/L766</f>
        <v>0.84154460719041291</v>
      </c>
      <c r="M768" s="28"/>
      <c r="N768" s="32">
        <f>N767/N766</f>
        <v>0.84154460719041291</v>
      </c>
      <c r="O768" s="32">
        <f>O767/O766</f>
        <v>1.1215321926654187</v>
      </c>
      <c r="P768" s="33" t="str">
        <f>IF(K768&lt;50%,"x","")</f>
        <v/>
      </c>
      <c r="Q768" s="33" t="str">
        <f>IF(K768&gt;150%,"x","")</f>
        <v/>
      </c>
      <c r="R768" s="33" t="str">
        <f>IF(O768&lt;50%,"x","")</f>
        <v/>
      </c>
      <c r="S768" s="33" t="str">
        <f>IF(O768&gt;150%,"x","")</f>
        <v/>
      </c>
      <c r="T768" s="33" t="s">
        <v>27</v>
      </c>
      <c r="U768" s="34" t="s">
        <v>27</v>
      </c>
      <c r="V768" s="35" t="s">
        <v>27</v>
      </c>
    </row>
    <row r="769" spans="1:22" ht="16.5" thickTop="1" x14ac:dyDescent="0.25">
      <c r="A769" s="18" t="s">
        <v>400</v>
      </c>
      <c r="B769" s="18" t="s">
        <v>945</v>
      </c>
      <c r="C769" s="18" t="s">
        <v>711</v>
      </c>
      <c r="D769" s="18" t="s">
        <v>26</v>
      </c>
      <c r="E769" s="18" t="s">
        <v>40</v>
      </c>
      <c r="F769" s="18" t="s">
        <v>714</v>
      </c>
      <c r="G769" s="18" t="s">
        <v>29</v>
      </c>
      <c r="H769" s="19">
        <v>2006</v>
      </c>
      <c r="I769" s="18" t="s">
        <v>56</v>
      </c>
      <c r="J769" s="101" t="s">
        <v>27</v>
      </c>
      <c r="K769" s="20">
        <v>102.5</v>
      </c>
      <c r="L769" s="21">
        <v>99.7</v>
      </c>
      <c r="M769" s="22" t="s">
        <v>30</v>
      </c>
      <c r="N769" s="23">
        <v>99.7</v>
      </c>
      <c r="O769" s="24">
        <v>0.97268292682926827</v>
      </c>
      <c r="P769" s="25" t="str">
        <f>IF(P771="x","x","")</f>
        <v/>
      </c>
      <c r="Q769" s="25" t="str">
        <f>IF(Q771="x","x","")</f>
        <v/>
      </c>
      <c r="R769" s="25" t="str">
        <f>IF(R771="x","x","")</f>
        <v/>
      </c>
      <c r="S769" s="25" t="str">
        <f>IF(S771="x","x","")</f>
        <v/>
      </c>
      <c r="T769" s="25" t="s">
        <v>27</v>
      </c>
      <c r="U769" s="26"/>
      <c r="V769" s="27"/>
    </row>
    <row r="770" spans="1:22" x14ac:dyDescent="0.25">
      <c r="A770" s="18" t="s">
        <v>400</v>
      </c>
      <c r="B770" s="18" t="s">
        <v>945</v>
      </c>
      <c r="C770" s="18" t="s">
        <v>711</v>
      </c>
      <c r="D770" s="18" t="s">
        <v>26</v>
      </c>
      <c r="E770" s="18" t="s">
        <v>40</v>
      </c>
      <c r="F770" s="18" t="s">
        <v>714</v>
      </c>
      <c r="G770" s="18" t="s">
        <v>32</v>
      </c>
      <c r="H770" s="19">
        <v>2014</v>
      </c>
      <c r="I770" s="18" t="s">
        <v>56</v>
      </c>
      <c r="J770" s="101" t="s">
        <v>27</v>
      </c>
      <c r="K770" s="20">
        <v>84.8</v>
      </c>
      <c r="L770" s="21">
        <v>94.7</v>
      </c>
      <c r="M770" s="22" t="s">
        <v>30</v>
      </c>
      <c r="N770" s="23">
        <v>94.7</v>
      </c>
      <c r="O770" s="24">
        <v>1.116745283018868</v>
      </c>
      <c r="P770" s="25" t="str">
        <f>IF(P771="x","x","")</f>
        <v/>
      </c>
      <c r="Q770" s="25" t="str">
        <f>IF(Q771="x","x","")</f>
        <v/>
      </c>
      <c r="R770" s="25" t="str">
        <f>IF(R771="x","x","")</f>
        <v/>
      </c>
      <c r="S770" s="25" t="str">
        <f>IF(S771="x","x","")</f>
        <v/>
      </c>
      <c r="T770" s="25" t="s">
        <v>27</v>
      </c>
      <c r="U770" s="26"/>
      <c r="V770" s="27"/>
    </row>
    <row r="771" spans="1:22" ht="16.5" thickBot="1" x14ac:dyDescent="0.3">
      <c r="A771" s="28" t="str">
        <f>A770</f>
        <v>Indonesia</v>
      </c>
      <c r="B771" s="28" t="str">
        <f>B770</f>
        <v>East Asia and Pacific</v>
      </c>
      <c r="C771" s="28" t="str">
        <f>C770</f>
        <v>P079906</v>
      </c>
      <c r="D771" s="28" t="s">
        <v>26</v>
      </c>
      <c r="E771" s="28" t="s">
        <v>27</v>
      </c>
      <c r="F771" s="28" t="str">
        <f>F770</f>
        <v>P079906C1S2</v>
      </c>
      <c r="G771" s="28" t="s">
        <v>16</v>
      </c>
      <c r="H771" s="29" t="str">
        <f>H769&amp;" / "&amp;H770</f>
        <v>2006 / 2014</v>
      </c>
      <c r="I771" s="29" t="str">
        <f>I770</f>
        <v>Widening</v>
      </c>
      <c r="J771" s="97" t="str">
        <f>IFERROR(J770/J769,"")</f>
        <v/>
      </c>
      <c r="K771" s="32">
        <f>K770/K769</f>
        <v>0.82731707317073166</v>
      </c>
      <c r="L771" s="32">
        <f>L770/L769</f>
        <v>0.94984954864593785</v>
      </c>
      <c r="M771" s="28"/>
      <c r="N771" s="32">
        <f>N770/N769</f>
        <v>0.94984954864593785</v>
      </c>
      <c r="O771" s="32">
        <f>O770/O769</f>
        <v>1.148108239813781</v>
      </c>
      <c r="P771" s="33" t="str">
        <f>IF(K771&lt;50%,"x","")</f>
        <v/>
      </c>
      <c r="Q771" s="33" t="str">
        <f>IF(K771&gt;150%,"x","")</f>
        <v/>
      </c>
      <c r="R771" s="33" t="str">
        <f>IF(O771&lt;50%,"x","")</f>
        <v/>
      </c>
      <c r="S771" s="33" t="str">
        <f>IF(O771&gt;150%,"x","")</f>
        <v/>
      </c>
      <c r="T771" s="33" t="s">
        <v>27</v>
      </c>
      <c r="U771" s="34" t="s">
        <v>27</v>
      </c>
      <c r="V771" s="35" t="s">
        <v>27</v>
      </c>
    </row>
    <row r="772" spans="1:22" ht="16.5" thickTop="1" x14ac:dyDescent="0.25">
      <c r="A772" s="18" t="s">
        <v>400</v>
      </c>
      <c r="B772" s="18" t="s">
        <v>945</v>
      </c>
      <c r="C772" s="18" t="s">
        <v>711</v>
      </c>
      <c r="D772" s="18" t="s">
        <v>26</v>
      </c>
      <c r="E772" s="18" t="s">
        <v>69</v>
      </c>
      <c r="F772" s="18" t="s">
        <v>715</v>
      </c>
      <c r="G772" s="18" t="s">
        <v>29</v>
      </c>
      <c r="H772" s="19">
        <v>2006</v>
      </c>
      <c r="I772" s="18" t="s">
        <v>213</v>
      </c>
      <c r="J772" s="101" t="s">
        <v>27</v>
      </c>
      <c r="K772" s="20">
        <v>46.8</v>
      </c>
      <c r="L772" s="21">
        <v>52.23</v>
      </c>
      <c r="M772" s="22" t="s">
        <v>30</v>
      </c>
      <c r="N772" s="23">
        <v>52.23</v>
      </c>
      <c r="O772" s="24">
        <v>1.1160256410256411</v>
      </c>
      <c r="P772" s="25" t="str">
        <f>IF(P774="x","x","")</f>
        <v/>
      </c>
      <c r="Q772" s="25" t="str">
        <f>IF(Q774="x","x","")</f>
        <v/>
      </c>
      <c r="R772" s="25" t="str">
        <f>IF(R774="x","x","")</f>
        <v/>
      </c>
      <c r="S772" s="25" t="str">
        <f>IF(S774="x","x","")</f>
        <v/>
      </c>
      <c r="T772" s="25" t="s">
        <v>27</v>
      </c>
      <c r="U772" s="26"/>
      <c r="V772" s="27"/>
    </row>
    <row r="773" spans="1:22" x14ac:dyDescent="0.25">
      <c r="A773" s="18" t="s">
        <v>400</v>
      </c>
      <c r="B773" s="18" t="s">
        <v>945</v>
      </c>
      <c r="C773" s="18" t="s">
        <v>711</v>
      </c>
      <c r="D773" s="18" t="s">
        <v>26</v>
      </c>
      <c r="E773" s="18" t="s">
        <v>69</v>
      </c>
      <c r="F773" s="18" t="s">
        <v>715</v>
      </c>
      <c r="G773" s="18" t="s">
        <v>32</v>
      </c>
      <c r="H773" s="19">
        <v>2014</v>
      </c>
      <c r="I773" s="18" t="s">
        <v>213</v>
      </c>
      <c r="J773" s="101" t="s">
        <v>27</v>
      </c>
      <c r="K773" s="20">
        <v>37.1</v>
      </c>
      <c r="L773" s="21">
        <v>42.6</v>
      </c>
      <c r="M773" s="22" t="s">
        <v>30</v>
      </c>
      <c r="N773" s="23">
        <v>42.6</v>
      </c>
      <c r="O773" s="24">
        <v>1.1482479784366577</v>
      </c>
      <c r="P773" s="25" t="str">
        <f>IF(P774="x","x","")</f>
        <v/>
      </c>
      <c r="Q773" s="25" t="str">
        <f>IF(Q774="x","x","")</f>
        <v/>
      </c>
      <c r="R773" s="25" t="str">
        <f>IF(R774="x","x","")</f>
        <v/>
      </c>
      <c r="S773" s="25" t="str">
        <f>IF(S774="x","x","")</f>
        <v/>
      </c>
      <c r="T773" s="25" t="s">
        <v>27</v>
      </c>
      <c r="U773" s="26"/>
      <c r="V773" s="27"/>
    </row>
    <row r="774" spans="1:22" ht="16.5" thickBot="1" x14ac:dyDescent="0.3">
      <c r="A774" s="28" t="str">
        <f>A773</f>
        <v>Indonesia</v>
      </c>
      <c r="B774" s="28" t="str">
        <f>B773</f>
        <v>East Asia and Pacific</v>
      </c>
      <c r="C774" s="28" t="str">
        <f>C773</f>
        <v>P079906</v>
      </c>
      <c r="D774" s="28" t="s">
        <v>26</v>
      </c>
      <c r="E774" s="28" t="s">
        <v>27</v>
      </c>
      <c r="F774" s="28" t="str">
        <f>F773</f>
        <v>P079906C1S3</v>
      </c>
      <c r="G774" s="28" t="s">
        <v>16</v>
      </c>
      <c r="H774" s="29" t="str">
        <f>H772&amp;" / "&amp;H773</f>
        <v>2006 / 2014</v>
      </c>
      <c r="I774" s="29" t="str">
        <f>I773</f>
        <v>New 2L Highway</v>
      </c>
      <c r="J774" s="97" t="str">
        <f>IFERROR(J773/J772,"")</f>
        <v/>
      </c>
      <c r="K774" s="32">
        <f>K773/K772</f>
        <v>0.79273504273504281</v>
      </c>
      <c r="L774" s="32">
        <f>L773/L772</f>
        <v>0.81562320505456642</v>
      </c>
      <c r="M774" s="28"/>
      <c r="N774" s="32">
        <f>N773/N772</f>
        <v>0.81562320505456642</v>
      </c>
      <c r="O774" s="32">
        <f>O773/O772</f>
        <v>1.0288723988289408</v>
      </c>
      <c r="P774" s="33" t="str">
        <f>IF(K774&lt;50%,"x","")</f>
        <v/>
      </c>
      <c r="Q774" s="33" t="str">
        <f>IF(K774&gt;150%,"x","")</f>
        <v/>
      </c>
      <c r="R774" s="33" t="str">
        <f>IF(O774&lt;50%,"x","")</f>
        <v/>
      </c>
      <c r="S774" s="33" t="str">
        <f>IF(O774&gt;150%,"x","")</f>
        <v/>
      </c>
      <c r="T774" s="33" t="s">
        <v>27</v>
      </c>
      <c r="U774" s="34" t="s">
        <v>27</v>
      </c>
      <c r="V774" s="35" t="s">
        <v>27</v>
      </c>
    </row>
    <row r="775" spans="1:22" ht="16.5" thickTop="1" x14ac:dyDescent="0.25">
      <c r="A775" s="18" t="s">
        <v>793</v>
      </c>
      <c r="B775" s="18" t="s">
        <v>949</v>
      </c>
      <c r="C775" s="18" t="s">
        <v>794</v>
      </c>
      <c r="D775" s="18" t="s">
        <v>26</v>
      </c>
      <c r="E775" s="18" t="s">
        <v>27</v>
      </c>
      <c r="F775" s="18" t="s">
        <v>795</v>
      </c>
      <c r="G775" s="18" t="s">
        <v>29</v>
      </c>
      <c r="H775" s="19">
        <v>2014</v>
      </c>
      <c r="I775" s="18" t="s">
        <v>38</v>
      </c>
      <c r="J775" s="101" t="s">
        <v>27</v>
      </c>
      <c r="K775" s="20">
        <v>450</v>
      </c>
      <c r="L775" s="21">
        <v>81.53</v>
      </c>
      <c r="M775" s="22" t="s">
        <v>30</v>
      </c>
      <c r="N775" s="23">
        <v>81.53</v>
      </c>
      <c r="O775" s="24">
        <v>0.18117777777777777</v>
      </c>
      <c r="P775" s="25" t="str">
        <f>IF(P777="x","x","")</f>
        <v>x</v>
      </c>
      <c r="Q775" s="25" t="str">
        <f>IF(Q777="x","x","")</f>
        <v/>
      </c>
      <c r="R775" s="25" t="str">
        <f>IF(R777="x","x","")</f>
        <v/>
      </c>
      <c r="S775" s="25" t="str">
        <f>IF(S777="x","x","")</f>
        <v>x</v>
      </c>
      <c r="T775" s="25" t="s">
        <v>31</v>
      </c>
      <c r="U775" s="26"/>
      <c r="V775" s="27"/>
    </row>
    <row r="776" spans="1:22" x14ac:dyDescent="0.25">
      <c r="A776" s="18" t="s">
        <v>793</v>
      </c>
      <c r="B776" s="18" t="s">
        <v>949</v>
      </c>
      <c r="C776" s="18" t="s">
        <v>794</v>
      </c>
      <c r="D776" s="18" t="s">
        <v>26</v>
      </c>
      <c r="E776" s="18" t="s">
        <v>27</v>
      </c>
      <c r="F776" s="18" t="s">
        <v>795</v>
      </c>
      <c r="G776" s="18" t="s">
        <v>32</v>
      </c>
      <c r="H776" s="19">
        <v>2014</v>
      </c>
      <c r="I776" s="18" t="s">
        <v>38</v>
      </c>
      <c r="J776" s="101" t="s">
        <v>27</v>
      </c>
      <c r="K776" s="20">
        <v>193.5</v>
      </c>
      <c r="L776" s="21">
        <v>66.290000000000006</v>
      </c>
      <c r="M776" s="22" t="s">
        <v>30</v>
      </c>
      <c r="N776" s="23">
        <v>66.290000000000006</v>
      </c>
      <c r="O776" s="24">
        <v>0.34258397932816542</v>
      </c>
      <c r="P776" s="25" t="str">
        <f>IF(P777="x","x","")</f>
        <v>x</v>
      </c>
      <c r="Q776" s="25" t="str">
        <f>IF(Q777="x","x","")</f>
        <v/>
      </c>
      <c r="R776" s="25" t="str">
        <f>IF(R777="x","x","")</f>
        <v/>
      </c>
      <c r="S776" s="25" t="str">
        <f>IF(S777="x","x","")</f>
        <v>x</v>
      </c>
      <c r="T776" s="25" t="s">
        <v>31</v>
      </c>
      <c r="U776" s="26"/>
      <c r="V776" s="27"/>
    </row>
    <row r="777" spans="1:22" ht="158.25" thickBot="1" x14ac:dyDescent="0.3">
      <c r="A777" s="28" t="str">
        <f>A776</f>
        <v>Iraq</v>
      </c>
      <c r="B777" s="28" t="str">
        <f>B776</f>
        <v>Middle East and North Africa</v>
      </c>
      <c r="C777" s="28" t="str">
        <f>C776</f>
        <v>P087735</v>
      </c>
      <c r="D777" s="28" t="s">
        <v>26</v>
      </c>
      <c r="E777" s="28" t="s">
        <v>27</v>
      </c>
      <c r="F777" s="28" t="str">
        <f>F776</f>
        <v>P087735C1</v>
      </c>
      <c r="G777" s="28" t="s">
        <v>16</v>
      </c>
      <c r="H777" s="29" t="str">
        <f>H775&amp;" / "&amp;H776</f>
        <v>2014 / 2014</v>
      </c>
      <c r="I777" s="29" t="str">
        <f>I776</f>
        <v>Strengthening</v>
      </c>
      <c r="J777" s="97" t="str">
        <f>IFERROR(J776/J775,"")</f>
        <v/>
      </c>
      <c r="K777" s="32">
        <f>K776/K775</f>
        <v>0.43</v>
      </c>
      <c r="L777" s="32">
        <f>L776/L775</f>
        <v>0.81307494173923711</v>
      </c>
      <c r="M777" s="28"/>
      <c r="N777" s="32">
        <f>N776/N775</f>
        <v>0.81307494173923711</v>
      </c>
      <c r="O777" s="32">
        <f>O776/O775</f>
        <v>1.8908719575331099</v>
      </c>
      <c r="P777" s="33" t="str">
        <f>IF(K777&lt;50%,"x","")</f>
        <v>x</v>
      </c>
      <c r="Q777" s="33" t="str">
        <f>IF(K777&gt;150%,"x","")</f>
        <v/>
      </c>
      <c r="R777" s="33" t="str">
        <f>IF(O777&lt;50%,"x","")</f>
        <v/>
      </c>
      <c r="S777" s="33" t="str">
        <f>IF(O777&gt;150%,"x","")</f>
        <v>x</v>
      </c>
      <c r="T777" s="33" t="s">
        <v>31</v>
      </c>
      <c r="U777" s="34" t="s">
        <v>1067</v>
      </c>
      <c r="V777" s="35" t="s">
        <v>1068</v>
      </c>
    </row>
    <row r="778" spans="1:22" ht="16.5" thickTop="1" x14ac:dyDescent="0.25">
      <c r="A778" s="18" t="s">
        <v>793</v>
      </c>
      <c r="B778" s="18" t="s">
        <v>949</v>
      </c>
      <c r="C778" s="18" t="s">
        <v>794</v>
      </c>
      <c r="D778" s="18" t="s">
        <v>26</v>
      </c>
      <c r="E778" s="18" t="s">
        <v>36</v>
      </c>
      <c r="F778" s="18" t="s">
        <v>797</v>
      </c>
      <c r="G778" s="18" t="s">
        <v>29</v>
      </c>
      <c r="H778" s="19">
        <v>2014</v>
      </c>
      <c r="I778" s="18" t="s">
        <v>38</v>
      </c>
      <c r="J778" s="101">
        <v>9</v>
      </c>
      <c r="K778" s="20">
        <v>10</v>
      </c>
      <c r="L778" s="21">
        <v>2.5</v>
      </c>
      <c r="M778" s="22" t="s">
        <v>30</v>
      </c>
      <c r="N778" s="23">
        <v>2.5</v>
      </c>
      <c r="O778" s="24">
        <v>0.25</v>
      </c>
      <c r="P778" s="25" t="str">
        <f>IF(P780="x","x","")</f>
        <v/>
      </c>
      <c r="Q778" s="25" t="str">
        <f>IF(Q780="x","x","")</f>
        <v/>
      </c>
      <c r="R778" s="25" t="str">
        <f>IF(R780="x","x","")</f>
        <v/>
      </c>
      <c r="S778" s="25" t="str">
        <f>IF(S780="x","x","")</f>
        <v/>
      </c>
      <c r="T778" s="25" t="s">
        <v>27</v>
      </c>
      <c r="U778" s="26"/>
      <c r="V778" s="27"/>
    </row>
    <row r="779" spans="1:22" x14ac:dyDescent="0.25">
      <c r="A779" s="18" t="s">
        <v>793</v>
      </c>
      <c r="B779" s="18" t="s">
        <v>949</v>
      </c>
      <c r="C779" s="18" t="s">
        <v>794</v>
      </c>
      <c r="D779" s="18" t="s">
        <v>26</v>
      </c>
      <c r="E779" s="18" t="s">
        <v>36</v>
      </c>
      <c r="F779" s="18" t="s">
        <v>797</v>
      </c>
      <c r="G779" s="18" t="s">
        <v>32</v>
      </c>
      <c r="H779" s="19">
        <v>2014</v>
      </c>
      <c r="I779" s="18" t="s">
        <v>38</v>
      </c>
      <c r="J779" s="101">
        <v>12</v>
      </c>
      <c r="K779" s="20">
        <v>10</v>
      </c>
      <c r="L779" s="21">
        <v>2.4</v>
      </c>
      <c r="M779" s="22" t="s">
        <v>30</v>
      </c>
      <c r="N779" s="23">
        <v>2.4</v>
      </c>
      <c r="O779" s="24">
        <v>0.24</v>
      </c>
      <c r="P779" s="25" t="str">
        <f>IF(P780="x","x","")</f>
        <v/>
      </c>
      <c r="Q779" s="25" t="str">
        <f>IF(Q780="x","x","")</f>
        <v/>
      </c>
      <c r="R779" s="25" t="str">
        <f>IF(R780="x","x","")</f>
        <v/>
      </c>
      <c r="S779" s="25" t="str">
        <f>IF(S780="x","x","")</f>
        <v/>
      </c>
      <c r="T779" s="25" t="s">
        <v>27</v>
      </c>
      <c r="U779" s="26"/>
      <c r="V779" s="27"/>
    </row>
    <row r="780" spans="1:22" ht="16.5" thickBot="1" x14ac:dyDescent="0.3">
      <c r="A780" s="28" t="str">
        <f>A779</f>
        <v>Iraq</v>
      </c>
      <c r="B780" s="28" t="str">
        <f>B779</f>
        <v>Middle East and North Africa</v>
      </c>
      <c r="C780" s="28" t="str">
        <f>C779</f>
        <v>P087735</v>
      </c>
      <c r="D780" s="28" t="s">
        <v>26</v>
      </c>
      <c r="E780" s="28" t="s">
        <v>27</v>
      </c>
      <c r="F780" s="28" t="str">
        <f>F779</f>
        <v>P087735C1S1</v>
      </c>
      <c r="G780" s="28" t="s">
        <v>16</v>
      </c>
      <c r="H780" s="29" t="str">
        <f>H778&amp;" / "&amp;H779</f>
        <v>2014 / 2014</v>
      </c>
      <c r="I780" s="29" t="str">
        <f>I779</f>
        <v>Strengthening</v>
      </c>
      <c r="J780" s="97">
        <f>IFERROR(J779/J778,"")</f>
        <v>1.3333333333333333</v>
      </c>
      <c r="K780" s="32">
        <f>K779/K778</f>
        <v>1</v>
      </c>
      <c r="L780" s="32">
        <f>L779/L778</f>
        <v>0.96</v>
      </c>
      <c r="M780" s="28"/>
      <c r="N780" s="32">
        <f>N779/N778</f>
        <v>0.96</v>
      </c>
      <c r="O780" s="32">
        <f>O779/O778</f>
        <v>0.96</v>
      </c>
      <c r="P780" s="33" t="str">
        <f>IF(K780&lt;50%,"x","")</f>
        <v/>
      </c>
      <c r="Q780" s="33" t="str">
        <f>IF(K780&gt;150%,"x","")</f>
        <v/>
      </c>
      <c r="R780" s="33" t="str">
        <f>IF(O780&lt;50%,"x","")</f>
        <v/>
      </c>
      <c r="S780" s="33" t="str">
        <f>IF(O780&gt;150%,"x","")</f>
        <v/>
      </c>
      <c r="T780" s="33" t="s">
        <v>27</v>
      </c>
      <c r="U780" s="34" t="s">
        <v>27</v>
      </c>
      <c r="V780" s="35" t="s">
        <v>27</v>
      </c>
    </row>
    <row r="781" spans="1:22" ht="16.5" thickTop="1" x14ac:dyDescent="0.25">
      <c r="A781" s="18" t="s">
        <v>793</v>
      </c>
      <c r="B781" s="18" t="s">
        <v>949</v>
      </c>
      <c r="C781" s="18" t="s">
        <v>794</v>
      </c>
      <c r="D781" s="18" t="s">
        <v>26</v>
      </c>
      <c r="E781" s="18" t="s">
        <v>234</v>
      </c>
      <c r="F781" s="18" t="s">
        <v>798</v>
      </c>
      <c r="G781" s="18" t="s">
        <v>29</v>
      </c>
      <c r="H781" s="19">
        <v>2014</v>
      </c>
      <c r="I781" s="18" t="s">
        <v>359</v>
      </c>
      <c r="J781" s="101" t="s">
        <v>27</v>
      </c>
      <c r="K781" s="20">
        <v>41</v>
      </c>
      <c r="L781" s="21">
        <v>18.399999999999999</v>
      </c>
      <c r="M781" s="22" t="s">
        <v>30</v>
      </c>
      <c r="N781" s="23">
        <v>18.399999999999999</v>
      </c>
      <c r="O781" s="24">
        <v>0.448780487804878</v>
      </c>
      <c r="P781" s="25" t="str">
        <f>IF(P783="x","x","")</f>
        <v/>
      </c>
      <c r="Q781" s="25" t="str">
        <f>IF(Q783="x","x","")</f>
        <v/>
      </c>
      <c r="R781" s="25" t="str">
        <f>IF(R783="x","x","")</f>
        <v/>
      </c>
      <c r="S781" s="25" t="str">
        <f>IF(S783="x","x","")</f>
        <v/>
      </c>
      <c r="T781" s="25" t="s">
        <v>27</v>
      </c>
      <c r="U781" s="26"/>
      <c r="V781" s="27"/>
    </row>
    <row r="782" spans="1:22" x14ac:dyDescent="0.25">
      <c r="A782" s="18" t="s">
        <v>793</v>
      </c>
      <c r="B782" s="18" t="s">
        <v>949</v>
      </c>
      <c r="C782" s="18" t="s">
        <v>794</v>
      </c>
      <c r="D782" s="18" t="s">
        <v>26</v>
      </c>
      <c r="E782" s="18" t="s">
        <v>234</v>
      </c>
      <c r="F782" s="18" t="s">
        <v>798</v>
      </c>
      <c r="G782" s="18" t="s">
        <v>32</v>
      </c>
      <c r="H782" s="19">
        <v>2014</v>
      </c>
      <c r="I782" s="18" t="s">
        <v>359</v>
      </c>
      <c r="J782" s="101">
        <v>32</v>
      </c>
      <c r="K782" s="20">
        <v>41</v>
      </c>
      <c r="L782" s="21">
        <v>18.3</v>
      </c>
      <c r="M782" s="22" t="s">
        <v>30</v>
      </c>
      <c r="N782" s="23">
        <v>18.3</v>
      </c>
      <c r="O782" s="24">
        <v>0.44634146341463415</v>
      </c>
      <c r="P782" s="25" t="str">
        <f>IF(P783="x","x","")</f>
        <v/>
      </c>
      <c r="Q782" s="25" t="str">
        <f>IF(Q783="x","x","")</f>
        <v/>
      </c>
      <c r="R782" s="25" t="str">
        <f>IF(R783="x","x","")</f>
        <v/>
      </c>
      <c r="S782" s="25" t="str">
        <f>IF(S783="x","x","")</f>
        <v/>
      </c>
      <c r="T782" s="25" t="s">
        <v>27</v>
      </c>
      <c r="U782" s="26"/>
      <c r="V782" s="27"/>
    </row>
    <row r="783" spans="1:22" ht="16.5" thickBot="1" x14ac:dyDescent="0.3">
      <c r="A783" s="28" t="str">
        <f>A782</f>
        <v>Iraq</v>
      </c>
      <c r="B783" s="28" t="str">
        <f>B782</f>
        <v>Middle East and North Africa</v>
      </c>
      <c r="C783" s="28" t="str">
        <f>C782</f>
        <v>P087735</v>
      </c>
      <c r="D783" s="28" t="s">
        <v>26</v>
      </c>
      <c r="E783" s="28" t="s">
        <v>27</v>
      </c>
      <c r="F783" s="28" t="str">
        <f>F782</f>
        <v>P087735C1S10</v>
      </c>
      <c r="G783" s="28" t="s">
        <v>16</v>
      </c>
      <c r="H783" s="29" t="str">
        <f>H781&amp;" / "&amp;H782</f>
        <v>2014 / 2014</v>
      </c>
      <c r="I783" s="29" t="str">
        <f>I782</f>
        <v>Reconstruction</v>
      </c>
      <c r="J783" s="97" t="str">
        <f>IFERROR(J782/J781,"")</f>
        <v/>
      </c>
      <c r="K783" s="32">
        <f>K782/K781</f>
        <v>1</v>
      </c>
      <c r="L783" s="32">
        <f>L782/L781</f>
        <v>0.99456521739130443</v>
      </c>
      <c r="M783" s="28"/>
      <c r="N783" s="32">
        <f>N782/N781</f>
        <v>0.99456521739130443</v>
      </c>
      <c r="O783" s="32">
        <f>O782/O781</f>
        <v>0.99456521739130443</v>
      </c>
      <c r="P783" s="33" t="str">
        <f>IF(K783&lt;50%,"x","")</f>
        <v/>
      </c>
      <c r="Q783" s="33" t="str">
        <f>IF(K783&gt;150%,"x","")</f>
        <v/>
      </c>
      <c r="R783" s="33" t="str">
        <f>IF(O783&lt;50%,"x","")</f>
        <v/>
      </c>
      <c r="S783" s="33" t="str">
        <f>IF(O783&gt;150%,"x","")</f>
        <v/>
      </c>
      <c r="T783" s="33" t="s">
        <v>27</v>
      </c>
      <c r="U783" s="34" t="s">
        <v>27</v>
      </c>
      <c r="V783" s="35" t="s">
        <v>27</v>
      </c>
    </row>
    <row r="784" spans="1:22" ht="16.5" thickTop="1" x14ac:dyDescent="0.25">
      <c r="A784" s="18" t="s">
        <v>793</v>
      </c>
      <c r="B784" s="18" t="s">
        <v>949</v>
      </c>
      <c r="C784" s="18" t="s">
        <v>794</v>
      </c>
      <c r="D784" s="18" t="s">
        <v>26</v>
      </c>
      <c r="E784" s="18" t="s">
        <v>236</v>
      </c>
      <c r="F784" s="18" t="s">
        <v>799</v>
      </c>
      <c r="G784" s="18" t="s">
        <v>29</v>
      </c>
      <c r="H784" s="19">
        <v>2014</v>
      </c>
      <c r="I784" s="18" t="s">
        <v>38</v>
      </c>
      <c r="J784" s="101" t="s">
        <v>27</v>
      </c>
      <c r="K784" s="20">
        <v>14.1</v>
      </c>
      <c r="L784" s="21">
        <v>2.2999999999999998</v>
      </c>
      <c r="M784" s="22" t="s">
        <v>30</v>
      </c>
      <c r="N784" s="23">
        <v>2.2999999999999998</v>
      </c>
      <c r="O784" s="24">
        <v>0.16312056737588651</v>
      </c>
      <c r="P784" s="25" t="str">
        <f>IF(P786="x","x","")</f>
        <v/>
      </c>
      <c r="Q784" s="25" t="str">
        <f>IF(Q786="x","x","")</f>
        <v/>
      </c>
      <c r="R784" s="25" t="str">
        <f>IF(R786="x","x","")</f>
        <v/>
      </c>
      <c r="S784" s="25" t="str">
        <f>IF(S786="x","x","")</f>
        <v/>
      </c>
      <c r="T784" s="25" t="s">
        <v>27</v>
      </c>
      <c r="U784" s="26"/>
      <c r="V784" s="27"/>
    </row>
    <row r="785" spans="1:22" x14ac:dyDescent="0.25">
      <c r="A785" s="18" t="s">
        <v>793</v>
      </c>
      <c r="B785" s="18" t="s">
        <v>949</v>
      </c>
      <c r="C785" s="18" t="s">
        <v>794</v>
      </c>
      <c r="D785" s="18" t="s">
        <v>26</v>
      </c>
      <c r="E785" s="18" t="s">
        <v>236</v>
      </c>
      <c r="F785" s="18" t="s">
        <v>799</v>
      </c>
      <c r="G785" s="18" t="s">
        <v>32</v>
      </c>
      <c r="H785" s="19">
        <v>2014</v>
      </c>
      <c r="I785" s="18" t="s">
        <v>38</v>
      </c>
      <c r="J785" s="101">
        <v>6</v>
      </c>
      <c r="K785" s="20">
        <v>14.1</v>
      </c>
      <c r="L785" s="21">
        <v>2</v>
      </c>
      <c r="M785" s="22" t="s">
        <v>30</v>
      </c>
      <c r="N785" s="23">
        <v>2</v>
      </c>
      <c r="O785" s="24">
        <v>0.14184397163120568</v>
      </c>
      <c r="P785" s="25" t="str">
        <f>IF(P786="x","x","")</f>
        <v/>
      </c>
      <c r="Q785" s="25" t="str">
        <f>IF(Q786="x","x","")</f>
        <v/>
      </c>
      <c r="R785" s="25" t="str">
        <f>IF(R786="x","x","")</f>
        <v/>
      </c>
      <c r="S785" s="25" t="str">
        <f>IF(S786="x","x","")</f>
        <v/>
      </c>
      <c r="T785" s="25" t="s">
        <v>27</v>
      </c>
      <c r="U785" s="26"/>
      <c r="V785" s="27"/>
    </row>
    <row r="786" spans="1:22" ht="16.5" thickBot="1" x14ac:dyDescent="0.3">
      <c r="A786" s="28" t="str">
        <f>A785</f>
        <v>Iraq</v>
      </c>
      <c r="B786" s="28" t="str">
        <f>B785</f>
        <v>Middle East and North Africa</v>
      </c>
      <c r="C786" s="28" t="str">
        <f>C785</f>
        <v>P087735</v>
      </c>
      <c r="D786" s="28" t="s">
        <v>26</v>
      </c>
      <c r="E786" s="28" t="s">
        <v>27</v>
      </c>
      <c r="F786" s="28" t="str">
        <f>F785</f>
        <v>P087735C1S11</v>
      </c>
      <c r="G786" s="28" t="s">
        <v>16</v>
      </c>
      <c r="H786" s="29" t="str">
        <f>H784&amp;" / "&amp;H785</f>
        <v>2014 / 2014</v>
      </c>
      <c r="I786" s="29" t="str">
        <f>I785</f>
        <v>Strengthening</v>
      </c>
      <c r="J786" s="97" t="str">
        <f>IFERROR(J785/J784,"")</f>
        <v/>
      </c>
      <c r="K786" s="32">
        <f>K785/K784</f>
        <v>1</v>
      </c>
      <c r="L786" s="32">
        <f>L785/L784</f>
        <v>0.86956521739130443</v>
      </c>
      <c r="M786" s="28"/>
      <c r="N786" s="32">
        <f>N785/N784</f>
        <v>0.86956521739130443</v>
      </c>
      <c r="O786" s="32">
        <f>O785/O784</f>
        <v>0.86956521739130443</v>
      </c>
      <c r="P786" s="33" t="str">
        <f>IF(K786&lt;50%,"x","")</f>
        <v/>
      </c>
      <c r="Q786" s="33" t="str">
        <f>IF(K786&gt;150%,"x","")</f>
        <v/>
      </c>
      <c r="R786" s="33" t="str">
        <f>IF(O786&lt;50%,"x","")</f>
        <v/>
      </c>
      <c r="S786" s="33" t="str">
        <f>IF(O786&gt;150%,"x","")</f>
        <v/>
      </c>
      <c r="T786" s="33" t="s">
        <v>27</v>
      </c>
      <c r="U786" s="34" t="s">
        <v>27</v>
      </c>
      <c r="V786" s="35" t="s">
        <v>27</v>
      </c>
    </row>
    <row r="787" spans="1:22" ht="16.5" thickTop="1" x14ac:dyDescent="0.25">
      <c r="A787" s="18" t="s">
        <v>793</v>
      </c>
      <c r="B787" s="18" t="s">
        <v>949</v>
      </c>
      <c r="C787" s="18" t="s">
        <v>794</v>
      </c>
      <c r="D787" s="18" t="s">
        <v>26</v>
      </c>
      <c r="E787" s="18" t="s">
        <v>238</v>
      </c>
      <c r="F787" s="18" t="s">
        <v>800</v>
      </c>
      <c r="G787" s="18" t="s">
        <v>29</v>
      </c>
      <c r="H787" s="19">
        <v>2014</v>
      </c>
      <c r="I787" s="18" t="s">
        <v>38</v>
      </c>
      <c r="J787" s="101" t="s">
        <v>27</v>
      </c>
      <c r="K787" s="20">
        <v>12.7</v>
      </c>
      <c r="L787" s="21">
        <v>2</v>
      </c>
      <c r="M787" s="22" t="s">
        <v>30</v>
      </c>
      <c r="N787" s="23">
        <v>2</v>
      </c>
      <c r="O787" s="24">
        <v>0.15748031496062992</v>
      </c>
      <c r="P787" s="25" t="str">
        <f>IF(P789="x","x","")</f>
        <v/>
      </c>
      <c r="Q787" s="25" t="str">
        <f>IF(Q789="x","x","")</f>
        <v/>
      </c>
      <c r="R787" s="25" t="str">
        <f>IF(R789="x","x","")</f>
        <v/>
      </c>
      <c r="S787" s="25" t="str">
        <f>IF(S789="x","x","")</f>
        <v/>
      </c>
      <c r="T787" s="25" t="s">
        <v>27</v>
      </c>
      <c r="U787" s="26"/>
      <c r="V787" s="27"/>
    </row>
    <row r="788" spans="1:22" x14ac:dyDescent="0.25">
      <c r="A788" s="18" t="s">
        <v>793</v>
      </c>
      <c r="B788" s="18" t="s">
        <v>949</v>
      </c>
      <c r="C788" s="18" t="s">
        <v>794</v>
      </c>
      <c r="D788" s="18" t="s">
        <v>26</v>
      </c>
      <c r="E788" s="18" t="s">
        <v>238</v>
      </c>
      <c r="F788" s="18" t="s">
        <v>800</v>
      </c>
      <c r="G788" s="18" t="s">
        <v>32</v>
      </c>
      <c r="H788" s="19">
        <v>2014</v>
      </c>
      <c r="I788" s="18" t="s">
        <v>38</v>
      </c>
      <c r="J788" s="101">
        <v>21</v>
      </c>
      <c r="K788" s="20">
        <v>12.7</v>
      </c>
      <c r="L788" s="21">
        <v>1.9</v>
      </c>
      <c r="M788" s="22" t="s">
        <v>30</v>
      </c>
      <c r="N788" s="23">
        <v>1.9</v>
      </c>
      <c r="O788" s="24">
        <v>0.14960629921259844</v>
      </c>
      <c r="P788" s="25" t="str">
        <f>IF(P789="x","x","")</f>
        <v/>
      </c>
      <c r="Q788" s="25" t="str">
        <f>IF(Q789="x","x","")</f>
        <v/>
      </c>
      <c r="R788" s="25" t="str">
        <f>IF(R789="x","x","")</f>
        <v/>
      </c>
      <c r="S788" s="25" t="str">
        <f>IF(S789="x","x","")</f>
        <v/>
      </c>
      <c r="T788" s="25" t="s">
        <v>27</v>
      </c>
      <c r="U788" s="26"/>
      <c r="V788" s="27"/>
    </row>
    <row r="789" spans="1:22" ht="16.5" thickBot="1" x14ac:dyDescent="0.3">
      <c r="A789" s="28" t="str">
        <f>A788</f>
        <v>Iraq</v>
      </c>
      <c r="B789" s="28" t="str">
        <f>B788</f>
        <v>Middle East and North Africa</v>
      </c>
      <c r="C789" s="28" t="str">
        <f>C788</f>
        <v>P087735</v>
      </c>
      <c r="D789" s="28" t="s">
        <v>26</v>
      </c>
      <c r="E789" s="28" t="s">
        <v>27</v>
      </c>
      <c r="F789" s="28" t="str">
        <f>F788</f>
        <v>P087735C1S12</v>
      </c>
      <c r="G789" s="28" t="s">
        <v>16</v>
      </c>
      <c r="H789" s="29" t="str">
        <f>H787&amp;" / "&amp;H788</f>
        <v>2014 / 2014</v>
      </c>
      <c r="I789" s="29" t="str">
        <f>I788</f>
        <v>Strengthening</v>
      </c>
      <c r="J789" s="97" t="str">
        <f>IFERROR(J788/J787,"")</f>
        <v/>
      </c>
      <c r="K789" s="32">
        <f>K788/K787</f>
        <v>1</v>
      </c>
      <c r="L789" s="32">
        <f>L788/L787</f>
        <v>0.95</v>
      </c>
      <c r="M789" s="28"/>
      <c r="N789" s="32">
        <f>N788/N787</f>
        <v>0.95</v>
      </c>
      <c r="O789" s="32">
        <f>O788/O787</f>
        <v>0.95000000000000007</v>
      </c>
      <c r="P789" s="33" t="str">
        <f>IF(K789&lt;50%,"x","")</f>
        <v/>
      </c>
      <c r="Q789" s="33" t="str">
        <f>IF(K789&gt;150%,"x","")</f>
        <v/>
      </c>
      <c r="R789" s="33" t="str">
        <f>IF(O789&lt;50%,"x","")</f>
        <v/>
      </c>
      <c r="S789" s="33" t="str">
        <f>IF(O789&gt;150%,"x","")</f>
        <v/>
      </c>
      <c r="T789" s="33" t="s">
        <v>27</v>
      </c>
      <c r="U789" s="34" t="s">
        <v>27</v>
      </c>
      <c r="V789" s="35" t="s">
        <v>27</v>
      </c>
    </row>
    <row r="790" spans="1:22" ht="16.5" thickTop="1" x14ac:dyDescent="0.25">
      <c r="A790" s="18" t="s">
        <v>793</v>
      </c>
      <c r="B790" s="18" t="s">
        <v>949</v>
      </c>
      <c r="C790" s="18" t="s">
        <v>794</v>
      </c>
      <c r="D790" s="18" t="s">
        <v>26</v>
      </c>
      <c r="E790" s="18" t="s">
        <v>500</v>
      </c>
      <c r="F790" s="18" t="s">
        <v>801</v>
      </c>
      <c r="G790" s="18" t="s">
        <v>29</v>
      </c>
      <c r="H790" s="19">
        <v>2014</v>
      </c>
      <c r="I790" s="18" t="s">
        <v>38</v>
      </c>
      <c r="J790" s="101">
        <v>15</v>
      </c>
      <c r="K790" s="20">
        <v>25</v>
      </c>
      <c r="L790" s="21">
        <v>5.9</v>
      </c>
      <c r="M790" s="22" t="s">
        <v>30</v>
      </c>
      <c r="N790" s="23">
        <v>5.9</v>
      </c>
      <c r="O790" s="24">
        <v>0.23600000000000002</v>
      </c>
      <c r="P790" s="25" t="str">
        <f>IF(P792="x","x","")</f>
        <v/>
      </c>
      <c r="Q790" s="25" t="str">
        <f>IF(Q792="x","x","")</f>
        <v/>
      </c>
      <c r="R790" s="25" t="str">
        <f>IF(R792="x","x","")</f>
        <v/>
      </c>
      <c r="S790" s="25" t="str">
        <f>IF(S792="x","x","")</f>
        <v/>
      </c>
      <c r="T790" s="25" t="s">
        <v>27</v>
      </c>
      <c r="U790" s="26"/>
      <c r="V790" s="27"/>
    </row>
    <row r="791" spans="1:22" x14ac:dyDescent="0.25">
      <c r="A791" s="18" t="s">
        <v>793</v>
      </c>
      <c r="B791" s="18" t="s">
        <v>949</v>
      </c>
      <c r="C791" s="18" t="s">
        <v>794</v>
      </c>
      <c r="D791" s="18" t="s">
        <v>26</v>
      </c>
      <c r="E791" s="18" t="s">
        <v>500</v>
      </c>
      <c r="F791" s="18" t="s">
        <v>801</v>
      </c>
      <c r="G791" s="18" t="s">
        <v>32</v>
      </c>
      <c r="H791" s="19">
        <v>2014</v>
      </c>
      <c r="I791" s="18" t="s">
        <v>38</v>
      </c>
      <c r="J791" s="101">
        <v>21</v>
      </c>
      <c r="K791" s="20">
        <v>25</v>
      </c>
      <c r="L791" s="21">
        <v>6.7</v>
      </c>
      <c r="M791" s="22" t="s">
        <v>30</v>
      </c>
      <c r="N791" s="23">
        <v>6.7</v>
      </c>
      <c r="O791" s="24">
        <v>0.26800000000000002</v>
      </c>
      <c r="P791" s="25" t="str">
        <f>IF(P792="x","x","")</f>
        <v/>
      </c>
      <c r="Q791" s="25" t="str">
        <f>IF(Q792="x","x","")</f>
        <v/>
      </c>
      <c r="R791" s="25" t="str">
        <f>IF(R792="x","x","")</f>
        <v/>
      </c>
      <c r="S791" s="25" t="str">
        <f>IF(S792="x","x","")</f>
        <v/>
      </c>
      <c r="T791" s="25" t="s">
        <v>27</v>
      </c>
      <c r="U791" s="26"/>
      <c r="V791" s="27"/>
    </row>
    <row r="792" spans="1:22" ht="16.5" thickBot="1" x14ac:dyDescent="0.3">
      <c r="A792" s="28" t="str">
        <f>A791</f>
        <v>Iraq</v>
      </c>
      <c r="B792" s="28" t="str">
        <f>B791</f>
        <v>Middle East and North Africa</v>
      </c>
      <c r="C792" s="28" t="str">
        <f>C791</f>
        <v>P087735</v>
      </c>
      <c r="D792" s="28" t="s">
        <v>26</v>
      </c>
      <c r="E792" s="28" t="s">
        <v>27</v>
      </c>
      <c r="F792" s="28" t="str">
        <f>F791</f>
        <v>P087735C1S13</v>
      </c>
      <c r="G792" s="28" t="s">
        <v>16</v>
      </c>
      <c r="H792" s="29" t="str">
        <f>H790&amp;" / "&amp;H791</f>
        <v>2014 / 2014</v>
      </c>
      <c r="I792" s="29" t="str">
        <f>I791</f>
        <v>Strengthening</v>
      </c>
      <c r="J792" s="97">
        <f>IFERROR(J791/J790,"")</f>
        <v>1.4</v>
      </c>
      <c r="K792" s="32">
        <f>K791/K790</f>
        <v>1</v>
      </c>
      <c r="L792" s="32">
        <f>L791/L790</f>
        <v>1.1355932203389829</v>
      </c>
      <c r="M792" s="28"/>
      <c r="N792" s="32">
        <f>N791/N790</f>
        <v>1.1355932203389829</v>
      </c>
      <c r="O792" s="32">
        <f>O791/O790</f>
        <v>1.1355932203389831</v>
      </c>
      <c r="P792" s="33" t="str">
        <f>IF(K792&lt;50%,"x","")</f>
        <v/>
      </c>
      <c r="Q792" s="33" t="str">
        <f>IF(K792&gt;150%,"x","")</f>
        <v/>
      </c>
      <c r="R792" s="33" t="str">
        <f>IF(O792&lt;50%,"x","")</f>
        <v/>
      </c>
      <c r="S792" s="33" t="str">
        <f>IF(O792&gt;150%,"x","")</f>
        <v/>
      </c>
      <c r="T792" s="33" t="s">
        <v>27</v>
      </c>
      <c r="U792" s="34" t="s">
        <v>27</v>
      </c>
      <c r="V792" s="35" t="s">
        <v>27</v>
      </c>
    </row>
    <row r="793" spans="1:22" ht="16.5" thickTop="1" x14ac:dyDescent="0.25">
      <c r="A793" s="18" t="s">
        <v>793</v>
      </c>
      <c r="B793" s="18" t="s">
        <v>949</v>
      </c>
      <c r="C793" s="18" t="s">
        <v>794</v>
      </c>
      <c r="D793" s="18" t="s">
        <v>26</v>
      </c>
      <c r="E793" s="18" t="s">
        <v>40</v>
      </c>
      <c r="F793" s="18" t="s">
        <v>802</v>
      </c>
      <c r="G793" s="18" t="s">
        <v>29</v>
      </c>
      <c r="H793" s="19">
        <v>2014</v>
      </c>
      <c r="I793" s="18" t="s">
        <v>38</v>
      </c>
      <c r="J793" s="101">
        <v>12</v>
      </c>
      <c r="K793" s="20">
        <v>11</v>
      </c>
      <c r="L793" s="21">
        <v>2.1</v>
      </c>
      <c r="M793" s="22" t="s">
        <v>30</v>
      </c>
      <c r="N793" s="23">
        <v>2.1</v>
      </c>
      <c r="O793" s="24">
        <v>0.19090909090909092</v>
      </c>
      <c r="P793" s="25" t="str">
        <f>IF(P795="x","x","")</f>
        <v/>
      </c>
      <c r="Q793" s="25" t="str">
        <f>IF(Q795="x","x","")</f>
        <v/>
      </c>
      <c r="R793" s="25" t="str">
        <f>IF(R795="x","x","")</f>
        <v/>
      </c>
      <c r="S793" s="25" t="str">
        <f>IF(S795="x","x","")</f>
        <v/>
      </c>
      <c r="T793" s="25" t="s">
        <v>27</v>
      </c>
      <c r="U793" s="26"/>
      <c r="V793" s="27"/>
    </row>
    <row r="794" spans="1:22" x14ac:dyDescent="0.25">
      <c r="A794" s="18" t="s">
        <v>793</v>
      </c>
      <c r="B794" s="18" t="s">
        <v>949</v>
      </c>
      <c r="C794" s="18" t="s">
        <v>794</v>
      </c>
      <c r="D794" s="18" t="s">
        <v>26</v>
      </c>
      <c r="E794" s="18" t="s">
        <v>40</v>
      </c>
      <c r="F794" s="18" t="s">
        <v>802</v>
      </c>
      <c r="G794" s="18" t="s">
        <v>32</v>
      </c>
      <c r="H794" s="19">
        <v>2014</v>
      </c>
      <c r="I794" s="18" t="s">
        <v>38</v>
      </c>
      <c r="J794" s="101">
        <v>13</v>
      </c>
      <c r="K794" s="20">
        <v>11</v>
      </c>
      <c r="L794" s="21">
        <v>2.1</v>
      </c>
      <c r="M794" s="22" t="s">
        <v>30</v>
      </c>
      <c r="N794" s="23">
        <v>2.1</v>
      </c>
      <c r="O794" s="24">
        <v>0.19090909090909092</v>
      </c>
      <c r="P794" s="25" t="str">
        <f>IF(P795="x","x","")</f>
        <v/>
      </c>
      <c r="Q794" s="25" t="str">
        <f>IF(Q795="x","x","")</f>
        <v/>
      </c>
      <c r="R794" s="25" t="str">
        <f>IF(R795="x","x","")</f>
        <v/>
      </c>
      <c r="S794" s="25" t="str">
        <f>IF(S795="x","x","")</f>
        <v/>
      </c>
      <c r="T794" s="25" t="s">
        <v>27</v>
      </c>
      <c r="U794" s="26"/>
      <c r="V794" s="27"/>
    </row>
    <row r="795" spans="1:22" ht="16.5" thickBot="1" x14ac:dyDescent="0.3">
      <c r="A795" s="28" t="str">
        <f>A794</f>
        <v>Iraq</v>
      </c>
      <c r="B795" s="28" t="str">
        <f>B794</f>
        <v>Middle East and North Africa</v>
      </c>
      <c r="C795" s="28" t="str">
        <f>C794</f>
        <v>P087735</v>
      </c>
      <c r="D795" s="28" t="s">
        <v>26</v>
      </c>
      <c r="E795" s="28" t="s">
        <v>27</v>
      </c>
      <c r="F795" s="28" t="str">
        <f>F794</f>
        <v>P087735C1S2</v>
      </c>
      <c r="G795" s="28" t="s">
        <v>16</v>
      </c>
      <c r="H795" s="29" t="str">
        <f>H793&amp;" / "&amp;H794</f>
        <v>2014 / 2014</v>
      </c>
      <c r="I795" s="29" t="str">
        <f>I794</f>
        <v>Strengthening</v>
      </c>
      <c r="J795" s="97">
        <f>IFERROR(J794/J793,"")</f>
        <v>1.0833333333333333</v>
      </c>
      <c r="K795" s="32">
        <f>K794/K793</f>
        <v>1</v>
      </c>
      <c r="L795" s="32">
        <f>L794/L793</f>
        <v>1</v>
      </c>
      <c r="M795" s="28"/>
      <c r="N795" s="32">
        <f>N794/N793</f>
        <v>1</v>
      </c>
      <c r="O795" s="32">
        <f>O794/O793</f>
        <v>1</v>
      </c>
      <c r="P795" s="33" t="str">
        <f>IF(K795&lt;50%,"x","")</f>
        <v/>
      </c>
      <c r="Q795" s="33" t="str">
        <f>IF(K795&gt;150%,"x","")</f>
        <v/>
      </c>
      <c r="R795" s="33" t="str">
        <f>IF(O795&lt;50%,"x","")</f>
        <v/>
      </c>
      <c r="S795" s="33" t="str">
        <f>IF(O795&gt;150%,"x","")</f>
        <v/>
      </c>
      <c r="T795" s="33" t="s">
        <v>27</v>
      </c>
      <c r="U795" s="34" t="s">
        <v>27</v>
      </c>
      <c r="V795" s="35" t="s">
        <v>27</v>
      </c>
    </row>
    <row r="796" spans="1:22" ht="16.5" thickTop="1" x14ac:dyDescent="0.25">
      <c r="A796" s="18" t="s">
        <v>793</v>
      </c>
      <c r="B796" s="18" t="s">
        <v>949</v>
      </c>
      <c r="C796" s="18" t="s">
        <v>794</v>
      </c>
      <c r="D796" s="18" t="s">
        <v>26</v>
      </c>
      <c r="E796" s="18" t="s">
        <v>69</v>
      </c>
      <c r="F796" s="18" t="s">
        <v>803</v>
      </c>
      <c r="G796" s="18" t="s">
        <v>29</v>
      </c>
      <c r="H796" s="19">
        <v>2014</v>
      </c>
      <c r="I796" s="18" t="s">
        <v>38</v>
      </c>
      <c r="J796" s="101">
        <v>13</v>
      </c>
      <c r="K796" s="20">
        <v>19</v>
      </c>
      <c r="L796" s="21">
        <v>3.1</v>
      </c>
      <c r="M796" s="22" t="s">
        <v>30</v>
      </c>
      <c r="N796" s="23">
        <v>3.1</v>
      </c>
      <c r="O796" s="24">
        <v>0.16315789473684211</v>
      </c>
      <c r="P796" s="25" t="str">
        <f>IF(P798="x","x","")</f>
        <v/>
      </c>
      <c r="Q796" s="25" t="str">
        <f>IF(Q798="x","x","")</f>
        <v/>
      </c>
      <c r="R796" s="25" t="str">
        <f>IF(R798="x","x","")</f>
        <v/>
      </c>
      <c r="S796" s="25" t="str">
        <f>IF(S798="x","x","")</f>
        <v/>
      </c>
      <c r="T796" s="25" t="s">
        <v>27</v>
      </c>
      <c r="U796" s="26"/>
      <c r="V796" s="27"/>
    </row>
    <row r="797" spans="1:22" x14ac:dyDescent="0.25">
      <c r="A797" s="18" t="s">
        <v>793</v>
      </c>
      <c r="B797" s="18" t="s">
        <v>949</v>
      </c>
      <c r="C797" s="18" t="s">
        <v>794</v>
      </c>
      <c r="D797" s="18" t="s">
        <v>26</v>
      </c>
      <c r="E797" s="18" t="s">
        <v>69</v>
      </c>
      <c r="F797" s="18" t="s">
        <v>803</v>
      </c>
      <c r="G797" s="18" t="s">
        <v>32</v>
      </c>
      <c r="H797" s="19">
        <v>2014</v>
      </c>
      <c r="I797" s="18" t="s">
        <v>38</v>
      </c>
      <c r="J797" s="101">
        <v>17</v>
      </c>
      <c r="K797" s="20">
        <v>19</v>
      </c>
      <c r="L797" s="21">
        <v>3.3</v>
      </c>
      <c r="M797" s="22" t="s">
        <v>30</v>
      </c>
      <c r="N797" s="23">
        <v>3.3</v>
      </c>
      <c r="O797" s="24">
        <v>0.17368421052631577</v>
      </c>
      <c r="P797" s="25" t="str">
        <f>IF(P798="x","x","")</f>
        <v/>
      </c>
      <c r="Q797" s="25" t="str">
        <f>IF(Q798="x","x","")</f>
        <v/>
      </c>
      <c r="R797" s="25" t="str">
        <f>IF(R798="x","x","")</f>
        <v/>
      </c>
      <c r="S797" s="25" t="str">
        <f>IF(S798="x","x","")</f>
        <v/>
      </c>
      <c r="T797" s="25" t="s">
        <v>27</v>
      </c>
      <c r="U797" s="26"/>
      <c r="V797" s="27"/>
    </row>
    <row r="798" spans="1:22" ht="16.5" thickBot="1" x14ac:dyDescent="0.3">
      <c r="A798" s="28" t="str">
        <f>A797</f>
        <v>Iraq</v>
      </c>
      <c r="B798" s="28" t="str">
        <f>B797</f>
        <v>Middle East and North Africa</v>
      </c>
      <c r="C798" s="28" t="str">
        <f>C797</f>
        <v>P087735</v>
      </c>
      <c r="D798" s="28" t="s">
        <v>26</v>
      </c>
      <c r="E798" s="28" t="s">
        <v>27</v>
      </c>
      <c r="F798" s="28" t="str">
        <f>F797</f>
        <v>P087735C1S3</v>
      </c>
      <c r="G798" s="28" t="s">
        <v>16</v>
      </c>
      <c r="H798" s="29" t="str">
        <f>H796&amp;" / "&amp;H797</f>
        <v>2014 / 2014</v>
      </c>
      <c r="I798" s="29" t="str">
        <f>I797</f>
        <v>Strengthening</v>
      </c>
      <c r="J798" s="97">
        <f>IFERROR(J797/J796,"")</f>
        <v>1.3076923076923077</v>
      </c>
      <c r="K798" s="32">
        <f>K797/K796</f>
        <v>1</v>
      </c>
      <c r="L798" s="32">
        <f>L797/L796</f>
        <v>1.064516129032258</v>
      </c>
      <c r="M798" s="28"/>
      <c r="N798" s="32">
        <f>N797/N796</f>
        <v>1.064516129032258</v>
      </c>
      <c r="O798" s="32">
        <f>O797/O796</f>
        <v>1.064516129032258</v>
      </c>
      <c r="P798" s="33" t="str">
        <f>IF(K798&lt;50%,"x","")</f>
        <v/>
      </c>
      <c r="Q798" s="33" t="str">
        <f>IF(K798&gt;150%,"x","")</f>
        <v/>
      </c>
      <c r="R798" s="33" t="str">
        <f>IF(O798&lt;50%,"x","")</f>
        <v/>
      </c>
      <c r="S798" s="33" t="str">
        <f>IF(O798&gt;150%,"x","")</f>
        <v/>
      </c>
      <c r="T798" s="33" t="s">
        <v>27</v>
      </c>
      <c r="U798" s="34" t="s">
        <v>27</v>
      </c>
      <c r="V798" s="35" t="s">
        <v>27</v>
      </c>
    </row>
    <row r="799" spans="1:22" ht="16.5" thickTop="1" x14ac:dyDescent="0.25">
      <c r="A799" s="18" t="s">
        <v>793</v>
      </c>
      <c r="B799" s="18" t="s">
        <v>949</v>
      </c>
      <c r="C799" s="18" t="s">
        <v>794</v>
      </c>
      <c r="D799" s="18" t="s">
        <v>26</v>
      </c>
      <c r="E799" s="18" t="s">
        <v>71</v>
      </c>
      <c r="F799" s="18" t="s">
        <v>804</v>
      </c>
      <c r="G799" s="18" t="s">
        <v>29</v>
      </c>
      <c r="H799" s="19">
        <v>2014</v>
      </c>
      <c r="I799" s="18" t="s">
        <v>38</v>
      </c>
      <c r="J799" s="101">
        <v>6</v>
      </c>
      <c r="K799" s="20">
        <v>10</v>
      </c>
      <c r="L799" s="21">
        <v>1.3</v>
      </c>
      <c r="M799" s="22" t="s">
        <v>30</v>
      </c>
      <c r="N799" s="23">
        <v>1.3</v>
      </c>
      <c r="O799" s="24">
        <v>0.13</v>
      </c>
      <c r="P799" s="25" t="str">
        <f>IF(P801="x","x","")</f>
        <v/>
      </c>
      <c r="Q799" s="25" t="str">
        <f>IF(Q801="x","x","")</f>
        <v/>
      </c>
      <c r="R799" s="25" t="str">
        <f>IF(R801="x","x","")</f>
        <v/>
      </c>
      <c r="S799" s="25" t="str">
        <f>IF(S801="x","x","")</f>
        <v/>
      </c>
      <c r="T799" s="25" t="s">
        <v>27</v>
      </c>
      <c r="U799" s="26"/>
      <c r="V799" s="27"/>
    </row>
    <row r="800" spans="1:22" x14ac:dyDescent="0.25">
      <c r="A800" s="18" t="s">
        <v>793</v>
      </c>
      <c r="B800" s="18" t="s">
        <v>949</v>
      </c>
      <c r="C800" s="18" t="s">
        <v>794</v>
      </c>
      <c r="D800" s="18" t="s">
        <v>26</v>
      </c>
      <c r="E800" s="18" t="s">
        <v>71</v>
      </c>
      <c r="F800" s="18" t="s">
        <v>804</v>
      </c>
      <c r="G800" s="18" t="s">
        <v>32</v>
      </c>
      <c r="H800" s="19">
        <v>2014</v>
      </c>
      <c r="I800" s="18" t="s">
        <v>38</v>
      </c>
      <c r="J800" s="101">
        <v>6</v>
      </c>
      <c r="K800" s="20">
        <v>10</v>
      </c>
      <c r="L800" s="21">
        <v>1.2</v>
      </c>
      <c r="M800" s="22" t="s">
        <v>30</v>
      </c>
      <c r="N800" s="23">
        <v>1.2</v>
      </c>
      <c r="O800" s="24">
        <v>0.12</v>
      </c>
      <c r="P800" s="25" t="str">
        <f>IF(P801="x","x","")</f>
        <v/>
      </c>
      <c r="Q800" s="25" t="str">
        <f>IF(Q801="x","x","")</f>
        <v/>
      </c>
      <c r="R800" s="25" t="str">
        <f>IF(R801="x","x","")</f>
        <v/>
      </c>
      <c r="S800" s="25" t="str">
        <f>IF(S801="x","x","")</f>
        <v/>
      </c>
      <c r="T800" s="25" t="s">
        <v>27</v>
      </c>
      <c r="U800" s="26"/>
      <c r="V800" s="27"/>
    </row>
    <row r="801" spans="1:22" ht="16.5" thickBot="1" x14ac:dyDescent="0.3">
      <c r="A801" s="28" t="str">
        <f>A800</f>
        <v>Iraq</v>
      </c>
      <c r="B801" s="28" t="str">
        <f>B800</f>
        <v>Middle East and North Africa</v>
      </c>
      <c r="C801" s="28" t="str">
        <f>C800</f>
        <v>P087735</v>
      </c>
      <c r="D801" s="28" t="s">
        <v>26</v>
      </c>
      <c r="E801" s="28" t="s">
        <v>27</v>
      </c>
      <c r="F801" s="28" t="str">
        <f>F800</f>
        <v>P087735C1S4</v>
      </c>
      <c r="G801" s="28" t="s">
        <v>16</v>
      </c>
      <c r="H801" s="29" t="str">
        <f>H799&amp;" / "&amp;H800</f>
        <v>2014 / 2014</v>
      </c>
      <c r="I801" s="29" t="str">
        <f>I800</f>
        <v>Strengthening</v>
      </c>
      <c r="J801" s="97">
        <f>IFERROR(J800/J799,"")</f>
        <v>1</v>
      </c>
      <c r="K801" s="32">
        <f>K800/K799</f>
        <v>1</v>
      </c>
      <c r="L801" s="32">
        <f>L800/L799</f>
        <v>0.92307692307692302</v>
      </c>
      <c r="M801" s="28"/>
      <c r="N801" s="32">
        <f>N800/N799</f>
        <v>0.92307692307692302</v>
      </c>
      <c r="O801" s="32">
        <f>O800/O799</f>
        <v>0.92307692307692302</v>
      </c>
      <c r="P801" s="33" t="str">
        <f>IF(K801&lt;50%,"x","")</f>
        <v/>
      </c>
      <c r="Q801" s="33" t="str">
        <f>IF(K801&gt;150%,"x","")</f>
        <v/>
      </c>
      <c r="R801" s="33" t="str">
        <f>IF(O801&lt;50%,"x","")</f>
        <v/>
      </c>
      <c r="S801" s="33" t="str">
        <f>IF(O801&gt;150%,"x","")</f>
        <v/>
      </c>
      <c r="T801" s="33" t="s">
        <v>27</v>
      </c>
      <c r="U801" s="34" t="s">
        <v>27</v>
      </c>
      <c r="V801" s="35" t="s">
        <v>27</v>
      </c>
    </row>
    <row r="802" spans="1:22" ht="16.5" thickTop="1" x14ac:dyDescent="0.25">
      <c r="A802" s="18" t="s">
        <v>793</v>
      </c>
      <c r="B802" s="18" t="s">
        <v>949</v>
      </c>
      <c r="C802" s="18" t="s">
        <v>794</v>
      </c>
      <c r="D802" s="18" t="s">
        <v>26</v>
      </c>
      <c r="E802" s="18" t="s">
        <v>141</v>
      </c>
      <c r="F802" s="18" t="s">
        <v>805</v>
      </c>
      <c r="G802" s="18" t="s">
        <v>29</v>
      </c>
      <c r="H802" s="19">
        <v>2014</v>
      </c>
      <c r="I802" s="18" t="s">
        <v>38</v>
      </c>
      <c r="J802" s="101">
        <v>12</v>
      </c>
      <c r="K802" s="20">
        <v>10</v>
      </c>
      <c r="L802" s="21">
        <v>2.1</v>
      </c>
      <c r="M802" s="22" t="s">
        <v>30</v>
      </c>
      <c r="N802" s="23">
        <v>2.1</v>
      </c>
      <c r="O802" s="24">
        <v>0.21000000000000002</v>
      </c>
      <c r="P802" s="25" t="str">
        <f>IF(P804="x","x","")</f>
        <v/>
      </c>
      <c r="Q802" s="25" t="str">
        <f>IF(Q804="x","x","")</f>
        <v/>
      </c>
      <c r="R802" s="25" t="str">
        <f>IF(R804="x","x","")</f>
        <v/>
      </c>
      <c r="S802" s="25" t="str">
        <f>IF(S804="x","x","")</f>
        <v/>
      </c>
      <c r="T802" s="25" t="s">
        <v>27</v>
      </c>
      <c r="U802" s="26"/>
      <c r="V802" s="27"/>
    </row>
    <row r="803" spans="1:22" x14ac:dyDescent="0.25">
      <c r="A803" s="18" t="s">
        <v>793</v>
      </c>
      <c r="B803" s="18" t="s">
        <v>949</v>
      </c>
      <c r="C803" s="18" t="s">
        <v>794</v>
      </c>
      <c r="D803" s="18" t="s">
        <v>26</v>
      </c>
      <c r="E803" s="18" t="s">
        <v>141</v>
      </c>
      <c r="F803" s="18" t="s">
        <v>805</v>
      </c>
      <c r="G803" s="18" t="s">
        <v>32</v>
      </c>
      <c r="H803" s="19">
        <v>2014</v>
      </c>
      <c r="I803" s="18" t="s">
        <v>38</v>
      </c>
      <c r="J803" s="101">
        <v>12</v>
      </c>
      <c r="K803" s="20">
        <v>10</v>
      </c>
      <c r="L803" s="21">
        <v>2.1</v>
      </c>
      <c r="M803" s="22" t="s">
        <v>30</v>
      </c>
      <c r="N803" s="23">
        <v>2.1</v>
      </c>
      <c r="O803" s="24">
        <v>0.21000000000000002</v>
      </c>
      <c r="P803" s="25" t="str">
        <f>IF(P804="x","x","")</f>
        <v/>
      </c>
      <c r="Q803" s="25" t="str">
        <f>IF(Q804="x","x","")</f>
        <v/>
      </c>
      <c r="R803" s="25" t="str">
        <f>IF(R804="x","x","")</f>
        <v/>
      </c>
      <c r="S803" s="25" t="str">
        <f>IF(S804="x","x","")</f>
        <v/>
      </c>
      <c r="T803" s="25" t="s">
        <v>27</v>
      </c>
      <c r="U803" s="26"/>
      <c r="V803" s="27"/>
    </row>
    <row r="804" spans="1:22" ht="16.5" thickBot="1" x14ac:dyDescent="0.3">
      <c r="A804" s="28" t="str">
        <f>A803</f>
        <v>Iraq</v>
      </c>
      <c r="B804" s="28" t="str">
        <f>B803</f>
        <v>Middle East and North Africa</v>
      </c>
      <c r="C804" s="28" t="str">
        <f>C803</f>
        <v>P087735</v>
      </c>
      <c r="D804" s="28" t="s">
        <v>26</v>
      </c>
      <c r="E804" s="28" t="s">
        <v>27</v>
      </c>
      <c r="F804" s="28" t="str">
        <f>F803</f>
        <v>P087735C1S5</v>
      </c>
      <c r="G804" s="28" t="s">
        <v>16</v>
      </c>
      <c r="H804" s="29" t="str">
        <f>H802&amp;" / "&amp;H803</f>
        <v>2014 / 2014</v>
      </c>
      <c r="I804" s="29" t="str">
        <f>I803</f>
        <v>Strengthening</v>
      </c>
      <c r="J804" s="97">
        <f>IFERROR(J803/J802,"")</f>
        <v>1</v>
      </c>
      <c r="K804" s="32">
        <f>K803/K802</f>
        <v>1</v>
      </c>
      <c r="L804" s="32">
        <f>L803/L802</f>
        <v>1</v>
      </c>
      <c r="M804" s="28"/>
      <c r="N804" s="32">
        <f>N803/N802</f>
        <v>1</v>
      </c>
      <c r="O804" s="32">
        <f>O803/O802</f>
        <v>1</v>
      </c>
      <c r="P804" s="33" t="str">
        <f>IF(K804&lt;50%,"x","")</f>
        <v/>
      </c>
      <c r="Q804" s="33" t="str">
        <f>IF(K804&gt;150%,"x","")</f>
        <v/>
      </c>
      <c r="R804" s="33" t="str">
        <f>IF(O804&lt;50%,"x","")</f>
        <v/>
      </c>
      <c r="S804" s="33" t="str">
        <f>IF(O804&gt;150%,"x","")</f>
        <v/>
      </c>
      <c r="T804" s="33" t="s">
        <v>27</v>
      </c>
      <c r="U804" s="34" t="s">
        <v>27</v>
      </c>
      <c r="V804" s="35" t="s">
        <v>27</v>
      </c>
    </row>
    <row r="805" spans="1:22" ht="16.5" thickTop="1" x14ac:dyDescent="0.25">
      <c r="A805" s="18" t="s">
        <v>793</v>
      </c>
      <c r="B805" s="18" t="s">
        <v>949</v>
      </c>
      <c r="C805" s="18" t="s">
        <v>794</v>
      </c>
      <c r="D805" s="18" t="s">
        <v>26</v>
      </c>
      <c r="E805" s="18" t="s">
        <v>143</v>
      </c>
      <c r="F805" s="18" t="s">
        <v>806</v>
      </c>
      <c r="G805" s="18" t="s">
        <v>29</v>
      </c>
      <c r="H805" s="19">
        <v>2014</v>
      </c>
      <c r="I805" s="18" t="s">
        <v>38</v>
      </c>
      <c r="J805" s="101" t="s">
        <v>27</v>
      </c>
      <c r="K805" s="20">
        <v>15.5</v>
      </c>
      <c r="L805" s="21">
        <v>2.8</v>
      </c>
      <c r="M805" s="22" t="s">
        <v>30</v>
      </c>
      <c r="N805" s="23">
        <v>2.8</v>
      </c>
      <c r="O805" s="24">
        <v>0.18064516129032257</v>
      </c>
      <c r="P805" s="25" t="str">
        <f>IF(P807="x","x","")</f>
        <v/>
      </c>
      <c r="Q805" s="25" t="str">
        <f>IF(Q807="x","x","")</f>
        <v/>
      </c>
      <c r="R805" s="25" t="str">
        <f>IF(R807="x","x","")</f>
        <v/>
      </c>
      <c r="S805" s="25" t="str">
        <f>IF(S807="x","x","")</f>
        <v/>
      </c>
      <c r="T805" s="25" t="s">
        <v>27</v>
      </c>
      <c r="U805" s="26"/>
      <c r="V805" s="27"/>
    </row>
    <row r="806" spans="1:22" x14ac:dyDescent="0.25">
      <c r="A806" s="18" t="s">
        <v>793</v>
      </c>
      <c r="B806" s="18" t="s">
        <v>949</v>
      </c>
      <c r="C806" s="18" t="s">
        <v>794</v>
      </c>
      <c r="D806" s="18" t="s">
        <v>26</v>
      </c>
      <c r="E806" s="18" t="s">
        <v>143</v>
      </c>
      <c r="F806" s="18" t="s">
        <v>806</v>
      </c>
      <c r="G806" s="18" t="s">
        <v>32</v>
      </c>
      <c r="H806" s="19">
        <v>2014</v>
      </c>
      <c r="I806" s="18" t="s">
        <v>38</v>
      </c>
      <c r="J806" s="101">
        <v>11</v>
      </c>
      <c r="K806" s="20">
        <v>15.5</v>
      </c>
      <c r="L806" s="21">
        <v>2.5</v>
      </c>
      <c r="M806" s="22" t="s">
        <v>30</v>
      </c>
      <c r="N806" s="23">
        <v>2.5</v>
      </c>
      <c r="O806" s="24">
        <v>0.16129032258064516</v>
      </c>
      <c r="P806" s="25" t="str">
        <f>IF(P807="x","x","")</f>
        <v/>
      </c>
      <c r="Q806" s="25" t="str">
        <f>IF(Q807="x","x","")</f>
        <v/>
      </c>
      <c r="R806" s="25" t="str">
        <f>IF(R807="x","x","")</f>
        <v/>
      </c>
      <c r="S806" s="25" t="str">
        <f>IF(S807="x","x","")</f>
        <v/>
      </c>
      <c r="T806" s="25" t="s">
        <v>27</v>
      </c>
      <c r="U806" s="26"/>
      <c r="V806" s="27"/>
    </row>
    <row r="807" spans="1:22" ht="16.5" thickBot="1" x14ac:dyDescent="0.3">
      <c r="A807" s="28" t="str">
        <f>A806</f>
        <v>Iraq</v>
      </c>
      <c r="B807" s="28" t="str">
        <f>B806</f>
        <v>Middle East and North Africa</v>
      </c>
      <c r="C807" s="28" t="str">
        <f>C806</f>
        <v>P087735</v>
      </c>
      <c r="D807" s="28" t="s">
        <v>26</v>
      </c>
      <c r="E807" s="28" t="s">
        <v>27</v>
      </c>
      <c r="F807" s="28" t="str">
        <f>F806</f>
        <v>P087735C1S6</v>
      </c>
      <c r="G807" s="28" t="s">
        <v>16</v>
      </c>
      <c r="H807" s="29" t="str">
        <f>H805&amp;" / "&amp;H806</f>
        <v>2014 / 2014</v>
      </c>
      <c r="I807" s="29" t="str">
        <f>I806</f>
        <v>Strengthening</v>
      </c>
      <c r="J807" s="97" t="str">
        <f>IFERROR(J806/J805,"")</f>
        <v/>
      </c>
      <c r="K807" s="32">
        <f>K806/K805</f>
        <v>1</v>
      </c>
      <c r="L807" s="32">
        <f>L806/L805</f>
        <v>0.8928571428571429</v>
      </c>
      <c r="M807" s="28"/>
      <c r="N807" s="32">
        <f>N806/N805</f>
        <v>0.8928571428571429</v>
      </c>
      <c r="O807" s="32">
        <f>O806/O805</f>
        <v>0.8928571428571429</v>
      </c>
      <c r="P807" s="33" t="str">
        <f>IF(K807&lt;50%,"x","")</f>
        <v/>
      </c>
      <c r="Q807" s="33" t="str">
        <f>IF(K807&gt;150%,"x","")</f>
        <v/>
      </c>
      <c r="R807" s="33" t="str">
        <f>IF(O807&lt;50%,"x","")</f>
        <v/>
      </c>
      <c r="S807" s="33" t="str">
        <f>IF(O807&gt;150%,"x","")</f>
        <v/>
      </c>
      <c r="T807" s="33" t="s">
        <v>27</v>
      </c>
      <c r="U807" s="34" t="s">
        <v>27</v>
      </c>
      <c r="V807" s="35" t="s">
        <v>27</v>
      </c>
    </row>
    <row r="808" spans="1:22" ht="16.5" thickTop="1" x14ac:dyDescent="0.25">
      <c r="A808" s="18" t="s">
        <v>793</v>
      </c>
      <c r="B808" s="18" t="s">
        <v>949</v>
      </c>
      <c r="C808" s="18" t="s">
        <v>794</v>
      </c>
      <c r="D808" s="18" t="s">
        <v>26</v>
      </c>
      <c r="E808" s="18" t="s">
        <v>245</v>
      </c>
      <c r="F808" s="18" t="s">
        <v>807</v>
      </c>
      <c r="G808" s="18" t="s">
        <v>29</v>
      </c>
      <c r="H808" s="19">
        <v>2014</v>
      </c>
      <c r="I808" s="18" t="s">
        <v>38</v>
      </c>
      <c r="J808" s="101">
        <v>10</v>
      </c>
      <c r="K808" s="20">
        <v>21.2</v>
      </c>
      <c r="L808" s="21">
        <v>3.5</v>
      </c>
      <c r="M808" s="22" t="s">
        <v>30</v>
      </c>
      <c r="N808" s="23">
        <v>3.5</v>
      </c>
      <c r="O808" s="24">
        <v>0.16509433962264153</v>
      </c>
      <c r="P808" s="25" t="str">
        <f>IF(P810="x","x","")</f>
        <v/>
      </c>
      <c r="Q808" s="25" t="str">
        <f>IF(Q810="x","x","")</f>
        <v/>
      </c>
      <c r="R808" s="25" t="str">
        <f>IF(R810="x","x","")</f>
        <v/>
      </c>
      <c r="S808" s="25" t="str">
        <f>IF(S810="x","x","")</f>
        <v/>
      </c>
      <c r="T808" s="25" t="s">
        <v>27</v>
      </c>
      <c r="U808" s="26"/>
      <c r="V808" s="27"/>
    </row>
    <row r="809" spans="1:22" x14ac:dyDescent="0.25">
      <c r="A809" s="18" t="s">
        <v>793</v>
      </c>
      <c r="B809" s="18" t="s">
        <v>949</v>
      </c>
      <c r="C809" s="18" t="s">
        <v>794</v>
      </c>
      <c r="D809" s="18" t="s">
        <v>26</v>
      </c>
      <c r="E809" s="18" t="s">
        <v>245</v>
      </c>
      <c r="F809" s="18" t="s">
        <v>807</v>
      </c>
      <c r="G809" s="18" t="s">
        <v>32</v>
      </c>
      <c r="H809" s="19">
        <v>2014</v>
      </c>
      <c r="I809" s="18" t="s">
        <v>38</v>
      </c>
      <c r="J809" s="101">
        <v>9</v>
      </c>
      <c r="K809" s="20">
        <v>21.2</v>
      </c>
      <c r="L809" s="21">
        <v>3.4</v>
      </c>
      <c r="M809" s="22" t="s">
        <v>30</v>
      </c>
      <c r="N809" s="23">
        <v>3.4</v>
      </c>
      <c r="O809" s="24">
        <v>0.16037735849056603</v>
      </c>
      <c r="P809" s="25" t="str">
        <f>IF(P810="x","x","")</f>
        <v/>
      </c>
      <c r="Q809" s="25" t="str">
        <f>IF(Q810="x","x","")</f>
        <v/>
      </c>
      <c r="R809" s="25" t="str">
        <f>IF(R810="x","x","")</f>
        <v/>
      </c>
      <c r="S809" s="25" t="str">
        <f>IF(S810="x","x","")</f>
        <v/>
      </c>
      <c r="T809" s="25" t="s">
        <v>27</v>
      </c>
      <c r="U809" s="26"/>
      <c r="V809" s="27"/>
    </row>
    <row r="810" spans="1:22" ht="16.5" thickBot="1" x14ac:dyDescent="0.3">
      <c r="A810" s="28" t="str">
        <f>A809</f>
        <v>Iraq</v>
      </c>
      <c r="B810" s="28" t="str">
        <f>B809</f>
        <v>Middle East and North Africa</v>
      </c>
      <c r="C810" s="28" t="str">
        <f>C809</f>
        <v>P087735</v>
      </c>
      <c r="D810" s="28" t="s">
        <v>26</v>
      </c>
      <c r="E810" s="28" t="s">
        <v>27</v>
      </c>
      <c r="F810" s="28" t="str">
        <f>F809</f>
        <v>P087735C1S7</v>
      </c>
      <c r="G810" s="28" t="s">
        <v>16</v>
      </c>
      <c r="H810" s="29" t="str">
        <f>H808&amp;" / "&amp;H809</f>
        <v>2014 / 2014</v>
      </c>
      <c r="I810" s="29" t="str">
        <f>I809</f>
        <v>Strengthening</v>
      </c>
      <c r="J810" s="97">
        <f>IFERROR(J809/J808,"")</f>
        <v>0.9</v>
      </c>
      <c r="K810" s="32">
        <f>K809/K808</f>
        <v>1</v>
      </c>
      <c r="L810" s="32">
        <f>L809/L808</f>
        <v>0.97142857142857142</v>
      </c>
      <c r="M810" s="28"/>
      <c r="N810" s="32">
        <f>N809/N808</f>
        <v>0.97142857142857142</v>
      </c>
      <c r="O810" s="32">
        <f>O809/O808</f>
        <v>0.97142857142857131</v>
      </c>
      <c r="P810" s="33" t="str">
        <f>IF(K810&lt;50%,"x","")</f>
        <v/>
      </c>
      <c r="Q810" s="33" t="str">
        <f>IF(K810&gt;150%,"x","")</f>
        <v/>
      </c>
      <c r="R810" s="33" t="str">
        <f>IF(O810&lt;50%,"x","")</f>
        <v/>
      </c>
      <c r="S810" s="33" t="str">
        <f>IF(O810&gt;150%,"x","")</f>
        <v/>
      </c>
      <c r="T810" s="33" t="s">
        <v>27</v>
      </c>
      <c r="U810" s="34" t="s">
        <v>27</v>
      </c>
      <c r="V810" s="35" t="s">
        <v>27</v>
      </c>
    </row>
    <row r="811" spans="1:22" ht="16.5" thickTop="1" x14ac:dyDescent="0.25">
      <c r="A811" s="18" t="s">
        <v>793</v>
      </c>
      <c r="B811" s="18" t="s">
        <v>949</v>
      </c>
      <c r="C811" s="18" t="s">
        <v>794</v>
      </c>
      <c r="D811" s="18" t="s">
        <v>26</v>
      </c>
      <c r="E811" s="18" t="s">
        <v>247</v>
      </c>
      <c r="F811" s="18" t="s">
        <v>808</v>
      </c>
      <c r="G811" s="18" t="s">
        <v>29</v>
      </c>
      <c r="H811" s="19">
        <v>2014</v>
      </c>
      <c r="I811" s="18" t="s">
        <v>38</v>
      </c>
      <c r="J811" s="101" t="s">
        <v>27</v>
      </c>
      <c r="K811" s="20">
        <v>20</v>
      </c>
      <c r="L811" s="21">
        <v>4.2</v>
      </c>
      <c r="M811" s="22" t="s">
        <v>30</v>
      </c>
      <c r="N811" s="23">
        <v>4.2</v>
      </c>
      <c r="O811" s="24">
        <v>0.21000000000000002</v>
      </c>
      <c r="P811" s="25" t="str">
        <f>IF(P813="x","x","")</f>
        <v/>
      </c>
      <c r="Q811" s="25" t="str">
        <f>IF(Q813="x","x","")</f>
        <v/>
      </c>
      <c r="R811" s="25" t="str">
        <f>IF(R813="x","x","")</f>
        <v/>
      </c>
      <c r="S811" s="25" t="str">
        <f>IF(S813="x","x","")</f>
        <v/>
      </c>
      <c r="T811" s="25" t="s">
        <v>27</v>
      </c>
      <c r="U811" s="26"/>
      <c r="V811" s="27"/>
    </row>
    <row r="812" spans="1:22" x14ac:dyDescent="0.25">
      <c r="A812" s="18" t="s">
        <v>793</v>
      </c>
      <c r="B812" s="18" t="s">
        <v>949</v>
      </c>
      <c r="C812" s="18" t="s">
        <v>794</v>
      </c>
      <c r="D812" s="18" t="s">
        <v>26</v>
      </c>
      <c r="E812" s="18" t="s">
        <v>247</v>
      </c>
      <c r="F812" s="18" t="s">
        <v>808</v>
      </c>
      <c r="G812" s="18" t="s">
        <v>32</v>
      </c>
      <c r="H812" s="19">
        <v>2014</v>
      </c>
      <c r="I812" s="18" t="s">
        <v>38</v>
      </c>
      <c r="J812" s="101">
        <v>33</v>
      </c>
      <c r="K812" s="20">
        <v>20</v>
      </c>
      <c r="L812" s="21">
        <v>4.8</v>
      </c>
      <c r="M812" s="22" t="s">
        <v>30</v>
      </c>
      <c r="N812" s="23">
        <v>4.8</v>
      </c>
      <c r="O812" s="24">
        <v>0.24</v>
      </c>
      <c r="P812" s="25" t="str">
        <f>IF(P813="x","x","")</f>
        <v/>
      </c>
      <c r="Q812" s="25" t="str">
        <f>IF(Q813="x","x","")</f>
        <v/>
      </c>
      <c r="R812" s="25" t="str">
        <f>IF(R813="x","x","")</f>
        <v/>
      </c>
      <c r="S812" s="25" t="str">
        <f>IF(S813="x","x","")</f>
        <v/>
      </c>
      <c r="T812" s="25" t="s">
        <v>27</v>
      </c>
      <c r="U812" s="26"/>
      <c r="V812" s="27"/>
    </row>
    <row r="813" spans="1:22" ht="16.5" thickBot="1" x14ac:dyDescent="0.3">
      <c r="A813" s="28" t="str">
        <f>A812</f>
        <v>Iraq</v>
      </c>
      <c r="B813" s="28" t="str">
        <f>B812</f>
        <v>Middle East and North Africa</v>
      </c>
      <c r="C813" s="28" t="str">
        <f>C812</f>
        <v>P087735</v>
      </c>
      <c r="D813" s="28" t="s">
        <v>26</v>
      </c>
      <c r="E813" s="28" t="s">
        <v>27</v>
      </c>
      <c r="F813" s="28" t="str">
        <f>F812</f>
        <v>P087735C1S8</v>
      </c>
      <c r="G813" s="28" t="s">
        <v>16</v>
      </c>
      <c r="H813" s="29" t="str">
        <f>H811&amp;" / "&amp;H812</f>
        <v>2014 / 2014</v>
      </c>
      <c r="I813" s="29" t="str">
        <f>I812</f>
        <v>Strengthening</v>
      </c>
      <c r="J813" s="97" t="str">
        <f>IFERROR(J812/J811,"")</f>
        <v/>
      </c>
      <c r="K813" s="32">
        <f>K812/K811</f>
        <v>1</v>
      </c>
      <c r="L813" s="32">
        <f>L812/L811</f>
        <v>1.1428571428571428</v>
      </c>
      <c r="M813" s="28"/>
      <c r="N813" s="32">
        <f>N812/N811</f>
        <v>1.1428571428571428</v>
      </c>
      <c r="O813" s="32">
        <f>O812/O811</f>
        <v>1.1428571428571428</v>
      </c>
      <c r="P813" s="33" t="str">
        <f>IF(K813&lt;50%,"x","")</f>
        <v/>
      </c>
      <c r="Q813" s="33" t="str">
        <f>IF(K813&gt;150%,"x","")</f>
        <v/>
      </c>
      <c r="R813" s="33" t="str">
        <f>IF(O813&lt;50%,"x","")</f>
        <v/>
      </c>
      <c r="S813" s="33" t="str">
        <f>IF(O813&gt;150%,"x","")</f>
        <v/>
      </c>
      <c r="T813" s="33" t="s">
        <v>27</v>
      </c>
      <c r="U813" s="34" t="s">
        <v>27</v>
      </c>
      <c r="V813" s="35" t="s">
        <v>27</v>
      </c>
    </row>
    <row r="814" spans="1:22" ht="16.5" thickTop="1" x14ac:dyDescent="0.25">
      <c r="A814" s="18" t="s">
        <v>793</v>
      </c>
      <c r="B814" s="18" t="s">
        <v>949</v>
      </c>
      <c r="C814" s="18" t="s">
        <v>794</v>
      </c>
      <c r="D814" s="18" t="s">
        <v>26</v>
      </c>
      <c r="E814" s="18" t="s">
        <v>249</v>
      </c>
      <c r="F814" s="18" t="s">
        <v>809</v>
      </c>
      <c r="G814" s="18" t="s">
        <v>29</v>
      </c>
      <c r="H814" s="19">
        <v>2014</v>
      </c>
      <c r="I814" s="18" t="s">
        <v>359</v>
      </c>
      <c r="J814" s="101" t="s">
        <v>27</v>
      </c>
      <c r="K814" s="20">
        <v>41</v>
      </c>
      <c r="L814" s="21">
        <v>18.399999999999999</v>
      </c>
      <c r="M814" s="22" t="s">
        <v>30</v>
      </c>
      <c r="N814" s="23">
        <v>18.399999999999999</v>
      </c>
      <c r="O814" s="24">
        <v>0.448780487804878</v>
      </c>
      <c r="P814" s="25" t="str">
        <f>IF(P816="x","x","")</f>
        <v/>
      </c>
      <c r="Q814" s="25" t="str">
        <f>IF(Q816="x","x","")</f>
        <v/>
      </c>
      <c r="R814" s="25" t="str">
        <f>IF(R816="x","x","")</f>
        <v/>
      </c>
      <c r="S814" s="25" t="str">
        <f>IF(S816="x","x","")</f>
        <v/>
      </c>
      <c r="T814" s="25" t="s">
        <v>27</v>
      </c>
      <c r="U814" s="26"/>
      <c r="V814" s="27"/>
    </row>
    <row r="815" spans="1:22" x14ac:dyDescent="0.25">
      <c r="A815" s="18" t="s">
        <v>793</v>
      </c>
      <c r="B815" s="18" t="s">
        <v>949</v>
      </c>
      <c r="C815" s="18" t="s">
        <v>794</v>
      </c>
      <c r="D815" s="18" t="s">
        <v>26</v>
      </c>
      <c r="E815" s="18" t="s">
        <v>249</v>
      </c>
      <c r="F815" s="18" t="s">
        <v>809</v>
      </c>
      <c r="G815" s="18" t="s">
        <v>32</v>
      </c>
      <c r="H815" s="19">
        <v>2014</v>
      </c>
      <c r="I815" s="18" t="s">
        <v>359</v>
      </c>
      <c r="J815" s="101">
        <v>32</v>
      </c>
      <c r="K815" s="20">
        <v>41</v>
      </c>
      <c r="L815" s="21">
        <v>18.3</v>
      </c>
      <c r="M815" s="22" t="s">
        <v>30</v>
      </c>
      <c r="N815" s="23">
        <v>18.3</v>
      </c>
      <c r="O815" s="24">
        <v>0.44634146341463415</v>
      </c>
      <c r="P815" s="25" t="str">
        <f>IF(P816="x","x","")</f>
        <v/>
      </c>
      <c r="Q815" s="25" t="str">
        <f>IF(Q816="x","x","")</f>
        <v/>
      </c>
      <c r="R815" s="25" t="str">
        <f>IF(R816="x","x","")</f>
        <v/>
      </c>
      <c r="S815" s="25" t="str">
        <f>IF(S816="x","x","")</f>
        <v/>
      </c>
      <c r="T815" s="25" t="s">
        <v>27</v>
      </c>
      <c r="U815" s="26"/>
      <c r="V815" s="27"/>
    </row>
    <row r="816" spans="1:22" ht="16.5" thickBot="1" x14ac:dyDescent="0.3">
      <c r="A816" s="28" t="str">
        <f>A815</f>
        <v>Iraq</v>
      </c>
      <c r="B816" s="28" t="str">
        <f>B815</f>
        <v>Middle East and North Africa</v>
      </c>
      <c r="C816" s="28" t="str">
        <f>C815</f>
        <v>P087735</v>
      </c>
      <c r="D816" s="28" t="s">
        <v>26</v>
      </c>
      <c r="E816" s="28" t="s">
        <v>27</v>
      </c>
      <c r="F816" s="28" t="str">
        <f>F815</f>
        <v>P087735C1S9</v>
      </c>
      <c r="G816" s="28" t="s">
        <v>16</v>
      </c>
      <c r="H816" s="29" t="str">
        <f>H814&amp;" / "&amp;H815</f>
        <v>2014 / 2014</v>
      </c>
      <c r="I816" s="29" t="str">
        <f>I815</f>
        <v>Reconstruction</v>
      </c>
      <c r="J816" s="97" t="str">
        <f>IFERROR(J815/J814,"")</f>
        <v/>
      </c>
      <c r="K816" s="32">
        <f>K815/K814</f>
        <v>1</v>
      </c>
      <c r="L816" s="32">
        <f>L815/L814</f>
        <v>0.99456521739130443</v>
      </c>
      <c r="M816" s="28"/>
      <c r="N816" s="32">
        <f>N815/N814</f>
        <v>0.99456521739130443</v>
      </c>
      <c r="O816" s="32">
        <f>O815/O814</f>
        <v>0.99456521739130443</v>
      </c>
      <c r="P816" s="33" t="str">
        <f>IF(K816&lt;50%,"x","")</f>
        <v/>
      </c>
      <c r="Q816" s="33" t="str">
        <f>IF(K816&gt;150%,"x","")</f>
        <v/>
      </c>
      <c r="R816" s="33" t="str">
        <f>IF(O816&lt;50%,"x","")</f>
        <v/>
      </c>
      <c r="S816" s="33" t="str">
        <f>IF(O816&gt;150%,"x","")</f>
        <v/>
      </c>
      <c r="T816" s="33" t="s">
        <v>27</v>
      </c>
      <c r="U816" s="34" t="s">
        <v>27</v>
      </c>
      <c r="V816" s="35" t="s">
        <v>27</v>
      </c>
    </row>
    <row r="817" spans="1:22" ht="18.600000000000001" customHeight="1" thickTop="1" x14ac:dyDescent="0.25">
      <c r="A817" s="18" t="s">
        <v>793</v>
      </c>
      <c r="B817" s="18" t="s">
        <v>949</v>
      </c>
      <c r="C817" s="18" t="s">
        <v>794</v>
      </c>
      <c r="D817" s="18" t="s">
        <v>42</v>
      </c>
      <c r="E817" s="18" t="s">
        <v>27</v>
      </c>
      <c r="F817" s="18" t="s">
        <v>810</v>
      </c>
      <c r="G817" s="18" t="s">
        <v>29</v>
      </c>
      <c r="H817" s="19">
        <v>2014</v>
      </c>
      <c r="I817" s="18" t="s">
        <v>56</v>
      </c>
      <c r="J817" s="101" t="s">
        <v>27</v>
      </c>
      <c r="K817" s="20">
        <v>113.5</v>
      </c>
      <c r="L817" s="21">
        <v>40.79</v>
      </c>
      <c r="M817" s="22" t="s">
        <v>30</v>
      </c>
      <c r="N817" s="23">
        <v>40.79</v>
      </c>
      <c r="O817" s="24">
        <v>0.35938325991189429</v>
      </c>
      <c r="P817" s="25" t="str">
        <f>IF(P819="x","x","")</f>
        <v/>
      </c>
      <c r="Q817" s="25" t="str">
        <f>IF(Q819="x","x","")</f>
        <v/>
      </c>
      <c r="R817" s="25" t="str">
        <f>IF(R819="x","x","")</f>
        <v/>
      </c>
      <c r="S817" s="25" t="str">
        <f>IF(S819="x","x","")</f>
        <v/>
      </c>
      <c r="T817" s="25" t="s">
        <v>27</v>
      </c>
      <c r="U817" s="26"/>
      <c r="V817" s="27"/>
    </row>
    <row r="818" spans="1:22" ht="18.600000000000001" customHeight="1" x14ac:dyDescent="0.25">
      <c r="A818" s="18" t="s">
        <v>793</v>
      </c>
      <c r="B818" s="18" t="s">
        <v>949</v>
      </c>
      <c r="C818" s="18" t="s">
        <v>794</v>
      </c>
      <c r="D818" s="18" t="s">
        <v>42</v>
      </c>
      <c r="E818" s="18" t="s">
        <v>27</v>
      </c>
      <c r="F818" s="18" t="s">
        <v>810</v>
      </c>
      <c r="G818" s="18" t="s">
        <v>32</v>
      </c>
      <c r="H818" s="19">
        <v>2014</v>
      </c>
      <c r="I818" s="18" t="s">
        <v>56</v>
      </c>
      <c r="J818" s="101" t="s">
        <v>27</v>
      </c>
      <c r="K818" s="20">
        <v>120.1</v>
      </c>
      <c r="L818" s="21">
        <v>47.87</v>
      </c>
      <c r="M818" s="22" t="s">
        <v>30</v>
      </c>
      <c r="N818" s="23">
        <v>47.87</v>
      </c>
      <c r="O818" s="24">
        <v>0.39858451290591174</v>
      </c>
      <c r="P818" s="25" t="str">
        <f>IF(P819="x","x","")</f>
        <v/>
      </c>
      <c r="Q818" s="25" t="str">
        <f>IF(Q819="x","x","")</f>
        <v/>
      </c>
      <c r="R818" s="25" t="str">
        <f>IF(R819="x","x","")</f>
        <v/>
      </c>
      <c r="S818" s="25" t="str">
        <f>IF(S819="x","x","")</f>
        <v/>
      </c>
      <c r="T818" s="25" t="s">
        <v>27</v>
      </c>
      <c r="U818" s="26"/>
      <c r="V818" s="27"/>
    </row>
    <row r="819" spans="1:22" ht="18.600000000000001" customHeight="1" thickBot="1" x14ac:dyDescent="0.3">
      <c r="A819" s="28" t="str">
        <f>A818</f>
        <v>Iraq</v>
      </c>
      <c r="B819" s="28" t="str">
        <f>B818</f>
        <v>Middle East and North Africa</v>
      </c>
      <c r="C819" s="28" t="str">
        <f>C818</f>
        <v>P087735</v>
      </c>
      <c r="D819" s="28" t="s">
        <v>26</v>
      </c>
      <c r="E819" s="28" t="s">
        <v>27</v>
      </c>
      <c r="F819" s="28" t="str">
        <f>F818</f>
        <v>P087735C2</v>
      </c>
      <c r="G819" s="28" t="s">
        <v>16</v>
      </c>
      <c r="H819" s="29" t="str">
        <f>H817&amp;" / "&amp;H818</f>
        <v>2014 / 2014</v>
      </c>
      <c r="I819" s="29" t="str">
        <f>I818</f>
        <v>Widening</v>
      </c>
      <c r="J819" s="97" t="str">
        <f>IFERROR(J818/J817,"")</f>
        <v/>
      </c>
      <c r="K819" s="32">
        <f>K818/K817</f>
        <v>1.0581497797356827</v>
      </c>
      <c r="L819" s="32">
        <f>L818/L817</f>
        <v>1.173571953910272</v>
      </c>
      <c r="M819" s="28"/>
      <c r="N819" s="32">
        <f>N818/N817</f>
        <v>1.173571953910272</v>
      </c>
      <c r="O819" s="32">
        <f>O818/O817</f>
        <v>1.1090792403731546</v>
      </c>
      <c r="P819" s="33" t="str">
        <f>IF(K819&lt;50%,"x","")</f>
        <v/>
      </c>
      <c r="Q819" s="33" t="str">
        <f>IF(K819&gt;150%,"x","")</f>
        <v/>
      </c>
      <c r="R819" s="33" t="str">
        <f>IF(O819&lt;50%,"x","")</f>
        <v/>
      </c>
      <c r="S819" s="33" t="str">
        <f>IF(O819&gt;150%,"x","")</f>
        <v/>
      </c>
      <c r="T819" s="33" t="s">
        <v>27</v>
      </c>
      <c r="U819" s="34" t="s">
        <v>27</v>
      </c>
      <c r="V819" s="35" t="s">
        <v>27</v>
      </c>
    </row>
    <row r="820" spans="1:22" ht="18.600000000000001" customHeight="1" thickTop="1" x14ac:dyDescent="0.25">
      <c r="A820" s="18" t="s">
        <v>793</v>
      </c>
      <c r="B820" s="18" t="s">
        <v>949</v>
      </c>
      <c r="C820" s="18" t="s">
        <v>794</v>
      </c>
      <c r="D820" s="18" t="s">
        <v>42</v>
      </c>
      <c r="E820" s="18" t="s">
        <v>36</v>
      </c>
      <c r="F820" s="18" t="s">
        <v>811</v>
      </c>
      <c r="G820" s="18" t="s">
        <v>29</v>
      </c>
      <c r="H820" s="19">
        <v>2014</v>
      </c>
      <c r="I820" s="18" t="s">
        <v>56</v>
      </c>
      <c r="J820" s="101" t="s">
        <v>27</v>
      </c>
      <c r="K820" s="20">
        <v>38.5</v>
      </c>
      <c r="L820" s="21">
        <v>34.9</v>
      </c>
      <c r="M820" s="22" t="s">
        <v>30</v>
      </c>
      <c r="N820" s="23">
        <v>34.9</v>
      </c>
      <c r="O820" s="24">
        <v>0.90649350649350646</v>
      </c>
      <c r="P820" s="25" t="str">
        <f>IF(P822="x","x","")</f>
        <v/>
      </c>
      <c r="Q820" s="25" t="str">
        <f>IF(Q822="x","x","")</f>
        <v/>
      </c>
      <c r="R820" s="25" t="str">
        <f>IF(R822="x","x","")</f>
        <v/>
      </c>
      <c r="S820" s="25" t="str">
        <f>IF(S822="x","x","")</f>
        <v/>
      </c>
      <c r="T820" s="25" t="s">
        <v>27</v>
      </c>
      <c r="U820" s="26"/>
      <c r="V820" s="27"/>
    </row>
    <row r="821" spans="1:22" ht="18.600000000000001" customHeight="1" x14ac:dyDescent="0.25">
      <c r="A821" s="18" t="s">
        <v>793</v>
      </c>
      <c r="B821" s="18" t="s">
        <v>949</v>
      </c>
      <c r="C821" s="18" t="s">
        <v>794</v>
      </c>
      <c r="D821" s="18" t="s">
        <v>42</v>
      </c>
      <c r="E821" s="18" t="s">
        <v>36</v>
      </c>
      <c r="F821" s="18" t="s">
        <v>811</v>
      </c>
      <c r="G821" s="18" t="s">
        <v>32</v>
      </c>
      <c r="H821" s="19">
        <v>2014</v>
      </c>
      <c r="I821" s="18" t="s">
        <v>56</v>
      </c>
      <c r="J821" s="101">
        <v>26</v>
      </c>
      <c r="K821" s="20">
        <v>38.5</v>
      </c>
      <c r="L821" s="21">
        <v>40.700000000000003</v>
      </c>
      <c r="M821" s="22" t="s">
        <v>30</v>
      </c>
      <c r="N821" s="23">
        <v>40.700000000000003</v>
      </c>
      <c r="O821" s="24">
        <v>1.0571428571428572</v>
      </c>
      <c r="P821" s="25" t="str">
        <f>IF(P822="x","x","")</f>
        <v/>
      </c>
      <c r="Q821" s="25" t="str">
        <f>IF(Q822="x","x","")</f>
        <v/>
      </c>
      <c r="R821" s="25" t="str">
        <f>IF(R822="x","x","")</f>
        <v/>
      </c>
      <c r="S821" s="25" t="str">
        <f>IF(S822="x","x","")</f>
        <v/>
      </c>
      <c r="T821" s="25" t="s">
        <v>27</v>
      </c>
      <c r="U821" s="26"/>
      <c r="V821" s="27"/>
    </row>
    <row r="822" spans="1:22" ht="18.600000000000001" customHeight="1" thickBot="1" x14ac:dyDescent="0.3">
      <c r="A822" s="28" t="str">
        <f>A821</f>
        <v>Iraq</v>
      </c>
      <c r="B822" s="28" t="str">
        <f>B821</f>
        <v>Middle East and North Africa</v>
      </c>
      <c r="C822" s="28" t="str">
        <f>C821</f>
        <v>P087735</v>
      </c>
      <c r="D822" s="28" t="s">
        <v>26</v>
      </c>
      <c r="E822" s="28" t="s">
        <v>27</v>
      </c>
      <c r="F822" s="28" t="str">
        <f>F821</f>
        <v>P087735C2S1</v>
      </c>
      <c r="G822" s="28" t="s">
        <v>16</v>
      </c>
      <c r="H822" s="29" t="str">
        <f>H820&amp;" / "&amp;H821</f>
        <v>2014 / 2014</v>
      </c>
      <c r="I822" s="29" t="str">
        <f>I821</f>
        <v>Widening</v>
      </c>
      <c r="J822" s="97" t="str">
        <f>IFERROR(J821/J820,"")</f>
        <v/>
      </c>
      <c r="K822" s="32">
        <f>K821/K820</f>
        <v>1</v>
      </c>
      <c r="L822" s="32">
        <f>L821/L820</f>
        <v>1.1661891117478511</v>
      </c>
      <c r="M822" s="28"/>
      <c r="N822" s="32">
        <f>N821/N820</f>
        <v>1.1661891117478511</v>
      </c>
      <c r="O822" s="32">
        <f>O821/O820</f>
        <v>1.1661891117478511</v>
      </c>
      <c r="P822" s="33" t="str">
        <f>IF(K822&lt;50%,"x","")</f>
        <v/>
      </c>
      <c r="Q822" s="33" t="str">
        <f>IF(K822&gt;150%,"x","")</f>
        <v/>
      </c>
      <c r="R822" s="33" t="str">
        <f>IF(O822&lt;50%,"x","")</f>
        <v/>
      </c>
      <c r="S822" s="33" t="str">
        <f>IF(O822&gt;150%,"x","")</f>
        <v/>
      </c>
      <c r="T822" s="33" t="s">
        <v>27</v>
      </c>
      <c r="U822" s="34" t="s">
        <v>27</v>
      </c>
      <c r="V822" s="35" t="s">
        <v>27</v>
      </c>
    </row>
    <row r="823" spans="1:22" ht="18.600000000000001" customHeight="1" thickTop="1" x14ac:dyDescent="0.25">
      <c r="A823" s="18" t="s">
        <v>793</v>
      </c>
      <c r="B823" s="18" t="s">
        <v>949</v>
      </c>
      <c r="C823" s="18" t="s">
        <v>794</v>
      </c>
      <c r="D823" s="18" t="s">
        <v>42</v>
      </c>
      <c r="E823" s="18" t="s">
        <v>40</v>
      </c>
      <c r="F823" s="18" t="s">
        <v>812</v>
      </c>
      <c r="G823" s="18" t="s">
        <v>29</v>
      </c>
      <c r="H823" s="19">
        <v>2014</v>
      </c>
      <c r="I823" s="18" t="s">
        <v>359</v>
      </c>
      <c r="J823" s="101" t="s">
        <v>27</v>
      </c>
      <c r="K823" s="20">
        <v>17.100000000000001</v>
      </c>
      <c r="L823" s="21">
        <v>2</v>
      </c>
      <c r="M823" s="22" t="s">
        <v>30</v>
      </c>
      <c r="N823" s="23">
        <v>2</v>
      </c>
      <c r="O823" s="24">
        <v>0.11695906432748537</v>
      </c>
      <c r="P823" s="25" t="str">
        <f>IF(P825="x","x","")</f>
        <v/>
      </c>
      <c r="Q823" s="25" t="str">
        <f>IF(Q825="x","x","")</f>
        <v/>
      </c>
      <c r="R823" s="25" t="str">
        <f>IF(R825="x","x","")</f>
        <v/>
      </c>
      <c r="S823" s="25" t="str">
        <f>IF(S825="x","x","")</f>
        <v/>
      </c>
      <c r="T823" s="25" t="s">
        <v>27</v>
      </c>
      <c r="U823" s="26"/>
      <c r="V823" s="27"/>
    </row>
    <row r="824" spans="1:22" ht="18.600000000000001" customHeight="1" x14ac:dyDescent="0.25">
      <c r="A824" s="18" t="s">
        <v>793</v>
      </c>
      <c r="B824" s="18" t="s">
        <v>949</v>
      </c>
      <c r="C824" s="18" t="s">
        <v>794</v>
      </c>
      <c r="D824" s="18" t="s">
        <v>42</v>
      </c>
      <c r="E824" s="18" t="s">
        <v>40</v>
      </c>
      <c r="F824" s="18" t="s">
        <v>812</v>
      </c>
      <c r="G824" s="18" t="s">
        <v>32</v>
      </c>
      <c r="H824" s="19">
        <v>2014</v>
      </c>
      <c r="I824" s="18" t="s">
        <v>359</v>
      </c>
      <c r="J824" s="101">
        <v>12</v>
      </c>
      <c r="K824" s="20">
        <v>17.100000000000001</v>
      </c>
      <c r="L824" s="21">
        <v>2</v>
      </c>
      <c r="M824" s="22" t="s">
        <v>30</v>
      </c>
      <c r="N824" s="23">
        <v>2</v>
      </c>
      <c r="O824" s="24">
        <v>0.11695906432748537</v>
      </c>
      <c r="P824" s="25" t="str">
        <f>IF(P825="x","x","")</f>
        <v/>
      </c>
      <c r="Q824" s="25" t="str">
        <f>IF(Q825="x","x","")</f>
        <v/>
      </c>
      <c r="R824" s="25" t="str">
        <f>IF(R825="x","x","")</f>
        <v/>
      </c>
      <c r="S824" s="25" t="str">
        <f>IF(S825="x","x","")</f>
        <v/>
      </c>
      <c r="T824" s="25" t="s">
        <v>27</v>
      </c>
      <c r="U824" s="26"/>
      <c r="V824" s="27"/>
    </row>
    <row r="825" spans="1:22" ht="18.600000000000001" customHeight="1" thickBot="1" x14ac:dyDescent="0.3">
      <c r="A825" s="28" t="str">
        <f>A824</f>
        <v>Iraq</v>
      </c>
      <c r="B825" s="28" t="str">
        <f>B824</f>
        <v>Middle East and North Africa</v>
      </c>
      <c r="C825" s="28" t="str">
        <f>C824</f>
        <v>P087735</v>
      </c>
      <c r="D825" s="28" t="s">
        <v>26</v>
      </c>
      <c r="E825" s="28" t="s">
        <v>27</v>
      </c>
      <c r="F825" s="28" t="str">
        <f>F824</f>
        <v>P087735C2S2</v>
      </c>
      <c r="G825" s="28" t="s">
        <v>16</v>
      </c>
      <c r="H825" s="29" t="str">
        <f>H823&amp;" / "&amp;H824</f>
        <v>2014 / 2014</v>
      </c>
      <c r="I825" s="29" t="str">
        <f>I824</f>
        <v>Reconstruction</v>
      </c>
      <c r="J825" s="97" t="str">
        <f>IFERROR(J824/J823,"")</f>
        <v/>
      </c>
      <c r="K825" s="32">
        <f>K824/K823</f>
        <v>1</v>
      </c>
      <c r="L825" s="32">
        <f>L824/L823</f>
        <v>1</v>
      </c>
      <c r="M825" s="28"/>
      <c r="N825" s="32">
        <f>N824/N823</f>
        <v>1</v>
      </c>
      <c r="O825" s="32">
        <f>O824/O823</f>
        <v>1</v>
      </c>
      <c r="P825" s="33" t="str">
        <f>IF(K825&lt;50%,"x","")</f>
        <v/>
      </c>
      <c r="Q825" s="33" t="str">
        <f>IF(K825&gt;150%,"x","")</f>
        <v/>
      </c>
      <c r="R825" s="33" t="str">
        <f>IF(O825&lt;50%,"x","")</f>
        <v/>
      </c>
      <c r="S825" s="33" t="str">
        <f>IF(O825&gt;150%,"x","")</f>
        <v/>
      </c>
      <c r="T825" s="33" t="s">
        <v>27</v>
      </c>
      <c r="U825" s="34" t="s">
        <v>27</v>
      </c>
      <c r="V825" s="35" t="s">
        <v>27</v>
      </c>
    </row>
    <row r="826" spans="1:22" ht="18.600000000000001" customHeight="1" thickTop="1" x14ac:dyDescent="0.25">
      <c r="A826" s="18" t="s">
        <v>793</v>
      </c>
      <c r="B826" s="18" t="s">
        <v>949</v>
      </c>
      <c r="C826" s="18" t="s">
        <v>794</v>
      </c>
      <c r="D826" s="18" t="s">
        <v>42</v>
      </c>
      <c r="E826" s="18" t="s">
        <v>69</v>
      </c>
      <c r="F826" s="18" t="s">
        <v>813</v>
      </c>
      <c r="G826" s="18" t="s">
        <v>29</v>
      </c>
      <c r="H826" s="19">
        <v>2014</v>
      </c>
      <c r="I826" s="18" t="s">
        <v>78</v>
      </c>
      <c r="J826" s="101" t="s">
        <v>27</v>
      </c>
      <c r="K826" s="20">
        <v>27.1</v>
      </c>
      <c r="L826" s="21">
        <v>1.8</v>
      </c>
      <c r="M826" s="22" t="s">
        <v>30</v>
      </c>
      <c r="N826" s="23">
        <v>1.8</v>
      </c>
      <c r="O826" s="24">
        <v>6.6420664206642069E-2</v>
      </c>
      <c r="P826" s="25" t="str">
        <f>IF(P828="x","x","")</f>
        <v/>
      </c>
      <c r="Q826" s="25" t="str">
        <f>IF(Q828="x","x","")</f>
        <v/>
      </c>
      <c r="R826" s="25" t="str">
        <f>IF(R828="x","x","")</f>
        <v/>
      </c>
      <c r="S826" s="25" t="str">
        <f>IF(S828="x","x","")</f>
        <v/>
      </c>
      <c r="T826" s="25" t="s">
        <v>27</v>
      </c>
      <c r="U826" s="26"/>
      <c r="V826" s="27"/>
    </row>
    <row r="827" spans="1:22" ht="18.600000000000001" customHeight="1" x14ac:dyDescent="0.25">
      <c r="A827" s="18" t="s">
        <v>793</v>
      </c>
      <c r="B827" s="18" t="s">
        <v>949</v>
      </c>
      <c r="C827" s="18" t="s">
        <v>794</v>
      </c>
      <c r="D827" s="18" t="s">
        <v>42</v>
      </c>
      <c r="E827" s="18" t="s">
        <v>69</v>
      </c>
      <c r="F827" s="18" t="s">
        <v>813</v>
      </c>
      <c r="G827" s="18" t="s">
        <v>32</v>
      </c>
      <c r="H827" s="19">
        <v>2014</v>
      </c>
      <c r="I827" s="18" t="s">
        <v>78</v>
      </c>
      <c r="J827" s="101">
        <v>12</v>
      </c>
      <c r="K827" s="20">
        <v>27.1</v>
      </c>
      <c r="L827" s="21">
        <v>1.8</v>
      </c>
      <c r="M827" s="22" t="s">
        <v>30</v>
      </c>
      <c r="N827" s="23">
        <v>1.8</v>
      </c>
      <c r="O827" s="24">
        <v>6.6420664206642069E-2</v>
      </c>
      <c r="P827" s="25" t="str">
        <f>IF(P828="x","x","")</f>
        <v/>
      </c>
      <c r="Q827" s="25" t="str">
        <f>IF(Q828="x","x","")</f>
        <v/>
      </c>
      <c r="R827" s="25" t="str">
        <f>IF(R828="x","x","")</f>
        <v/>
      </c>
      <c r="S827" s="25" t="str">
        <f>IF(S828="x","x","")</f>
        <v/>
      </c>
      <c r="T827" s="25" t="s">
        <v>27</v>
      </c>
      <c r="U827" s="26"/>
      <c r="V827" s="27"/>
    </row>
    <row r="828" spans="1:22" ht="18.600000000000001" customHeight="1" thickBot="1" x14ac:dyDescent="0.3">
      <c r="A828" s="28" t="str">
        <f>A827</f>
        <v>Iraq</v>
      </c>
      <c r="B828" s="28" t="str">
        <f>B827</f>
        <v>Middle East and North Africa</v>
      </c>
      <c r="C828" s="28" t="str">
        <f>C827</f>
        <v>P087735</v>
      </c>
      <c r="D828" s="28" t="s">
        <v>26</v>
      </c>
      <c r="E828" s="28" t="s">
        <v>27</v>
      </c>
      <c r="F828" s="28" t="str">
        <f>F827</f>
        <v>P087735C2S3</v>
      </c>
      <c r="G828" s="28" t="s">
        <v>16</v>
      </c>
      <c r="H828" s="29" t="str">
        <f>H826&amp;" / "&amp;H827</f>
        <v>2014 / 2014</v>
      </c>
      <c r="I828" s="29" t="str">
        <f>I827</f>
        <v>Surface Treatment Resurfacing</v>
      </c>
      <c r="J828" s="97" t="str">
        <f>IFERROR(J827/J826,"")</f>
        <v/>
      </c>
      <c r="K828" s="32">
        <f>K827/K826</f>
        <v>1</v>
      </c>
      <c r="L828" s="32">
        <f>L827/L826</f>
        <v>1</v>
      </c>
      <c r="M828" s="28"/>
      <c r="N828" s="32">
        <f>N827/N826</f>
        <v>1</v>
      </c>
      <c r="O828" s="32">
        <f>O827/O826</f>
        <v>1</v>
      </c>
      <c r="P828" s="33" t="str">
        <f>IF(K828&lt;50%,"x","")</f>
        <v/>
      </c>
      <c r="Q828" s="33" t="str">
        <f>IF(K828&gt;150%,"x","")</f>
        <v/>
      </c>
      <c r="R828" s="33" t="str">
        <f>IF(O828&lt;50%,"x","")</f>
        <v/>
      </c>
      <c r="S828" s="33" t="str">
        <f>IF(O828&gt;150%,"x","")</f>
        <v/>
      </c>
      <c r="T828" s="33" t="s">
        <v>27</v>
      </c>
      <c r="U828" s="34" t="s">
        <v>27</v>
      </c>
      <c r="V828" s="35" t="s">
        <v>27</v>
      </c>
    </row>
    <row r="829" spans="1:22" ht="18.600000000000001" customHeight="1" thickTop="1" x14ac:dyDescent="0.25">
      <c r="A829" s="18" t="s">
        <v>793</v>
      </c>
      <c r="B829" s="18" t="s">
        <v>949</v>
      </c>
      <c r="C829" s="18" t="s">
        <v>794</v>
      </c>
      <c r="D829" s="18" t="s">
        <v>42</v>
      </c>
      <c r="E829" s="18" t="s">
        <v>71</v>
      </c>
      <c r="F829" s="18" t="s">
        <v>814</v>
      </c>
      <c r="G829" s="18" t="s">
        <v>29</v>
      </c>
      <c r="H829" s="19">
        <v>2014</v>
      </c>
      <c r="I829" s="18" t="s">
        <v>78</v>
      </c>
      <c r="J829" s="101" t="s">
        <v>27</v>
      </c>
      <c r="K829" s="20">
        <v>19.399999999999999</v>
      </c>
      <c r="L829" s="21">
        <v>2.2999999999999998</v>
      </c>
      <c r="M829" s="22" t="s">
        <v>30</v>
      </c>
      <c r="N829" s="23">
        <v>2.2999999999999998</v>
      </c>
      <c r="O829" s="24">
        <v>0.11855670103092783</v>
      </c>
      <c r="P829" s="25" t="str">
        <f>IF(P831="x","x","")</f>
        <v/>
      </c>
      <c r="Q829" s="25" t="str">
        <f>IF(Q831="x","x","")</f>
        <v/>
      </c>
      <c r="R829" s="25" t="str">
        <f>IF(R831="x","x","")</f>
        <v/>
      </c>
      <c r="S829" s="25" t="str">
        <f>IF(S831="x","x","")</f>
        <v/>
      </c>
      <c r="T829" s="25" t="s">
        <v>27</v>
      </c>
      <c r="U829" s="26"/>
      <c r="V829" s="27"/>
    </row>
    <row r="830" spans="1:22" ht="18.600000000000001" customHeight="1" x14ac:dyDescent="0.25">
      <c r="A830" s="18" t="s">
        <v>793</v>
      </c>
      <c r="B830" s="18" t="s">
        <v>949</v>
      </c>
      <c r="C830" s="18" t="s">
        <v>794</v>
      </c>
      <c r="D830" s="18" t="s">
        <v>42</v>
      </c>
      <c r="E830" s="18" t="s">
        <v>71</v>
      </c>
      <c r="F830" s="18" t="s">
        <v>814</v>
      </c>
      <c r="G830" s="18" t="s">
        <v>32</v>
      </c>
      <c r="H830" s="19">
        <v>2014</v>
      </c>
      <c r="I830" s="18" t="s">
        <v>78</v>
      </c>
      <c r="J830" s="101">
        <v>12</v>
      </c>
      <c r="K830" s="20">
        <v>19.399999999999999</v>
      </c>
      <c r="L830" s="21">
        <v>2.2000000000000002</v>
      </c>
      <c r="M830" s="22" t="s">
        <v>30</v>
      </c>
      <c r="N830" s="23">
        <v>2.2000000000000002</v>
      </c>
      <c r="O830" s="24">
        <v>0.11340206185567012</v>
      </c>
      <c r="P830" s="25" t="str">
        <f>IF(P831="x","x","")</f>
        <v/>
      </c>
      <c r="Q830" s="25" t="str">
        <f>IF(Q831="x","x","")</f>
        <v/>
      </c>
      <c r="R830" s="25" t="str">
        <f>IF(R831="x","x","")</f>
        <v/>
      </c>
      <c r="S830" s="25" t="str">
        <f>IF(S831="x","x","")</f>
        <v/>
      </c>
      <c r="T830" s="25" t="s">
        <v>27</v>
      </c>
      <c r="U830" s="26"/>
      <c r="V830" s="27"/>
    </row>
    <row r="831" spans="1:22" ht="18.600000000000001" customHeight="1" thickBot="1" x14ac:dyDescent="0.3">
      <c r="A831" s="28" t="str">
        <f>A830</f>
        <v>Iraq</v>
      </c>
      <c r="B831" s="28" t="str">
        <f>B830</f>
        <v>Middle East and North Africa</v>
      </c>
      <c r="C831" s="28" t="str">
        <f>C830</f>
        <v>P087735</v>
      </c>
      <c r="D831" s="28" t="s">
        <v>26</v>
      </c>
      <c r="E831" s="28" t="s">
        <v>27</v>
      </c>
      <c r="F831" s="28" t="str">
        <f>F830</f>
        <v>P087735C2S4</v>
      </c>
      <c r="G831" s="28" t="s">
        <v>16</v>
      </c>
      <c r="H831" s="29" t="str">
        <f>H829&amp;" / "&amp;H830</f>
        <v>2014 / 2014</v>
      </c>
      <c r="I831" s="29" t="str">
        <f>I830</f>
        <v>Surface Treatment Resurfacing</v>
      </c>
      <c r="J831" s="97" t="str">
        <f>IFERROR(J830/J829,"")</f>
        <v/>
      </c>
      <c r="K831" s="32">
        <f>K830/K829</f>
        <v>1</v>
      </c>
      <c r="L831" s="32">
        <f>L830/L829</f>
        <v>0.95652173913043492</v>
      </c>
      <c r="M831" s="28"/>
      <c r="N831" s="32">
        <f>N830/N829</f>
        <v>0.95652173913043492</v>
      </c>
      <c r="O831" s="32">
        <f>O830/O829</f>
        <v>0.95652173913043492</v>
      </c>
      <c r="P831" s="33" t="str">
        <f>IF(K831&lt;50%,"x","")</f>
        <v/>
      </c>
      <c r="Q831" s="33" t="str">
        <f>IF(K831&gt;150%,"x","")</f>
        <v/>
      </c>
      <c r="R831" s="33" t="str">
        <f>IF(O831&lt;50%,"x","")</f>
        <v/>
      </c>
      <c r="S831" s="33" t="str">
        <f>IF(O831&gt;150%,"x","")</f>
        <v/>
      </c>
      <c r="T831" s="33" t="s">
        <v>27</v>
      </c>
      <c r="U831" s="34" t="s">
        <v>27</v>
      </c>
      <c r="V831" s="35" t="s">
        <v>27</v>
      </c>
    </row>
    <row r="832" spans="1:22" ht="18.600000000000001" customHeight="1" thickTop="1" x14ac:dyDescent="0.25">
      <c r="A832" s="18" t="s">
        <v>716</v>
      </c>
      <c r="B832" s="18" t="s">
        <v>949</v>
      </c>
      <c r="C832" s="18" t="s">
        <v>717</v>
      </c>
      <c r="D832" s="18" t="s">
        <v>26</v>
      </c>
      <c r="E832" s="18" t="s">
        <v>36</v>
      </c>
      <c r="F832" s="18" t="s">
        <v>718</v>
      </c>
      <c r="G832" s="18" t="s">
        <v>29</v>
      </c>
      <c r="H832" s="19">
        <v>2004</v>
      </c>
      <c r="I832" s="18" t="s">
        <v>111</v>
      </c>
      <c r="J832" s="101">
        <v>46</v>
      </c>
      <c r="K832" s="20">
        <v>18.5</v>
      </c>
      <c r="L832" s="21">
        <v>43.6</v>
      </c>
      <c r="M832" s="22" t="s">
        <v>30</v>
      </c>
      <c r="N832" s="23">
        <v>43.6</v>
      </c>
      <c r="O832" s="24">
        <v>2.3567567567567567</v>
      </c>
      <c r="P832" s="25" t="str">
        <f>IF(P834="x","x","")</f>
        <v/>
      </c>
      <c r="Q832" s="25" t="str">
        <f>IF(Q834="x","x","")</f>
        <v/>
      </c>
      <c r="R832" s="25" t="str">
        <f>IF(R834="x","x","")</f>
        <v/>
      </c>
      <c r="S832" s="25" t="str">
        <f>IF(S834="x","x","")</f>
        <v>x</v>
      </c>
      <c r="T832" s="25" t="s">
        <v>31</v>
      </c>
      <c r="U832" s="26"/>
      <c r="V832" s="27"/>
    </row>
    <row r="833" spans="1:22" ht="18.600000000000001" customHeight="1" x14ac:dyDescent="0.25">
      <c r="A833" s="18" t="s">
        <v>716</v>
      </c>
      <c r="B833" s="18" t="s">
        <v>949</v>
      </c>
      <c r="C833" s="18" t="s">
        <v>717</v>
      </c>
      <c r="D833" s="18" t="s">
        <v>26</v>
      </c>
      <c r="E833" s="18" t="s">
        <v>36</v>
      </c>
      <c r="F833" s="18" t="s">
        <v>718</v>
      </c>
      <c r="G833" s="18" t="s">
        <v>32</v>
      </c>
      <c r="H833" s="19">
        <v>2013</v>
      </c>
      <c r="I833" s="18" t="s">
        <v>111</v>
      </c>
      <c r="J833" s="101" t="s">
        <v>27</v>
      </c>
      <c r="K833" s="20">
        <v>18.5</v>
      </c>
      <c r="L833" s="21">
        <v>116.1</v>
      </c>
      <c r="M833" s="22" t="s">
        <v>30</v>
      </c>
      <c r="N833" s="23">
        <v>116.1</v>
      </c>
      <c r="O833" s="24">
        <v>6.2756756756756751</v>
      </c>
      <c r="P833" s="25" t="str">
        <f>IF(P834="x","x","")</f>
        <v/>
      </c>
      <c r="Q833" s="25" t="str">
        <f>IF(Q834="x","x","")</f>
        <v/>
      </c>
      <c r="R833" s="25" t="str">
        <f>IF(R834="x","x","")</f>
        <v/>
      </c>
      <c r="S833" s="25" t="str">
        <f>IF(S834="x","x","")</f>
        <v>x</v>
      </c>
      <c r="T833" s="25" t="s">
        <v>31</v>
      </c>
      <c r="U833" s="26"/>
      <c r="V833" s="27"/>
    </row>
    <row r="834" spans="1:22" ht="18.600000000000001" customHeight="1" thickBot="1" x14ac:dyDescent="0.3">
      <c r="A834" s="28" t="str">
        <f>A833</f>
        <v>Jordan</v>
      </c>
      <c r="B834" s="28" t="str">
        <f>B833</f>
        <v>Middle East and North Africa</v>
      </c>
      <c r="C834" s="28" t="str">
        <f>C833</f>
        <v>P081505</v>
      </c>
      <c r="D834" s="28" t="s">
        <v>26</v>
      </c>
      <c r="E834" s="28" t="s">
        <v>27</v>
      </c>
      <c r="F834" s="28" t="str">
        <f>F833</f>
        <v>P081505C1S1</v>
      </c>
      <c r="G834" s="28" t="s">
        <v>16</v>
      </c>
      <c r="H834" s="29" t="str">
        <f>H832&amp;" / "&amp;H833</f>
        <v>2004 / 2013</v>
      </c>
      <c r="I834" s="29" t="str">
        <f>I833</f>
        <v>New 4L Expressway</v>
      </c>
      <c r="J834" s="97" t="str">
        <f>IFERROR(J833/J832,"")</f>
        <v/>
      </c>
      <c r="K834" s="32">
        <f>K833/K832</f>
        <v>1</v>
      </c>
      <c r="L834" s="32">
        <f>L833/L832</f>
        <v>2.6628440366972477</v>
      </c>
      <c r="M834" s="28"/>
      <c r="N834" s="32">
        <f>N833/N832</f>
        <v>2.6628440366972477</v>
      </c>
      <c r="O834" s="32">
        <f>O833/O832</f>
        <v>2.6628440366972477</v>
      </c>
      <c r="P834" s="33" t="str">
        <f>IF(K834&lt;50%,"x","")</f>
        <v/>
      </c>
      <c r="Q834" s="33" t="str">
        <f>IF(K834&gt;150%,"x","")</f>
        <v/>
      </c>
      <c r="R834" s="33" t="str">
        <f>IF(O834&lt;50%,"x","")</f>
        <v/>
      </c>
      <c r="S834" s="33" t="str">
        <f>IF(O834&gt;150%,"x","")</f>
        <v>x</v>
      </c>
      <c r="T834" s="33" t="s">
        <v>31</v>
      </c>
      <c r="U834" s="34" t="s">
        <v>1052</v>
      </c>
      <c r="V834" s="35" t="s">
        <v>1053</v>
      </c>
    </row>
    <row r="835" spans="1:22" ht="16.5" thickTop="1" x14ac:dyDescent="0.25">
      <c r="A835" s="18" t="s">
        <v>716</v>
      </c>
      <c r="B835" s="18" t="s">
        <v>949</v>
      </c>
      <c r="C835" s="18" t="s">
        <v>717</v>
      </c>
      <c r="D835" s="18" t="s">
        <v>26</v>
      </c>
      <c r="E835" s="18" t="s">
        <v>40</v>
      </c>
      <c r="F835" s="18" t="s">
        <v>719</v>
      </c>
      <c r="G835" s="18" t="s">
        <v>29</v>
      </c>
      <c r="H835" s="19">
        <v>2004</v>
      </c>
      <c r="I835" s="18" t="s">
        <v>111</v>
      </c>
      <c r="J835" s="101">
        <v>39</v>
      </c>
      <c r="K835" s="20">
        <v>14.5</v>
      </c>
      <c r="L835" s="21">
        <v>34.159999999999997</v>
      </c>
      <c r="M835" s="22" t="s">
        <v>30</v>
      </c>
      <c r="N835" s="23">
        <v>34.159999999999997</v>
      </c>
      <c r="O835" s="24">
        <v>2.355862068965517</v>
      </c>
      <c r="P835" s="25" t="str">
        <f>IF(P837="x","x","")</f>
        <v/>
      </c>
      <c r="Q835" s="25" t="str">
        <f>IF(Q837="x","x","")</f>
        <v/>
      </c>
      <c r="R835" s="25" t="str">
        <f>IF(R837="x","x","")</f>
        <v/>
      </c>
      <c r="S835" s="25" t="str">
        <f>IF(S837="x","x","")</f>
        <v>x</v>
      </c>
      <c r="T835" s="25" t="s">
        <v>31</v>
      </c>
      <c r="U835" s="26"/>
      <c r="V835" s="27"/>
    </row>
    <row r="836" spans="1:22" x14ac:dyDescent="0.25">
      <c r="A836" s="18" t="s">
        <v>716</v>
      </c>
      <c r="B836" s="18" t="s">
        <v>949</v>
      </c>
      <c r="C836" s="18" t="s">
        <v>717</v>
      </c>
      <c r="D836" s="18" t="s">
        <v>26</v>
      </c>
      <c r="E836" s="18" t="s">
        <v>40</v>
      </c>
      <c r="F836" s="18" t="s">
        <v>719</v>
      </c>
      <c r="G836" s="18" t="s">
        <v>32</v>
      </c>
      <c r="H836" s="19">
        <v>2013</v>
      </c>
      <c r="I836" s="18" t="s">
        <v>111</v>
      </c>
      <c r="J836" s="101" t="s">
        <v>27</v>
      </c>
      <c r="K836" s="20">
        <v>14.5</v>
      </c>
      <c r="L836" s="21">
        <v>77</v>
      </c>
      <c r="M836" s="22" t="s">
        <v>30</v>
      </c>
      <c r="N836" s="23">
        <v>77</v>
      </c>
      <c r="O836" s="24">
        <v>5.3103448275862073</v>
      </c>
      <c r="P836" s="25" t="str">
        <f>IF(P837="x","x","")</f>
        <v/>
      </c>
      <c r="Q836" s="25" t="str">
        <f>IF(Q837="x","x","")</f>
        <v/>
      </c>
      <c r="R836" s="25" t="str">
        <f>IF(R837="x","x","")</f>
        <v/>
      </c>
      <c r="S836" s="25" t="str">
        <f>IF(S837="x","x","")</f>
        <v>x</v>
      </c>
      <c r="T836" s="25" t="s">
        <v>31</v>
      </c>
      <c r="U836" s="26"/>
      <c r="V836" s="27"/>
    </row>
    <row r="837" spans="1:22" ht="48" thickBot="1" x14ac:dyDescent="0.3">
      <c r="A837" s="28" t="str">
        <f>A836</f>
        <v>Jordan</v>
      </c>
      <c r="B837" s="28" t="str">
        <f>B836</f>
        <v>Middle East and North Africa</v>
      </c>
      <c r="C837" s="28" t="str">
        <f>C836</f>
        <v>P081505</v>
      </c>
      <c r="D837" s="28" t="s">
        <v>26</v>
      </c>
      <c r="E837" s="28" t="s">
        <v>27</v>
      </c>
      <c r="F837" s="28" t="str">
        <f>F836</f>
        <v>P081505C1S2</v>
      </c>
      <c r="G837" s="28" t="s">
        <v>16</v>
      </c>
      <c r="H837" s="29" t="str">
        <f>H835&amp;" / "&amp;H836</f>
        <v>2004 / 2013</v>
      </c>
      <c r="I837" s="29" t="str">
        <f>I836</f>
        <v>New 4L Expressway</v>
      </c>
      <c r="J837" s="97" t="str">
        <f>IFERROR(J836/J835,"")</f>
        <v/>
      </c>
      <c r="K837" s="32">
        <f>K836/K835</f>
        <v>1</v>
      </c>
      <c r="L837" s="32">
        <f>L836/L835</f>
        <v>2.2540983606557381</v>
      </c>
      <c r="M837" s="28"/>
      <c r="N837" s="32">
        <f>N836/N835</f>
        <v>2.2540983606557381</v>
      </c>
      <c r="O837" s="32">
        <f>O836/O835</f>
        <v>2.2540983606557381</v>
      </c>
      <c r="P837" s="33" t="str">
        <f>IF(K837&lt;50%,"x","")</f>
        <v/>
      </c>
      <c r="Q837" s="33" t="str">
        <f>IF(K837&gt;150%,"x","")</f>
        <v/>
      </c>
      <c r="R837" s="33" t="str">
        <f>IF(O837&lt;50%,"x","")</f>
        <v/>
      </c>
      <c r="S837" s="33" t="str">
        <f>IF(O837&gt;150%,"x","")</f>
        <v>x</v>
      </c>
      <c r="T837" s="33" t="s">
        <v>31</v>
      </c>
      <c r="U837" s="34" t="s">
        <v>1054</v>
      </c>
      <c r="V837" s="35" t="s">
        <v>1055</v>
      </c>
    </row>
    <row r="838" spans="1:22" ht="16.5" thickTop="1" x14ac:dyDescent="0.25">
      <c r="A838" s="18" t="s">
        <v>716</v>
      </c>
      <c r="B838" s="18" t="s">
        <v>949</v>
      </c>
      <c r="C838" s="18" t="s">
        <v>717</v>
      </c>
      <c r="D838" s="18" t="s">
        <v>26</v>
      </c>
      <c r="E838" s="18" t="s">
        <v>69</v>
      </c>
      <c r="F838" s="18" t="s">
        <v>720</v>
      </c>
      <c r="G838" s="18" t="s">
        <v>29</v>
      </c>
      <c r="H838" s="19">
        <v>2004</v>
      </c>
      <c r="I838" s="18" t="s">
        <v>111</v>
      </c>
      <c r="J838" s="101">
        <v>38</v>
      </c>
      <c r="K838" s="20">
        <v>7</v>
      </c>
      <c r="L838" s="21">
        <v>29.16</v>
      </c>
      <c r="M838" s="22" t="s">
        <v>30</v>
      </c>
      <c r="N838" s="23">
        <v>29.16</v>
      </c>
      <c r="O838" s="24">
        <v>4.1657142857142855</v>
      </c>
      <c r="P838" s="25" t="str">
        <f>IF(P840="x","x","")</f>
        <v/>
      </c>
      <c r="Q838" s="25" t="str">
        <f>IF(Q840="x","x","")</f>
        <v/>
      </c>
      <c r="R838" s="25" t="str">
        <f>IF(R840="x","x","")</f>
        <v/>
      </c>
      <c r="S838" s="25" t="str">
        <f>IF(S840="x","x","")</f>
        <v>x</v>
      </c>
      <c r="T838" s="25" t="s">
        <v>31</v>
      </c>
      <c r="U838" s="26"/>
      <c r="V838" s="27"/>
    </row>
    <row r="839" spans="1:22" x14ac:dyDescent="0.25">
      <c r="A839" s="18" t="s">
        <v>716</v>
      </c>
      <c r="B839" s="18" t="s">
        <v>949</v>
      </c>
      <c r="C839" s="18" t="s">
        <v>717</v>
      </c>
      <c r="D839" s="18" t="s">
        <v>26</v>
      </c>
      <c r="E839" s="18" t="s">
        <v>69</v>
      </c>
      <c r="F839" s="18" t="s">
        <v>720</v>
      </c>
      <c r="G839" s="18" t="s">
        <v>32</v>
      </c>
      <c r="H839" s="19">
        <v>2013</v>
      </c>
      <c r="I839" s="18" t="s">
        <v>111</v>
      </c>
      <c r="J839" s="101" t="s">
        <v>27</v>
      </c>
      <c r="K839" s="20">
        <v>7</v>
      </c>
      <c r="L839" s="21">
        <v>86.8</v>
      </c>
      <c r="M839" s="22" t="s">
        <v>30</v>
      </c>
      <c r="N839" s="23">
        <v>86.8</v>
      </c>
      <c r="O839" s="24">
        <v>12.4</v>
      </c>
      <c r="P839" s="25" t="str">
        <f>IF(P840="x","x","")</f>
        <v/>
      </c>
      <c r="Q839" s="25" t="str">
        <f>IF(Q840="x","x","")</f>
        <v/>
      </c>
      <c r="R839" s="25" t="str">
        <f>IF(R840="x","x","")</f>
        <v/>
      </c>
      <c r="S839" s="25" t="str">
        <f>IF(S840="x","x","")</f>
        <v>x</v>
      </c>
      <c r="T839" s="25" t="s">
        <v>31</v>
      </c>
      <c r="U839" s="26"/>
      <c r="V839" s="27"/>
    </row>
    <row r="840" spans="1:22" ht="48" thickBot="1" x14ac:dyDescent="0.3">
      <c r="A840" s="28" t="str">
        <f>A839</f>
        <v>Jordan</v>
      </c>
      <c r="B840" s="28" t="str">
        <f>B839</f>
        <v>Middle East and North Africa</v>
      </c>
      <c r="C840" s="28" t="str">
        <f>C839</f>
        <v>P081505</v>
      </c>
      <c r="D840" s="28" t="s">
        <v>26</v>
      </c>
      <c r="E840" s="28" t="s">
        <v>27</v>
      </c>
      <c r="F840" s="28" t="str">
        <f>F839</f>
        <v>P081505C1S3</v>
      </c>
      <c r="G840" s="28" t="s">
        <v>16</v>
      </c>
      <c r="H840" s="29" t="str">
        <f>H838&amp;" / "&amp;H839</f>
        <v>2004 / 2013</v>
      </c>
      <c r="I840" s="29" t="str">
        <f>I839</f>
        <v>New 4L Expressway</v>
      </c>
      <c r="J840" s="97" t="str">
        <f>IFERROR(J839/J838,"")</f>
        <v/>
      </c>
      <c r="K840" s="32">
        <f>K839/K838</f>
        <v>1</v>
      </c>
      <c r="L840" s="32">
        <f>L839/L838</f>
        <v>2.9766803840877913</v>
      </c>
      <c r="M840" s="28"/>
      <c r="N840" s="32">
        <f>N839/N838</f>
        <v>2.9766803840877913</v>
      </c>
      <c r="O840" s="32">
        <f>O839/O838</f>
        <v>2.9766803840877918</v>
      </c>
      <c r="P840" s="33" t="str">
        <f>IF(K840&lt;50%,"x","")</f>
        <v/>
      </c>
      <c r="Q840" s="33" t="str">
        <f>IF(K840&gt;150%,"x","")</f>
        <v/>
      </c>
      <c r="R840" s="33" t="str">
        <f>IF(O840&lt;50%,"x","")</f>
        <v/>
      </c>
      <c r="S840" s="33" t="str">
        <f>IF(O840&gt;150%,"x","")</f>
        <v>x</v>
      </c>
      <c r="T840" s="33" t="s">
        <v>31</v>
      </c>
      <c r="U840" s="34" t="s">
        <v>1054</v>
      </c>
      <c r="V840" s="35" t="s">
        <v>1055</v>
      </c>
    </row>
    <row r="841" spans="1:22" ht="16.5" thickTop="1" x14ac:dyDescent="0.25">
      <c r="A841" s="18" t="s">
        <v>1263</v>
      </c>
      <c r="B841" s="18" t="s">
        <v>947</v>
      </c>
      <c r="C841" s="18" t="s">
        <v>1265</v>
      </c>
      <c r="D841" s="18" t="s">
        <v>26</v>
      </c>
      <c r="E841" s="18" t="s">
        <v>27</v>
      </c>
      <c r="F841" s="18" t="s">
        <v>1290</v>
      </c>
      <c r="G841" s="18" t="s">
        <v>29</v>
      </c>
      <c r="H841" s="19">
        <v>2000</v>
      </c>
      <c r="I841" s="18" t="s">
        <v>78</v>
      </c>
      <c r="J841" s="101" t="s">
        <v>27</v>
      </c>
      <c r="K841" s="20">
        <v>245</v>
      </c>
      <c r="L841" s="21">
        <v>73.62</v>
      </c>
      <c r="M841" s="22" t="s">
        <v>1264</v>
      </c>
      <c r="N841" s="23">
        <v>0.51797650038696974</v>
      </c>
      <c r="O841" s="24">
        <v>2.1141897974978358E-3</v>
      </c>
      <c r="P841" s="25" t="s">
        <v>31</v>
      </c>
      <c r="Q841" s="25" t="s">
        <v>27</v>
      </c>
      <c r="R841" s="25" t="s">
        <v>31</v>
      </c>
      <c r="S841" s="25"/>
      <c r="T841" s="25"/>
      <c r="U841" s="26"/>
      <c r="V841" s="27"/>
    </row>
    <row r="842" spans="1:22" x14ac:dyDescent="0.25">
      <c r="A842" s="18" t="s">
        <v>1263</v>
      </c>
      <c r="B842" s="18" t="s">
        <v>947</v>
      </c>
      <c r="C842" s="18" t="s">
        <v>1265</v>
      </c>
      <c r="D842" s="18" t="s">
        <v>26</v>
      </c>
      <c r="E842" s="18" t="s">
        <v>27</v>
      </c>
      <c r="F842" s="18" t="s">
        <v>1290</v>
      </c>
      <c r="G842" s="18" t="s">
        <v>32</v>
      </c>
      <c r="H842" s="19">
        <v>2007</v>
      </c>
      <c r="I842" s="18" t="s">
        <v>78</v>
      </c>
      <c r="J842" s="101" t="s">
        <v>27</v>
      </c>
      <c r="K842" s="20">
        <v>221</v>
      </c>
      <c r="L842" s="21">
        <v>111.5</v>
      </c>
      <c r="M842" s="22" t="s">
        <v>1264</v>
      </c>
      <c r="N842" s="23">
        <v>0.90983272133822934</v>
      </c>
      <c r="O842" s="24">
        <v>4.1168901418019424E-3</v>
      </c>
      <c r="P842" s="25" t="s">
        <v>31</v>
      </c>
      <c r="Q842" s="25" t="s">
        <v>27</v>
      </c>
      <c r="R842" s="25" t="s">
        <v>31</v>
      </c>
      <c r="S842" s="25"/>
      <c r="T842" s="25"/>
      <c r="U842" s="26"/>
      <c r="V842" s="27"/>
    </row>
    <row r="843" spans="1:22" ht="63.75" thickBot="1" x14ac:dyDescent="0.3">
      <c r="A843" s="28" t="str">
        <f>A842</f>
        <v>Kazakhstan</v>
      </c>
      <c r="B843" s="28" t="str">
        <f>B842</f>
        <v>Europe and Central Asia</v>
      </c>
      <c r="C843" s="28" t="str">
        <f>C842</f>
        <v xml:space="preserve">Project numbers 29568 &amp; 32463 </v>
      </c>
      <c r="D843" s="28" t="s">
        <v>26</v>
      </c>
      <c r="E843" s="28" t="s">
        <v>27</v>
      </c>
      <c r="F843" s="28" t="str">
        <f>F842</f>
        <v>Project numbers 29568 &amp; 32463 C1</v>
      </c>
      <c r="G843" s="28" t="s">
        <v>16</v>
      </c>
      <c r="H843" s="29" t="str">
        <f>H841&amp;" / "&amp;H842</f>
        <v>2000 / 2007</v>
      </c>
      <c r="I843" s="29" t="str">
        <f>I842</f>
        <v>Surface Treatment Resurfacing</v>
      </c>
      <c r="J843" s="97" t="str">
        <f>IFERROR(J842/J841,"")</f>
        <v/>
      </c>
      <c r="K843" s="32">
        <f>K842/K841</f>
        <v>0.90204081632653066</v>
      </c>
      <c r="L843" s="32">
        <f>L842/L841</f>
        <v>1.5145340939961967</v>
      </c>
      <c r="M843" s="28"/>
      <c r="N843" s="32">
        <f>N842/N841</f>
        <v>1.7565135110540957</v>
      </c>
      <c r="O843" s="32">
        <f>O842/O841</f>
        <v>1.947266109539608</v>
      </c>
      <c r="P843" s="33" t="s">
        <v>31</v>
      </c>
      <c r="Q843" s="33" t="s">
        <v>27</v>
      </c>
      <c r="R843" s="33" t="s">
        <v>31</v>
      </c>
      <c r="S843" s="33" t="s">
        <v>1321</v>
      </c>
      <c r="T843" s="33" t="s">
        <v>1336</v>
      </c>
      <c r="U843" s="34" t="s">
        <v>1337</v>
      </c>
      <c r="V843" s="35" t="s">
        <v>1338</v>
      </c>
    </row>
    <row r="844" spans="1:22" ht="16.5" thickTop="1" x14ac:dyDescent="0.25">
      <c r="A844" s="18" t="s">
        <v>1263</v>
      </c>
      <c r="B844" s="18" t="s">
        <v>947</v>
      </c>
      <c r="C844" s="18" t="s">
        <v>1268</v>
      </c>
      <c r="D844" s="18" t="s">
        <v>26</v>
      </c>
      <c r="E844" s="18" t="s">
        <v>27</v>
      </c>
      <c r="F844" s="18" t="s">
        <v>1292</v>
      </c>
      <c r="G844" s="18" t="s">
        <v>29</v>
      </c>
      <c r="H844" s="19">
        <v>2010</v>
      </c>
      <c r="I844" s="18" t="s">
        <v>68</v>
      </c>
      <c r="J844" s="101" t="s">
        <v>27</v>
      </c>
      <c r="K844" s="20">
        <v>200.5</v>
      </c>
      <c r="L844" s="21">
        <v>271.39999999999998</v>
      </c>
      <c r="M844" s="22" t="s">
        <v>30</v>
      </c>
      <c r="N844" s="23">
        <v>271.39999999999998</v>
      </c>
      <c r="O844" s="24">
        <v>1.3536159600997506</v>
      </c>
      <c r="P844" s="25" t="s">
        <v>27</v>
      </c>
      <c r="Q844" s="25" t="s">
        <v>27</v>
      </c>
      <c r="R844" s="25" t="s">
        <v>27</v>
      </c>
      <c r="S844" s="25"/>
      <c r="T844" s="25"/>
      <c r="U844" s="26"/>
      <c r="V844" s="27"/>
    </row>
    <row r="845" spans="1:22" x14ac:dyDescent="0.25">
      <c r="A845" s="18" t="s">
        <v>1263</v>
      </c>
      <c r="B845" s="18" t="s">
        <v>947</v>
      </c>
      <c r="C845" s="18" t="s">
        <v>1268</v>
      </c>
      <c r="D845" s="18" t="s">
        <v>26</v>
      </c>
      <c r="E845" s="18" t="s">
        <v>27</v>
      </c>
      <c r="F845" s="18" t="s">
        <v>1292</v>
      </c>
      <c r="G845" s="18" t="s">
        <v>32</v>
      </c>
      <c r="H845" s="19">
        <v>2016</v>
      </c>
      <c r="I845" s="18" t="s">
        <v>68</v>
      </c>
      <c r="J845" s="101" t="s">
        <v>27</v>
      </c>
      <c r="K845" s="20">
        <v>200.5</v>
      </c>
      <c r="L845" s="21">
        <v>163.51</v>
      </c>
      <c r="M845" s="22" t="s">
        <v>30</v>
      </c>
      <c r="N845" s="23">
        <v>163.51</v>
      </c>
      <c r="O845" s="24">
        <v>0.81551122194513714</v>
      </c>
      <c r="P845" s="25" t="s">
        <v>27</v>
      </c>
      <c r="Q845" s="25" t="s">
        <v>27</v>
      </c>
      <c r="R845" s="25" t="s">
        <v>27</v>
      </c>
      <c r="S845" s="25"/>
      <c r="T845" s="25"/>
      <c r="U845" s="26"/>
      <c r="V845" s="27"/>
    </row>
    <row r="846" spans="1:22" ht="16.5" thickBot="1" x14ac:dyDescent="0.3">
      <c r="A846" s="28" t="str">
        <f>A845</f>
        <v>Kazakhstan</v>
      </c>
      <c r="B846" s="28" t="str">
        <f>B845</f>
        <v>Europe and Central Asia</v>
      </c>
      <c r="C846" s="28" t="str">
        <f>C845</f>
        <v xml:space="preserve">Project Number: 43439-023 </v>
      </c>
      <c r="D846" s="28" t="s">
        <v>26</v>
      </c>
      <c r="E846" s="28" t="s">
        <v>27</v>
      </c>
      <c r="F846" s="28" t="str">
        <f>F845</f>
        <v>Project Number: 43439-023 C1</v>
      </c>
      <c r="G846" s="28" t="s">
        <v>16</v>
      </c>
      <c r="H846" s="29" t="str">
        <f>H844&amp;" / "&amp;H845</f>
        <v>2010 / 2016</v>
      </c>
      <c r="I846" s="29" t="str">
        <f>I845</f>
        <v>Asphalt Mix Resurfacing</v>
      </c>
      <c r="J846" s="97" t="str">
        <f>IFERROR(J845/J844,"")</f>
        <v/>
      </c>
      <c r="K846" s="32">
        <f>K845/K844</f>
        <v>1</v>
      </c>
      <c r="L846" s="32">
        <f>L845/L844</f>
        <v>0.60246868091378036</v>
      </c>
      <c r="M846" s="28"/>
      <c r="N846" s="32">
        <f>N845/N844</f>
        <v>0.60246868091378036</v>
      </c>
      <c r="O846" s="32">
        <f>O845/O844</f>
        <v>0.60246868091378036</v>
      </c>
      <c r="P846" s="33" t="s">
        <v>27</v>
      </c>
      <c r="Q846" s="33" t="s">
        <v>27</v>
      </c>
      <c r="R846" s="33" t="s">
        <v>27</v>
      </c>
      <c r="S846" s="33"/>
      <c r="T846" s="33"/>
      <c r="U846" s="34"/>
      <c r="V846" s="35"/>
    </row>
    <row r="847" spans="1:22" ht="16.5" thickTop="1" x14ac:dyDescent="0.25">
      <c r="A847" s="18" t="s">
        <v>735</v>
      </c>
      <c r="B847" s="18" t="s">
        <v>950</v>
      </c>
      <c r="C847" s="18" t="s">
        <v>736</v>
      </c>
      <c r="D847" s="18" t="s">
        <v>26</v>
      </c>
      <c r="E847" s="18" t="s">
        <v>36</v>
      </c>
      <c r="F847" s="18" t="s">
        <v>737</v>
      </c>
      <c r="G847" s="18" t="s">
        <v>29</v>
      </c>
      <c r="H847" s="19">
        <v>2004</v>
      </c>
      <c r="I847" s="18" t="s">
        <v>364</v>
      </c>
      <c r="J847" s="101">
        <v>28</v>
      </c>
      <c r="K847" s="20">
        <v>35</v>
      </c>
      <c r="L847" s="21">
        <v>14.69</v>
      </c>
      <c r="M847" s="22" t="s">
        <v>30</v>
      </c>
      <c r="N847" s="23">
        <v>14.69</v>
      </c>
      <c r="O847" s="24">
        <v>0.41971428571428571</v>
      </c>
      <c r="P847" s="25" t="str">
        <f>IF(P849="x","x","")</f>
        <v/>
      </c>
      <c r="Q847" s="25" t="str">
        <f>IF(Q849="x","x","")</f>
        <v/>
      </c>
      <c r="R847" s="25" t="str">
        <f>IF(R849="x","x","")</f>
        <v/>
      </c>
      <c r="S847" s="25" t="str">
        <f>IF(S849="x","x","")</f>
        <v>x</v>
      </c>
      <c r="T847" s="25" t="s">
        <v>31</v>
      </c>
      <c r="U847" s="26"/>
      <c r="V847" s="27"/>
    </row>
    <row r="848" spans="1:22" x14ac:dyDescent="0.25">
      <c r="A848" s="18" t="s">
        <v>735</v>
      </c>
      <c r="B848" s="18" t="s">
        <v>950</v>
      </c>
      <c r="C848" s="18" t="s">
        <v>736</v>
      </c>
      <c r="D848" s="18" t="s">
        <v>26</v>
      </c>
      <c r="E848" s="18" t="s">
        <v>36</v>
      </c>
      <c r="F848" s="18" t="s">
        <v>737</v>
      </c>
      <c r="G848" s="18" t="s">
        <v>32</v>
      </c>
      <c r="H848" s="19">
        <v>2016</v>
      </c>
      <c r="I848" s="18" t="s">
        <v>364</v>
      </c>
      <c r="J848" s="101" t="s">
        <v>27</v>
      </c>
      <c r="K848" s="20">
        <v>35</v>
      </c>
      <c r="L848" s="21">
        <v>48.63</v>
      </c>
      <c r="M848" s="22" t="s">
        <v>30</v>
      </c>
      <c r="N848" s="23">
        <v>48.63</v>
      </c>
      <c r="O848" s="24">
        <v>1.3894285714285715</v>
      </c>
      <c r="P848" s="25" t="str">
        <f>IF(P849="x","x","")</f>
        <v/>
      </c>
      <c r="Q848" s="25" t="str">
        <f>IF(Q849="x","x","")</f>
        <v/>
      </c>
      <c r="R848" s="25" t="str">
        <f>IF(R849="x","x","")</f>
        <v/>
      </c>
      <c r="S848" s="25" t="str">
        <f>IF(S849="x","x","")</f>
        <v>x</v>
      </c>
      <c r="T848" s="25" t="s">
        <v>31</v>
      </c>
      <c r="U848" s="26"/>
      <c r="V848" s="27"/>
    </row>
    <row r="849" spans="1:22" ht="63.75" thickBot="1" x14ac:dyDescent="0.3">
      <c r="A849" s="28" t="str">
        <f>A848</f>
        <v>Kenya</v>
      </c>
      <c r="B849" s="28" t="str">
        <f>B848</f>
        <v>Sub-Saharan Africa</v>
      </c>
      <c r="C849" s="28" t="str">
        <f>C848</f>
        <v>P082615</v>
      </c>
      <c r="D849" s="28" t="s">
        <v>26</v>
      </c>
      <c r="E849" s="28" t="s">
        <v>27</v>
      </c>
      <c r="F849" s="28" t="str">
        <f>F848</f>
        <v>P082615C1S1</v>
      </c>
      <c r="G849" s="28" t="s">
        <v>16</v>
      </c>
      <c r="H849" s="29" t="str">
        <f>H847&amp;" / "&amp;H848</f>
        <v>2004 / 2016</v>
      </c>
      <c r="I849" s="29" t="str">
        <f>I848</f>
        <v>Widening and Reconstruction</v>
      </c>
      <c r="J849" s="97" t="str">
        <f>IFERROR(J848/J847,"")</f>
        <v/>
      </c>
      <c r="K849" s="32">
        <f>K848/K847</f>
        <v>1</v>
      </c>
      <c r="L849" s="32">
        <f>L848/L847</f>
        <v>3.3104152484683462</v>
      </c>
      <c r="M849" s="28"/>
      <c r="N849" s="32">
        <f>N848/N847</f>
        <v>3.3104152484683462</v>
      </c>
      <c r="O849" s="32">
        <f>O848/O847</f>
        <v>3.3104152484683458</v>
      </c>
      <c r="P849" s="33" t="str">
        <f>IF(K849&lt;50%,"x","")</f>
        <v/>
      </c>
      <c r="Q849" s="33" t="str">
        <f>IF(K849&gt;150%,"x","")</f>
        <v/>
      </c>
      <c r="R849" s="33" t="str">
        <f>IF(O849&lt;50%,"x","")</f>
        <v/>
      </c>
      <c r="S849" s="33" t="str">
        <f>IF(O849&gt;150%,"x","")</f>
        <v>x</v>
      </c>
      <c r="T849" s="33" t="s">
        <v>31</v>
      </c>
      <c r="U849" s="34" t="s">
        <v>1061</v>
      </c>
      <c r="V849" s="35" t="s">
        <v>1062</v>
      </c>
    </row>
    <row r="850" spans="1:22" ht="16.5" thickTop="1" x14ac:dyDescent="0.25">
      <c r="A850" s="18" t="s">
        <v>735</v>
      </c>
      <c r="B850" s="18" t="s">
        <v>950</v>
      </c>
      <c r="C850" s="18" t="s">
        <v>736</v>
      </c>
      <c r="D850" s="18" t="s">
        <v>26</v>
      </c>
      <c r="E850" s="18" t="s">
        <v>40</v>
      </c>
      <c r="F850" s="18" t="s">
        <v>738</v>
      </c>
      <c r="G850" s="18" t="s">
        <v>29</v>
      </c>
      <c r="H850" s="19">
        <v>2004</v>
      </c>
      <c r="I850" s="18" t="s">
        <v>359</v>
      </c>
      <c r="J850" s="101">
        <v>39</v>
      </c>
      <c r="K850" s="20">
        <v>55</v>
      </c>
      <c r="L850" s="21">
        <v>27.91</v>
      </c>
      <c r="M850" s="22" t="s">
        <v>30</v>
      </c>
      <c r="N850" s="23">
        <v>27.91</v>
      </c>
      <c r="O850" s="24">
        <v>0.50745454545454549</v>
      </c>
      <c r="P850" s="25" t="str">
        <f>IF(P852="x","x","")</f>
        <v/>
      </c>
      <c r="Q850" s="25" t="str">
        <f>IF(Q852="x","x","")</f>
        <v/>
      </c>
      <c r="R850" s="25" t="str">
        <f>IF(R852="x","x","")</f>
        <v/>
      </c>
      <c r="S850" s="25" t="str">
        <f>IF(S852="x","x","")</f>
        <v>x</v>
      </c>
      <c r="T850" s="25" t="s">
        <v>31</v>
      </c>
      <c r="U850" s="26"/>
      <c r="V850" s="27"/>
    </row>
    <row r="851" spans="1:22" x14ac:dyDescent="0.25">
      <c r="A851" s="18" t="s">
        <v>735</v>
      </c>
      <c r="B851" s="18" t="s">
        <v>950</v>
      </c>
      <c r="C851" s="18" t="s">
        <v>736</v>
      </c>
      <c r="D851" s="18" t="s">
        <v>26</v>
      </c>
      <c r="E851" s="18" t="s">
        <v>40</v>
      </c>
      <c r="F851" s="18" t="s">
        <v>738</v>
      </c>
      <c r="G851" s="18" t="s">
        <v>32</v>
      </c>
      <c r="H851" s="19">
        <v>2016</v>
      </c>
      <c r="I851" s="18" t="s">
        <v>359</v>
      </c>
      <c r="J851" s="101" t="s">
        <v>27</v>
      </c>
      <c r="K851" s="20">
        <v>33</v>
      </c>
      <c r="L851" s="21">
        <v>65.23</v>
      </c>
      <c r="M851" s="22" t="s">
        <v>30</v>
      </c>
      <c r="N851" s="23">
        <v>65.23</v>
      </c>
      <c r="O851" s="24">
        <v>1.9766666666666668</v>
      </c>
      <c r="P851" s="25" t="str">
        <f>IF(P852="x","x","")</f>
        <v/>
      </c>
      <c r="Q851" s="25" t="str">
        <f>IF(Q852="x","x","")</f>
        <v/>
      </c>
      <c r="R851" s="25" t="str">
        <f>IF(R852="x","x","")</f>
        <v/>
      </c>
      <c r="S851" s="25" t="str">
        <f>IF(S852="x","x","")</f>
        <v>x</v>
      </c>
      <c r="T851" s="25" t="s">
        <v>31</v>
      </c>
      <c r="U851" s="26"/>
      <c r="V851" s="27"/>
    </row>
    <row r="852" spans="1:22" ht="63.75" thickBot="1" x14ac:dyDescent="0.3">
      <c r="A852" s="28" t="str">
        <f>A851</f>
        <v>Kenya</v>
      </c>
      <c r="B852" s="28" t="str">
        <f>B851</f>
        <v>Sub-Saharan Africa</v>
      </c>
      <c r="C852" s="28" t="str">
        <f>C851</f>
        <v>P082615</v>
      </c>
      <c r="D852" s="28" t="s">
        <v>26</v>
      </c>
      <c r="E852" s="28" t="s">
        <v>27</v>
      </c>
      <c r="F852" s="28" t="str">
        <f>F851</f>
        <v>P082615C1S2</v>
      </c>
      <c r="G852" s="28" t="s">
        <v>16</v>
      </c>
      <c r="H852" s="29" t="str">
        <f>H850&amp;" / "&amp;H851</f>
        <v>2004 / 2016</v>
      </c>
      <c r="I852" s="29" t="str">
        <f>I851</f>
        <v>Reconstruction</v>
      </c>
      <c r="J852" s="97" t="str">
        <f>IFERROR(J851/J850,"")</f>
        <v/>
      </c>
      <c r="K852" s="32">
        <f>K851/K850</f>
        <v>0.6</v>
      </c>
      <c r="L852" s="32">
        <f>L851/L850</f>
        <v>2.3371551415263347</v>
      </c>
      <c r="M852" s="28"/>
      <c r="N852" s="32">
        <f>N851/N850</f>
        <v>2.3371551415263347</v>
      </c>
      <c r="O852" s="32">
        <f>O851/O850</f>
        <v>3.8952585692105579</v>
      </c>
      <c r="P852" s="33" t="str">
        <f>IF(K852&lt;50%,"x","")</f>
        <v/>
      </c>
      <c r="Q852" s="33" t="str">
        <f>IF(K852&gt;150%,"x","")</f>
        <v/>
      </c>
      <c r="R852" s="33" t="str">
        <f>IF(O852&lt;50%,"x","")</f>
        <v/>
      </c>
      <c r="S852" s="33" t="str">
        <f>IF(O852&gt;150%,"x","")</f>
        <v>x</v>
      </c>
      <c r="T852" s="33" t="s">
        <v>31</v>
      </c>
      <c r="U852" s="34" t="s">
        <v>1061</v>
      </c>
      <c r="V852" s="35" t="s">
        <v>1062</v>
      </c>
    </row>
    <row r="853" spans="1:22" ht="16.5" thickTop="1" x14ac:dyDescent="0.25">
      <c r="A853" s="18" t="s">
        <v>735</v>
      </c>
      <c r="B853" s="18" t="s">
        <v>950</v>
      </c>
      <c r="C853" s="18" t="s">
        <v>736</v>
      </c>
      <c r="D853" s="18" t="s">
        <v>26</v>
      </c>
      <c r="E853" s="18" t="s">
        <v>69</v>
      </c>
      <c r="F853" s="18" t="s">
        <v>739</v>
      </c>
      <c r="G853" s="18" t="s">
        <v>29</v>
      </c>
      <c r="H853" s="19">
        <v>2004</v>
      </c>
      <c r="I853" s="18" t="s">
        <v>56</v>
      </c>
      <c r="J853" s="101">
        <v>37</v>
      </c>
      <c r="K853" s="20">
        <v>33</v>
      </c>
      <c r="L853" s="21">
        <v>38.42</v>
      </c>
      <c r="M853" s="22" t="s">
        <v>30</v>
      </c>
      <c r="N853" s="23">
        <v>38.42</v>
      </c>
      <c r="O853" s="24">
        <v>1.1642424242424243</v>
      </c>
      <c r="P853" s="25" t="str">
        <f>IF(P855="x","x","")</f>
        <v/>
      </c>
      <c r="Q853" s="25" t="str">
        <f>IF(Q855="x","x","")</f>
        <v/>
      </c>
      <c r="R853" s="25" t="str">
        <f>IF(R855="x","x","")</f>
        <v/>
      </c>
      <c r="S853" s="25" t="str">
        <f>IF(S855="x","x","")</f>
        <v>x</v>
      </c>
      <c r="T853" s="25" t="s">
        <v>31</v>
      </c>
      <c r="U853" s="26"/>
      <c r="V853" s="27"/>
    </row>
    <row r="854" spans="1:22" x14ac:dyDescent="0.25">
      <c r="A854" s="18" t="s">
        <v>735</v>
      </c>
      <c r="B854" s="18" t="s">
        <v>950</v>
      </c>
      <c r="C854" s="18" t="s">
        <v>736</v>
      </c>
      <c r="D854" s="18" t="s">
        <v>26</v>
      </c>
      <c r="E854" s="18" t="s">
        <v>69</v>
      </c>
      <c r="F854" s="18" t="s">
        <v>739</v>
      </c>
      <c r="G854" s="18" t="s">
        <v>32</v>
      </c>
      <c r="H854" s="19">
        <v>2016</v>
      </c>
      <c r="I854" s="18" t="s">
        <v>56</v>
      </c>
      <c r="J854" s="101" t="s">
        <v>27</v>
      </c>
      <c r="K854" s="20">
        <v>33</v>
      </c>
      <c r="L854" s="21">
        <v>115.39</v>
      </c>
      <c r="M854" s="22" t="s">
        <v>30</v>
      </c>
      <c r="N854" s="23">
        <v>115.39</v>
      </c>
      <c r="O854" s="24">
        <v>3.4966666666666666</v>
      </c>
      <c r="P854" s="25" t="str">
        <f>IF(P855="x","x","")</f>
        <v/>
      </c>
      <c r="Q854" s="25" t="str">
        <f>IF(Q855="x","x","")</f>
        <v/>
      </c>
      <c r="R854" s="25" t="str">
        <f>IF(R855="x","x","")</f>
        <v/>
      </c>
      <c r="S854" s="25" t="str">
        <f>IF(S855="x","x","")</f>
        <v>x</v>
      </c>
      <c r="T854" s="25" t="s">
        <v>31</v>
      </c>
      <c r="U854" s="26"/>
      <c r="V854" s="27"/>
    </row>
    <row r="855" spans="1:22" ht="63.75" thickBot="1" x14ac:dyDescent="0.3">
      <c r="A855" s="28" t="str">
        <f>A854</f>
        <v>Kenya</v>
      </c>
      <c r="B855" s="28" t="str">
        <f>B854</f>
        <v>Sub-Saharan Africa</v>
      </c>
      <c r="C855" s="28" t="str">
        <f>C854</f>
        <v>P082615</v>
      </c>
      <c r="D855" s="28" t="s">
        <v>26</v>
      </c>
      <c r="E855" s="28" t="s">
        <v>27</v>
      </c>
      <c r="F855" s="28" t="str">
        <f>F854</f>
        <v>P082615C1S3</v>
      </c>
      <c r="G855" s="28" t="s">
        <v>16</v>
      </c>
      <c r="H855" s="29" t="str">
        <f>H853&amp;" / "&amp;H854</f>
        <v>2004 / 2016</v>
      </c>
      <c r="I855" s="29" t="str">
        <f>I854</f>
        <v>Widening</v>
      </c>
      <c r="J855" s="97" t="str">
        <f>IFERROR(J854/J853,"")</f>
        <v/>
      </c>
      <c r="K855" s="32">
        <f>K854/K853</f>
        <v>1</v>
      </c>
      <c r="L855" s="32">
        <f>L854/L853</f>
        <v>3.0033836543466945</v>
      </c>
      <c r="M855" s="28"/>
      <c r="N855" s="32">
        <f>N854/N853</f>
        <v>3.0033836543466945</v>
      </c>
      <c r="O855" s="32">
        <f>O854/O853</f>
        <v>3.0033836543466941</v>
      </c>
      <c r="P855" s="33" t="str">
        <f>IF(K855&lt;50%,"x","")</f>
        <v/>
      </c>
      <c r="Q855" s="33" t="str">
        <f>IF(K855&gt;150%,"x","")</f>
        <v/>
      </c>
      <c r="R855" s="33" t="str">
        <f>IF(O855&lt;50%,"x","")</f>
        <v/>
      </c>
      <c r="S855" s="33" t="str">
        <f>IF(O855&gt;150%,"x","")</f>
        <v>x</v>
      </c>
      <c r="T855" s="33" t="s">
        <v>31</v>
      </c>
      <c r="U855" s="34" t="s">
        <v>1061</v>
      </c>
      <c r="V855" s="35" t="s">
        <v>1062</v>
      </c>
    </row>
    <row r="856" spans="1:22" ht="16.5" thickTop="1" x14ac:dyDescent="0.25">
      <c r="A856" s="18" t="s">
        <v>735</v>
      </c>
      <c r="B856" s="18" t="s">
        <v>950</v>
      </c>
      <c r="C856" s="18" t="s">
        <v>736</v>
      </c>
      <c r="D856" s="18" t="s">
        <v>26</v>
      </c>
      <c r="E856" s="18" t="s">
        <v>71</v>
      </c>
      <c r="F856" s="18" t="s">
        <v>740</v>
      </c>
      <c r="G856" s="18" t="s">
        <v>29</v>
      </c>
      <c r="H856" s="19">
        <v>2004</v>
      </c>
      <c r="I856" s="18" t="s">
        <v>359</v>
      </c>
      <c r="J856" s="101">
        <v>38</v>
      </c>
      <c r="K856" s="20">
        <v>97</v>
      </c>
      <c r="L856" s="21">
        <v>40.68</v>
      </c>
      <c r="M856" s="22" t="s">
        <v>30</v>
      </c>
      <c r="N856" s="23">
        <v>40.68</v>
      </c>
      <c r="O856" s="24">
        <v>0.41938144329896909</v>
      </c>
      <c r="P856" s="25" t="str">
        <f>IF(P858="x","x","")</f>
        <v/>
      </c>
      <c r="Q856" s="25" t="str">
        <f>IF(Q858="x","x","")</f>
        <v/>
      </c>
      <c r="R856" s="25" t="str">
        <f>IF(R858="x","x","")</f>
        <v/>
      </c>
      <c r="S856" s="25" t="str">
        <f>IF(S858="x","x","")</f>
        <v>x</v>
      </c>
      <c r="T856" s="25" t="s">
        <v>31</v>
      </c>
      <c r="U856" s="26"/>
      <c r="V856" s="27"/>
    </row>
    <row r="857" spans="1:22" x14ac:dyDescent="0.25">
      <c r="A857" s="18" t="s">
        <v>735</v>
      </c>
      <c r="B857" s="18" t="s">
        <v>950</v>
      </c>
      <c r="C857" s="18" t="s">
        <v>736</v>
      </c>
      <c r="D857" s="18" t="s">
        <v>26</v>
      </c>
      <c r="E857" s="18" t="s">
        <v>71</v>
      </c>
      <c r="F857" s="18" t="s">
        <v>740</v>
      </c>
      <c r="G857" s="18" t="s">
        <v>32</v>
      </c>
      <c r="H857" s="19">
        <v>2016</v>
      </c>
      <c r="I857" s="18" t="s">
        <v>359</v>
      </c>
      <c r="J857" s="101" t="s">
        <v>27</v>
      </c>
      <c r="K857" s="20">
        <v>100</v>
      </c>
      <c r="L857" s="21">
        <v>138.04</v>
      </c>
      <c r="M857" s="22" t="s">
        <v>30</v>
      </c>
      <c r="N857" s="23">
        <v>138.04</v>
      </c>
      <c r="O857" s="24">
        <v>1.3803999999999998</v>
      </c>
      <c r="P857" s="25" t="str">
        <f>IF(P858="x","x","")</f>
        <v/>
      </c>
      <c r="Q857" s="25" t="str">
        <f>IF(Q858="x","x","")</f>
        <v/>
      </c>
      <c r="R857" s="25" t="str">
        <f>IF(R858="x","x","")</f>
        <v/>
      </c>
      <c r="S857" s="25" t="str">
        <f>IF(S858="x","x","")</f>
        <v>x</v>
      </c>
      <c r="T857" s="25" t="s">
        <v>31</v>
      </c>
      <c r="U857" s="26"/>
      <c r="V857" s="27"/>
    </row>
    <row r="858" spans="1:22" ht="63.75" thickBot="1" x14ac:dyDescent="0.3">
      <c r="A858" s="28" t="str">
        <f>A857</f>
        <v>Kenya</v>
      </c>
      <c r="B858" s="28" t="str">
        <f>B857</f>
        <v>Sub-Saharan Africa</v>
      </c>
      <c r="C858" s="28" t="str">
        <f>C857</f>
        <v>P082615</v>
      </c>
      <c r="D858" s="28" t="s">
        <v>26</v>
      </c>
      <c r="E858" s="28" t="s">
        <v>27</v>
      </c>
      <c r="F858" s="28" t="str">
        <f>F857</f>
        <v>P082615C1S4</v>
      </c>
      <c r="G858" s="28" t="s">
        <v>16</v>
      </c>
      <c r="H858" s="29" t="str">
        <f>H856&amp;" / "&amp;H857</f>
        <v>2004 / 2016</v>
      </c>
      <c r="I858" s="29" t="str">
        <f>I857</f>
        <v>Reconstruction</v>
      </c>
      <c r="J858" s="97" t="str">
        <f>IFERROR(J857/J856,"")</f>
        <v/>
      </c>
      <c r="K858" s="32">
        <f>K857/K856</f>
        <v>1.0309278350515463</v>
      </c>
      <c r="L858" s="32">
        <f>L857/L856</f>
        <v>3.3933136676499505</v>
      </c>
      <c r="M858" s="28"/>
      <c r="N858" s="32">
        <f>N857/N856</f>
        <v>3.3933136676499505</v>
      </c>
      <c r="O858" s="32">
        <f>O857/O856</f>
        <v>3.2915142576204519</v>
      </c>
      <c r="P858" s="33" t="str">
        <f>IF(K858&lt;50%,"x","")</f>
        <v/>
      </c>
      <c r="Q858" s="33" t="str">
        <f>IF(K858&gt;150%,"x","")</f>
        <v/>
      </c>
      <c r="R858" s="33" t="str">
        <f>IF(O858&lt;50%,"x","")</f>
        <v/>
      </c>
      <c r="S858" s="33" t="str">
        <f>IF(O858&gt;150%,"x","")</f>
        <v>x</v>
      </c>
      <c r="T858" s="33" t="s">
        <v>31</v>
      </c>
      <c r="U858" s="34" t="s">
        <v>1061</v>
      </c>
      <c r="V858" s="35" t="s">
        <v>1062</v>
      </c>
    </row>
    <row r="859" spans="1:22" ht="16.5" thickTop="1" x14ac:dyDescent="0.25">
      <c r="A859" s="18" t="s">
        <v>735</v>
      </c>
      <c r="B859" s="18" t="s">
        <v>950</v>
      </c>
      <c r="C859" s="18" t="s">
        <v>736</v>
      </c>
      <c r="D859" s="18" t="s">
        <v>26</v>
      </c>
      <c r="E859" s="18" t="s">
        <v>141</v>
      </c>
      <c r="F859" s="18" t="s">
        <v>741</v>
      </c>
      <c r="G859" s="18" t="s">
        <v>29</v>
      </c>
      <c r="H859" s="19">
        <v>2004</v>
      </c>
      <c r="I859" s="18" t="s">
        <v>359</v>
      </c>
      <c r="J859" s="101">
        <v>37</v>
      </c>
      <c r="K859" s="20">
        <v>145</v>
      </c>
      <c r="L859" s="21">
        <v>46.33</v>
      </c>
      <c r="M859" s="22" t="s">
        <v>30</v>
      </c>
      <c r="N859" s="23">
        <v>46.33</v>
      </c>
      <c r="O859" s="24">
        <v>0.31951724137931031</v>
      </c>
      <c r="P859" s="25" t="str">
        <f>IF(P861="x","x","")</f>
        <v/>
      </c>
      <c r="Q859" s="25" t="str">
        <f>IF(Q861="x","x","")</f>
        <v/>
      </c>
      <c r="R859" s="25" t="str">
        <f>IF(R861="x","x","")</f>
        <v/>
      </c>
      <c r="S859" s="25" t="str">
        <f>IF(S861="x","x","")</f>
        <v>x</v>
      </c>
      <c r="T859" s="25" t="s">
        <v>31</v>
      </c>
      <c r="U859" s="26"/>
      <c r="V859" s="27"/>
    </row>
    <row r="860" spans="1:22" x14ac:dyDescent="0.25">
      <c r="A860" s="18" t="s">
        <v>735</v>
      </c>
      <c r="B860" s="18" t="s">
        <v>950</v>
      </c>
      <c r="C860" s="18" t="s">
        <v>736</v>
      </c>
      <c r="D860" s="18" t="s">
        <v>26</v>
      </c>
      <c r="E860" s="18" t="s">
        <v>141</v>
      </c>
      <c r="F860" s="18" t="s">
        <v>741</v>
      </c>
      <c r="G860" s="18" t="s">
        <v>32</v>
      </c>
      <c r="H860" s="19">
        <v>2016</v>
      </c>
      <c r="I860" s="18" t="s">
        <v>359</v>
      </c>
      <c r="J860" s="101" t="s">
        <v>27</v>
      </c>
      <c r="K860" s="20">
        <v>133</v>
      </c>
      <c r="L860" s="21">
        <v>171.68</v>
      </c>
      <c r="M860" s="22" t="s">
        <v>30</v>
      </c>
      <c r="N860" s="23">
        <v>171.68</v>
      </c>
      <c r="O860" s="24">
        <v>1.2908270676691729</v>
      </c>
      <c r="P860" s="25" t="str">
        <f>IF(P861="x","x","")</f>
        <v/>
      </c>
      <c r="Q860" s="25" t="str">
        <f>IF(Q861="x","x","")</f>
        <v/>
      </c>
      <c r="R860" s="25" t="str">
        <f>IF(R861="x","x","")</f>
        <v/>
      </c>
      <c r="S860" s="25" t="str">
        <f>IF(S861="x","x","")</f>
        <v>x</v>
      </c>
      <c r="T860" s="25" t="s">
        <v>31</v>
      </c>
      <c r="U860" s="26"/>
      <c r="V860" s="27"/>
    </row>
    <row r="861" spans="1:22" ht="63.75" thickBot="1" x14ac:dyDescent="0.3">
      <c r="A861" s="28" t="str">
        <f>A860</f>
        <v>Kenya</v>
      </c>
      <c r="B861" s="28" t="str">
        <f>B860</f>
        <v>Sub-Saharan Africa</v>
      </c>
      <c r="C861" s="28" t="str">
        <f>C860</f>
        <v>P082615</v>
      </c>
      <c r="D861" s="28" t="s">
        <v>26</v>
      </c>
      <c r="E861" s="28" t="s">
        <v>27</v>
      </c>
      <c r="F861" s="28" t="str">
        <f>F860</f>
        <v>P082615C1S5</v>
      </c>
      <c r="G861" s="28" t="s">
        <v>16</v>
      </c>
      <c r="H861" s="29" t="str">
        <f>H859&amp;" / "&amp;H860</f>
        <v>2004 / 2016</v>
      </c>
      <c r="I861" s="29" t="str">
        <f>I860</f>
        <v>Reconstruction</v>
      </c>
      <c r="J861" s="97" t="str">
        <f>IFERROR(J860/J859,"")</f>
        <v/>
      </c>
      <c r="K861" s="32">
        <f>K860/K859</f>
        <v>0.91724137931034477</v>
      </c>
      <c r="L861" s="32">
        <f>L860/L859</f>
        <v>3.7055903302395858</v>
      </c>
      <c r="M861" s="28"/>
      <c r="N861" s="32">
        <f>N860/N859</f>
        <v>3.7055903302395858</v>
      </c>
      <c r="O861" s="32">
        <f>O860/O859</f>
        <v>4.0399293074040594</v>
      </c>
      <c r="P861" s="33" t="str">
        <f>IF(K861&lt;50%,"x","")</f>
        <v/>
      </c>
      <c r="Q861" s="33" t="str">
        <f>IF(K861&gt;150%,"x","")</f>
        <v/>
      </c>
      <c r="R861" s="33" t="str">
        <f>IF(O861&lt;50%,"x","")</f>
        <v/>
      </c>
      <c r="S861" s="33" t="str">
        <f>IF(O861&gt;150%,"x","")</f>
        <v>x</v>
      </c>
      <c r="T861" s="33" t="s">
        <v>31</v>
      </c>
      <c r="U861" s="34" t="s">
        <v>1061</v>
      </c>
      <c r="V861" s="35" t="s">
        <v>1062</v>
      </c>
    </row>
    <row r="862" spans="1:22" ht="16.5" thickTop="1" x14ac:dyDescent="0.25">
      <c r="A862" s="18" t="s">
        <v>735</v>
      </c>
      <c r="B862" s="18" t="s">
        <v>950</v>
      </c>
      <c r="C862" s="18" t="s">
        <v>1244</v>
      </c>
      <c r="D862" s="18" t="s">
        <v>26</v>
      </c>
      <c r="E862" s="18" t="s">
        <v>27</v>
      </c>
      <c r="F862" s="18" t="s">
        <v>1273</v>
      </c>
      <c r="G862" s="18" t="s">
        <v>29</v>
      </c>
      <c r="H862" s="19">
        <v>2010</v>
      </c>
      <c r="I862" s="18" t="s">
        <v>359</v>
      </c>
      <c r="J862" s="101">
        <v>24</v>
      </c>
      <c r="K862" s="20">
        <v>73</v>
      </c>
      <c r="L862" s="21">
        <v>3831.87961</v>
      </c>
      <c r="M862" s="22" t="s">
        <v>1245</v>
      </c>
      <c r="N862" s="23">
        <v>48.36216740499539</v>
      </c>
      <c r="O862" s="24">
        <v>0.66249544390404647</v>
      </c>
      <c r="P862" s="25" t="s">
        <v>27</v>
      </c>
      <c r="Q862" s="25" t="s">
        <v>27</v>
      </c>
      <c r="R862" s="25" t="s">
        <v>27</v>
      </c>
      <c r="S862" s="25"/>
      <c r="T862" s="25"/>
      <c r="U862" s="26"/>
      <c r="V862" s="27"/>
    </row>
    <row r="863" spans="1:22" x14ac:dyDescent="0.25">
      <c r="A863" s="18" t="s">
        <v>735</v>
      </c>
      <c r="B863" s="18" t="s">
        <v>950</v>
      </c>
      <c r="C863" s="18" t="s">
        <v>1244</v>
      </c>
      <c r="D863" s="18" t="s">
        <v>26</v>
      </c>
      <c r="E863" s="18" t="s">
        <v>27</v>
      </c>
      <c r="F863" s="18" t="s">
        <v>1273</v>
      </c>
      <c r="G863" s="18" t="s">
        <v>32</v>
      </c>
      <c r="H863" s="19">
        <v>2017</v>
      </c>
      <c r="I863" s="18" t="s">
        <v>359</v>
      </c>
      <c r="J863" s="101">
        <v>34</v>
      </c>
      <c r="K863" s="20">
        <v>73</v>
      </c>
      <c r="L863" s="21">
        <v>5001.2773913999999</v>
      </c>
      <c r="M863" s="22" t="s">
        <v>1245</v>
      </c>
      <c r="N863" s="23">
        <v>48.382290716842405</v>
      </c>
      <c r="O863" s="24">
        <v>0.66277110571016995</v>
      </c>
      <c r="P863" s="25" t="s">
        <v>27</v>
      </c>
      <c r="Q863" s="25" t="s">
        <v>27</v>
      </c>
      <c r="R863" s="25" t="s">
        <v>27</v>
      </c>
      <c r="S863" s="25"/>
      <c r="T863" s="25"/>
      <c r="U863" s="26"/>
      <c r="V863" s="27"/>
    </row>
    <row r="864" spans="1:22" ht="16.5" thickBot="1" x14ac:dyDescent="0.3">
      <c r="A864" s="28" t="str">
        <f>A863</f>
        <v>Kenya</v>
      </c>
      <c r="B864" s="28" t="str">
        <f>B863</f>
        <v>Sub-Saharan Africa</v>
      </c>
      <c r="C864" s="28" t="str">
        <f>C863</f>
        <v>AfDB project P-KE-DB0-019</v>
      </c>
      <c r="D864" s="28" t="s">
        <v>26</v>
      </c>
      <c r="E864" s="28" t="s">
        <v>27</v>
      </c>
      <c r="F864" s="28" t="str">
        <f>F863</f>
        <v>AfDB project P-KE-DB0-019C1</v>
      </c>
      <c r="G864" s="28" t="s">
        <v>16</v>
      </c>
      <c r="H864" s="29" t="str">
        <f>H862&amp;" / "&amp;H863</f>
        <v>2010 / 2017</v>
      </c>
      <c r="I864" s="29" t="str">
        <f>I863</f>
        <v>Reconstruction</v>
      </c>
      <c r="J864" s="97">
        <f>IFERROR(J863/J862,"")</f>
        <v>1.4166666666666667</v>
      </c>
      <c r="K864" s="32">
        <f>K863/K862</f>
        <v>1</v>
      </c>
      <c r="L864" s="32">
        <f>L863/L862</f>
        <v>1.3051760233667675</v>
      </c>
      <c r="M864" s="28"/>
      <c r="N864" s="32">
        <f>N863/N862</f>
        <v>1.0004160961538076</v>
      </c>
      <c r="O864" s="32">
        <f>O863/O862</f>
        <v>1.0004160961538076</v>
      </c>
      <c r="P864" s="33" t="s">
        <v>27</v>
      </c>
      <c r="Q864" s="33" t="s">
        <v>27</v>
      </c>
      <c r="R864" s="33" t="s">
        <v>27</v>
      </c>
      <c r="S864" s="33"/>
      <c r="T864" s="33"/>
      <c r="U864" s="34" t="s">
        <v>27</v>
      </c>
      <c r="V864" s="35" t="s">
        <v>27</v>
      </c>
    </row>
    <row r="865" spans="1:22" ht="16.5" thickTop="1" x14ac:dyDescent="0.25">
      <c r="A865" s="18" t="s">
        <v>332</v>
      </c>
      <c r="B865" s="18" t="s">
        <v>947</v>
      </c>
      <c r="C865" s="18" t="s">
        <v>333</v>
      </c>
      <c r="D865" s="18" t="s">
        <v>26</v>
      </c>
      <c r="E865" s="18" t="s">
        <v>36</v>
      </c>
      <c r="F865" s="18" t="s">
        <v>334</v>
      </c>
      <c r="G865" s="18" t="s">
        <v>29</v>
      </c>
      <c r="H865" s="19">
        <v>2009</v>
      </c>
      <c r="I865" s="18" t="s">
        <v>387</v>
      </c>
      <c r="J865" s="101">
        <v>24</v>
      </c>
      <c r="K865" s="20">
        <v>30</v>
      </c>
      <c r="L865" s="21">
        <v>25.79</v>
      </c>
      <c r="M865" s="22" t="s">
        <v>30</v>
      </c>
      <c r="N865" s="23">
        <v>25.79</v>
      </c>
      <c r="O865" s="24">
        <v>0.85966666666666669</v>
      </c>
      <c r="P865" s="25" t="str">
        <f>IF(P867="x","x","")</f>
        <v/>
      </c>
      <c r="Q865" s="25" t="str">
        <f>IF(Q867="x","x","")</f>
        <v/>
      </c>
      <c r="R865" s="25" t="str">
        <f>IF(R867="x","x","")</f>
        <v/>
      </c>
      <c r="S865" s="25" t="str">
        <f>IF(S867="x","x","")</f>
        <v/>
      </c>
      <c r="T865" s="25" t="s">
        <v>27</v>
      </c>
      <c r="U865" s="26"/>
      <c r="V865" s="27"/>
    </row>
    <row r="866" spans="1:22" x14ac:dyDescent="0.25">
      <c r="A866" s="18" t="s">
        <v>332</v>
      </c>
      <c r="B866" s="18" t="s">
        <v>947</v>
      </c>
      <c r="C866" s="18" t="s">
        <v>333</v>
      </c>
      <c r="D866" s="18" t="s">
        <v>26</v>
      </c>
      <c r="E866" s="18" t="s">
        <v>36</v>
      </c>
      <c r="F866" s="18" t="s">
        <v>334</v>
      </c>
      <c r="G866" s="18" t="s">
        <v>32</v>
      </c>
      <c r="H866" s="19">
        <v>2015</v>
      </c>
      <c r="I866" s="18" t="s">
        <v>387</v>
      </c>
      <c r="J866" s="101">
        <v>26</v>
      </c>
      <c r="K866" s="20">
        <v>32</v>
      </c>
      <c r="L866" s="21">
        <v>24.1</v>
      </c>
      <c r="M866" s="22" t="s">
        <v>30</v>
      </c>
      <c r="N866" s="23">
        <v>24.1</v>
      </c>
      <c r="O866" s="24">
        <v>0.75312500000000004</v>
      </c>
      <c r="P866" s="25" t="str">
        <f>IF(P867="x","x","")</f>
        <v/>
      </c>
      <c r="Q866" s="25" t="str">
        <f>IF(Q867="x","x","")</f>
        <v/>
      </c>
      <c r="R866" s="25" t="str">
        <f>IF(R867="x","x","")</f>
        <v/>
      </c>
      <c r="S866" s="25" t="str">
        <f>IF(S867="x","x","")</f>
        <v/>
      </c>
      <c r="T866" s="25" t="s">
        <v>27</v>
      </c>
      <c r="U866" s="26"/>
      <c r="V866" s="27"/>
    </row>
    <row r="867" spans="1:22" ht="16.5" thickBot="1" x14ac:dyDescent="0.3">
      <c r="A867" s="28" t="str">
        <f>A866</f>
        <v>Kyrgyz Republic</v>
      </c>
      <c r="B867" s="28" t="str">
        <f>B866</f>
        <v>Europe and Central Asia</v>
      </c>
      <c r="C867" s="28" t="str">
        <f>C866</f>
        <v>P107608</v>
      </c>
      <c r="D867" s="28" t="s">
        <v>26</v>
      </c>
      <c r="E867" s="28" t="s">
        <v>27</v>
      </c>
      <c r="F867" s="28" t="str">
        <f>F866</f>
        <v>P107608C1S1</v>
      </c>
      <c r="G867" s="28" t="s">
        <v>16</v>
      </c>
      <c r="H867" s="29" t="str">
        <f>H865&amp;" / "&amp;H866</f>
        <v>2009 / 2015</v>
      </c>
      <c r="I867" s="29" t="str">
        <f>I866</f>
        <v>Upgrading</v>
      </c>
      <c r="J867" s="97">
        <f>IFERROR(J866/J865,"")</f>
        <v>1.0833333333333333</v>
      </c>
      <c r="K867" s="32">
        <f>K866/K865</f>
        <v>1.0666666666666667</v>
      </c>
      <c r="L867" s="32">
        <f>L866/L865</f>
        <v>0.93447072508724316</v>
      </c>
      <c r="M867" s="28"/>
      <c r="N867" s="32">
        <f>N866/N865</f>
        <v>0.93447072508724316</v>
      </c>
      <c r="O867" s="32">
        <f>O866/O865</f>
        <v>0.87606630476929048</v>
      </c>
      <c r="P867" s="33" t="str">
        <f>IF(K867&lt;50%,"x","")</f>
        <v/>
      </c>
      <c r="Q867" s="33" t="str">
        <f>IF(K867&gt;150%,"x","")</f>
        <v/>
      </c>
      <c r="R867" s="33" t="str">
        <f>IF(O867&lt;50%,"x","")</f>
        <v/>
      </c>
      <c r="S867" s="33" t="str">
        <f>IF(O867&gt;150%,"x","")</f>
        <v/>
      </c>
      <c r="T867" s="33" t="s">
        <v>27</v>
      </c>
      <c r="U867" s="34" t="s">
        <v>27</v>
      </c>
      <c r="V867" s="35" t="s">
        <v>27</v>
      </c>
    </row>
    <row r="868" spans="1:22" ht="16.5" thickTop="1" x14ac:dyDescent="0.25">
      <c r="A868" s="18" t="s">
        <v>332</v>
      </c>
      <c r="B868" s="18" t="s">
        <v>947</v>
      </c>
      <c r="C868" s="18" t="s">
        <v>333</v>
      </c>
      <c r="D868" s="18" t="s">
        <v>26</v>
      </c>
      <c r="E868" s="18" t="s">
        <v>40</v>
      </c>
      <c r="F868" s="18" t="s">
        <v>335</v>
      </c>
      <c r="G868" s="18" t="s">
        <v>29</v>
      </c>
      <c r="H868" s="19">
        <v>2015</v>
      </c>
      <c r="I868" s="18" t="s">
        <v>387</v>
      </c>
      <c r="J868" s="101" t="s">
        <v>27</v>
      </c>
      <c r="K868" s="20">
        <v>18</v>
      </c>
      <c r="L868" s="21">
        <v>13.2</v>
      </c>
      <c r="M868" s="22" t="s">
        <v>30</v>
      </c>
      <c r="N868" s="23">
        <v>13.2</v>
      </c>
      <c r="O868" s="24">
        <v>0.73333333333333328</v>
      </c>
      <c r="P868" s="25" t="str">
        <f>IF(P870="x","x","")</f>
        <v/>
      </c>
      <c r="Q868" s="25" t="str">
        <f>IF(Q870="x","x","")</f>
        <v/>
      </c>
      <c r="R868" s="25" t="str">
        <f>IF(R870="x","x","")</f>
        <v/>
      </c>
      <c r="S868" s="25" t="str">
        <f>IF(S870="x","x","")</f>
        <v/>
      </c>
      <c r="T868" s="25" t="s">
        <v>27</v>
      </c>
      <c r="U868" s="26"/>
      <c r="V868" s="27"/>
    </row>
    <row r="869" spans="1:22" x14ac:dyDescent="0.25">
      <c r="A869" s="18" t="s">
        <v>332</v>
      </c>
      <c r="B869" s="18" t="s">
        <v>947</v>
      </c>
      <c r="C869" s="18" t="s">
        <v>333</v>
      </c>
      <c r="D869" s="18" t="s">
        <v>26</v>
      </c>
      <c r="E869" s="18" t="s">
        <v>40</v>
      </c>
      <c r="F869" s="18" t="s">
        <v>335</v>
      </c>
      <c r="G869" s="18" t="s">
        <v>32</v>
      </c>
      <c r="H869" s="19">
        <v>2011</v>
      </c>
      <c r="I869" s="18" t="s">
        <v>387</v>
      </c>
      <c r="J869" s="101" t="s">
        <v>27</v>
      </c>
      <c r="K869" s="20">
        <v>18.100000000000001</v>
      </c>
      <c r="L869" s="21">
        <v>14.5</v>
      </c>
      <c r="M869" s="22" t="s">
        <v>30</v>
      </c>
      <c r="N869" s="23">
        <v>14.5</v>
      </c>
      <c r="O869" s="24">
        <v>0.80110497237569056</v>
      </c>
      <c r="P869" s="25" t="str">
        <f>IF(P870="x","x","")</f>
        <v/>
      </c>
      <c r="Q869" s="25" t="str">
        <f>IF(Q870="x","x","")</f>
        <v/>
      </c>
      <c r="R869" s="25" t="str">
        <f>IF(R870="x","x","")</f>
        <v/>
      </c>
      <c r="S869" s="25" t="str">
        <f>IF(S870="x","x","")</f>
        <v/>
      </c>
      <c r="T869" s="25" t="s">
        <v>27</v>
      </c>
      <c r="U869" s="26"/>
      <c r="V869" s="27"/>
    </row>
    <row r="870" spans="1:22" ht="16.5" thickBot="1" x14ac:dyDescent="0.3">
      <c r="A870" s="28" t="str">
        <f>A869</f>
        <v>Kyrgyz Republic</v>
      </c>
      <c r="B870" s="28" t="str">
        <f>B869</f>
        <v>Europe and Central Asia</v>
      </c>
      <c r="C870" s="28" t="str">
        <f>C869</f>
        <v>P107608</v>
      </c>
      <c r="D870" s="28" t="s">
        <v>26</v>
      </c>
      <c r="E870" s="28" t="s">
        <v>27</v>
      </c>
      <c r="F870" s="28" t="str">
        <f>F869</f>
        <v>P107608C1S2</v>
      </c>
      <c r="G870" s="28" t="s">
        <v>16</v>
      </c>
      <c r="H870" s="29" t="str">
        <f>H868&amp;" / "&amp;H869</f>
        <v>2015 / 2011</v>
      </c>
      <c r="I870" s="29" t="str">
        <f>I869</f>
        <v>Upgrading</v>
      </c>
      <c r="J870" s="97" t="str">
        <f>IFERROR(J869/J868,"")</f>
        <v/>
      </c>
      <c r="K870" s="32">
        <f>K869/K868</f>
        <v>1.0055555555555555</v>
      </c>
      <c r="L870" s="32">
        <f>L869/L868</f>
        <v>1.0984848484848486</v>
      </c>
      <c r="M870" s="28"/>
      <c r="N870" s="32">
        <f>N869/N868</f>
        <v>1.0984848484848486</v>
      </c>
      <c r="O870" s="32">
        <f>O869/O868</f>
        <v>1.0924158714213963</v>
      </c>
      <c r="P870" s="33" t="str">
        <f>IF(K870&lt;50%,"x","")</f>
        <v/>
      </c>
      <c r="Q870" s="33" t="str">
        <f>IF(K870&gt;150%,"x","")</f>
        <v/>
      </c>
      <c r="R870" s="33" t="str">
        <f>IF(O870&lt;50%,"x","")</f>
        <v/>
      </c>
      <c r="S870" s="33" t="str">
        <f>IF(O870&gt;150%,"x","")</f>
        <v/>
      </c>
      <c r="T870" s="33" t="s">
        <v>27</v>
      </c>
      <c r="U870" s="34" t="s">
        <v>27</v>
      </c>
      <c r="V870" s="35" t="s">
        <v>27</v>
      </c>
    </row>
    <row r="871" spans="1:22" ht="16.5" thickTop="1" x14ac:dyDescent="0.25">
      <c r="A871" s="18" t="s">
        <v>332</v>
      </c>
      <c r="B871" s="18" t="s">
        <v>947</v>
      </c>
      <c r="C871" s="18" t="s">
        <v>428</v>
      </c>
      <c r="D871" s="18" t="s">
        <v>26</v>
      </c>
      <c r="E871" s="18" t="s">
        <v>27</v>
      </c>
      <c r="F871" s="18" t="s">
        <v>429</v>
      </c>
      <c r="G871" s="18" t="s">
        <v>29</v>
      </c>
      <c r="H871" s="19">
        <v>2000</v>
      </c>
      <c r="I871" s="18" t="s">
        <v>38</v>
      </c>
      <c r="J871" s="101" t="s">
        <v>27</v>
      </c>
      <c r="K871" s="20">
        <v>98</v>
      </c>
      <c r="L871" s="21">
        <v>21.75</v>
      </c>
      <c r="M871" s="22" t="s">
        <v>30</v>
      </c>
      <c r="N871" s="23">
        <v>21.75</v>
      </c>
      <c r="O871" s="24">
        <v>0.22193877551020408</v>
      </c>
      <c r="P871" s="25" t="str">
        <f>IF(P873="x","x","")</f>
        <v/>
      </c>
      <c r="Q871" s="25" t="str">
        <f>IF(Q873="x","x","")</f>
        <v/>
      </c>
      <c r="R871" s="25" t="str">
        <f>IF(R873="x","x","")</f>
        <v/>
      </c>
      <c r="S871" s="25" t="str">
        <f>IF(S873="x","x","")</f>
        <v/>
      </c>
      <c r="T871" s="25" t="s">
        <v>27</v>
      </c>
      <c r="U871" s="26"/>
      <c r="V871" s="27"/>
    </row>
    <row r="872" spans="1:22" x14ac:dyDescent="0.25">
      <c r="A872" s="18" t="s">
        <v>332</v>
      </c>
      <c r="B872" s="18" t="s">
        <v>947</v>
      </c>
      <c r="C872" s="18" t="s">
        <v>428</v>
      </c>
      <c r="D872" s="18" t="s">
        <v>26</v>
      </c>
      <c r="E872" s="18" t="s">
        <v>27</v>
      </c>
      <c r="F872" s="18" t="s">
        <v>429</v>
      </c>
      <c r="G872" s="18" t="s">
        <v>32</v>
      </c>
      <c r="H872" s="19">
        <v>2006</v>
      </c>
      <c r="I872" s="18" t="s">
        <v>38</v>
      </c>
      <c r="J872" s="101" t="s">
        <v>27</v>
      </c>
      <c r="K872" s="20">
        <v>105</v>
      </c>
      <c r="L872" s="21">
        <v>20.64</v>
      </c>
      <c r="M872" s="22" t="s">
        <v>30</v>
      </c>
      <c r="N872" s="23">
        <v>20.64</v>
      </c>
      <c r="O872" s="24">
        <v>0.19657142857142856</v>
      </c>
      <c r="P872" s="25" t="str">
        <f>IF(P873="x","x","")</f>
        <v/>
      </c>
      <c r="Q872" s="25" t="str">
        <f>IF(Q873="x","x","")</f>
        <v/>
      </c>
      <c r="R872" s="25" t="str">
        <f>IF(R873="x","x","")</f>
        <v/>
      </c>
      <c r="S872" s="25" t="str">
        <f>IF(S873="x","x","")</f>
        <v/>
      </c>
      <c r="T872" s="25" t="s">
        <v>27</v>
      </c>
      <c r="U872" s="26"/>
      <c r="V872" s="27"/>
    </row>
    <row r="873" spans="1:22" ht="16.5" thickBot="1" x14ac:dyDescent="0.3">
      <c r="A873" s="28" t="str">
        <f>A872</f>
        <v>Kyrgyz Republic</v>
      </c>
      <c r="B873" s="28" t="str">
        <f>B872</f>
        <v>Europe and Central Asia</v>
      </c>
      <c r="C873" s="28" t="str">
        <f>C872</f>
        <v>P050719</v>
      </c>
      <c r="D873" s="28" t="s">
        <v>26</v>
      </c>
      <c r="E873" s="28" t="s">
        <v>27</v>
      </c>
      <c r="F873" s="28" t="str">
        <f>F872</f>
        <v>P050719C1</v>
      </c>
      <c r="G873" s="28" t="s">
        <v>16</v>
      </c>
      <c r="H873" s="29" t="str">
        <f>H871&amp;" / "&amp;H872</f>
        <v>2000 / 2006</v>
      </c>
      <c r="I873" s="29" t="str">
        <f>I872</f>
        <v>Strengthening</v>
      </c>
      <c r="J873" s="97" t="str">
        <f>IFERROR(J872/J871,"")</f>
        <v/>
      </c>
      <c r="K873" s="32">
        <f>K872/K871</f>
        <v>1.0714285714285714</v>
      </c>
      <c r="L873" s="32">
        <f>L872/L871</f>
        <v>0.94896551724137934</v>
      </c>
      <c r="M873" s="28"/>
      <c r="N873" s="32">
        <f>N872/N871</f>
        <v>0.94896551724137934</v>
      </c>
      <c r="O873" s="32">
        <f>O872/O871</f>
        <v>0.88570114942528733</v>
      </c>
      <c r="P873" s="33" t="str">
        <f>IF(K873&lt;50%,"x","")</f>
        <v/>
      </c>
      <c r="Q873" s="33" t="str">
        <f>IF(K873&gt;150%,"x","")</f>
        <v/>
      </c>
      <c r="R873" s="33" t="str">
        <f>IF(O873&lt;50%,"x","")</f>
        <v/>
      </c>
      <c r="S873" s="33" t="str">
        <f>IF(O873&gt;150%,"x","")</f>
        <v/>
      </c>
      <c r="T873" s="33" t="s">
        <v>27</v>
      </c>
      <c r="U873" s="34" t="s">
        <v>27</v>
      </c>
      <c r="V873" s="35" t="s">
        <v>27</v>
      </c>
    </row>
    <row r="874" spans="1:22" ht="16.5" thickTop="1" x14ac:dyDescent="0.25">
      <c r="A874" s="18" t="s">
        <v>332</v>
      </c>
      <c r="B874" s="18" t="s">
        <v>947</v>
      </c>
      <c r="C874" s="18" t="s">
        <v>428</v>
      </c>
      <c r="D874" s="18" t="s">
        <v>26</v>
      </c>
      <c r="E874" s="18" t="s">
        <v>36</v>
      </c>
      <c r="F874" s="18" t="s">
        <v>430</v>
      </c>
      <c r="G874" s="18" t="s">
        <v>29</v>
      </c>
      <c r="H874" s="19">
        <v>2000</v>
      </c>
      <c r="I874" s="18" t="s">
        <v>38</v>
      </c>
      <c r="J874" s="101">
        <v>28</v>
      </c>
      <c r="K874" s="20">
        <v>72</v>
      </c>
      <c r="L874" s="21">
        <v>16.5</v>
      </c>
      <c r="M874" s="22" t="s">
        <v>30</v>
      </c>
      <c r="N874" s="23">
        <v>16.5</v>
      </c>
      <c r="O874" s="24">
        <v>0.22916666666666666</v>
      </c>
      <c r="P874" s="25" t="str">
        <f>IF(P876="x","x","")</f>
        <v/>
      </c>
      <c r="Q874" s="25" t="str">
        <f>IF(Q876="x","x","")</f>
        <v/>
      </c>
      <c r="R874" s="25" t="str">
        <f>IF(R876="x","x","")</f>
        <v/>
      </c>
      <c r="S874" s="25" t="str">
        <f>IF(S876="x","x","")</f>
        <v/>
      </c>
      <c r="T874" s="25" t="s">
        <v>27</v>
      </c>
      <c r="U874" s="26"/>
      <c r="V874" s="27"/>
    </row>
    <row r="875" spans="1:22" x14ac:dyDescent="0.25">
      <c r="A875" s="18" t="s">
        <v>332</v>
      </c>
      <c r="B875" s="18" t="s">
        <v>947</v>
      </c>
      <c r="C875" s="18" t="s">
        <v>428</v>
      </c>
      <c r="D875" s="18" t="s">
        <v>26</v>
      </c>
      <c r="E875" s="18" t="s">
        <v>36</v>
      </c>
      <c r="F875" s="18" t="s">
        <v>430</v>
      </c>
      <c r="G875" s="18" t="s">
        <v>32</v>
      </c>
      <c r="H875" s="19">
        <v>2006</v>
      </c>
      <c r="I875" s="18" t="s">
        <v>38</v>
      </c>
      <c r="J875" s="101" t="s">
        <v>27</v>
      </c>
      <c r="K875" s="20">
        <v>80</v>
      </c>
      <c r="L875" s="21">
        <v>15.3</v>
      </c>
      <c r="M875" s="22" t="s">
        <v>30</v>
      </c>
      <c r="N875" s="23">
        <v>15.3</v>
      </c>
      <c r="O875" s="24">
        <v>0.19125</v>
      </c>
      <c r="P875" s="25" t="str">
        <f>IF(P876="x","x","")</f>
        <v/>
      </c>
      <c r="Q875" s="25" t="str">
        <f>IF(Q876="x","x","")</f>
        <v/>
      </c>
      <c r="R875" s="25" t="str">
        <f>IF(R876="x","x","")</f>
        <v/>
      </c>
      <c r="S875" s="25" t="str">
        <f>IF(S876="x","x","")</f>
        <v/>
      </c>
      <c r="T875" s="25" t="s">
        <v>27</v>
      </c>
      <c r="U875" s="26"/>
      <c r="V875" s="27"/>
    </row>
    <row r="876" spans="1:22" ht="16.5" thickBot="1" x14ac:dyDescent="0.3">
      <c r="A876" s="28" t="str">
        <f>A875</f>
        <v>Kyrgyz Republic</v>
      </c>
      <c r="B876" s="28" t="str">
        <f>B875</f>
        <v>Europe and Central Asia</v>
      </c>
      <c r="C876" s="28" t="str">
        <f>C875</f>
        <v>P050719</v>
      </c>
      <c r="D876" s="28" t="s">
        <v>26</v>
      </c>
      <c r="E876" s="28" t="s">
        <v>27</v>
      </c>
      <c r="F876" s="28" t="str">
        <f>F875</f>
        <v>P050719C1S1</v>
      </c>
      <c r="G876" s="28" t="s">
        <v>16</v>
      </c>
      <c r="H876" s="29" t="str">
        <f>H874&amp;" / "&amp;H875</f>
        <v>2000 / 2006</v>
      </c>
      <c r="I876" s="29" t="str">
        <f>I875</f>
        <v>Strengthening</v>
      </c>
      <c r="J876" s="97" t="str">
        <f>IFERROR(J875/J874,"")</f>
        <v/>
      </c>
      <c r="K876" s="32">
        <f>K875/K874</f>
        <v>1.1111111111111112</v>
      </c>
      <c r="L876" s="32">
        <f>L875/L874</f>
        <v>0.92727272727272736</v>
      </c>
      <c r="M876" s="28"/>
      <c r="N876" s="32">
        <f>N875/N874</f>
        <v>0.92727272727272736</v>
      </c>
      <c r="O876" s="32">
        <f>O875/O874</f>
        <v>0.83454545454545459</v>
      </c>
      <c r="P876" s="33" t="str">
        <f>IF(K876&lt;50%,"x","")</f>
        <v/>
      </c>
      <c r="Q876" s="33" t="str">
        <f>IF(K876&gt;150%,"x","")</f>
        <v/>
      </c>
      <c r="R876" s="33" t="str">
        <f>IF(O876&lt;50%,"x","")</f>
        <v/>
      </c>
      <c r="S876" s="33" t="str">
        <f>IF(O876&gt;150%,"x","")</f>
        <v/>
      </c>
      <c r="T876" s="33" t="s">
        <v>27</v>
      </c>
      <c r="U876" s="34" t="s">
        <v>27</v>
      </c>
      <c r="V876" s="35" t="s">
        <v>27</v>
      </c>
    </row>
    <row r="877" spans="1:22" ht="16.5" thickTop="1" x14ac:dyDescent="0.25">
      <c r="A877" s="18" t="s">
        <v>332</v>
      </c>
      <c r="B877" s="18" t="s">
        <v>947</v>
      </c>
      <c r="C877" s="18" t="s">
        <v>428</v>
      </c>
      <c r="D877" s="18" t="s">
        <v>26</v>
      </c>
      <c r="E877" s="18" t="s">
        <v>40</v>
      </c>
      <c r="F877" s="18" t="s">
        <v>431</v>
      </c>
      <c r="G877" s="18" t="s">
        <v>29</v>
      </c>
      <c r="H877" s="19">
        <v>2000</v>
      </c>
      <c r="I877" s="18" t="s">
        <v>38</v>
      </c>
      <c r="J877" s="101">
        <v>16</v>
      </c>
      <c r="K877" s="20">
        <v>14</v>
      </c>
      <c r="L877" s="21">
        <v>3.4</v>
      </c>
      <c r="M877" s="22" t="s">
        <v>30</v>
      </c>
      <c r="N877" s="23">
        <v>3.4</v>
      </c>
      <c r="O877" s="24">
        <v>0.24285714285714285</v>
      </c>
      <c r="P877" s="25" t="str">
        <f>IF(P879="x","x","")</f>
        <v/>
      </c>
      <c r="Q877" s="25" t="str">
        <f>IF(Q879="x","x","")</f>
        <v/>
      </c>
      <c r="R877" s="25" t="str">
        <f>IF(R879="x","x","")</f>
        <v/>
      </c>
      <c r="S877" s="25" t="str">
        <f>IF(S879="x","x","")</f>
        <v/>
      </c>
      <c r="T877" s="25" t="s">
        <v>27</v>
      </c>
      <c r="U877" s="26"/>
      <c r="V877" s="27"/>
    </row>
    <row r="878" spans="1:22" x14ac:dyDescent="0.25">
      <c r="A878" s="18" t="s">
        <v>332</v>
      </c>
      <c r="B878" s="18" t="s">
        <v>947</v>
      </c>
      <c r="C878" s="18" t="s">
        <v>428</v>
      </c>
      <c r="D878" s="18" t="s">
        <v>26</v>
      </c>
      <c r="E878" s="18" t="s">
        <v>40</v>
      </c>
      <c r="F878" s="18" t="s">
        <v>431</v>
      </c>
      <c r="G878" s="18" t="s">
        <v>32</v>
      </c>
      <c r="H878" s="19">
        <v>2006</v>
      </c>
      <c r="I878" s="18" t="s">
        <v>38</v>
      </c>
      <c r="J878" s="101" t="s">
        <v>27</v>
      </c>
      <c r="K878" s="20">
        <v>14</v>
      </c>
      <c r="L878" s="21">
        <v>3.45</v>
      </c>
      <c r="M878" s="22" t="s">
        <v>30</v>
      </c>
      <c r="N878" s="23">
        <v>3.45</v>
      </c>
      <c r="O878" s="24">
        <v>0.24642857142857144</v>
      </c>
      <c r="P878" s="25" t="str">
        <f>IF(P879="x","x","")</f>
        <v/>
      </c>
      <c r="Q878" s="25" t="str">
        <f>IF(Q879="x","x","")</f>
        <v/>
      </c>
      <c r="R878" s="25" t="str">
        <f>IF(R879="x","x","")</f>
        <v/>
      </c>
      <c r="S878" s="25" t="str">
        <f>IF(S879="x","x","")</f>
        <v/>
      </c>
      <c r="T878" s="25" t="s">
        <v>27</v>
      </c>
      <c r="U878" s="26"/>
      <c r="V878" s="27"/>
    </row>
    <row r="879" spans="1:22" ht="16.5" thickBot="1" x14ac:dyDescent="0.3">
      <c r="A879" s="28" t="str">
        <f>A878</f>
        <v>Kyrgyz Republic</v>
      </c>
      <c r="B879" s="28" t="str">
        <f>B878</f>
        <v>Europe and Central Asia</v>
      </c>
      <c r="C879" s="28" t="str">
        <f>C878</f>
        <v>P050719</v>
      </c>
      <c r="D879" s="28" t="s">
        <v>26</v>
      </c>
      <c r="E879" s="28" t="s">
        <v>27</v>
      </c>
      <c r="F879" s="28" t="str">
        <f>F878</f>
        <v>P050719C1S2</v>
      </c>
      <c r="G879" s="28" t="s">
        <v>16</v>
      </c>
      <c r="H879" s="29" t="str">
        <f>H877&amp;" / "&amp;H878</f>
        <v>2000 / 2006</v>
      </c>
      <c r="I879" s="29" t="str">
        <f>I878</f>
        <v>Strengthening</v>
      </c>
      <c r="J879" s="97" t="str">
        <f>IFERROR(J878/J877,"")</f>
        <v/>
      </c>
      <c r="K879" s="32">
        <f>K878/K877</f>
        <v>1</v>
      </c>
      <c r="L879" s="32">
        <f>L878/L877</f>
        <v>1.0147058823529413</v>
      </c>
      <c r="M879" s="28"/>
      <c r="N879" s="32">
        <f>N878/N877</f>
        <v>1.0147058823529413</v>
      </c>
      <c r="O879" s="32">
        <f>O878/O877</f>
        <v>1.0147058823529413</v>
      </c>
      <c r="P879" s="33" t="str">
        <f>IF(K879&lt;50%,"x","")</f>
        <v/>
      </c>
      <c r="Q879" s="33" t="str">
        <f>IF(K879&gt;150%,"x","")</f>
        <v/>
      </c>
      <c r="R879" s="33" t="str">
        <f>IF(O879&lt;50%,"x","")</f>
        <v/>
      </c>
      <c r="S879" s="33" t="str">
        <f>IF(O879&gt;150%,"x","")</f>
        <v/>
      </c>
      <c r="T879" s="33" t="s">
        <v>27</v>
      </c>
      <c r="U879" s="34" t="s">
        <v>27</v>
      </c>
      <c r="V879" s="35" t="s">
        <v>27</v>
      </c>
    </row>
    <row r="880" spans="1:22" ht="16.5" thickTop="1" x14ac:dyDescent="0.25">
      <c r="A880" s="18" t="s">
        <v>332</v>
      </c>
      <c r="B880" s="18" t="s">
        <v>947</v>
      </c>
      <c r="C880" s="18" t="s">
        <v>428</v>
      </c>
      <c r="D880" s="18" t="s">
        <v>26</v>
      </c>
      <c r="E880" s="18" t="s">
        <v>69</v>
      </c>
      <c r="F880" s="18" t="s">
        <v>432</v>
      </c>
      <c r="G880" s="18" t="s">
        <v>29</v>
      </c>
      <c r="H880" s="19">
        <v>2000</v>
      </c>
      <c r="I880" s="18" t="s">
        <v>38</v>
      </c>
      <c r="J880" s="101">
        <v>16</v>
      </c>
      <c r="K880" s="20">
        <v>12</v>
      </c>
      <c r="L880" s="21">
        <v>1.9</v>
      </c>
      <c r="M880" s="22" t="s">
        <v>30</v>
      </c>
      <c r="N880" s="23">
        <v>1.9</v>
      </c>
      <c r="O880" s="24">
        <v>0.15833333333333333</v>
      </c>
      <c r="P880" s="25" t="str">
        <f>IF(P882="x","x","")</f>
        <v/>
      </c>
      <c r="Q880" s="25" t="str">
        <f>IF(Q882="x","x","")</f>
        <v/>
      </c>
      <c r="R880" s="25" t="str">
        <f>IF(R882="x","x","")</f>
        <v/>
      </c>
      <c r="S880" s="25" t="str">
        <f>IF(S882="x","x","")</f>
        <v/>
      </c>
      <c r="T880" s="25" t="s">
        <v>27</v>
      </c>
      <c r="U880" s="26"/>
      <c r="V880" s="27"/>
    </row>
    <row r="881" spans="1:22" x14ac:dyDescent="0.25">
      <c r="A881" s="18" t="s">
        <v>332</v>
      </c>
      <c r="B881" s="18" t="s">
        <v>947</v>
      </c>
      <c r="C881" s="18" t="s">
        <v>428</v>
      </c>
      <c r="D881" s="18" t="s">
        <v>26</v>
      </c>
      <c r="E881" s="18" t="s">
        <v>69</v>
      </c>
      <c r="F881" s="18" t="s">
        <v>432</v>
      </c>
      <c r="G881" s="18" t="s">
        <v>32</v>
      </c>
      <c r="H881" s="19">
        <v>2006</v>
      </c>
      <c r="I881" s="18" t="s">
        <v>38</v>
      </c>
      <c r="J881" s="101" t="s">
        <v>27</v>
      </c>
      <c r="K881" s="20">
        <v>11</v>
      </c>
      <c r="L881" s="21">
        <v>1.89</v>
      </c>
      <c r="M881" s="22" t="s">
        <v>30</v>
      </c>
      <c r="N881" s="23">
        <v>1.89</v>
      </c>
      <c r="O881" s="24">
        <v>0.17181818181818181</v>
      </c>
      <c r="P881" s="25" t="str">
        <f>IF(P882="x","x","")</f>
        <v/>
      </c>
      <c r="Q881" s="25" t="str">
        <f>IF(Q882="x","x","")</f>
        <v/>
      </c>
      <c r="R881" s="25" t="str">
        <f>IF(R882="x","x","")</f>
        <v/>
      </c>
      <c r="S881" s="25" t="str">
        <f>IF(S882="x","x","")</f>
        <v/>
      </c>
      <c r="T881" s="25" t="s">
        <v>27</v>
      </c>
      <c r="U881" s="26"/>
      <c r="V881" s="27"/>
    </row>
    <row r="882" spans="1:22" ht="16.5" thickBot="1" x14ac:dyDescent="0.3">
      <c r="A882" s="28" t="str">
        <f>A881</f>
        <v>Kyrgyz Republic</v>
      </c>
      <c r="B882" s="28" t="str">
        <f>B881</f>
        <v>Europe and Central Asia</v>
      </c>
      <c r="C882" s="28" t="str">
        <f>C881</f>
        <v>P050719</v>
      </c>
      <c r="D882" s="28" t="s">
        <v>26</v>
      </c>
      <c r="E882" s="28" t="s">
        <v>27</v>
      </c>
      <c r="F882" s="28" t="str">
        <f>F881</f>
        <v>P050719C1S3</v>
      </c>
      <c r="G882" s="28" t="s">
        <v>16</v>
      </c>
      <c r="H882" s="29" t="str">
        <f>H880&amp;" / "&amp;H881</f>
        <v>2000 / 2006</v>
      </c>
      <c r="I882" s="29" t="str">
        <f>I881</f>
        <v>Strengthening</v>
      </c>
      <c r="J882" s="97" t="str">
        <f>IFERROR(J881/J880,"")</f>
        <v/>
      </c>
      <c r="K882" s="32">
        <f>K881/K880</f>
        <v>0.91666666666666663</v>
      </c>
      <c r="L882" s="32">
        <f>L881/L880</f>
        <v>0.99473684210526314</v>
      </c>
      <c r="M882" s="28"/>
      <c r="N882" s="32">
        <f>N881/N880</f>
        <v>0.99473684210526314</v>
      </c>
      <c r="O882" s="32">
        <f>O881/O880</f>
        <v>1.0851674641148326</v>
      </c>
      <c r="P882" s="33" t="str">
        <f>IF(K882&lt;50%,"x","")</f>
        <v/>
      </c>
      <c r="Q882" s="33" t="str">
        <f>IF(K882&gt;150%,"x","")</f>
        <v/>
      </c>
      <c r="R882" s="33" t="str">
        <f>IF(O882&lt;50%,"x","")</f>
        <v/>
      </c>
      <c r="S882" s="33" t="str">
        <f>IF(O882&gt;150%,"x","")</f>
        <v/>
      </c>
      <c r="T882" s="33" t="s">
        <v>27</v>
      </c>
      <c r="U882" s="34" t="s">
        <v>27</v>
      </c>
      <c r="V882" s="35" t="s">
        <v>27</v>
      </c>
    </row>
    <row r="883" spans="1:22" ht="16.5" thickTop="1" x14ac:dyDescent="0.25">
      <c r="A883" s="18" t="s">
        <v>470</v>
      </c>
      <c r="B883" s="18" t="s">
        <v>945</v>
      </c>
      <c r="C883" s="18" t="s">
        <v>471</v>
      </c>
      <c r="D883" s="18" t="s">
        <v>26</v>
      </c>
      <c r="E883" s="18" t="s">
        <v>36</v>
      </c>
      <c r="F883" s="18" t="s">
        <v>472</v>
      </c>
      <c r="G883" s="18" t="s">
        <v>29</v>
      </c>
      <c r="H883" s="19">
        <v>2001</v>
      </c>
      <c r="I883" s="18" t="s">
        <v>136</v>
      </c>
      <c r="J883" s="101" t="s">
        <v>27</v>
      </c>
      <c r="K883" s="20">
        <v>1400</v>
      </c>
      <c r="L883" s="21">
        <v>29.31</v>
      </c>
      <c r="M883" s="22" t="s">
        <v>30</v>
      </c>
      <c r="N883" s="23">
        <v>29.31</v>
      </c>
      <c r="O883" s="24">
        <v>2.0935714285714283E-2</v>
      </c>
      <c r="P883" s="25" t="str">
        <f>IF(P885="x","x","")</f>
        <v/>
      </c>
      <c r="Q883" s="25" t="str">
        <f>IF(Q885="x","x","")</f>
        <v>x</v>
      </c>
      <c r="R883" s="25" t="str">
        <f>IF(R885="x","x","")</f>
        <v/>
      </c>
      <c r="S883" s="25" t="str">
        <f>IF(S885="x","x","")</f>
        <v/>
      </c>
      <c r="T883" s="25" t="s">
        <v>31</v>
      </c>
      <c r="U883" s="26"/>
      <c r="V883" s="27"/>
    </row>
    <row r="884" spans="1:22" x14ac:dyDescent="0.25">
      <c r="A884" s="18" t="s">
        <v>470</v>
      </c>
      <c r="B884" s="18" t="s">
        <v>945</v>
      </c>
      <c r="C884" s="18" t="s">
        <v>471</v>
      </c>
      <c r="D884" s="18" t="s">
        <v>26</v>
      </c>
      <c r="E884" s="18" t="s">
        <v>36</v>
      </c>
      <c r="F884" s="18" t="s">
        <v>472</v>
      </c>
      <c r="G884" s="18" t="s">
        <v>32</v>
      </c>
      <c r="H884" s="19">
        <v>2005</v>
      </c>
      <c r="I884" s="18" t="s">
        <v>136</v>
      </c>
      <c r="J884" s="101" t="s">
        <v>27</v>
      </c>
      <c r="K884" s="20">
        <v>2762</v>
      </c>
      <c r="L884" s="21">
        <v>32.08</v>
      </c>
      <c r="M884" s="22" t="s">
        <v>30</v>
      </c>
      <c r="N884" s="23">
        <v>32.08</v>
      </c>
      <c r="O884" s="24">
        <v>1.1614771904417089E-2</v>
      </c>
      <c r="P884" s="25" t="str">
        <f>IF(P885="x","x","")</f>
        <v/>
      </c>
      <c r="Q884" s="25" t="str">
        <f>IF(Q885="x","x","")</f>
        <v>x</v>
      </c>
      <c r="R884" s="25" t="str">
        <f>IF(R885="x","x","")</f>
        <v/>
      </c>
      <c r="S884" s="25" t="str">
        <f>IF(S885="x","x","")</f>
        <v/>
      </c>
      <c r="T884" s="25" t="s">
        <v>31</v>
      </c>
      <c r="U884" s="26"/>
      <c r="V884" s="27"/>
    </row>
    <row r="885" spans="1:22" ht="32.25" thickBot="1" x14ac:dyDescent="0.3">
      <c r="A885" s="28" t="str">
        <f>A884</f>
        <v>Lao PDR</v>
      </c>
      <c r="B885" s="28" t="str">
        <f>B884</f>
        <v>East Asia and Pacific</v>
      </c>
      <c r="C885" s="28" t="str">
        <f>C884</f>
        <v>P064821</v>
      </c>
      <c r="D885" s="28" t="s">
        <v>26</v>
      </c>
      <c r="E885" s="28" t="s">
        <v>27</v>
      </c>
      <c r="F885" s="28" t="str">
        <f>F884</f>
        <v>P064821C1S1</v>
      </c>
      <c r="G885" s="28" t="s">
        <v>16</v>
      </c>
      <c r="H885" s="29" t="str">
        <f>H883&amp;" / "&amp;H884</f>
        <v>2001 / 2005</v>
      </c>
      <c r="I885" s="29" t="str">
        <f>I884</f>
        <v>Bituminous Pavement Preventive Treatment</v>
      </c>
      <c r="J885" s="97" t="str">
        <f>IFERROR(J884/J883,"")</f>
        <v/>
      </c>
      <c r="K885" s="32">
        <f>K884/K883</f>
        <v>1.9728571428571429</v>
      </c>
      <c r="L885" s="32">
        <f>L884/L883</f>
        <v>1.0945069941999317</v>
      </c>
      <c r="M885" s="28"/>
      <c r="N885" s="32">
        <f>N884/N883</f>
        <v>1.0945069941999317</v>
      </c>
      <c r="O885" s="32">
        <f>O884/O883</f>
        <v>0.55478269076028408</v>
      </c>
      <c r="P885" s="33" t="str">
        <f>IF(K885&lt;50%,"x","")</f>
        <v/>
      </c>
      <c r="Q885" s="33" t="str">
        <f>IF(K885&gt;150%,"x","")</f>
        <v>x</v>
      </c>
      <c r="R885" s="33" t="str">
        <f>IF(O885&lt;50%,"x","")</f>
        <v/>
      </c>
      <c r="S885" s="33" t="str">
        <f>IF(O885&gt;150%,"x","")</f>
        <v/>
      </c>
      <c r="T885" s="33" t="s">
        <v>31</v>
      </c>
      <c r="U885" s="34" t="s">
        <v>988</v>
      </c>
      <c r="V885" s="35" t="s">
        <v>996</v>
      </c>
    </row>
    <row r="886" spans="1:22" ht="16.5" thickTop="1" x14ac:dyDescent="0.25">
      <c r="A886" s="18" t="s">
        <v>470</v>
      </c>
      <c r="B886" s="18" t="s">
        <v>945</v>
      </c>
      <c r="C886" s="18" t="s">
        <v>471</v>
      </c>
      <c r="D886" s="18" t="s">
        <v>26</v>
      </c>
      <c r="E886" s="18" t="s">
        <v>234</v>
      </c>
      <c r="F886" s="18" t="s">
        <v>474</v>
      </c>
      <c r="G886" s="18" t="s">
        <v>29</v>
      </c>
      <c r="H886" s="19">
        <v>2001</v>
      </c>
      <c r="I886" s="18" t="s">
        <v>136</v>
      </c>
      <c r="J886" s="101" t="s">
        <v>27</v>
      </c>
      <c r="K886" s="20">
        <v>20</v>
      </c>
      <c r="L886" s="21">
        <v>0.39</v>
      </c>
      <c r="M886" s="22" t="s">
        <v>30</v>
      </c>
      <c r="N886" s="23">
        <v>0.39</v>
      </c>
      <c r="O886" s="24">
        <v>1.95E-2</v>
      </c>
      <c r="P886" s="25" t="str">
        <f>IF(P888="x","x","")</f>
        <v/>
      </c>
      <c r="Q886" s="25" t="str">
        <f>IF(Q888="x","x","")</f>
        <v/>
      </c>
      <c r="R886" s="25" t="str">
        <f>IF(R888="x","x","")</f>
        <v/>
      </c>
      <c r="S886" s="25" t="str">
        <f>IF(S888="x","x","")</f>
        <v/>
      </c>
      <c r="T886" s="25" t="s">
        <v>27</v>
      </c>
      <c r="U886" s="26"/>
      <c r="V886" s="27"/>
    </row>
    <row r="887" spans="1:22" x14ac:dyDescent="0.25">
      <c r="A887" s="18" t="s">
        <v>470</v>
      </c>
      <c r="B887" s="18" t="s">
        <v>945</v>
      </c>
      <c r="C887" s="18" t="s">
        <v>471</v>
      </c>
      <c r="D887" s="18" t="s">
        <v>26</v>
      </c>
      <c r="E887" s="18" t="s">
        <v>234</v>
      </c>
      <c r="F887" s="18" t="s">
        <v>474</v>
      </c>
      <c r="G887" s="18" t="s">
        <v>32</v>
      </c>
      <c r="H887" s="19">
        <v>2005</v>
      </c>
      <c r="I887" s="18" t="s">
        <v>136</v>
      </c>
      <c r="J887" s="101" t="s">
        <v>27</v>
      </c>
      <c r="K887" s="20">
        <v>20</v>
      </c>
      <c r="L887" s="21">
        <v>0.32</v>
      </c>
      <c r="M887" s="22" t="s">
        <v>30</v>
      </c>
      <c r="N887" s="23">
        <v>0.32</v>
      </c>
      <c r="O887" s="24">
        <v>1.6E-2</v>
      </c>
      <c r="P887" s="25" t="str">
        <f>IF(P888="x","x","")</f>
        <v/>
      </c>
      <c r="Q887" s="25" t="str">
        <f>IF(Q888="x","x","")</f>
        <v/>
      </c>
      <c r="R887" s="25" t="str">
        <f>IF(R888="x","x","")</f>
        <v/>
      </c>
      <c r="S887" s="25" t="str">
        <f>IF(S888="x","x","")</f>
        <v/>
      </c>
      <c r="T887" s="25" t="s">
        <v>27</v>
      </c>
      <c r="U887" s="26"/>
      <c r="V887" s="27"/>
    </row>
    <row r="888" spans="1:22" ht="16.5" thickBot="1" x14ac:dyDescent="0.3">
      <c r="A888" s="28" t="str">
        <f>A887</f>
        <v>Lao PDR</v>
      </c>
      <c r="B888" s="28" t="str">
        <f>B887</f>
        <v>East Asia and Pacific</v>
      </c>
      <c r="C888" s="28" t="str">
        <f>C887</f>
        <v>P064821</v>
      </c>
      <c r="D888" s="28" t="s">
        <v>26</v>
      </c>
      <c r="E888" s="28" t="s">
        <v>27</v>
      </c>
      <c r="F888" s="28" t="str">
        <f>F887</f>
        <v>P064821C1S10</v>
      </c>
      <c r="G888" s="28" t="s">
        <v>16</v>
      </c>
      <c r="H888" s="29" t="str">
        <f>H886&amp;" / "&amp;H887</f>
        <v>2001 / 2005</v>
      </c>
      <c r="I888" s="29" t="str">
        <f>I887</f>
        <v>Bituminous Pavement Preventive Treatment</v>
      </c>
      <c r="J888" s="97" t="str">
        <f>IFERROR(J887/J886,"")</f>
        <v/>
      </c>
      <c r="K888" s="32">
        <f>K887/K886</f>
        <v>1</v>
      </c>
      <c r="L888" s="32">
        <f>L887/L886</f>
        <v>0.82051282051282048</v>
      </c>
      <c r="M888" s="28"/>
      <c r="N888" s="32">
        <f>N887/N886</f>
        <v>0.82051282051282048</v>
      </c>
      <c r="O888" s="32">
        <f>O887/O886</f>
        <v>0.82051282051282048</v>
      </c>
      <c r="P888" s="33" t="str">
        <f>IF(K888&lt;50%,"x","")</f>
        <v/>
      </c>
      <c r="Q888" s="33" t="str">
        <f>IF(K888&gt;150%,"x","")</f>
        <v/>
      </c>
      <c r="R888" s="33" t="str">
        <f>IF(O888&lt;50%,"x","")</f>
        <v/>
      </c>
      <c r="S888" s="33" t="str">
        <f>IF(O888&gt;150%,"x","")</f>
        <v/>
      </c>
      <c r="T888" s="33" t="s">
        <v>27</v>
      </c>
      <c r="U888" s="34" t="s">
        <v>27</v>
      </c>
      <c r="V888" s="35" t="s">
        <v>27</v>
      </c>
    </row>
    <row r="889" spans="1:22" ht="16.5" thickTop="1" x14ac:dyDescent="0.25">
      <c r="A889" s="18" t="s">
        <v>470</v>
      </c>
      <c r="B889" s="18" t="s">
        <v>945</v>
      </c>
      <c r="C889" s="18" t="s">
        <v>471</v>
      </c>
      <c r="D889" s="18" t="s">
        <v>26</v>
      </c>
      <c r="E889" s="18" t="s">
        <v>236</v>
      </c>
      <c r="F889" s="18" t="s">
        <v>475</v>
      </c>
      <c r="G889" s="18" t="s">
        <v>29</v>
      </c>
      <c r="H889" s="19">
        <v>2001</v>
      </c>
      <c r="I889" s="18" t="s">
        <v>122</v>
      </c>
      <c r="J889" s="101" t="s">
        <v>27</v>
      </c>
      <c r="K889" s="20">
        <v>50</v>
      </c>
      <c r="L889" s="21">
        <v>0.55000000000000004</v>
      </c>
      <c r="M889" s="22" t="s">
        <v>30</v>
      </c>
      <c r="N889" s="23">
        <v>0.55000000000000004</v>
      </c>
      <c r="O889" s="24">
        <v>1.1000000000000001E-2</v>
      </c>
      <c r="P889" s="25" t="str">
        <f>IF(P891="x","x","")</f>
        <v/>
      </c>
      <c r="Q889" s="25" t="str">
        <f>IF(Q891="x","x","")</f>
        <v/>
      </c>
      <c r="R889" s="25" t="str">
        <f>IF(R891="x","x","")</f>
        <v/>
      </c>
      <c r="S889" s="25" t="str">
        <f>IF(S891="x","x","")</f>
        <v/>
      </c>
      <c r="T889" s="25" t="s">
        <v>27</v>
      </c>
      <c r="U889" s="26"/>
      <c r="V889" s="27"/>
    </row>
    <row r="890" spans="1:22" x14ac:dyDescent="0.25">
      <c r="A890" s="18" t="s">
        <v>470</v>
      </c>
      <c r="B890" s="18" t="s">
        <v>945</v>
      </c>
      <c r="C890" s="18" t="s">
        <v>471</v>
      </c>
      <c r="D890" s="18" t="s">
        <v>26</v>
      </c>
      <c r="E890" s="18" t="s">
        <v>236</v>
      </c>
      <c r="F890" s="18" t="s">
        <v>475</v>
      </c>
      <c r="G890" s="18" t="s">
        <v>32</v>
      </c>
      <c r="H890" s="19">
        <v>2005</v>
      </c>
      <c r="I890" s="18" t="s">
        <v>122</v>
      </c>
      <c r="J890" s="101" t="s">
        <v>27</v>
      </c>
      <c r="K890" s="20">
        <v>50</v>
      </c>
      <c r="L890" s="21">
        <v>0.46</v>
      </c>
      <c r="M890" s="22" t="s">
        <v>30</v>
      </c>
      <c r="N890" s="23">
        <v>0.46</v>
      </c>
      <c r="O890" s="24">
        <v>9.1999999999999998E-3</v>
      </c>
      <c r="P890" s="25" t="str">
        <f>IF(P891="x","x","")</f>
        <v/>
      </c>
      <c r="Q890" s="25" t="str">
        <f>IF(Q891="x","x","")</f>
        <v/>
      </c>
      <c r="R890" s="25" t="str">
        <f>IF(R891="x","x","")</f>
        <v/>
      </c>
      <c r="S890" s="25" t="str">
        <f>IF(S891="x","x","")</f>
        <v/>
      </c>
      <c r="T890" s="25" t="s">
        <v>27</v>
      </c>
      <c r="U890" s="26"/>
      <c r="V890" s="27"/>
    </row>
    <row r="891" spans="1:22" ht="16.5" thickBot="1" x14ac:dyDescent="0.3">
      <c r="A891" s="28" t="str">
        <f>A890</f>
        <v>Lao PDR</v>
      </c>
      <c r="B891" s="28" t="str">
        <f>B890</f>
        <v>East Asia and Pacific</v>
      </c>
      <c r="C891" s="28" t="str">
        <f>C890</f>
        <v>P064821</v>
      </c>
      <c r="D891" s="28" t="s">
        <v>26</v>
      </c>
      <c r="E891" s="28" t="s">
        <v>27</v>
      </c>
      <c r="F891" s="28" t="str">
        <f>F890</f>
        <v>P064821C1S11</v>
      </c>
      <c r="G891" s="28" t="s">
        <v>16</v>
      </c>
      <c r="H891" s="29" t="str">
        <f>H889&amp;" / "&amp;H890</f>
        <v>2001 / 2005</v>
      </c>
      <c r="I891" s="29" t="str">
        <f>I890</f>
        <v>Gravel Resurfacing</v>
      </c>
      <c r="J891" s="97" t="str">
        <f>IFERROR(J890/J889,"")</f>
        <v/>
      </c>
      <c r="K891" s="32">
        <f>K890/K889</f>
        <v>1</v>
      </c>
      <c r="L891" s="32">
        <f>L890/L889</f>
        <v>0.83636363636363631</v>
      </c>
      <c r="M891" s="28"/>
      <c r="N891" s="32">
        <f>N890/N889</f>
        <v>0.83636363636363631</v>
      </c>
      <c r="O891" s="32">
        <f>O890/O889</f>
        <v>0.83636363636363631</v>
      </c>
      <c r="P891" s="33" t="str">
        <f>IF(K891&lt;50%,"x","")</f>
        <v/>
      </c>
      <c r="Q891" s="33" t="str">
        <f>IF(K891&gt;150%,"x","")</f>
        <v/>
      </c>
      <c r="R891" s="33" t="str">
        <f>IF(O891&lt;50%,"x","")</f>
        <v/>
      </c>
      <c r="S891" s="33" t="str">
        <f>IF(O891&gt;150%,"x","")</f>
        <v/>
      </c>
      <c r="T891" s="33" t="s">
        <v>27</v>
      </c>
      <c r="U891" s="34" t="s">
        <v>27</v>
      </c>
      <c r="V891" s="35" t="s">
        <v>27</v>
      </c>
    </row>
    <row r="892" spans="1:22" ht="16.5" thickTop="1" x14ac:dyDescent="0.25">
      <c r="A892" s="18" t="s">
        <v>470</v>
      </c>
      <c r="B892" s="18" t="s">
        <v>945</v>
      </c>
      <c r="C892" s="18" t="s">
        <v>471</v>
      </c>
      <c r="D892" s="18" t="s">
        <v>26</v>
      </c>
      <c r="E892" s="18" t="s">
        <v>40</v>
      </c>
      <c r="F892" s="18" t="s">
        <v>476</v>
      </c>
      <c r="G892" s="18" t="s">
        <v>29</v>
      </c>
      <c r="H892" s="19">
        <v>2001</v>
      </c>
      <c r="I892" s="18" t="s">
        <v>44</v>
      </c>
      <c r="J892" s="101" t="s">
        <v>27</v>
      </c>
      <c r="K892" s="20">
        <v>15250</v>
      </c>
      <c r="L892" s="21">
        <v>13.41</v>
      </c>
      <c r="M892" s="22" t="s">
        <v>30</v>
      </c>
      <c r="N892" s="23">
        <v>13.41</v>
      </c>
      <c r="O892" s="24">
        <v>8.7934426229508192E-4</v>
      </c>
      <c r="P892" s="25" t="str">
        <f>IF(P894="x","x","")</f>
        <v/>
      </c>
      <c r="Q892" s="25" t="str">
        <f>IF(Q894="x","x","")</f>
        <v>x</v>
      </c>
      <c r="R892" s="25" t="str">
        <f>IF(R894="x","x","")</f>
        <v>x</v>
      </c>
      <c r="S892" s="25" t="str">
        <f>IF(S894="x","x","")</f>
        <v/>
      </c>
      <c r="T892" s="25" t="s">
        <v>31</v>
      </c>
      <c r="U892" s="26"/>
      <c r="V892" s="27"/>
    </row>
    <row r="893" spans="1:22" x14ac:dyDescent="0.25">
      <c r="A893" s="18" t="s">
        <v>470</v>
      </c>
      <c r="B893" s="18" t="s">
        <v>945</v>
      </c>
      <c r="C893" s="18" t="s">
        <v>471</v>
      </c>
      <c r="D893" s="18" t="s">
        <v>26</v>
      </c>
      <c r="E893" s="18" t="s">
        <v>40</v>
      </c>
      <c r="F893" s="18" t="s">
        <v>476</v>
      </c>
      <c r="G893" s="18" t="s">
        <v>32</v>
      </c>
      <c r="H893" s="19">
        <v>2005</v>
      </c>
      <c r="I893" s="18" t="s">
        <v>44</v>
      </c>
      <c r="J893" s="101" t="s">
        <v>27</v>
      </c>
      <c r="K893" s="20">
        <v>25028</v>
      </c>
      <c r="L893" s="21">
        <v>5.72</v>
      </c>
      <c r="M893" s="22" t="s">
        <v>30</v>
      </c>
      <c r="N893" s="23">
        <v>5.72</v>
      </c>
      <c r="O893" s="24">
        <v>2.2854403068563208E-4</v>
      </c>
      <c r="P893" s="25" t="str">
        <f>IF(P894="x","x","")</f>
        <v/>
      </c>
      <c r="Q893" s="25" t="str">
        <f>IF(Q894="x","x","")</f>
        <v>x</v>
      </c>
      <c r="R893" s="25" t="str">
        <f>IF(R894="x","x","")</f>
        <v>x</v>
      </c>
      <c r="S893" s="25" t="str">
        <f>IF(S894="x","x","")</f>
        <v/>
      </c>
      <c r="T893" s="25" t="s">
        <v>31</v>
      </c>
      <c r="U893" s="26"/>
      <c r="V893" s="27"/>
    </row>
    <row r="894" spans="1:22" ht="111" thickBot="1" x14ac:dyDescent="0.3">
      <c r="A894" s="28" t="str">
        <f>A893</f>
        <v>Lao PDR</v>
      </c>
      <c r="B894" s="28" t="str">
        <f>B893</f>
        <v>East Asia and Pacific</v>
      </c>
      <c r="C894" s="28" t="str">
        <f>C893</f>
        <v>P064821</v>
      </c>
      <c r="D894" s="28" t="s">
        <v>26</v>
      </c>
      <c r="E894" s="28" t="s">
        <v>27</v>
      </c>
      <c r="F894" s="28" t="str">
        <f>F893</f>
        <v>P064821C1S2</v>
      </c>
      <c r="G894" s="28" t="s">
        <v>16</v>
      </c>
      <c r="H894" s="29" t="str">
        <f>H892&amp;" / "&amp;H893</f>
        <v>2001 / 2005</v>
      </c>
      <c r="I894" s="29" t="str">
        <f>I893</f>
        <v>Routine Maintenance</v>
      </c>
      <c r="J894" s="97" t="str">
        <f>IFERROR(J893/J892,"")</f>
        <v/>
      </c>
      <c r="K894" s="32">
        <f>K893/K892</f>
        <v>1.6411803278688524</v>
      </c>
      <c r="L894" s="32">
        <f>L893/L892</f>
        <v>0.42654735272184935</v>
      </c>
      <c r="M894" s="28"/>
      <c r="N894" s="32">
        <f>N893/N892</f>
        <v>0.42654735272184935</v>
      </c>
      <c r="O894" s="32">
        <f>O893/O892</f>
        <v>0.25990279403101335</v>
      </c>
      <c r="P894" s="33" t="str">
        <f>IF(K894&lt;50%,"x","")</f>
        <v/>
      </c>
      <c r="Q894" s="33" t="str">
        <f>IF(K894&gt;150%,"x","")</f>
        <v>x</v>
      </c>
      <c r="R894" s="33" t="str">
        <f>IF(O894&lt;50%,"x","")</f>
        <v>x</v>
      </c>
      <c r="S894" s="33" t="str">
        <f>IF(O894&gt;150%,"x","")</f>
        <v/>
      </c>
      <c r="T894" s="33" t="s">
        <v>31</v>
      </c>
      <c r="U894" s="34" t="s">
        <v>997</v>
      </c>
      <c r="V894" s="35" t="s">
        <v>998</v>
      </c>
    </row>
    <row r="895" spans="1:22" ht="16.5" thickTop="1" x14ac:dyDescent="0.25">
      <c r="A895" s="18" t="s">
        <v>470</v>
      </c>
      <c r="B895" s="18" t="s">
        <v>945</v>
      </c>
      <c r="C895" s="18" t="s">
        <v>471</v>
      </c>
      <c r="D895" s="18" t="s">
        <v>26</v>
      </c>
      <c r="E895" s="18" t="s">
        <v>69</v>
      </c>
      <c r="F895" s="18" t="s">
        <v>477</v>
      </c>
      <c r="G895" s="18" t="s">
        <v>29</v>
      </c>
      <c r="H895" s="19">
        <v>2001</v>
      </c>
      <c r="I895" s="18" t="s">
        <v>122</v>
      </c>
      <c r="J895" s="101" t="s">
        <v>27</v>
      </c>
      <c r="K895" s="20">
        <v>45</v>
      </c>
      <c r="L895" s="21">
        <v>0.41</v>
      </c>
      <c r="M895" s="22" t="s">
        <v>30</v>
      </c>
      <c r="N895" s="23">
        <v>0.41</v>
      </c>
      <c r="O895" s="24">
        <v>9.1111111111111098E-3</v>
      </c>
      <c r="P895" s="25" t="str">
        <f>IF(P897="x","x","")</f>
        <v/>
      </c>
      <c r="Q895" s="25" t="str">
        <f>IF(Q897="x","x","")</f>
        <v/>
      </c>
      <c r="R895" s="25" t="str">
        <f>IF(R897="x","x","")</f>
        <v/>
      </c>
      <c r="S895" s="25" t="str">
        <f>IF(S897="x","x","")</f>
        <v/>
      </c>
      <c r="T895" s="25" t="s">
        <v>27</v>
      </c>
      <c r="U895" s="26"/>
      <c r="V895" s="27"/>
    </row>
    <row r="896" spans="1:22" x14ac:dyDescent="0.25">
      <c r="A896" s="18" t="s">
        <v>470</v>
      </c>
      <c r="B896" s="18" t="s">
        <v>945</v>
      </c>
      <c r="C896" s="18" t="s">
        <v>471</v>
      </c>
      <c r="D896" s="18" t="s">
        <v>26</v>
      </c>
      <c r="E896" s="18" t="s">
        <v>69</v>
      </c>
      <c r="F896" s="18" t="s">
        <v>477</v>
      </c>
      <c r="G896" s="18" t="s">
        <v>32</v>
      </c>
      <c r="H896" s="19">
        <v>2005</v>
      </c>
      <c r="I896" s="18" t="s">
        <v>122</v>
      </c>
      <c r="J896" s="101" t="s">
        <v>27</v>
      </c>
      <c r="K896" s="20">
        <v>45</v>
      </c>
      <c r="L896" s="21">
        <v>0.34</v>
      </c>
      <c r="M896" s="22" t="s">
        <v>30</v>
      </c>
      <c r="N896" s="23">
        <v>0.34</v>
      </c>
      <c r="O896" s="24">
        <v>7.5555555555555558E-3</v>
      </c>
      <c r="P896" s="25" t="str">
        <f>IF(P897="x","x","")</f>
        <v/>
      </c>
      <c r="Q896" s="25" t="str">
        <f>IF(Q897="x","x","")</f>
        <v/>
      </c>
      <c r="R896" s="25" t="str">
        <f>IF(R897="x","x","")</f>
        <v/>
      </c>
      <c r="S896" s="25" t="str">
        <f>IF(S897="x","x","")</f>
        <v/>
      </c>
      <c r="T896" s="25" t="s">
        <v>27</v>
      </c>
      <c r="U896" s="26"/>
      <c r="V896" s="27"/>
    </row>
    <row r="897" spans="1:22" ht="16.5" thickBot="1" x14ac:dyDescent="0.3">
      <c r="A897" s="28" t="str">
        <f>A896</f>
        <v>Lao PDR</v>
      </c>
      <c r="B897" s="28" t="str">
        <f>B896</f>
        <v>East Asia and Pacific</v>
      </c>
      <c r="C897" s="28" t="str">
        <f>C896</f>
        <v>P064821</v>
      </c>
      <c r="D897" s="28" t="s">
        <v>26</v>
      </c>
      <c r="E897" s="28" t="s">
        <v>27</v>
      </c>
      <c r="F897" s="28" t="str">
        <f>F896</f>
        <v>P064821C1S3</v>
      </c>
      <c r="G897" s="28" t="s">
        <v>16</v>
      </c>
      <c r="H897" s="29" t="str">
        <f>H895&amp;" / "&amp;H896</f>
        <v>2001 / 2005</v>
      </c>
      <c r="I897" s="29" t="str">
        <f>I896</f>
        <v>Gravel Resurfacing</v>
      </c>
      <c r="J897" s="97" t="str">
        <f>IFERROR(J896/J895,"")</f>
        <v/>
      </c>
      <c r="K897" s="32">
        <f>K896/K895</f>
        <v>1</v>
      </c>
      <c r="L897" s="32">
        <f>L896/L895</f>
        <v>0.8292682926829269</v>
      </c>
      <c r="M897" s="28"/>
      <c r="N897" s="32">
        <f>N896/N895</f>
        <v>0.8292682926829269</v>
      </c>
      <c r="O897" s="32">
        <f>O896/O895</f>
        <v>0.82926829268292701</v>
      </c>
      <c r="P897" s="33" t="str">
        <f>IF(K897&lt;50%,"x","")</f>
        <v/>
      </c>
      <c r="Q897" s="33" t="str">
        <f>IF(K897&gt;150%,"x","")</f>
        <v/>
      </c>
      <c r="R897" s="33" t="str">
        <f>IF(O897&lt;50%,"x","")</f>
        <v/>
      </c>
      <c r="S897" s="33" t="str">
        <f>IF(O897&gt;150%,"x","")</f>
        <v/>
      </c>
      <c r="T897" s="33" t="s">
        <v>27</v>
      </c>
      <c r="U897" s="34" t="s">
        <v>27</v>
      </c>
      <c r="V897" s="35" t="s">
        <v>27</v>
      </c>
    </row>
    <row r="898" spans="1:22" ht="16.5" thickTop="1" x14ac:dyDescent="0.25">
      <c r="A898" s="18" t="s">
        <v>470</v>
      </c>
      <c r="B898" s="18" t="s">
        <v>945</v>
      </c>
      <c r="C898" s="18" t="s">
        <v>471</v>
      </c>
      <c r="D898" s="18" t="s">
        <v>26</v>
      </c>
      <c r="E898" s="18" t="s">
        <v>71</v>
      </c>
      <c r="F898" s="18" t="s">
        <v>478</v>
      </c>
      <c r="G898" s="18" t="s">
        <v>29</v>
      </c>
      <c r="H898" s="19">
        <v>2001</v>
      </c>
      <c r="I898" s="18" t="s">
        <v>136</v>
      </c>
      <c r="J898" s="101" t="s">
        <v>27</v>
      </c>
      <c r="K898" s="20">
        <v>30</v>
      </c>
      <c r="L898" s="21">
        <v>0.7</v>
      </c>
      <c r="M898" s="22" t="s">
        <v>30</v>
      </c>
      <c r="N898" s="23">
        <v>0.7</v>
      </c>
      <c r="O898" s="24">
        <v>2.3333333333333331E-2</v>
      </c>
      <c r="P898" s="25" t="str">
        <f>IF(P900="x","x","")</f>
        <v/>
      </c>
      <c r="Q898" s="25" t="str">
        <f>IF(Q900="x","x","")</f>
        <v/>
      </c>
      <c r="R898" s="25" t="str">
        <f>IF(R900="x","x","")</f>
        <v/>
      </c>
      <c r="S898" s="25" t="str">
        <f>IF(S900="x","x","")</f>
        <v/>
      </c>
      <c r="T898" s="25" t="s">
        <v>27</v>
      </c>
      <c r="U898" s="26"/>
      <c r="V898" s="27"/>
    </row>
    <row r="899" spans="1:22" x14ac:dyDescent="0.25">
      <c r="A899" s="18" t="s">
        <v>470</v>
      </c>
      <c r="B899" s="18" t="s">
        <v>945</v>
      </c>
      <c r="C899" s="18" t="s">
        <v>471</v>
      </c>
      <c r="D899" s="18" t="s">
        <v>26</v>
      </c>
      <c r="E899" s="18" t="s">
        <v>71</v>
      </c>
      <c r="F899" s="18" t="s">
        <v>478</v>
      </c>
      <c r="G899" s="18" t="s">
        <v>32</v>
      </c>
      <c r="H899" s="19">
        <v>2005</v>
      </c>
      <c r="I899" s="18" t="s">
        <v>136</v>
      </c>
      <c r="J899" s="101" t="s">
        <v>27</v>
      </c>
      <c r="K899" s="20">
        <v>30</v>
      </c>
      <c r="L899" s="21">
        <v>0.65</v>
      </c>
      <c r="M899" s="22" t="s">
        <v>30</v>
      </c>
      <c r="N899" s="23">
        <v>0.65</v>
      </c>
      <c r="O899" s="24">
        <v>2.1666666666666667E-2</v>
      </c>
      <c r="P899" s="25" t="str">
        <f>IF(P900="x","x","")</f>
        <v/>
      </c>
      <c r="Q899" s="25" t="str">
        <f>IF(Q900="x","x","")</f>
        <v/>
      </c>
      <c r="R899" s="25" t="str">
        <f>IF(R900="x","x","")</f>
        <v/>
      </c>
      <c r="S899" s="25" t="str">
        <f>IF(S900="x","x","")</f>
        <v/>
      </c>
      <c r="T899" s="25" t="s">
        <v>27</v>
      </c>
      <c r="U899" s="26"/>
      <c r="V899" s="27"/>
    </row>
    <row r="900" spans="1:22" ht="16.5" thickBot="1" x14ac:dyDescent="0.3">
      <c r="A900" s="28" t="str">
        <f>A899</f>
        <v>Lao PDR</v>
      </c>
      <c r="B900" s="28" t="str">
        <f>B899</f>
        <v>East Asia and Pacific</v>
      </c>
      <c r="C900" s="28" t="str">
        <f>C899</f>
        <v>P064821</v>
      </c>
      <c r="D900" s="28" t="s">
        <v>26</v>
      </c>
      <c r="E900" s="28" t="s">
        <v>27</v>
      </c>
      <c r="F900" s="28" t="str">
        <f>F899</f>
        <v>P064821C1S4</v>
      </c>
      <c r="G900" s="28" t="s">
        <v>16</v>
      </c>
      <c r="H900" s="29" t="str">
        <f>H898&amp;" / "&amp;H899</f>
        <v>2001 / 2005</v>
      </c>
      <c r="I900" s="29" t="str">
        <f>I899</f>
        <v>Bituminous Pavement Preventive Treatment</v>
      </c>
      <c r="J900" s="97" t="str">
        <f>IFERROR(J899/J898,"")</f>
        <v/>
      </c>
      <c r="K900" s="32">
        <f>K899/K898</f>
        <v>1</v>
      </c>
      <c r="L900" s="32">
        <f>L899/L898</f>
        <v>0.92857142857142871</v>
      </c>
      <c r="M900" s="28"/>
      <c r="N900" s="32">
        <f>N899/N898</f>
        <v>0.92857142857142871</v>
      </c>
      <c r="O900" s="32">
        <f>O899/O898</f>
        <v>0.92857142857142871</v>
      </c>
      <c r="P900" s="33" t="str">
        <f>IF(K900&lt;50%,"x","")</f>
        <v/>
      </c>
      <c r="Q900" s="33" t="str">
        <f>IF(K900&gt;150%,"x","")</f>
        <v/>
      </c>
      <c r="R900" s="33" t="str">
        <f>IF(O900&lt;50%,"x","")</f>
        <v/>
      </c>
      <c r="S900" s="33" t="str">
        <f>IF(O900&gt;150%,"x","")</f>
        <v/>
      </c>
      <c r="T900" s="33" t="s">
        <v>27</v>
      </c>
      <c r="U900" s="34" t="s">
        <v>27</v>
      </c>
      <c r="V900" s="35" t="s">
        <v>27</v>
      </c>
    </row>
    <row r="901" spans="1:22" ht="16.5" thickTop="1" x14ac:dyDescent="0.25">
      <c r="A901" s="18" t="s">
        <v>470</v>
      </c>
      <c r="B901" s="18" t="s">
        <v>945</v>
      </c>
      <c r="C901" s="18" t="s">
        <v>471</v>
      </c>
      <c r="D901" s="18" t="s">
        <v>26</v>
      </c>
      <c r="E901" s="18" t="s">
        <v>141</v>
      </c>
      <c r="F901" s="18" t="s">
        <v>479</v>
      </c>
      <c r="G901" s="18" t="s">
        <v>29</v>
      </c>
      <c r="H901" s="19">
        <v>2001</v>
      </c>
      <c r="I901" s="18" t="s">
        <v>136</v>
      </c>
      <c r="J901" s="101" t="s">
        <v>27</v>
      </c>
      <c r="K901" s="20">
        <v>50</v>
      </c>
      <c r="L901" s="21">
        <v>0.86</v>
      </c>
      <c r="M901" s="22" t="s">
        <v>30</v>
      </c>
      <c r="N901" s="23">
        <v>0.86</v>
      </c>
      <c r="O901" s="24">
        <v>1.72E-2</v>
      </c>
      <c r="P901" s="25" t="str">
        <f>IF(P903="x","x","")</f>
        <v/>
      </c>
      <c r="Q901" s="25" t="str">
        <f>IF(Q903="x","x","")</f>
        <v/>
      </c>
      <c r="R901" s="25" t="str">
        <f>IF(R903="x","x","")</f>
        <v/>
      </c>
      <c r="S901" s="25" t="str">
        <f>IF(S903="x","x","")</f>
        <v/>
      </c>
      <c r="T901" s="25" t="s">
        <v>27</v>
      </c>
      <c r="U901" s="26"/>
      <c r="V901" s="27"/>
    </row>
    <row r="902" spans="1:22" x14ac:dyDescent="0.25">
      <c r="A902" s="18" t="s">
        <v>470</v>
      </c>
      <c r="B902" s="18" t="s">
        <v>945</v>
      </c>
      <c r="C902" s="18" t="s">
        <v>471</v>
      </c>
      <c r="D902" s="18" t="s">
        <v>26</v>
      </c>
      <c r="E902" s="18" t="s">
        <v>141</v>
      </c>
      <c r="F902" s="18" t="s">
        <v>479</v>
      </c>
      <c r="G902" s="18" t="s">
        <v>32</v>
      </c>
      <c r="H902" s="19">
        <v>2005</v>
      </c>
      <c r="I902" s="18" t="s">
        <v>136</v>
      </c>
      <c r="J902" s="101" t="s">
        <v>27</v>
      </c>
      <c r="K902" s="20">
        <v>50</v>
      </c>
      <c r="L902" s="21">
        <v>0.71</v>
      </c>
      <c r="M902" s="22" t="s">
        <v>30</v>
      </c>
      <c r="N902" s="23">
        <v>0.71</v>
      </c>
      <c r="O902" s="24">
        <v>1.4199999999999999E-2</v>
      </c>
      <c r="P902" s="25" t="str">
        <f>IF(P903="x","x","")</f>
        <v/>
      </c>
      <c r="Q902" s="25" t="str">
        <f>IF(Q903="x","x","")</f>
        <v/>
      </c>
      <c r="R902" s="25" t="str">
        <f>IF(R903="x","x","")</f>
        <v/>
      </c>
      <c r="S902" s="25" t="str">
        <f>IF(S903="x","x","")</f>
        <v/>
      </c>
      <c r="T902" s="25" t="s">
        <v>27</v>
      </c>
      <c r="U902" s="26"/>
      <c r="V902" s="27"/>
    </row>
    <row r="903" spans="1:22" ht="16.5" thickBot="1" x14ac:dyDescent="0.3">
      <c r="A903" s="28" t="str">
        <f>A902</f>
        <v>Lao PDR</v>
      </c>
      <c r="B903" s="28" t="str">
        <f>B902</f>
        <v>East Asia and Pacific</v>
      </c>
      <c r="C903" s="28" t="str">
        <f>C902</f>
        <v>P064821</v>
      </c>
      <c r="D903" s="28" t="s">
        <v>26</v>
      </c>
      <c r="E903" s="28" t="s">
        <v>27</v>
      </c>
      <c r="F903" s="28" t="str">
        <f>F902</f>
        <v>P064821C1S5</v>
      </c>
      <c r="G903" s="28" t="s">
        <v>16</v>
      </c>
      <c r="H903" s="29" t="str">
        <f>H901&amp;" / "&amp;H902</f>
        <v>2001 / 2005</v>
      </c>
      <c r="I903" s="29" t="str">
        <f>I902</f>
        <v>Bituminous Pavement Preventive Treatment</v>
      </c>
      <c r="J903" s="97" t="str">
        <f>IFERROR(J902/J901,"")</f>
        <v/>
      </c>
      <c r="K903" s="32">
        <f>K902/K901</f>
        <v>1</v>
      </c>
      <c r="L903" s="32">
        <f>L902/L901</f>
        <v>0.82558139534883723</v>
      </c>
      <c r="M903" s="28"/>
      <c r="N903" s="32">
        <f>N902/N901</f>
        <v>0.82558139534883723</v>
      </c>
      <c r="O903" s="32">
        <f>O902/O901</f>
        <v>0.82558139534883712</v>
      </c>
      <c r="P903" s="33" t="str">
        <f>IF(K903&lt;50%,"x","")</f>
        <v/>
      </c>
      <c r="Q903" s="33" t="str">
        <f>IF(K903&gt;150%,"x","")</f>
        <v/>
      </c>
      <c r="R903" s="33" t="str">
        <f>IF(O903&lt;50%,"x","")</f>
        <v/>
      </c>
      <c r="S903" s="33" t="str">
        <f>IF(O903&gt;150%,"x","")</f>
        <v/>
      </c>
      <c r="T903" s="33" t="s">
        <v>27</v>
      </c>
      <c r="U903" s="34" t="s">
        <v>27</v>
      </c>
      <c r="V903" s="35" t="s">
        <v>27</v>
      </c>
    </row>
    <row r="904" spans="1:22" ht="16.5" thickTop="1" x14ac:dyDescent="0.25">
      <c r="A904" s="18" t="s">
        <v>470</v>
      </c>
      <c r="B904" s="18" t="s">
        <v>945</v>
      </c>
      <c r="C904" s="18" t="s">
        <v>471</v>
      </c>
      <c r="D904" s="18" t="s">
        <v>26</v>
      </c>
      <c r="E904" s="18" t="s">
        <v>143</v>
      </c>
      <c r="F904" s="18" t="s">
        <v>480</v>
      </c>
      <c r="G904" s="18" t="s">
        <v>29</v>
      </c>
      <c r="H904" s="19">
        <v>2001</v>
      </c>
      <c r="I904" s="18" t="s">
        <v>136</v>
      </c>
      <c r="J904" s="101" t="s">
        <v>27</v>
      </c>
      <c r="K904" s="20">
        <v>50</v>
      </c>
      <c r="L904" s="21">
        <v>0.98</v>
      </c>
      <c r="M904" s="22" t="s">
        <v>30</v>
      </c>
      <c r="N904" s="23">
        <v>0.98</v>
      </c>
      <c r="O904" s="24">
        <v>1.9599999999999999E-2</v>
      </c>
      <c r="P904" s="25" t="str">
        <f>IF(P906="x","x","")</f>
        <v/>
      </c>
      <c r="Q904" s="25" t="str">
        <f>IF(Q906="x","x","")</f>
        <v/>
      </c>
      <c r="R904" s="25" t="str">
        <f>IF(R906="x","x","")</f>
        <v/>
      </c>
      <c r="S904" s="25" t="str">
        <f>IF(S906="x","x","")</f>
        <v/>
      </c>
      <c r="T904" s="25" t="s">
        <v>27</v>
      </c>
      <c r="U904" s="26"/>
      <c r="V904" s="27"/>
    </row>
    <row r="905" spans="1:22" x14ac:dyDescent="0.25">
      <c r="A905" s="18" t="s">
        <v>470</v>
      </c>
      <c r="B905" s="18" t="s">
        <v>945</v>
      </c>
      <c r="C905" s="18" t="s">
        <v>471</v>
      </c>
      <c r="D905" s="18" t="s">
        <v>26</v>
      </c>
      <c r="E905" s="18" t="s">
        <v>143</v>
      </c>
      <c r="F905" s="18" t="s">
        <v>480</v>
      </c>
      <c r="G905" s="18" t="s">
        <v>32</v>
      </c>
      <c r="H905" s="19">
        <v>2005</v>
      </c>
      <c r="I905" s="18" t="s">
        <v>136</v>
      </c>
      <c r="J905" s="101" t="s">
        <v>27</v>
      </c>
      <c r="K905" s="20">
        <v>50</v>
      </c>
      <c r="L905" s="21">
        <v>0.81</v>
      </c>
      <c r="M905" s="22" t="s">
        <v>30</v>
      </c>
      <c r="N905" s="23">
        <v>0.81</v>
      </c>
      <c r="O905" s="24">
        <v>1.6200000000000003E-2</v>
      </c>
      <c r="P905" s="25" t="str">
        <f>IF(P906="x","x","")</f>
        <v/>
      </c>
      <c r="Q905" s="25" t="str">
        <f>IF(Q906="x","x","")</f>
        <v/>
      </c>
      <c r="R905" s="25" t="str">
        <f>IF(R906="x","x","")</f>
        <v/>
      </c>
      <c r="S905" s="25" t="str">
        <f>IF(S906="x","x","")</f>
        <v/>
      </c>
      <c r="T905" s="25" t="s">
        <v>27</v>
      </c>
      <c r="U905" s="26"/>
      <c r="V905" s="27"/>
    </row>
    <row r="906" spans="1:22" ht="16.5" thickBot="1" x14ac:dyDescent="0.3">
      <c r="A906" s="28" t="str">
        <f>A905</f>
        <v>Lao PDR</v>
      </c>
      <c r="B906" s="28" t="str">
        <f>B905</f>
        <v>East Asia and Pacific</v>
      </c>
      <c r="C906" s="28" t="str">
        <f>C905</f>
        <v>P064821</v>
      </c>
      <c r="D906" s="28" t="s">
        <v>26</v>
      </c>
      <c r="E906" s="28" t="s">
        <v>27</v>
      </c>
      <c r="F906" s="28" t="str">
        <f>F905</f>
        <v>P064821C1S6</v>
      </c>
      <c r="G906" s="28" t="s">
        <v>16</v>
      </c>
      <c r="H906" s="29" t="str">
        <f>H904&amp;" / "&amp;H905</f>
        <v>2001 / 2005</v>
      </c>
      <c r="I906" s="29" t="str">
        <f>I905</f>
        <v>Bituminous Pavement Preventive Treatment</v>
      </c>
      <c r="J906" s="97" t="str">
        <f>IFERROR(J905/J904,"")</f>
        <v/>
      </c>
      <c r="K906" s="32">
        <f>K905/K904</f>
        <v>1</v>
      </c>
      <c r="L906" s="32">
        <f>L905/L904</f>
        <v>0.82653061224489799</v>
      </c>
      <c r="M906" s="28"/>
      <c r="N906" s="32">
        <f>N905/N904</f>
        <v>0.82653061224489799</v>
      </c>
      <c r="O906" s="32">
        <f>O905/O904</f>
        <v>0.8265306122448981</v>
      </c>
      <c r="P906" s="33" t="str">
        <f>IF(K906&lt;50%,"x","")</f>
        <v/>
      </c>
      <c r="Q906" s="33" t="str">
        <f>IF(K906&gt;150%,"x","")</f>
        <v/>
      </c>
      <c r="R906" s="33" t="str">
        <f>IF(O906&lt;50%,"x","")</f>
        <v/>
      </c>
      <c r="S906" s="33" t="str">
        <f>IF(O906&gt;150%,"x","")</f>
        <v/>
      </c>
      <c r="T906" s="33" t="s">
        <v>27</v>
      </c>
      <c r="U906" s="34" t="s">
        <v>27</v>
      </c>
      <c r="V906" s="35" t="s">
        <v>27</v>
      </c>
    </row>
    <row r="907" spans="1:22" ht="16.5" thickTop="1" x14ac:dyDescent="0.25">
      <c r="A907" s="18" t="s">
        <v>470</v>
      </c>
      <c r="B907" s="18" t="s">
        <v>945</v>
      </c>
      <c r="C907" s="18" t="s">
        <v>471</v>
      </c>
      <c r="D907" s="18" t="s">
        <v>26</v>
      </c>
      <c r="E907" s="18" t="s">
        <v>245</v>
      </c>
      <c r="F907" s="18" t="s">
        <v>481</v>
      </c>
      <c r="G907" s="18" t="s">
        <v>29</v>
      </c>
      <c r="H907" s="19">
        <v>2001</v>
      </c>
      <c r="I907" s="18" t="s">
        <v>122</v>
      </c>
      <c r="J907" s="101" t="s">
        <v>27</v>
      </c>
      <c r="K907" s="20">
        <v>40</v>
      </c>
      <c r="L907" s="21">
        <v>0.44</v>
      </c>
      <c r="M907" s="22" t="s">
        <v>30</v>
      </c>
      <c r="N907" s="23">
        <v>0.44</v>
      </c>
      <c r="O907" s="24">
        <v>1.0999999999999999E-2</v>
      </c>
      <c r="P907" s="25" t="str">
        <f>IF(P909="x","x","")</f>
        <v/>
      </c>
      <c r="Q907" s="25" t="str">
        <f>IF(Q909="x","x","")</f>
        <v/>
      </c>
      <c r="R907" s="25" t="str">
        <f>IF(R909="x","x","")</f>
        <v/>
      </c>
      <c r="S907" s="25" t="str">
        <f>IF(S909="x","x","")</f>
        <v/>
      </c>
      <c r="T907" s="25" t="s">
        <v>27</v>
      </c>
      <c r="U907" s="26"/>
      <c r="V907" s="27"/>
    </row>
    <row r="908" spans="1:22" x14ac:dyDescent="0.25">
      <c r="A908" s="18" t="s">
        <v>470</v>
      </c>
      <c r="B908" s="18" t="s">
        <v>945</v>
      </c>
      <c r="C908" s="18" t="s">
        <v>471</v>
      </c>
      <c r="D908" s="18" t="s">
        <v>26</v>
      </c>
      <c r="E908" s="18" t="s">
        <v>245</v>
      </c>
      <c r="F908" s="18" t="s">
        <v>481</v>
      </c>
      <c r="G908" s="18" t="s">
        <v>32</v>
      </c>
      <c r="H908" s="19">
        <v>2005</v>
      </c>
      <c r="I908" s="18" t="s">
        <v>122</v>
      </c>
      <c r="J908" s="101" t="s">
        <v>27</v>
      </c>
      <c r="K908" s="20">
        <v>40</v>
      </c>
      <c r="L908" s="21">
        <v>0.37</v>
      </c>
      <c r="M908" s="22" t="s">
        <v>30</v>
      </c>
      <c r="N908" s="23">
        <v>0.37</v>
      </c>
      <c r="O908" s="24">
        <v>9.2499999999999995E-3</v>
      </c>
      <c r="P908" s="25" t="str">
        <f>IF(P909="x","x","")</f>
        <v/>
      </c>
      <c r="Q908" s="25" t="str">
        <f>IF(Q909="x","x","")</f>
        <v/>
      </c>
      <c r="R908" s="25" t="str">
        <f>IF(R909="x","x","")</f>
        <v/>
      </c>
      <c r="S908" s="25" t="str">
        <f>IF(S909="x","x","")</f>
        <v/>
      </c>
      <c r="T908" s="25" t="s">
        <v>27</v>
      </c>
      <c r="U908" s="26"/>
      <c r="V908" s="27"/>
    </row>
    <row r="909" spans="1:22" ht="16.5" thickBot="1" x14ac:dyDescent="0.3">
      <c r="A909" s="28" t="str">
        <f>A908</f>
        <v>Lao PDR</v>
      </c>
      <c r="B909" s="28" t="str">
        <f>B908</f>
        <v>East Asia and Pacific</v>
      </c>
      <c r="C909" s="28" t="str">
        <f>C908</f>
        <v>P064821</v>
      </c>
      <c r="D909" s="28" t="s">
        <v>26</v>
      </c>
      <c r="E909" s="28" t="s">
        <v>27</v>
      </c>
      <c r="F909" s="28" t="str">
        <f>F908</f>
        <v>P064821C1S7</v>
      </c>
      <c r="G909" s="28" t="s">
        <v>16</v>
      </c>
      <c r="H909" s="29" t="str">
        <f>H907&amp;" / "&amp;H908</f>
        <v>2001 / 2005</v>
      </c>
      <c r="I909" s="29" t="str">
        <f>I908</f>
        <v>Gravel Resurfacing</v>
      </c>
      <c r="J909" s="97" t="str">
        <f>IFERROR(J908/J907,"")</f>
        <v/>
      </c>
      <c r="K909" s="32">
        <f>K908/K907</f>
        <v>1</v>
      </c>
      <c r="L909" s="32">
        <f>L908/L907</f>
        <v>0.84090909090909094</v>
      </c>
      <c r="M909" s="28"/>
      <c r="N909" s="32">
        <f>N908/N907</f>
        <v>0.84090909090909094</v>
      </c>
      <c r="O909" s="32">
        <f>O908/O907</f>
        <v>0.84090909090909094</v>
      </c>
      <c r="P909" s="33" t="str">
        <f>IF(K909&lt;50%,"x","")</f>
        <v/>
      </c>
      <c r="Q909" s="33" t="str">
        <f>IF(K909&gt;150%,"x","")</f>
        <v/>
      </c>
      <c r="R909" s="33" t="str">
        <f>IF(O909&lt;50%,"x","")</f>
        <v/>
      </c>
      <c r="S909" s="33" t="str">
        <f>IF(O909&gt;150%,"x","")</f>
        <v/>
      </c>
      <c r="T909" s="33" t="s">
        <v>27</v>
      </c>
      <c r="U909" s="34" t="s">
        <v>27</v>
      </c>
      <c r="V909" s="35" t="s">
        <v>27</v>
      </c>
    </row>
    <row r="910" spans="1:22" ht="16.5" thickTop="1" x14ac:dyDescent="0.25">
      <c r="A910" s="18" t="s">
        <v>470</v>
      </c>
      <c r="B910" s="18" t="s">
        <v>945</v>
      </c>
      <c r="C910" s="18" t="s">
        <v>471</v>
      </c>
      <c r="D910" s="18" t="s">
        <v>26</v>
      </c>
      <c r="E910" s="18" t="s">
        <v>247</v>
      </c>
      <c r="F910" s="18" t="s">
        <v>482</v>
      </c>
      <c r="G910" s="18" t="s">
        <v>29</v>
      </c>
      <c r="H910" s="19">
        <v>2001</v>
      </c>
      <c r="I910" s="18" t="s">
        <v>136</v>
      </c>
      <c r="J910" s="101" t="s">
        <v>27</v>
      </c>
      <c r="K910" s="20">
        <v>15</v>
      </c>
      <c r="L910" s="21">
        <v>0.28999999999999998</v>
      </c>
      <c r="M910" s="22" t="s">
        <v>30</v>
      </c>
      <c r="N910" s="23">
        <v>0.28999999999999998</v>
      </c>
      <c r="O910" s="24">
        <v>1.9333333333333331E-2</v>
      </c>
      <c r="P910" s="25" t="str">
        <f>IF(P912="x","x","")</f>
        <v/>
      </c>
      <c r="Q910" s="25" t="str">
        <f>IF(Q912="x","x","")</f>
        <v/>
      </c>
      <c r="R910" s="25" t="str">
        <f>IF(R912="x","x","")</f>
        <v/>
      </c>
      <c r="S910" s="25" t="str">
        <f>IF(S912="x","x","")</f>
        <v/>
      </c>
      <c r="T910" s="25" t="s">
        <v>27</v>
      </c>
      <c r="U910" s="26"/>
      <c r="V910" s="27"/>
    </row>
    <row r="911" spans="1:22" x14ac:dyDescent="0.25">
      <c r="A911" s="18" t="s">
        <v>470</v>
      </c>
      <c r="B911" s="18" t="s">
        <v>945</v>
      </c>
      <c r="C911" s="18" t="s">
        <v>471</v>
      </c>
      <c r="D911" s="18" t="s">
        <v>26</v>
      </c>
      <c r="E911" s="18" t="s">
        <v>247</v>
      </c>
      <c r="F911" s="18" t="s">
        <v>482</v>
      </c>
      <c r="G911" s="18" t="s">
        <v>32</v>
      </c>
      <c r="H911" s="19">
        <v>2005</v>
      </c>
      <c r="I911" s="18" t="s">
        <v>136</v>
      </c>
      <c r="J911" s="101" t="s">
        <v>27</v>
      </c>
      <c r="K911" s="20">
        <v>15</v>
      </c>
      <c r="L911" s="21">
        <v>0.24</v>
      </c>
      <c r="M911" s="22" t="s">
        <v>30</v>
      </c>
      <c r="N911" s="23">
        <v>0.24</v>
      </c>
      <c r="O911" s="24">
        <v>1.6E-2</v>
      </c>
      <c r="P911" s="25" t="str">
        <f>IF(P912="x","x","")</f>
        <v/>
      </c>
      <c r="Q911" s="25" t="str">
        <f>IF(Q912="x","x","")</f>
        <v/>
      </c>
      <c r="R911" s="25" t="str">
        <f>IF(R912="x","x","")</f>
        <v/>
      </c>
      <c r="S911" s="25" t="str">
        <f>IF(S912="x","x","")</f>
        <v/>
      </c>
      <c r="T911" s="25" t="s">
        <v>27</v>
      </c>
      <c r="U911" s="26"/>
      <c r="V911" s="27"/>
    </row>
    <row r="912" spans="1:22" ht="16.5" thickBot="1" x14ac:dyDescent="0.3">
      <c r="A912" s="28" t="str">
        <f>A911</f>
        <v>Lao PDR</v>
      </c>
      <c r="B912" s="28" t="str">
        <f>B911</f>
        <v>East Asia and Pacific</v>
      </c>
      <c r="C912" s="28" t="str">
        <f>C911</f>
        <v>P064821</v>
      </c>
      <c r="D912" s="28" t="s">
        <v>26</v>
      </c>
      <c r="E912" s="28" t="s">
        <v>27</v>
      </c>
      <c r="F912" s="28" t="str">
        <f>F911</f>
        <v>P064821C1S8</v>
      </c>
      <c r="G912" s="28" t="s">
        <v>16</v>
      </c>
      <c r="H912" s="29" t="str">
        <f>H910&amp;" / "&amp;H911</f>
        <v>2001 / 2005</v>
      </c>
      <c r="I912" s="29" t="str">
        <f>I911</f>
        <v>Bituminous Pavement Preventive Treatment</v>
      </c>
      <c r="J912" s="97" t="str">
        <f>IFERROR(J911/J910,"")</f>
        <v/>
      </c>
      <c r="K912" s="32">
        <f>K911/K910</f>
        <v>1</v>
      </c>
      <c r="L912" s="32">
        <f>L911/L910</f>
        <v>0.82758620689655171</v>
      </c>
      <c r="M912" s="28"/>
      <c r="N912" s="32">
        <f>N911/N910</f>
        <v>0.82758620689655171</v>
      </c>
      <c r="O912" s="32">
        <f>O911/O910</f>
        <v>0.82758620689655182</v>
      </c>
      <c r="P912" s="33" t="str">
        <f>IF(K912&lt;50%,"x","")</f>
        <v/>
      </c>
      <c r="Q912" s="33" t="str">
        <f>IF(K912&gt;150%,"x","")</f>
        <v/>
      </c>
      <c r="R912" s="33" t="str">
        <f>IF(O912&lt;50%,"x","")</f>
        <v/>
      </c>
      <c r="S912" s="33" t="str">
        <f>IF(O912&gt;150%,"x","")</f>
        <v/>
      </c>
      <c r="T912" s="33" t="s">
        <v>27</v>
      </c>
      <c r="U912" s="34" t="s">
        <v>27</v>
      </c>
      <c r="V912" s="35" t="s">
        <v>27</v>
      </c>
    </row>
    <row r="913" spans="1:22" ht="16.5" thickTop="1" x14ac:dyDescent="0.25">
      <c r="A913" s="18" t="s">
        <v>470</v>
      </c>
      <c r="B913" s="18" t="s">
        <v>945</v>
      </c>
      <c r="C913" s="18" t="s">
        <v>471</v>
      </c>
      <c r="D913" s="18" t="s">
        <v>26</v>
      </c>
      <c r="E913" s="18" t="s">
        <v>249</v>
      </c>
      <c r="F913" s="18" t="s">
        <v>483</v>
      </c>
      <c r="G913" s="18" t="s">
        <v>29</v>
      </c>
      <c r="H913" s="19">
        <v>2001</v>
      </c>
      <c r="I913" s="18" t="s">
        <v>136</v>
      </c>
      <c r="J913" s="101" t="s">
        <v>27</v>
      </c>
      <c r="K913" s="20">
        <v>20</v>
      </c>
      <c r="L913" s="21">
        <v>0.39</v>
      </c>
      <c r="M913" s="22" t="s">
        <v>30</v>
      </c>
      <c r="N913" s="23">
        <v>0.39</v>
      </c>
      <c r="O913" s="24">
        <v>1.95E-2</v>
      </c>
      <c r="P913" s="25" t="str">
        <f>IF(P915="x","x","")</f>
        <v/>
      </c>
      <c r="Q913" s="25" t="str">
        <f>IF(Q915="x","x","")</f>
        <v/>
      </c>
      <c r="R913" s="25" t="str">
        <f>IF(R915="x","x","")</f>
        <v/>
      </c>
      <c r="S913" s="25" t="str">
        <f>IF(S915="x","x","")</f>
        <v/>
      </c>
      <c r="T913" s="25" t="s">
        <v>27</v>
      </c>
      <c r="U913" s="26"/>
      <c r="V913" s="27"/>
    </row>
    <row r="914" spans="1:22" x14ac:dyDescent="0.25">
      <c r="A914" s="18" t="s">
        <v>470</v>
      </c>
      <c r="B914" s="18" t="s">
        <v>945</v>
      </c>
      <c r="C914" s="18" t="s">
        <v>471</v>
      </c>
      <c r="D914" s="18" t="s">
        <v>26</v>
      </c>
      <c r="E914" s="18" t="s">
        <v>249</v>
      </c>
      <c r="F914" s="18" t="s">
        <v>483</v>
      </c>
      <c r="G914" s="18" t="s">
        <v>32</v>
      </c>
      <c r="H914" s="19">
        <v>2005</v>
      </c>
      <c r="I914" s="18" t="s">
        <v>136</v>
      </c>
      <c r="J914" s="101" t="s">
        <v>27</v>
      </c>
      <c r="K914" s="20">
        <v>20</v>
      </c>
      <c r="L914" s="21">
        <v>0.31</v>
      </c>
      <c r="M914" s="22" t="s">
        <v>30</v>
      </c>
      <c r="N914" s="23">
        <v>0.31</v>
      </c>
      <c r="O914" s="24">
        <v>1.55E-2</v>
      </c>
      <c r="P914" s="25" t="str">
        <f>IF(P915="x","x","")</f>
        <v/>
      </c>
      <c r="Q914" s="25" t="str">
        <f>IF(Q915="x","x","")</f>
        <v/>
      </c>
      <c r="R914" s="25" t="str">
        <f>IF(R915="x","x","")</f>
        <v/>
      </c>
      <c r="S914" s="25" t="str">
        <f>IF(S915="x","x","")</f>
        <v/>
      </c>
      <c r="T914" s="25" t="s">
        <v>27</v>
      </c>
      <c r="U914" s="26"/>
      <c r="V914" s="27"/>
    </row>
    <row r="915" spans="1:22" ht="16.5" thickBot="1" x14ac:dyDescent="0.3">
      <c r="A915" s="28" t="str">
        <f>A914</f>
        <v>Lao PDR</v>
      </c>
      <c r="B915" s="28" t="str">
        <f>B914</f>
        <v>East Asia and Pacific</v>
      </c>
      <c r="C915" s="28" t="str">
        <f>C914</f>
        <v>P064821</v>
      </c>
      <c r="D915" s="28" t="s">
        <v>26</v>
      </c>
      <c r="E915" s="28" t="s">
        <v>27</v>
      </c>
      <c r="F915" s="28" t="str">
        <f>F914</f>
        <v>P064821C1S9</v>
      </c>
      <c r="G915" s="28" t="s">
        <v>16</v>
      </c>
      <c r="H915" s="29" t="str">
        <f>H913&amp;" / "&amp;H914</f>
        <v>2001 / 2005</v>
      </c>
      <c r="I915" s="29" t="str">
        <f>I914</f>
        <v>Bituminous Pavement Preventive Treatment</v>
      </c>
      <c r="J915" s="97" t="str">
        <f>IFERROR(J914/J913,"")</f>
        <v/>
      </c>
      <c r="K915" s="32">
        <f>K914/K913</f>
        <v>1</v>
      </c>
      <c r="L915" s="32">
        <f>L914/L913</f>
        <v>0.79487179487179482</v>
      </c>
      <c r="M915" s="28"/>
      <c r="N915" s="32">
        <f>N914/N913</f>
        <v>0.79487179487179482</v>
      </c>
      <c r="O915" s="32">
        <f>O914/O913</f>
        <v>0.79487179487179482</v>
      </c>
      <c r="P915" s="33" t="str">
        <f>IF(K915&lt;50%,"x","")</f>
        <v/>
      </c>
      <c r="Q915" s="33" t="str">
        <f>IF(K915&gt;150%,"x","")</f>
        <v/>
      </c>
      <c r="R915" s="33" t="str">
        <f>IF(O915&lt;50%,"x","")</f>
        <v/>
      </c>
      <c r="S915" s="33" t="str">
        <f>IF(O915&gt;150%,"x","")</f>
        <v/>
      </c>
      <c r="T915" s="33" t="s">
        <v>27</v>
      </c>
      <c r="U915" s="34" t="s">
        <v>27</v>
      </c>
      <c r="V915" s="35" t="s">
        <v>27</v>
      </c>
    </row>
    <row r="916" spans="1:22" ht="16.5" thickTop="1" x14ac:dyDescent="0.25">
      <c r="A916" s="18" t="s">
        <v>470</v>
      </c>
      <c r="B916" s="18" t="s">
        <v>945</v>
      </c>
      <c r="C916" s="18" t="s">
        <v>744</v>
      </c>
      <c r="D916" s="18" t="s">
        <v>26</v>
      </c>
      <c r="E916" s="18" t="s">
        <v>27</v>
      </c>
      <c r="F916" s="18" t="s">
        <v>745</v>
      </c>
      <c r="G916" s="18" t="s">
        <v>29</v>
      </c>
      <c r="H916" s="19">
        <v>2004</v>
      </c>
      <c r="I916" s="18" t="s">
        <v>44</v>
      </c>
      <c r="J916" s="101">
        <v>57</v>
      </c>
      <c r="K916" s="20">
        <v>22765</v>
      </c>
      <c r="L916" s="21">
        <v>56.3</v>
      </c>
      <c r="M916" s="22" t="s">
        <v>30</v>
      </c>
      <c r="N916" s="23">
        <v>56.3</v>
      </c>
      <c r="O916" s="24">
        <v>2.4730946628596529E-3</v>
      </c>
      <c r="P916" s="25" t="str">
        <f>IF(P918="x","x","")</f>
        <v/>
      </c>
      <c r="Q916" s="25" t="str">
        <f>IF(Q918="x","x","")</f>
        <v/>
      </c>
      <c r="R916" s="25" t="str">
        <f>IF(R918="x","x","")</f>
        <v/>
      </c>
      <c r="S916" s="25" t="str">
        <f>IF(S918="x","x","")</f>
        <v>x</v>
      </c>
      <c r="T916" s="25" t="s">
        <v>31</v>
      </c>
      <c r="U916" s="26"/>
      <c r="V916" s="27"/>
    </row>
    <row r="917" spans="1:22" x14ac:dyDescent="0.25">
      <c r="A917" s="18" t="s">
        <v>470</v>
      </c>
      <c r="B917" s="18" t="s">
        <v>945</v>
      </c>
      <c r="C917" s="18" t="s">
        <v>744</v>
      </c>
      <c r="D917" s="18" t="s">
        <v>26</v>
      </c>
      <c r="E917" s="18" t="s">
        <v>27</v>
      </c>
      <c r="F917" s="18" t="s">
        <v>745</v>
      </c>
      <c r="G917" s="18" t="s">
        <v>32</v>
      </c>
      <c r="H917" s="19">
        <v>2012</v>
      </c>
      <c r="I917" s="18" t="s">
        <v>44</v>
      </c>
      <c r="J917" s="101">
        <v>72</v>
      </c>
      <c r="K917" s="20">
        <v>15560</v>
      </c>
      <c r="L917" s="21">
        <v>102.8</v>
      </c>
      <c r="M917" s="22" t="s">
        <v>30</v>
      </c>
      <c r="N917" s="23">
        <v>102.8</v>
      </c>
      <c r="O917" s="24">
        <v>6.6066838046272489E-3</v>
      </c>
      <c r="P917" s="25" t="str">
        <f>IF(P918="x","x","")</f>
        <v/>
      </c>
      <c r="Q917" s="25" t="str">
        <f>IF(Q918="x","x","")</f>
        <v/>
      </c>
      <c r="R917" s="25" t="str">
        <f>IF(R918="x","x","")</f>
        <v/>
      </c>
      <c r="S917" s="25" t="str">
        <f>IF(S918="x","x","")</f>
        <v>x</v>
      </c>
      <c r="T917" s="25" t="s">
        <v>31</v>
      </c>
      <c r="U917" s="26"/>
      <c r="V917" s="27"/>
    </row>
    <row r="918" spans="1:22" ht="63.75" thickBot="1" x14ac:dyDescent="0.3">
      <c r="A918" s="28" t="str">
        <f>A917</f>
        <v>Lao PDR</v>
      </c>
      <c r="B918" s="28" t="str">
        <f>B917</f>
        <v>East Asia and Pacific</v>
      </c>
      <c r="C918" s="28" t="str">
        <f>C917</f>
        <v>P083543</v>
      </c>
      <c r="D918" s="28" t="s">
        <v>26</v>
      </c>
      <c r="E918" s="28" t="s">
        <v>27</v>
      </c>
      <c r="F918" s="28" t="str">
        <f>F917</f>
        <v>P083543C1</v>
      </c>
      <c r="G918" s="28" t="s">
        <v>16</v>
      </c>
      <c r="H918" s="29" t="str">
        <f>H916&amp;" / "&amp;H917</f>
        <v>2004 / 2012</v>
      </c>
      <c r="I918" s="29" t="str">
        <f>I917</f>
        <v>Routine Maintenance</v>
      </c>
      <c r="J918" s="97">
        <f>IFERROR(J917/J916,"")</f>
        <v>1.263157894736842</v>
      </c>
      <c r="K918" s="32">
        <f>K917/K916</f>
        <v>0.68350538106742809</v>
      </c>
      <c r="L918" s="32">
        <f>L917/L916</f>
        <v>1.8259325044404975</v>
      </c>
      <c r="M918" s="28"/>
      <c r="N918" s="32">
        <f>N917/N916</f>
        <v>1.8259325044404975</v>
      </c>
      <c r="O918" s="32">
        <f>O917/O916</f>
        <v>2.6714237444465243</v>
      </c>
      <c r="P918" s="33" t="str">
        <f>IF(K918&lt;50%,"x","")</f>
        <v/>
      </c>
      <c r="Q918" s="33" t="str">
        <f>IF(K918&gt;150%,"x","")</f>
        <v/>
      </c>
      <c r="R918" s="33" t="str">
        <f>IF(O918&lt;50%,"x","")</f>
        <v/>
      </c>
      <c r="S918" s="33" t="str">
        <f>IF(O918&gt;150%,"x","")</f>
        <v>x</v>
      </c>
      <c r="T918" s="33" t="s">
        <v>31</v>
      </c>
      <c r="U918" s="34" t="s">
        <v>1063</v>
      </c>
      <c r="V918" s="35" t="s">
        <v>1064</v>
      </c>
    </row>
    <row r="919" spans="1:22" ht="16.5" thickTop="1" x14ac:dyDescent="0.25">
      <c r="A919" s="18" t="s">
        <v>470</v>
      </c>
      <c r="B919" s="18" t="s">
        <v>945</v>
      </c>
      <c r="C919" s="18" t="s">
        <v>744</v>
      </c>
      <c r="D919" s="18" t="s">
        <v>26</v>
      </c>
      <c r="E919" s="18" t="s">
        <v>36</v>
      </c>
      <c r="F919" s="18" t="s">
        <v>746</v>
      </c>
      <c r="G919" s="18" t="s">
        <v>29</v>
      </c>
      <c r="H919" s="19">
        <v>2004</v>
      </c>
      <c r="I919" s="18" t="s">
        <v>78</v>
      </c>
      <c r="J919" s="101">
        <v>12</v>
      </c>
      <c r="K919" s="20">
        <v>12</v>
      </c>
      <c r="L919" s="21">
        <v>0.12</v>
      </c>
      <c r="M919" s="22" t="s">
        <v>30</v>
      </c>
      <c r="N919" s="23">
        <v>0.12</v>
      </c>
      <c r="O919" s="24">
        <v>0.01</v>
      </c>
      <c r="P919" s="25" t="str">
        <f>IF(P921="x","x","")</f>
        <v/>
      </c>
      <c r="Q919" s="25" t="str">
        <f>IF(Q921="x","x","")</f>
        <v/>
      </c>
      <c r="R919" s="25" t="str">
        <f>IF(R921="x","x","")</f>
        <v/>
      </c>
      <c r="S919" s="25" t="str">
        <f>IF(S921="x","x","")</f>
        <v/>
      </c>
      <c r="T919" s="25" t="s">
        <v>27</v>
      </c>
      <c r="U919" s="26"/>
      <c r="V919" s="27"/>
    </row>
    <row r="920" spans="1:22" x14ac:dyDescent="0.25">
      <c r="A920" s="18" t="s">
        <v>470</v>
      </c>
      <c r="B920" s="18" t="s">
        <v>945</v>
      </c>
      <c r="C920" s="18" t="s">
        <v>744</v>
      </c>
      <c r="D920" s="18" t="s">
        <v>26</v>
      </c>
      <c r="E920" s="18" t="s">
        <v>36</v>
      </c>
      <c r="F920" s="18" t="s">
        <v>746</v>
      </c>
      <c r="G920" s="18" t="s">
        <v>32</v>
      </c>
      <c r="H920" s="19">
        <v>2011</v>
      </c>
      <c r="I920" s="18" t="s">
        <v>78</v>
      </c>
      <c r="J920" s="101">
        <v>12</v>
      </c>
      <c r="K920" s="20">
        <v>12</v>
      </c>
      <c r="L920" s="21">
        <v>0.12091300000000001</v>
      </c>
      <c r="M920" s="22" t="s">
        <v>30</v>
      </c>
      <c r="N920" s="23">
        <v>0.12091300000000001</v>
      </c>
      <c r="O920" s="24">
        <v>1.0076083333333334E-2</v>
      </c>
      <c r="P920" s="25" t="str">
        <f>IF(P921="x","x","")</f>
        <v/>
      </c>
      <c r="Q920" s="25" t="str">
        <f>IF(Q921="x","x","")</f>
        <v/>
      </c>
      <c r="R920" s="25" t="str">
        <f>IF(R921="x","x","")</f>
        <v/>
      </c>
      <c r="S920" s="25" t="str">
        <f>IF(S921="x","x","")</f>
        <v/>
      </c>
      <c r="T920" s="25" t="s">
        <v>27</v>
      </c>
      <c r="U920" s="26"/>
      <c r="V920" s="27"/>
    </row>
    <row r="921" spans="1:22" ht="16.5" thickBot="1" x14ac:dyDescent="0.3">
      <c r="A921" s="28" t="str">
        <f>A920</f>
        <v>Lao PDR</v>
      </c>
      <c r="B921" s="28" t="str">
        <f>B920</f>
        <v>East Asia and Pacific</v>
      </c>
      <c r="C921" s="28" t="str">
        <f>C920</f>
        <v>P083543</v>
      </c>
      <c r="D921" s="28" t="s">
        <v>26</v>
      </c>
      <c r="E921" s="28" t="s">
        <v>27</v>
      </c>
      <c r="F921" s="28" t="str">
        <f>F920</f>
        <v>P083543C1S1</v>
      </c>
      <c r="G921" s="28" t="s">
        <v>16</v>
      </c>
      <c r="H921" s="29" t="str">
        <f>H919&amp;" / "&amp;H920</f>
        <v>2004 / 2011</v>
      </c>
      <c r="I921" s="29" t="str">
        <f>I920</f>
        <v>Surface Treatment Resurfacing</v>
      </c>
      <c r="J921" s="97">
        <f>IFERROR(J920/J919,"")</f>
        <v>1</v>
      </c>
      <c r="K921" s="32">
        <f>K920/K919</f>
        <v>1</v>
      </c>
      <c r="L921" s="32">
        <f>L920/L919</f>
        <v>1.0076083333333334</v>
      </c>
      <c r="M921" s="28"/>
      <c r="N921" s="32">
        <f>N920/N919</f>
        <v>1.0076083333333334</v>
      </c>
      <c r="O921" s="32">
        <f>O920/O919</f>
        <v>1.0076083333333334</v>
      </c>
      <c r="P921" s="33" t="str">
        <f>IF(K921&lt;50%,"x","")</f>
        <v/>
      </c>
      <c r="Q921" s="33" t="str">
        <f>IF(K921&gt;150%,"x","")</f>
        <v/>
      </c>
      <c r="R921" s="33" t="str">
        <f>IF(O921&lt;50%,"x","")</f>
        <v/>
      </c>
      <c r="S921" s="33" t="str">
        <f>IF(O921&gt;150%,"x","")</f>
        <v/>
      </c>
      <c r="T921" s="33" t="s">
        <v>27</v>
      </c>
      <c r="U921" s="34" t="s">
        <v>27</v>
      </c>
      <c r="V921" s="35" t="s">
        <v>27</v>
      </c>
    </row>
    <row r="922" spans="1:22" ht="16.5" thickTop="1" x14ac:dyDescent="0.25">
      <c r="A922" s="18" t="s">
        <v>470</v>
      </c>
      <c r="B922" s="18" t="s">
        <v>945</v>
      </c>
      <c r="C922" s="18" t="s">
        <v>744</v>
      </c>
      <c r="D922" s="18" t="s">
        <v>26</v>
      </c>
      <c r="E922" s="18" t="s">
        <v>234</v>
      </c>
      <c r="F922" s="18" t="s">
        <v>747</v>
      </c>
      <c r="G922" s="18" t="s">
        <v>29</v>
      </c>
      <c r="H922" s="19">
        <v>2004</v>
      </c>
      <c r="I922" s="18" t="s">
        <v>68</v>
      </c>
      <c r="J922" s="101">
        <v>12</v>
      </c>
      <c r="K922" s="20">
        <v>7</v>
      </c>
      <c r="L922" s="21">
        <v>0.14599999999999999</v>
      </c>
      <c r="M922" s="22" t="s">
        <v>30</v>
      </c>
      <c r="N922" s="23">
        <v>0.14599999999999999</v>
      </c>
      <c r="O922" s="24">
        <v>2.0857142857142855E-2</v>
      </c>
      <c r="P922" s="25" t="str">
        <f>IF(P924="x","x","")</f>
        <v/>
      </c>
      <c r="Q922" s="25" t="str">
        <f>IF(Q924="x","x","")</f>
        <v/>
      </c>
      <c r="R922" s="25" t="str">
        <f>IF(R924="x","x","")</f>
        <v/>
      </c>
      <c r="S922" s="25" t="str">
        <f>IF(S924="x","x","")</f>
        <v/>
      </c>
      <c r="T922" s="25" t="s">
        <v>27</v>
      </c>
      <c r="U922" s="26"/>
      <c r="V922" s="27"/>
    </row>
    <row r="923" spans="1:22" x14ac:dyDescent="0.25">
      <c r="A923" s="18" t="s">
        <v>470</v>
      </c>
      <c r="B923" s="18" t="s">
        <v>945</v>
      </c>
      <c r="C923" s="18" t="s">
        <v>744</v>
      </c>
      <c r="D923" s="18" t="s">
        <v>26</v>
      </c>
      <c r="E923" s="18" t="s">
        <v>234</v>
      </c>
      <c r="F923" s="18" t="s">
        <v>747</v>
      </c>
      <c r="G923" s="18" t="s">
        <v>32</v>
      </c>
      <c r="H923" s="19">
        <v>2011</v>
      </c>
      <c r="I923" s="18" t="s">
        <v>68</v>
      </c>
      <c r="J923" s="101">
        <v>12</v>
      </c>
      <c r="K923" s="20">
        <v>7</v>
      </c>
      <c r="L923" s="21">
        <v>0.16997999999999999</v>
      </c>
      <c r="M923" s="22" t="s">
        <v>30</v>
      </c>
      <c r="N923" s="23">
        <v>0.16997999999999999</v>
      </c>
      <c r="O923" s="24">
        <v>2.4282857142857141E-2</v>
      </c>
      <c r="P923" s="25" t="str">
        <f>IF(P924="x","x","")</f>
        <v/>
      </c>
      <c r="Q923" s="25" t="str">
        <f>IF(Q924="x","x","")</f>
        <v/>
      </c>
      <c r="R923" s="25" t="str">
        <f>IF(R924="x","x","")</f>
        <v/>
      </c>
      <c r="S923" s="25" t="str">
        <f>IF(S924="x","x","")</f>
        <v/>
      </c>
      <c r="T923" s="25" t="s">
        <v>27</v>
      </c>
      <c r="U923" s="26"/>
      <c r="V923" s="27"/>
    </row>
    <row r="924" spans="1:22" ht="16.5" thickBot="1" x14ac:dyDescent="0.3">
      <c r="A924" s="28" t="str">
        <f>A923</f>
        <v>Lao PDR</v>
      </c>
      <c r="B924" s="28" t="str">
        <f>B923</f>
        <v>East Asia and Pacific</v>
      </c>
      <c r="C924" s="28" t="str">
        <f>C923</f>
        <v>P083543</v>
      </c>
      <c r="D924" s="28" t="s">
        <v>26</v>
      </c>
      <c r="E924" s="28" t="s">
        <v>27</v>
      </c>
      <c r="F924" s="28" t="str">
        <f>F923</f>
        <v>P083543C1S10</v>
      </c>
      <c r="G924" s="28" t="s">
        <v>16</v>
      </c>
      <c r="H924" s="29" t="str">
        <f>H922&amp;" / "&amp;H923</f>
        <v>2004 / 2011</v>
      </c>
      <c r="I924" s="29" t="str">
        <f>I923</f>
        <v>Asphalt Mix Resurfacing</v>
      </c>
      <c r="J924" s="97">
        <f>IFERROR(J923/J922,"")</f>
        <v>1</v>
      </c>
      <c r="K924" s="32">
        <f>K923/K922</f>
        <v>1</v>
      </c>
      <c r="L924" s="32">
        <f>L923/L922</f>
        <v>1.1642465753424658</v>
      </c>
      <c r="M924" s="28"/>
      <c r="N924" s="32">
        <f>N923/N922</f>
        <v>1.1642465753424658</v>
      </c>
      <c r="O924" s="32">
        <f>O923/O922</f>
        <v>1.1642465753424658</v>
      </c>
      <c r="P924" s="33" t="str">
        <f>IF(K924&lt;50%,"x","")</f>
        <v/>
      </c>
      <c r="Q924" s="33" t="str">
        <f>IF(K924&gt;150%,"x","")</f>
        <v/>
      </c>
      <c r="R924" s="33" t="str">
        <f>IF(O924&lt;50%,"x","")</f>
        <v/>
      </c>
      <c r="S924" s="33" t="str">
        <f>IF(O924&gt;150%,"x","")</f>
        <v/>
      </c>
      <c r="T924" s="33" t="s">
        <v>27</v>
      </c>
      <c r="U924" s="34" t="s">
        <v>27</v>
      </c>
      <c r="V924" s="35" t="s">
        <v>27</v>
      </c>
    </row>
    <row r="925" spans="1:22" ht="16.5" thickTop="1" x14ac:dyDescent="0.25">
      <c r="A925" s="18" t="s">
        <v>470</v>
      </c>
      <c r="B925" s="18" t="s">
        <v>945</v>
      </c>
      <c r="C925" s="18" t="s">
        <v>744</v>
      </c>
      <c r="D925" s="18" t="s">
        <v>26</v>
      </c>
      <c r="E925" s="18" t="s">
        <v>236</v>
      </c>
      <c r="F925" s="18" t="s">
        <v>748</v>
      </c>
      <c r="G925" s="18" t="s">
        <v>29</v>
      </c>
      <c r="H925" s="19">
        <v>2004</v>
      </c>
      <c r="I925" s="18" t="s">
        <v>78</v>
      </c>
      <c r="J925" s="101">
        <v>12</v>
      </c>
      <c r="K925" s="20">
        <v>24</v>
      </c>
      <c r="L925" s="21">
        <v>0.27</v>
      </c>
      <c r="M925" s="22" t="s">
        <v>30</v>
      </c>
      <c r="N925" s="23">
        <v>0.27</v>
      </c>
      <c r="O925" s="24">
        <v>1.1250000000000001E-2</v>
      </c>
      <c r="P925" s="25" t="str">
        <f>IF(P927="x","x","")</f>
        <v/>
      </c>
      <c r="Q925" s="25" t="str">
        <f>IF(Q927="x","x","")</f>
        <v/>
      </c>
      <c r="R925" s="25" t="str">
        <f>IF(R927="x","x","")</f>
        <v/>
      </c>
      <c r="S925" s="25" t="str">
        <f>IF(S927="x","x","")</f>
        <v/>
      </c>
      <c r="T925" s="25" t="s">
        <v>27</v>
      </c>
      <c r="U925" s="26"/>
      <c r="V925" s="27"/>
    </row>
    <row r="926" spans="1:22" x14ac:dyDescent="0.25">
      <c r="A926" s="18" t="s">
        <v>470</v>
      </c>
      <c r="B926" s="18" t="s">
        <v>945</v>
      </c>
      <c r="C926" s="18" t="s">
        <v>744</v>
      </c>
      <c r="D926" s="18" t="s">
        <v>26</v>
      </c>
      <c r="E926" s="18" t="s">
        <v>236</v>
      </c>
      <c r="F926" s="18" t="s">
        <v>748</v>
      </c>
      <c r="G926" s="18" t="s">
        <v>32</v>
      </c>
      <c r="H926" s="19">
        <v>2011</v>
      </c>
      <c r="I926" s="18" t="s">
        <v>78</v>
      </c>
      <c r="J926" s="101">
        <v>12</v>
      </c>
      <c r="K926" s="20">
        <v>24</v>
      </c>
      <c r="L926" s="21">
        <v>0.222495</v>
      </c>
      <c r="M926" s="22" t="s">
        <v>30</v>
      </c>
      <c r="N926" s="23">
        <v>0.222495</v>
      </c>
      <c r="O926" s="24">
        <v>9.2706249999999994E-3</v>
      </c>
      <c r="P926" s="25" t="str">
        <f>IF(P927="x","x","")</f>
        <v/>
      </c>
      <c r="Q926" s="25" t="str">
        <f>IF(Q927="x","x","")</f>
        <v/>
      </c>
      <c r="R926" s="25" t="str">
        <f>IF(R927="x","x","")</f>
        <v/>
      </c>
      <c r="S926" s="25" t="str">
        <f>IF(S927="x","x","")</f>
        <v/>
      </c>
      <c r="T926" s="25" t="s">
        <v>27</v>
      </c>
      <c r="U926" s="26"/>
      <c r="V926" s="27"/>
    </row>
    <row r="927" spans="1:22" ht="16.5" thickBot="1" x14ac:dyDescent="0.3">
      <c r="A927" s="28" t="str">
        <f>A926</f>
        <v>Lao PDR</v>
      </c>
      <c r="B927" s="28" t="str">
        <f>B926</f>
        <v>East Asia and Pacific</v>
      </c>
      <c r="C927" s="28" t="str">
        <f>C926</f>
        <v>P083543</v>
      </c>
      <c r="D927" s="28" t="s">
        <v>26</v>
      </c>
      <c r="E927" s="28" t="s">
        <v>27</v>
      </c>
      <c r="F927" s="28" t="str">
        <f>F926</f>
        <v>P083543C1S11</v>
      </c>
      <c r="G927" s="28" t="s">
        <v>16</v>
      </c>
      <c r="H927" s="29" t="str">
        <f>H925&amp;" / "&amp;H926</f>
        <v>2004 / 2011</v>
      </c>
      <c r="I927" s="29" t="str">
        <f>I926</f>
        <v>Surface Treatment Resurfacing</v>
      </c>
      <c r="J927" s="97">
        <f>IFERROR(J926/J925,"")</f>
        <v>1</v>
      </c>
      <c r="K927" s="32">
        <f>K926/K925</f>
        <v>1</v>
      </c>
      <c r="L927" s="32">
        <f>L926/L925</f>
        <v>0.82405555555555554</v>
      </c>
      <c r="M927" s="28"/>
      <c r="N927" s="32">
        <f>N926/N925</f>
        <v>0.82405555555555554</v>
      </c>
      <c r="O927" s="32">
        <f>O926/O925</f>
        <v>0.82405555555555543</v>
      </c>
      <c r="P927" s="33" t="str">
        <f>IF(K927&lt;50%,"x","")</f>
        <v/>
      </c>
      <c r="Q927" s="33" t="str">
        <f>IF(K927&gt;150%,"x","")</f>
        <v/>
      </c>
      <c r="R927" s="33" t="str">
        <f>IF(O927&lt;50%,"x","")</f>
        <v/>
      </c>
      <c r="S927" s="33" t="str">
        <f>IF(O927&gt;150%,"x","")</f>
        <v/>
      </c>
      <c r="T927" s="33" t="s">
        <v>27</v>
      </c>
      <c r="U927" s="34" t="s">
        <v>27</v>
      </c>
      <c r="V927" s="35" t="s">
        <v>27</v>
      </c>
    </row>
    <row r="928" spans="1:22" ht="16.5" thickTop="1" x14ac:dyDescent="0.25">
      <c r="A928" s="18" t="s">
        <v>470</v>
      </c>
      <c r="B928" s="18" t="s">
        <v>945</v>
      </c>
      <c r="C928" s="18" t="s">
        <v>744</v>
      </c>
      <c r="D928" s="18" t="s">
        <v>26</v>
      </c>
      <c r="E928" s="18" t="s">
        <v>238</v>
      </c>
      <c r="F928" s="18" t="s">
        <v>749</v>
      </c>
      <c r="G928" s="18" t="s">
        <v>29</v>
      </c>
      <c r="H928" s="19">
        <v>2004</v>
      </c>
      <c r="I928" s="18" t="s">
        <v>78</v>
      </c>
      <c r="J928" s="101">
        <v>12</v>
      </c>
      <c r="K928" s="20">
        <v>24</v>
      </c>
      <c r="L928" s="21">
        <v>0.2</v>
      </c>
      <c r="M928" s="22" t="s">
        <v>30</v>
      </c>
      <c r="N928" s="23">
        <v>0.2</v>
      </c>
      <c r="O928" s="24">
        <v>8.3333333333333332E-3</v>
      </c>
      <c r="P928" s="25" t="str">
        <f>IF(P930="x","x","")</f>
        <v/>
      </c>
      <c r="Q928" s="25" t="str">
        <f>IF(Q930="x","x","")</f>
        <v/>
      </c>
      <c r="R928" s="25" t="str">
        <f>IF(R930="x","x","")</f>
        <v/>
      </c>
      <c r="S928" s="25" t="str">
        <f>IF(S930="x","x","")</f>
        <v/>
      </c>
      <c r="T928" s="25" t="s">
        <v>27</v>
      </c>
      <c r="U928" s="26"/>
      <c r="V928" s="27"/>
    </row>
    <row r="929" spans="1:22" x14ac:dyDescent="0.25">
      <c r="A929" s="18" t="s">
        <v>470</v>
      </c>
      <c r="B929" s="18" t="s">
        <v>945</v>
      </c>
      <c r="C929" s="18" t="s">
        <v>744</v>
      </c>
      <c r="D929" s="18" t="s">
        <v>26</v>
      </c>
      <c r="E929" s="18" t="s">
        <v>238</v>
      </c>
      <c r="F929" s="18" t="s">
        <v>749</v>
      </c>
      <c r="G929" s="18" t="s">
        <v>32</v>
      </c>
      <c r="H929" s="19">
        <v>2011</v>
      </c>
      <c r="I929" s="18" t="s">
        <v>78</v>
      </c>
      <c r="J929" s="101">
        <v>12</v>
      </c>
      <c r="K929" s="20">
        <v>24</v>
      </c>
      <c r="L929" s="21">
        <v>0.137936</v>
      </c>
      <c r="M929" s="22" t="s">
        <v>30</v>
      </c>
      <c r="N929" s="23">
        <v>0.137936</v>
      </c>
      <c r="O929" s="24">
        <v>5.7473333333333335E-3</v>
      </c>
      <c r="P929" s="25" t="str">
        <f>IF(P930="x","x","")</f>
        <v/>
      </c>
      <c r="Q929" s="25" t="str">
        <f>IF(Q930="x","x","")</f>
        <v/>
      </c>
      <c r="R929" s="25" t="str">
        <f>IF(R930="x","x","")</f>
        <v/>
      </c>
      <c r="S929" s="25" t="str">
        <f>IF(S930="x","x","")</f>
        <v/>
      </c>
      <c r="T929" s="25" t="s">
        <v>27</v>
      </c>
      <c r="U929" s="26"/>
      <c r="V929" s="27"/>
    </row>
    <row r="930" spans="1:22" ht="16.5" thickBot="1" x14ac:dyDescent="0.3">
      <c r="A930" s="28" t="str">
        <f>A929</f>
        <v>Lao PDR</v>
      </c>
      <c r="B930" s="28" t="str">
        <f>B929</f>
        <v>East Asia and Pacific</v>
      </c>
      <c r="C930" s="28" t="str">
        <f>C929</f>
        <v>P083543</v>
      </c>
      <c r="D930" s="28" t="s">
        <v>26</v>
      </c>
      <c r="E930" s="28" t="s">
        <v>27</v>
      </c>
      <c r="F930" s="28" t="str">
        <f>F929</f>
        <v>P083543C1S12</v>
      </c>
      <c r="G930" s="28" t="s">
        <v>16</v>
      </c>
      <c r="H930" s="29" t="str">
        <f>H928&amp;" / "&amp;H929</f>
        <v>2004 / 2011</v>
      </c>
      <c r="I930" s="29" t="str">
        <f>I929</f>
        <v>Surface Treatment Resurfacing</v>
      </c>
      <c r="J930" s="97">
        <f>IFERROR(J929/J928,"")</f>
        <v>1</v>
      </c>
      <c r="K930" s="32">
        <f>K929/K928</f>
        <v>1</v>
      </c>
      <c r="L930" s="32">
        <f>L929/L928</f>
        <v>0.68967999999999996</v>
      </c>
      <c r="M930" s="28"/>
      <c r="N930" s="32">
        <f>N929/N928</f>
        <v>0.68967999999999996</v>
      </c>
      <c r="O930" s="32">
        <f>O929/O928</f>
        <v>0.68968000000000007</v>
      </c>
      <c r="P930" s="33" t="str">
        <f>IF(K930&lt;50%,"x","")</f>
        <v/>
      </c>
      <c r="Q930" s="33" t="str">
        <f>IF(K930&gt;150%,"x","")</f>
        <v/>
      </c>
      <c r="R930" s="33" t="str">
        <f>IF(O930&lt;50%,"x","")</f>
        <v/>
      </c>
      <c r="S930" s="33" t="str">
        <f>IF(O930&gt;150%,"x","")</f>
        <v/>
      </c>
      <c r="T930" s="33" t="s">
        <v>27</v>
      </c>
      <c r="U930" s="34" t="s">
        <v>27</v>
      </c>
      <c r="V930" s="35" t="s">
        <v>27</v>
      </c>
    </row>
    <row r="931" spans="1:22" ht="16.5" thickTop="1" x14ac:dyDescent="0.25">
      <c r="A931" s="18" t="s">
        <v>470</v>
      </c>
      <c r="B931" s="18" t="s">
        <v>945</v>
      </c>
      <c r="C931" s="18" t="s">
        <v>744</v>
      </c>
      <c r="D931" s="18" t="s">
        <v>26</v>
      </c>
      <c r="E931" s="18" t="s">
        <v>500</v>
      </c>
      <c r="F931" s="18" t="s">
        <v>750</v>
      </c>
      <c r="G931" s="18" t="s">
        <v>29</v>
      </c>
      <c r="H931" s="19">
        <v>2004</v>
      </c>
      <c r="I931" s="18" t="s">
        <v>68</v>
      </c>
      <c r="J931" s="101">
        <v>12</v>
      </c>
      <c r="K931" s="20">
        <v>20</v>
      </c>
      <c r="L931" s="21">
        <v>0.4</v>
      </c>
      <c r="M931" s="22" t="s">
        <v>30</v>
      </c>
      <c r="N931" s="23">
        <v>0.4</v>
      </c>
      <c r="O931" s="24">
        <v>0.02</v>
      </c>
      <c r="P931" s="25" t="str">
        <f>IF(P933="x","x","")</f>
        <v/>
      </c>
      <c r="Q931" s="25" t="str">
        <f>IF(Q933="x","x","")</f>
        <v/>
      </c>
      <c r="R931" s="25" t="str">
        <f>IF(R933="x","x","")</f>
        <v/>
      </c>
      <c r="S931" s="25" t="str">
        <f>IF(S933="x","x","")</f>
        <v/>
      </c>
      <c r="T931" s="25" t="s">
        <v>27</v>
      </c>
      <c r="U931" s="26"/>
      <c r="V931" s="27"/>
    </row>
    <row r="932" spans="1:22" x14ac:dyDescent="0.25">
      <c r="A932" s="18" t="s">
        <v>470</v>
      </c>
      <c r="B932" s="18" t="s">
        <v>945</v>
      </c>
      <c r="C932" s="18" t="s">
        <v>744</v>
      </c>
      <c r="D932" s="18" t="s">
        <v>26</v>
      </c>
      <c r="E932" s="18" t="s">
        <v>500</v>
      </c>
      <c r="F932" s="18" t="s">
        <v>750</v>
      </c>
      <c r="G932" s="18" t="s">
        <v>32</v>
      </c>
      <c r="H932" s="19">
        <v>2011</v>
      </c>
      <c r="I932" s="18" t="s">
        <v>68</v>
      </c>
      <c r="J932" s="101">
        <v>12</v>
      </c>
      <c r="K932" s="20">
        <v>20</v>
      </c>
      <c r="L932" s="21">
        <v>0.30755399999999999</v>
      </c>
      <c r="M932" s="22" t="s">
        <v>30</v>
      </c>
      <c r="N932" s="23">
        <v>0.30755399999999999</v>
      </c>
      <c r="O932" s="24">
        <v>1.5377699999999999E-2</v>
      </c>
      <c r="P932" s="25" t="str">
        <f>IF(P933="x","x","")</f>
        <v/>
      </c>
      <c r="Q932" s="25" t="str">
        <f>IF(Q933="x","x","")</f>
        <v/>
      </c>
      <c r="R932" s="25" t="str">
        <f>IF(R933="x","x","")</f>
        <v/>
      </c>
      <c r="S932" s="25" t="str">
        <f>IF(S933="x","x","")</f>
        <v/>
      </c>
      <c r="T932" s="25" t="s">
        <v>27</v>
      </c>
      <c r="U932" s="26"/>
      <c r="V932" s="27"/>
    </row>
    <row r="933" spans="1:22" ht="16.5" thickBot="1" x14ac:dyDescent="0.3">
      <c r="A933" s="28" t="str">
        <f>A932</f>
        <v>Lao PDR</v>
      </c>
      <c r="B933" s="28" t="str">
        <f>B932</f>
        <v>East Asia and Pacific</v>
      </c>
      <c r="C933" s="28" t="str">
        <f>C932</f>
        <v>P083543</v>
      </c>
      <c r="D933" s="28" t="s">
        <v>26</v>
      </c>
      <c r="E933" s="28" t="s">
        <v>27</v>
      </c>
      <c r="F933" s="28" t="str">
        <f>F932</f>
        <v>P083543C1S13</v>
      </c>
      <c r="G933" s="28" t="s">
        <v>16</v>
      </c>
      <c r="H933" s="29" t="str">
        <f>H931&amp;" / "&amp;H932</f>
        <v>2004 / 2011</v>
      </c>
      <c r="I933" s="29" t="str">
        <f>I932</f>
        <v>Asphalt Mix Resurfacing</v>
      </c>
      <c r="J933" s="97">
        <f>IFERROR(J932/J931,"")</f>
        <v>1</v>
      </c>
      <c r="K933" s="32">
        <f>K932/K931</f>
        <v>1</v>
      </c>
      <c r="L933" s="32">
        <f>L932/L931</f>
        <v>0.76888499999999993</v>
      </c>
      <c r="M933" s="28"/>
      <c r="N933" s="32">
        <f>N932/N931</f>
        <v>0.76888499999999993</v>
      </c>
      <c r="O933" s="32">
        <f>O932/O931</f>
        <v>0.76888499999999993</v>
      </c>
      <c r="P933" s="33" t="str">
        <f>IF(K933&lt;50%,"x","")</f>
        <v/>
      </c>
      <c r="Q933" s="33" t="str">
        <f>IF(K933&gt;150%,"x","")</f>
        <v/>
      </c>
      <c r="R933" s="33" t="str">
        <f>IF(O933&lt;50%,"x","")</f>
        <v/>
      </c>
      <c r="S933" s="33" t="str">
        <f>IF(O933&gt;150%,"x","")</f>
        <v/>
      </c>
      <c r="T933" s="33" t="s">
        <v>27</v>
      </c>
      <c r="U933" s="34" t="s">
        <v>27</v>
      </c>
      <c r="V933" s="35" t="s">
        <v>27</v>
      </c>
    </row>
    <row r="934" spans="1:22" ht="16.5" thickTop="1" x14ac:dyDescent="0.25">
      <c r="A934" s="18" t="s">
        <v>470</v>
      </c>
      <c r="B934" s="18" t="s">
        <v>945</v>
      </c>
      <c r="C934" s="18" t="s">
        <v>744</v>
      </c>
      <c r="D934" s="18" t="s">
        <v>26</v>
      </c>
      <c r="E934" s="18" t="s">
        <v>376</v>
      </c>
      <c r="F934" s="18" t="s">
        <v>751</v>
      </c>
      <c r="G934" s="18" t="s">
        <v>29</v>
      </c>
      <c r="H934" s="19">
        <v>2004</v>
      </c>
      <c r="I934" s="18" t="s">
        <v>122</v>
      </c>
      <c r="J934" s="101">
        <v>12</v>
      </c>
      <c r="K934" s="20">
        <v>24</v>
      </c>
      <c r="L934" s="21">
        <v>0.17</v>
      </c>
      <c r="M934" s="22" t="s">
        <v>30</v>
      </c>
      <c r="N934" s="23">
        <v>0.17</v>
      </c>
      <c r="O934" s="24">
        <v>7.0833333333333338E-3</v>
      </c>
      <c r="P934" s="25" t="str">
        <f>IF(P936="x","x","")</f>
        <v/>
      </c>
      <c r="Q934" s="25" t="str">
        <f>IF(Q936="x","x","")</f>
        <v/>
      </c>
      <c r="R934" s="25" t="str">
        <f>IF(R936="x","x","")</f>
        <v/>
      </c>
      <c r="S934" s="25" t="str">
        <f>IF(S936="x","x","")</f>
        <v/>
      </c>
      <c r="T934" s="25" t="s">
        <v>27</v>
      </c>
      <c r="U934" s="26"/>
      <c r="V934" s="27"/>
    </row>
    <row r="935" spans="1:22" x14ac:dyDescent="0.25">
      <c r="A935" s="18" t="s">
        <v>470</v>
      </c>
      <c r="B935" s="18" t="s">
        <v>945</v>
      </c>
      <c r="C935" s="18" t="s">
        <v>744</v>
      </c>
      <c r="D935" s="18" t="s">
        <v>26</v>
      </c>
      <c r="E935" s="18" t="s">
        <v>376</v>
      </c>
      <c r="F935" s="18" t="s">
        <v>751</v>
      </c>
      <c r="G935" s="18" t="s">
        <v>32</v>
      </c>
      <c r="H935" s="19">
        <v>2011</v>
      </c>
      <c r="I935" s="18" t="s">
        <v>122</v>
      </c>
      <c r="J935" s="101">
        <v>12</v>
      </c>
      <c r="K935" s="20">
        <v>24</v>
      </c>
      <c r="L935" s="21">
        <v>0.123885</v>
      </c>
      <c r="M935" s="22" t="s">
        <v>30</v>
      </c>
      <c r="N935" s="23">
        <v>0.123885</v>
      </c>
      <c r="O935" s="24">
        <v>5.1618749999999998E-3</v>
      </c>
      <c r="P935" s="25" t="str">
        <f>IF(P936="x","x","")</f>
        <v/>
      </c>
      <c r="Q935" s="25" t="str">
        <f>IF(Q936="x","x","")</f>
        <v/>
      </c>
      <c r="R935" s="25" t="str">
        <f>IF(R936="x","x","")</f>
        <v/>
      </c>
      <c r="S935" s="25" t="str">
        <f>IF(S936="x","x","")</f>
        <v/>
      </c>
      <c r="T935" s="25" t="s">
        <v>27</v>
      </c>
      <c r="U935" s="26"/>
      <c r="V935" s="27"/>
    </row>
    <row r="936" spans="1:22" ht="16.5" thickBot="1" x14ac:dyDescent="0.3">
      <c r="A936" s="28" t="str">
        <f>A935</f>
        <v>Lao PDR</v>
      </c>
      <c r="B936" s="28" t="str">
        <f>B935</f>
        <v>East Asia and Pacific</v>
      </c>
      <c r="C936" s="28" t="str">
        <f>C935</f>
        <v>P083543</v>
      </c>
      <c r="D936" s="28" t="s">
        <v>26</v>
      </c>
      <c r="E936" s="28" t="s">
        <v>27</v>
      </c>
      <c r="F936" s="28" t="str">
        <f>F935</f>
        <v>P083543C1S14</v>
      </c>
      <c r="G936" s="28" t="s">
        <v>16</v>
      </c>
      <c r="H936" s="29" t="str">
        <f>H934&amp;" / "&amp;H935</f>
        <v>2004 / 2011</v>
      </c>
      <c r="I936" s="29" t="str">
        <f>I935</f>
        <v>Gravel Resurfacing</v>
      </c>
      <c r="J936" s="97">
        <f>IFERROR(J935/J934,"")</f>
        <v>1</v>
      </c>
      <c r="K936" s="32">
        <f>K935/K934</f>
        <v>1</v>
      </c>
      <c r="L936" s="32">
        <f>L935/L934</f>
        <v>0.72873529411764693</v>
      </c>
      <c r="M936" s="28"/>
      <c r="N936" s="32">
        <f>N935/N934</f>
        <v>0.72873529411764693</v>
      </c>
      <c r="O936" s="32">
        <f>O935/O934</f>
        <v>0.72873529411764693</v>
      </c>
      <c r="P936" s="33" t="str">
        <f>IF(K936&lt;50%,"x","")</f>
        <v/>
      </c>
      <c r="Q936" s="33" t="str">
        <f>IF(K936&gt;150%,"x","")</f>
        <v/>
      </c>
      <c r="R936" s="33" t="str">
        <f>IF(O936&lt;50%,"x","")</f>
        <v/>
      </c>
      <c r="S936" s="33" t="str">
        <f>IF(O936&gt;150%,"x","")</f>
        <v/>
      </c>
      <c r="T936" s="33" t="s">
        <v>27</v>
      </c>
      <c r="U936" s="34" t="s">
        <v>27</v>
      </c>
      <c r="V936" s="35" t="s">
        <v>27</v>
      </c>
    </row>
    <row r="937" spans="1:22" ht="16.5" thickTop="1" x14ac:dyDescent="0.25">
      <c r="A937" s="18" t="s">
        <v>470</v>
      </c>
      <c r="B937" s="18" t="s">
        <v>945</v>
      </c>
      <c r="C937" s="18" t="s">
        <v>744</v>
      </c>
      <c r="D937" s="18" t="s">
        <v>26</v>
      </c>
      <c r="E937" s="18" t="s">
        <v>378</v>
      </c>
      <c r="F937" s="18" t="s">
        <v>752</v>
      </c>
      <c r="G937" s="18" t="s">
        <v>29</v>
      </c>
      <c r="H937" s="19">
        <v>2004</v>
      </c>
      <c r="I937" s="18" t="s">
        <v>122</v>
      </c>
      <c r="J937" s="101">
        <v>12</v>
      </c>
      <c r="K937" s="20">
        <v>19</v>
      </c>
      <c r="L937" s="21">
        <v>0.12</v>
      </c>
      <c r="M937" s="22" t="s">
        <v>30</v>
      </c>
      <c r="N937" s="23">
        <v>0.12</v>
      </c>
      <c r="O937" s="24">
        <v>6.3157894736842104E-3</v>
      </c>
      <c r="P937" s="25" t="str">
        <f>IF(P939="x","x","")</f>
        <v/>
      </c>
      <c r="Q937" s="25" t="str">
        <f>IF(Q939="x","x","")</f>
        <v/>
      </c>
      <c r="R937" s="25" t="str">
        <f>IF(R939="x","x","")</f>
        <v/>
      </c>
      <c r="S937" s="25" t="str">
        <f>IF(S939="x","x","")</f>
        <v/>
      </c>
      <c r="T937" s="25" t="s">
        <v>27</v>
      </c>
      <c r="U937" s="26"/>
      <c r="V937" s="27"/>
    </row>
    <row r="938" spans="1:22" x14ac:dyDescent="0.25">
      <c r="A938" s="18" t="s">
        <v>470</v>
      </c>
      <c r="B938" s="18" t="s">
        <v>945</v>
      </c>
      <c r="C938" s="18" t="s">
        <v>744</v>
      </c>
      <c r="D938" s="18" t="s">
        <v>26</v>
      </c>
      <c r="E938" s="18" t="s">
        <v>378</v>
      </c>
      <c r="F938" s="18" t="s">
        <v>752</v>
      </c>
      <c r="G938" s="18" t="s">
        <v>32</v>
      </c>
      <c r="H938" s="19">
        <v>2011</v>
      </c>
      <c r="I938" s="18" t="s">
        <v>122</v>
      </c>
      <c r="J938" s="101">
        <v>12</v>
      </c>
      <c r="K938" s="20">
        <v>19</v>
      </c>
      <c r="L938" s="21">
        <v>0.13713700000000001</v>
      </c>
      <c r="M938" s="22" t="s">
        <v>30</v>
      </c>
      <c r="N938" s="23">
        <v>0.13713700000000001</v>
      </c>
      <c r="O938" s="24">
        <v>7.2177368421052638E-3</v>
      </c>
      <c r="P938" s="25" t="str">
        <f>IF(P939="x","x","")</f>
        <v/>
      </c>
      <c r="Q938" s="25" t="str">
        <f>IF(Q939="x","x","")</f>
        <v/>
      </c>
      <c r="R938" s="25" t="str">
        <f>IF(R939="x","x","")</f>
        <v/>
      </c>
      <c r="S938" s="25" t="str">
        <f>IF(S939="x","x","")</f>
        <v/>
      </c>
      <c r="T938" s="25" t="s">
        <v>27</v>
      </c>
      <c r="U938" s="26"/>
      <c r="V938" s="27"/>
    </row>
    <row r="939" spans="1:22" ht="16.5" thickBot="1" x14ac:dyDescent="0.3">
      <c r="A939" s="28" t="str">
        <f>A938</f>
        <v>Lao PDR</v>
      </c>
      <c r="B939" s="28" t="str">
        <f>B938</f>
        <v>East Asia and Pacific</v>
      </c>
      <c r="C939" s="28" t="str">
        <f>C938</f>
        <v>P083543</v>
      </c>
      <c r="D939" s="28" t="s">
        <v>26</v>
      </c>
      <c r="E939" s="28" t="s">
        <v>27</v>
      </c>
      <c r="F939" s="28" t="str">
        <f>F938</f>
        <v>P083543C1S15</v>
      </c>
      <c r="G939" s="28" t="s">
        <v>16</v>
      </c>
      <c r="H939" s="29" t="str">
        <f>H937&amp;" / "&amp;H938</f>
        <v>2004 / 2011</v>
      </c>
      <c r="I939" s="29" t="str">
        <f>I938</f>
        <v>Gravel Resurfacing</v>
      </c>
      <c r="J939" s="97">
        <f>IFERROR(J938/J937,"")</f>
        <v>1</v>
      </c>
      <c r="K939" s="32">
        <f>K938/K937</f>
        <v>1</v>
      </c>
      <c r="L939" s="32">
        <f>L938/L937</f>
        <v>1.1428083333333334</v>
      </c>
      <c r="M939" s="28"/>
      <c r="N939" s="32">
        <f>N938/N937</f>
        <v>1.1428083333333334</v>
      </c>
      <c r="O939" s="32">
        <f>O938/O937</f>
        <v>1.1428083333333334</v>
      </c>
      <c r="P939" s="33" t="str">
        <f>IF(K939&lt;50%,"x","")</f>
        <v/>
      </c>
      <c r="Q939" s="33" t="str">
        <f>IF(K939&gt;150%,"x","")</f>
        <v/>
      </c>
      <c r="R939" s="33" t="str">
        <f>IF(O939&lt;50%,"x","")</f>
        <v/>
      </c>
      <c r="S939" s="33" t="str">
        <f>IF(O939&gt;150%,"x","")</f>
        <v/>
      </c>
      <c r="T939" s="33" t="s">
        <v>27</v>
      </c>
      <c r="U939" s="34" t="s">
        <v>27</v>
      </c>
      <c r="V939" s="35" t="s">
        <v>27</v>
      </c>
    </row>
    <row r="940" spans="1:22" ht="16.5" thickTop="1" x14ac:dyDescent="0.25">
      <c r="A940" s="18" t="s">
        <v>470</v>
      </c>
      <c r="B940" s="18" t="s">
        <v>945</v>
      </c>
      <c r="C940" s="18" t="s">
        <v>744</v>
      </c>
      <c r="D940" s="18" t="s">
        <v>26</v>
      </c>
      <c r="E940" s="18" t="s">
        <v>504</v>
      </c>
      <c r="F940" s="18" t="s">
        <v>753</v>
      </c>
      <c r="G940" s="18" t="s">
        <v>29</v>
      </c>
      <c r="H940" s="19">
        <v>2004</v>
      </c>
      <c r="I940" s="18" t="s">
        <v>122</v>
      </c>
      <c r="J940" s="101">
        <v>12</v>
      </c>
      <c r="K940" s="20">
        <v>57</v>
      </c>
      <c r="L940" s="21">
        <v>0.35</v>
      </c>
      <c r="M940" s="22" t="s">
        <v>30</v>
      </c>
      <c r="N940" s="23">
        <v>0.35</v>
      </c>
      <c r="O940" s="24">
        <v>6.1403508771929825E-3</v>
      </c>
      <c r="P940" s="25" t="str">
        <f>IF(P942="x","x","")</f>
        <v/>
      </c>
      <c r="Q940" s="25" t="str">
        <f>IF(Q942="x","x","")</f>
        <v/>
      </c>
      <c r="R940" s="25" t="str">
        <f>IF(R942="x","x","")</f>
        <v/>
      </c>
      <c r="S940" s="25" t="str">
        <f>IF(S942="x","x","")</f>
        <v/>
      </c>
      <c r="T940" s="25" t="s">
        <v>27</v>
      </c>
      <c r="U940" s="26"/>
      <c r="V940" s="27"/>
    </row>
    <row r="941" spans="1:22" x14ac:dyDescent="0.25">
      <c r="A941" s="18" t="s">
        <v>470</v>
      </c>
      <c r="B941" s="18" t="s">
        <v>945</v>
      </c>
      <c r="C941" s="18" t="s">
        <v>744</v>
      </c>
      <c r="D941" s="18" t="s">
        <v>26</v>
      </c>
      <c r="E941" s="18" t="s">
        <v>504</v>
      </c>
      <c r="F941" s="18" t="s">
        <v>753</v>
      </c>
      <c r="G941" s="18" t="s">
        <v>32</v>
      </c>
      <c r="H941" s="19">
        <v>2011</v>
      </c>
      <c r="I941" s="18" t="s">
        <v>122</v>
      </c>
      <c r="J941" s="101">
        <v>12</v>
      </c>
      <c r="K941" s="20">
        <v>57</v>
      </c>
      <c r="L941" s="21">
        <v>0.356541</v>
      </c>
      <c r="M941" s="22" t="s">
        <v>30</v>
      </c>
      <c r="N941" s="23">
        <v>0.356541</v>
      </c>
      <c r="O941" s="24">
        <v>6.2551052631578943E-3</v>
      </c>
      <c r="P941" s="25" t="str">
        <f>IF(P942="x","x","")</f>
        <v/>
      </c>
      <c r="Q941" s="25" t="str">
        <f>IF(Q942="x","x","")</f>
        <v/>
      </c>
      <c r="R941" s="25" t="str">
        <f>IF(R942="x","x","")</f>
        <v/>
      </c>
      <c r="S941" s="25" t="str">
        <f>IF(S942="x","x","")</f>
        <v/>
      </c>
      <c r="T941" s="25" t="s">
        <v>27</v>
      </c>
      <c r="U941" s="26"/>
      <c r="V941" s="27"/>
    </row>
    <row r="942" spans="1:22" ht="16.5" thickBot="1" x14ac:dyDescent="0.3">
      <c r="A942" s="28" t="str">
        <f>A941</f>
        <v>Lao PDR</v>
      </c>
      <c r="B942" s="28" t="str">
        <f>B941</f>
        <v>East Asia and Pacific</v>
      </c>
      <c r="C942" s="28" t="str">
        <f>C941</f>
        <v>P083543</v>
      </c>
      <c r="D942" s="28" t="s">
        <v>26</v>
      </c>
      <c r="E942" s="28" t="s">
        <v>27</v>
      </c>
      <c r="F942" s="28" t="str">
        <f>F941</f>
        <v>P083543C1S16</v>
      </c>
      <c r="G942" s="28" t="s">
        <v>16</v>
      </c>
      <c r="H942" s="29" t="str">
        <f>H940&amp;" / "&amp;H941</f>
        <v>2004 / 2011</v>
      </c>
      <c r="I942" s="29" t="str">
        <f>I941</f>
        <v>Gravel Resurfacing</v>
      </c>
      <c r="J942" s="97">
        <f>IFERROR(J941/J940,"")</f>
        <v>1</v>
      </c>
      <c r="K942" s="32">
        <f>K941/K940</f>
        <v>1</v>
      </c>
      <c r="L942" s="32">
        <f>L941/L940</f>
        <v>1.0186885714285714</v>
      </c>
      <c r="M942" s="28"/>
      <c r="N942" s="32">
        <f>N941/N940</f>
        <v>1.0186885714285714</v>
      </c>
      <c r="O942" s="32">
        <f>O941/O940</f>
        <v>1.0186885714285714</v>
      </c>
      <c r="P942" s="33" t="str">
        <f>IF(K942&lt;50%,"x","")</f>
        <v/>
      </c>
      <c r="Q942" s="33" t="str">
        <f>IF(K942&gt;150%,"x","")</f>
        <v/>
      </c>
      <c r="R942" s="33" t="str">
        <f>IF(O942&lt;50%,"x","")</f>
        <v/>
      </c>
      <c r="S942" s="33" t="str">
        <f>IF(O942&gt;150%,"x","")</f>
        <v/>
      </c>
      <c r="T942" s="33" t="s">
        <v>27</v>
      </c>
      <c r="U942" s="34" t="s">
        <v>27</v>
      </c>
      <c r="V942" s="35" t="s">
        <v>27</v>
      </c>
    </row>
    <row r="943" spans="1:22" ht="16.5" thickTop="1" x14ac:dyDescent="0.25">
      <c r="A943" s="18" t="s">
        <v>470</v>
      </c>
      <c r="B943" s="18" t="s">
        <v>945</v>
      </c>
      <c r="C943" s="18" t="s">
        <v>744</v>
      </c>
      <c r="D943" s="18" t="s">
        <v>26</v>
      </c>
      <c r="E943" s="18" t="s">
        <v>506</v>
      </c>
      <c r="F943" s="18" t="s">
        <v>754</v>
      </c>
      <c r="G943" s="18" t="s">
        <v>29</v>
      </c>
      <c r="H943" s="19">
        <v>2004</v>
      </c>
      <c r="I943" s="18" t="s">
        <v>68</v>
      </c>
      <c r="J943" s="101">
        <v>12</v>
      </c>
      <c r="K943" s="20">
        <v>12</v>
      </c>
      <c r="L943" s="21">
        <v>0.24</v>
      </c>
      <c r="M943" s="22" t="s">
        <v>30</v>
      </c>
      <c r="N943" s="23">
        <v>0.24</v>
      </c>
      <c r="O943" s="24">
        <v>0.02</v>
      </c>
      <c r="P943" s="25" t="str">
        <f>IF(P945="x","x","")</f>
        <v/>
      </c>
      <c r="Q943" s="25" t="str">
        <f>IF(Q945="x","x","")</f>
        <v/>
      </c>
      <c r="R943" s="25" t="str">
        <f>IF(R945="x","x","")</f>
        <v/>
      </c>
      <c r="S943" s="25" t="str">
        <f>IF(S945="x","x","")</f>
        <v/>
      </c>
      <c r="T943" s="25" t="s">
        <v>27</v>
      </c>
      <c r="U943" s="26"/>
      <c r="V943" s="27"/>
    </row>
    <row r="944" spans="1:22" x14ac:dyDescent="0.25">
      <c r="A944" s="18" t="s">
        <v>470</v>
      </c>
      <c r="B944" s="18" t="s">
        <v>945</v>
      </c>
      <c r="C944" s="18" t="s">
        <v>744</v>
      </c>
      <c r="D944" s="18" t="s">
        <v>26</v>
      </c>
      <c r="E944" s="18" t="s">
        <v>506</v>
      </c>
      <c r="F944" s="18" t="s">
        <v>754</v>
      </c>
      <c r="G944" s="18" t="s">
        <v>32</v>
      </c>
      <c r="H944" s="19">
        <v>2011</v>
      </c>
      <c r="I944" s="18" t="s">
        <v>68</v>
      </c>
      <c r="J944" s="101">
        <v>12</v>
      </c>
      <c r="K944" s="20">
        <v>12</v>
      </c>
      <c r="L944" s="21">
        <v>0.200069</v>
      </c>
      <c r="M944" s="22" t="s">
        <v>30</v>
      </c>
      <c r="N944" s="23">
        <v>0.200069</v>
      </c>
      <c r="O944" s="24">
        <v>1.6672416666666665E-2</v>
      </c>
      <c r="P944" s="25" t="str">
        <f>IF(P945="x","x","")</f>
        <v/>
      </c>
      <c r="Q944" s="25" t="str">
        <f>IF(Q945="x","x","")</f>
        <v/>
      </c>
      <c r="R944" s="25" t="str">
        <f>IF(R945="x","x","")</f>
        <v/>
      </c>
      <c r="S944" s="25" t="str">
        <f>IF(S945="x","x","")</f>
        <v/>
      </c>
      <c r="T944" s="25" t="s">
        <v>27</v>
      </c>
      <c r="U944" s="26"/>
      <c r="V944" s="27"/>
    </row>
    <row r="945" spans="1:22" ht="16.5" thickBot="1" x14ac:dyDescent="0.3">
      <c r="A945" s="28" t="str">
        <f>A944</f>
        <v>Lao PDR</v>
      </c>
      <c r="B945" s="28" t="str">
        <f>B944</f>
        <v>East Asia and Pacific</v>
      </c>
      <c r="C945" s="28" t="str">
        <f>C944</f>
        <v>P083543</v>
      </c>
      <c r="D945" s="28" t="s">
        <v>26</v>
      </c>
      <c r="E945" s="28" t="s">
        <v>27</v>
      </c>
      <c r="F945" s="28" t="str">
        <f>F944</f>
        <v>P083543C1S17</v>
      </c>
      <c r="G945" s="28" t="s">
        <v>16</v>
      </c>
      <c r="H945" s="29" t="str">
        <f>H943&amp;" / "&amp;H944</f>
        <v>2004 / 2011</v>
      </c>
      <c r="I945" s="29" t="str">
        <f>I944</f>
        <v>Asphalt Mix Resurfacing</v>
      </c>
      <c r="J945" s="97">
        <f>IFERROR(J944/J943,"")</f>
        <v>1</v>
      </c>
      <c r="K945" s="32">
        <f>K944/K943</f>
        <v>1</v>
      </c>
      <c r="L945" s="32">
        <f>L944/L943</f>
        <v>0.83362083333333337</v>
      </c>
      <c r="M945" s="28"/>
      <c r="N945" s="32">
        <f>N944/N943</f>
        <v>0.83362083333333337</v>
      </c>
      <c r="O945" s="32">
        <f>O944/O943</f>
        <v>0.83362083333333326</v>
      </c>
      <c r="P945" s="33" t="str">
        <f>IF(K945&lt;50%,"x","")</f>
        <v/>
      </c>
      <c r="Q945" s="33" t="str">
        <f>IF(K945&gt;150%,"x","")</f>
        <v/>
      </c>
      <c r="R945" s="33" t="str">
        <f>IF(O945&lt;50%,"x","")</f>
        <v/>
      </c>
      <c r="S945" s="33" t="str">
        <f>IF(O945&gt;150%,"x","")</f>
        <v/>
      </c>
      <c r="T945" s="33" t="s">
        <v>27</v>
      </c>
      <c r="U945" s="34" t="s">
        <v>27</v>
      </c>
      <c r="V945" s="35" t="s">
        <v>27</v>
      </c>
    </row>
    <row r="946" spans="1:22" ht="16.5" thickTop="1" x14ac:dyDescent="0.25">
      <c r="A946" s="18" t="s">
        <v>470</v>
      </c>
      <c r="B946" s="18" t="s">
        <v>945</v>
      </c>
      <c r="C946" s="18" t="s">
        <v>744</v>
      </c>
      <c r="D946" s="18" t="s">
        <v>26</v>
      </c>
      <c r="E946" s="18" t="s">
        <v>508</v>
      </c>
      <c r="F946" s="18" t="s">
        <v>755</v>
      </c>
      <c r="G946" s="18" t="s">
        <v>29</v>
      </c>
      <c r="H946" s="19">
        <v>2004</v>
      </c>
      <c r="I946" s="18" t="s">
        <v>78</v>
      </c>
      <c r="J946" s="101">
        <v>12</v>
      </c>
      <c r="K946" s="20">
        <v>14</v>
      </c>
      <c r="L946" s="21">
        <v>0.15</v>
      </c>
      <c r="M946" s="22" t="s">
        <v>30</v>
      </c>
      <c r="N946" s="23">
        <v>0.15</v>
      </c>
      <c r="O946" s="24">
        <v>1.0714285714285714E-2</v>
      </c>
      <c r="P946" s="25" t="str">
        <f>IF(P948="x","x","")</f>
        <v/>
      </c>
      <c r="Q946" s="25" t="str">
        <f>IF(Q948="x","x","")</f>
        <v/>
      </c>
      <c r="R946" s="25" t="str">
        <f>IF(R948="x","x","")</f>
        <v/>
      </c>
      <c r="S946" s="25" t="str">
        <f>IF(S948="x","x","")</f>
        <v/>
      </c>
      <c r="T946" s="25" t="s">
        <v>27</v>
      </c>
      <c r="U946" s="26"/>
      <c r="V946" s="27"/>
    </row>
    <row r="947" spans="1:22" x14ac:dyDescent="0.25">
      <c r="A947" s="18" t="s">
        <v>470</v>
      </c>
      <c r="B947" s="18" t="s">
        <v>945</v>
      </c>
      <c r="C947" s="18" t="s">
        <v>744</v>
      </c>
      <c r="D947" s="18" t="s">
        <v>26</v>
      </c>
      <c r="E947" s="18" t="s">
        <v>508</v>
      </c>
      <c r="F947" s="18" t="s">
        <v>755</v>
      </c>
      <c r="G947" s="18" t="s">
        <v>32</v>
      </c>
      <c r="H947" s="19">
        <v>2011</v>
      </c>
      <c r="I947" s="18" t="s">
        <v>78</v>
      </c>
      <c r="J947" s="101">
        <v>12</v>
      </c>
      <c r="K947" s="20">
        <v>14</v>
      </c>
      <c r="L947" s="21">
        <v>0.13291700000000001</v>
      </c>
      <c r="M947" s="22" t="s">
        <v>30</v>
      </c>
      <c r="N947" s="23">
        <v>0.13291700000000001</v>
      </c>
      <c r="O947" s="24">
        <v>9.4940714285714298E-3</v>
      </c>
      <c r="P947" s="25" t="str">
        <f>IF(P948="x","x","")</f>
        <v/>
      </c>
      <c r="Q947" s="25" t="str">
        <f>IF(Q948="x","x","")</f>
        <v/>
      </c>
      <c r="R947" s="25" t="str">
        <f>IF(R948="x","x","")</f>
        <v/>
      </c>
      <c r="S947" s="25" t="str">
        <f>IF(S948="x","x","")</f>
        <v/>
      </c>
      <c r="T947" s="25" t="s">
        <v>27</v>
      </c>
      <c r="U947" s="26"/>
      <c r="V947" s="27"/>
    </row>
    <row r="948" spans="1:22" ht="16.5" thickBot="1" x14ac:dyDescent="0.3">
      <c r="A948" s="28" t="str">
        <f>A947</f>
        <v>Lao PDR</v>
      </c>
      <c r="B948" s="28" t="str">
        <f>B947</f>
        <v>East Asia and Pacific</v>
      </c>
      <c r="C948" s="28" t="str">
        <f>C947</f>
        <v>P083543</v>
      </c>
      <c r="D948" s="28" t="s">
        <v>26</v>
      </c>
      <c r="E948" s="28" t="s">
        <v>27</v>
      </c>
      <c r="F948" s="28" t="str">
        <f>F947</f>
        <v>P083543C1S18</v>
      </c>
      <c r="G948" s="28" t="s">
        <v>16</v>
      </c>
      <c r="H948" s="29" t="str">
        <f>H946&amp;" / "&amp;H947</f>
        <v>2004 / 2011</v>
      </c>
      <c r="I948" s="29" t="str">
        <f>I947</f>
        <v>Surface Treatment Resurfacing</v>
      </c>
      <c r="J948" s="97">
        <f>IFERROR(J947/J946,"")</f>
        <v>1</v>
      </c>
      <c r="K948" s="32">
        <f>K947/K946</f>
        <v>1</v>
      </c>
      <c r="L948" s="32">
        <f>L947/L946</f>
        <v>0.88611333333333342</v>
      </c>
      <c r="M948" s="28"/>
      <c r="N948" s="32">
        <f>N947/N946</f>
        <v>0.88611333333333342</v>
      </c>
      <c r="O948" s="32">
        <f>O947/O946</f>
        <v>0.88611333333333342</v>
      </c>
      <c r="P948" s="33" t="str">
        <f>IF(K948&lt;50%,"x","")</f>
        <v/>
      </c>
      <c r="Q948" s="33" t="str">
        <f>IF(K948&gt;150%,"x","")</f>
        <v/>
      </c>
      <c r="R948" s="33" t="str">
        <f>IF(O948&lt;50%,"x","")</f>
        <v/>
      </c>
      <c r="S948" s="33" t="str">
        <f>IF(O948&gt;150%,"x","")</f>
        <v/>
      </c>
      <c r="T948" s="33" t="s">
        <v>27</v>
      </c>
      <c r="U948" s="34" t="s">
        <v>27</v>
      </c>
      <c r="V948" s="35" t="s">
        <v>27</v>
      </c>
    </row>
    <row r="949" spans="1:22" ht="16.5" thickTop="1" x14ac:dyDescent="0.25">
      <c r="A949" s="18" t="s">
        <v>470</v>
      </c>
      <c r="B949" s="18" t="s">
        <v>945</v>
      </c>
      <c r="C949" s="18" t="s">
        <v>744</v>
      </c>
      <c r="D949" s="18" t="s">
        <v>26</v>
      </c>
      <c r="E949" s="18" t="s">
        <v>510</v>
      </c>
      <c r="F949" s="18" t="s">
        <v>756</v>
      </c>
      <c r="G949" s="18" t="s">
        <v>29</v>
      </c>
      <c r="H949" s="19">
        <v>2004</v>
      </c>
      <c r="I949" s="18" t="s">
        <v>122</v>
      </c>
      <c r="J949" s="101">
        <v>12</v>
      </c>
      <c r="K949" s="20">
        <v>32</v>
      </c>
      <c r="L949" s="21">
        <v>0.25</v>
      </c>
      <c r="M949" s="22" t="s">
        <v>30</v>
      </c>
      <c r="N949" s="23">
        <v>0.25</v>
      </c>
      <c r="O949" s="24">
        <v>7.8125E-3</v>
      </c>
      <c r="P949" s="25" t="str">
        <f>IF(P951="x","x","")</f>
        <v/>
      </c>
      <c r="Q949" s="25" t="str">
        <f>IF(Q951="x","x","")</f>
        <v/>
      </c>
      <c r="R949" s="25" t="str">
        <f>IF(R951="x","x","")</f>
        <v/>
      </c>
      <c r="S949" s="25" t="str">
        <f>IF(S951="x","x","")</f>
        <v>x</v>
      </c>
      <c r="T949" s="25" t="s">
        <v>31</v>
      </c>
      <c r="U949" s="26"/>
      <c r="V949" s="27"/>
    </row>
    <row r="950" spans="1:22" x14ac:dyDescent="0.25">
      <c r="A950" s="18" t="s">
        <v>470</v>
      </c>
      <c r="B950" s="18" t="s">
        <v>945</v>
      </c>
      <c r="C950" s="18" t="s">
        <v>744</v>
      </c>
      <c r="D950" s="18" t="s">
        <v>26</v>
      </c>
      <c r="E950" s="18" t="s">
        <v>510</v>
      </c>
      <c r="F950" s="18" t="s">
        <v>756</v>
      </c>
      <c r="G950" s="18" t="s">
        <v>32</v>
      </c>
      <c r="H950" s="19">
        <v>2011</v>
      </c>
      <c r="I950" s="18" t="s">
        <v>122</v>
      </c>
      <c r="J950" s="101">
        <v>12</v>
      </c>
      <c r="K950" s="20">
        <v>32</v>
      </c>
      <c r="L950" s="21">
        <v>0.39507799999999998</v>
      </c>
      <c r="M950" s="22" t="s">
        <v>30</v>
      </c>
      <c r="N950" s="23">
        <v>0.39507799999999998</v>
      </c>
      <c r="O950" s="24">
        <v>1.23461875E-2</v>
      </c>
      <c r="P950" s="25" t="str">
        <f>IF(P951="x","x","")</f>
        <v/>
      </c>
      <c r="Q950" s="25" t="str">
        <f>IF(Q951="x","x","")</f>
        <v/>
      </c>
      <c r="R950" s="25" t="str">
        <f>IF(R951="x","x","")</f>
        <v/>
      </c>
      <c r="S950" s="25" t="str">
        <f>IF(S951="x","x","")</f>
        <v>x</v>
      </c>
      <c r="T950" s="25" t="s">
        <v>31</v>
      </c>
      <c r="U950" s="26"/>
      <c r="V950" s="27"/>
    </row>
    <row r="951" spans="1:22" ht="63.75" thickBot="1" x14ac:dyDescent="0.3">
      <c r="A951" s="28" t="str">
        <f>A950</f>
        <v>Lao PDR</v>
      </c>
      <c r="B951" s="28" t="str">
        <f>B950</f>
        <v>East Asia and Pacific</v>
      </c>
      <c r="C951" s="28" t="str">
        <f>C950</f>
        <v>P083543</v>
      </c>
      <c r="D951" s="28" t="s">
        <v>26</v>
      </c>
      <c r="E951" s="28" t="s">
        <v>27</v>
      </c>
      <c r="F951" s="28" t="str">
        <f>F950</f>
        <v>P083543C1S19</v>
      </c>
      <c r="G951" s="28" t="s">
        <v>16</v>
      </c>
      <c r="H951" s="29" t="str">
        <f>H949&amp;" / "&amp;H950</f>
        <v>2004 / 2011</v>
      </c>
      <c r="I951" s="29" t="str">
        <f>I950</f>
        <v>Gravel Resurfacing</v>
      </c>
      <c r="J951" s="97">
        <f>IFERROR(J950/J949,"")</f>
        <v>1</v>
      </c>
      <c r="K951" s="32">
        <f>K950/K949</f>
        <v>1</v>
      </c>
      <c r="L951" s="32">
        <f>L950/L949</f>
        <v>1.5803119999999999</v>
      </c>
      <c r="M951" s="28"/>
      <c r="N951" s="32">
        <f>N950/N949</f>
        <v>1.5803119999999999</v>
      </c>
      <c r="O951" s="32">
        <f>O950/O949</f>
        <v>1.5803119999999999</v>
      </c>
      <c r="P951" s="33" t="str">
        <f>IF(K951&lt;50%,"x","")</f>
        <v/>
      </c>
      <c r="Q951" s="33" t="str">
        <f>IF(K951&gt;150%,"x","")</f>
        <v/>
      </c>
      <c r="R951" s="33" t="str">
        <f>IF(O951&lt;50%,"x","")</f>
        <v/>
      </c>
      <c r="S951" s="33" t="str">
        <f>IF(O951&gt;150%,"x","")</f>
        <v>x</v>
      </c>
      <c r="T951" s="33" t="s">
        <v>31</v>
      </c>
      <c r="U951" s="34" t="s">
        <v>1063</v>
      </c>
      <c r="V951" s="35" t="s">
        <v>1064</v>
      </c>
    </row>
    <row r="952" spans="1:22" ht="16.5" thickTop="1" x14ac:dyDescent="0.25">
      <c r="A952" s="18" t="s">
        <v>470</v>
      </c>
      <c r="B952" s="18" t="s">
        <v>945</v>
      </c>
      <c r="C952" s="18" t="s">
        <v>744</v>
      </c>
      <c r="D952" s="18" t="s">
        <v>26</v>
      </c>
      <c r="E952" s="18" t="s">
        <v>40</v>
      </c>
      <c r="F952" s="18" t="s">
        <v>757</v>
      </c>
      <c r="G952" s="18" t="s">
        <v>29</v>
      </c>
      <c r="H952" s="19">
        <v>2004</v>
      </c>
      <c r="I952" s="18" t="s">
        <v>68</v>
      </c>
      <c r="J952" s="101">
        <v>12</v>
      </c>
      <c r="K952" s="20">
        <v>16</v>
      </c>
      <c r="L952" s="21">
        <v>0.34</v>
      </c>
      <c r="M952" s="22" t="s">
        <v>30</v>
      </c>
      <c r="N952" s="23">
        <v>0.34</v>
      </c>
      <c r="O952" s="24">
        <v>2.1250000000000002E-2</v>
      </c>
      <c r="P952" s="25" t="str">
        <f>IF(P954="x","x","")</f>
        <v/>
      </c>
      <c r="Q952" s="25" t="str">
        <f>IF(Q954="x","x","")</f>
        <v/>
      </c>
      <c r="R952" s="25" t="str">
        <f>IF(R954="x","x","")</f>
        <v/>
      </c>
      <c r="S952" s="25" t="str">
        <f>IF(S954="x","x","")</f>
        <v/>
      </c>
      <c r="T952" s="25" t="s">
        <v>27</v>
      </c>
      <c r="U952" s="26"/>
      <c r="V952" s="27"/>
    </row>
    <row r="953" spans="1:22" x14ac:dyDescent="0.25">
      <c r="A953" s="18" t="s">
        <v>470</v>
      </c>
      <c r="B953" s="18" t="s">
        <v>945</v>
      </c>
      <c r="C953" s="18" t="s">
        <v>744</v>
      </c>
      <c r="D953" s="18" t="s">
        <v>26</v>
      </c>
      <c r="E953" s="18" t="s">
        <v>40</v>
      </c>
      <c r="F953" s="18" t="s">
        <v>757</v>
      </c>
      <c r="G953" s="18" t="s">
        <v>32</v>
      </c>
      <c r="H953" s="19">
        <v>2011</v>
      </c>
      <c r="I953" s="18" t="s">
        <v>68</v>
      </c>
      <c r="J953" s="101">
        <v>12</v>
      </c>
      <c r="K953" s="20">
        <v>16</v>
      </c>
      <c r="L953" s="21">
        <v>0.37198300000000001</v>
      </c>
      <c r="M953" s="22" t="s">
        <v>30</v>
      </c>
      <c r="N953" s="23">
        <v>0.37198300000000001</v>
      </c>
      <c r="O953" s="24">
        <v>2.3248937500000001E-2</v>
      </c>
      <c r="P953" s="25" t="str">
        <f>IF(P954="x","x","")</f>
        <v/>
      </c>
      <c r="Q953" s="25" t="str">
        <f>IF(Q954="x","x","")</f>
        <v/>
      </c>
      <c r="R953" s="25" t="str">
        <f>IF(R954="x","x","")</f>
        <v/>
      </c>
      <c r="S953" s="25" t="str">
        <f>IF(S954="x","x","")</f>
        <v/>
      </c>
      <c r="T953" s="25" t="s">
        <v>27</v>
      </c>
      <c r="U953" s="26"/>
      <c r="V953" s="27"/>
    </row>
    <row r="954" spans="1:22" ht="16.5" thickBot="1" x14ac:dyDescent="0.3">
      <c r="A954" s="28" t="str">
        <f>A953</f>
        <v>Lao PDR</v>
      </c>
      <c r="B954" s="28" t="str">
        <f>B953</f>
        <v>East Asia and Pacific</v>
      </c>
      <c r="C954" s="28" t="str">
        <f>C953</f>
        <v>P083543</v>
      </c>
      <c r="D954" s="28" t="s">
        <v>26</v>
      </c>
      <c r="E954" s="28" t="s">
        <v>27</v>
      </c>
      <c r="F954" s="28" t="str">
        <f>F953</f>
        <v>P083543C1S2</v>
      </c>
      <c r="G954" s="28" t="s">
        <v>16</v>
      </c>
      <c r="H954" s="29" t="str">
        <f>H952&amp;" / "&amp;H953</f>
        <v>2004 / 2011</v>
      </c>
      <c r="I954" s="29" t="str">
        <f>I953</f>
        <v>Asphalt Mix Resurfacing</v>
      </c>
      <c r="J954" s="97">
        <f>IFERROR(J953/J952,"")</f>
        <v>1</v>
      </c>
      <c r="K954" s="32">
        <f>K953/K952</f>
        <v>1</v>
      </c>
      <c r="L954" s="32">
        <f>L953/L952</f>
        <v>1.0940676470588235</v>
      </c>
      <c r="M954" s="28"/>
      <c r="N954" s="32">
        <f>N953/N952</f>
        <v>1.0940676470588235</v>
      </c>
      <c r="O954" s="32">
        <f>O953/O952</f>
        <v>1.0940676470588235</v>
      </c>
      <c r="P954" s="33" t="str">
        <f>IF(K954&lt;50%,"x","")</f>
        <v/>
      </c>
      <c r="Q954" s="33" t="str">
        <f>IF(K954&gt;150%,"x","")</f>
        <v/>
      </c>
      <c r="R954" s="33" t="str">
        <f>IF(O954&lt;50%,"x","")</f>
        <v/>
      </c>
      <c r="S954" s="33" t="str">
        <f>IF(O954&gt;150%,"x","")</f>
        <v/>
      </c>
      <c r="T954" s="33" t="s">
        <v>27</v>
      </c>
      <c r="U954" s="34" t="s">
        <v>27</v>
      </c>
      <c r="V954" s="35" t="s">
        <v>27</v>
      </c>
    </row>
    <row r="955" spans="1:22" ht="16.5" thickTop="1" x14ac:dyDescent="0.25">
      <c r="A955" s="18" t="s">
        <v>470</v>
      </c>
      <c r="B955" s="18" t="s">
        <v>945</v>
      </c>
      <c r="C955" s="18" t="s">
        <v>744</v>
      </c>
      <c r="D955" s="18" t="s">
        <v>26</v>
      </c>
      <c r="E955" s="18" t="s">
        <v>513</v>
      </c>
      <c r="F955" s="18" t="s">
        <v>758</v>
      </c>
      <c r="G955" s="18" t="s">
        <v>29</v>
      </c>
      <c r="H955" s="19">
        <v>2004</v>
      </c>
      <c r="I955" s="18" t="s">
        <v>78</v>
      </c>
      <c r="J955" s="101">
        <v>12</v>
      </c>
      <c r="K955" s="20">
        <v>31</v>
      </c>
      <c r="L955" s="21">
        <v>0.27</v>
      </c>
      <c r="M955" s="22" t="s">
        <v>30</v>
      </c>
      <c r="N955" s="23">
        <v>0.27</v>
      </c>
      <c r="O955" s="24">
        <v>8.7096774193548398E-3</v>
      </c>
      <c r="P955" s="25" t="str">
        <f>IF(P957="x","x","")</f>
        <v/>
      </c>
      <c r="Q955" s="25" t="str">
        <f>IF(Q957="x","x","")</f>
        <v/>
      </c>
      <c r="R955" s="25" t="str">
        <f>IF(R957="x","x","")</f>
        <v/>
      </c>
      <c r="S955" s="25" t="str">
        <f>IF(S957="x","x","")</f>
        <v/>
      </c>
      <c r="T955" s="25" t="s">
        <v>27</v>
      </c>
      <c r="U955" s="26"/>
      <c r="V955" s="27"/>
    </row>
    <row r="956" spans="1:22" x14ac:dyDescent="0.25">
      <c r="A956" s="18" t="s">
        <v>470</v>
      </c>
      <c r="B956" s="18" t="s">
        <v>945</v>
      </c>
      <c r="C956" s="18" t="s">
        <v>744</v>
      </c>
      <c r="D956" s="18" t="s">
        <v>26</v>
      </c>
      <c r="E956" s="18" t="s">
        <v>513</v>
      </c>
      <c r="F956" s="18" t="s">
        <v>758</v>
      </c>
      <c r="G956" s="18" t="s">
        <v>32</v>
      </c>
      <c r="H956" s="19">
        <v>2011</v>
      </c>
      <c r="I956" s="18" t="s">
        <v>78</v>
      </c>
      <c r="J956" s="101">
        <v>12</v>
      </c>
      <c r="K956" s="20">
        <v>31</v>
      </c>
      <c r="L956" s="21">
        <v>0.16953099999999999</v>
      </c>
      <c r="M956" s="22" t="s">
        <v>30</v>
      </c>
      <c r="N956" s="23">
        <v>0.16953099999999999</v>
      </c>
      <c r="O956" s="24">
        <v>5.468741935483871E-3</v>
      </c>
      <c r="P956" s="25" t="str">
        <f>IF(P957="x","x","")</f>
        <v/>
      </c>
      <c r="Q956" s="25" t="str">
        <f>IF(Q957="x","x","")</f>
        <v/>
      </c>
      <c r="R956" s="25" t="str">
        <f>IF(R957="x","x","")</f>
        <v/>
      </c>
      <c r="S956" s="25" t="str">
        <f>IF(S957="x","x","")</f>
        <v/>
      </c>
      <c r="T956" s="25" t="s">
        <v>27</v>
      </c>
      <c r="U956" s="26"/>
      <c r="V956" s="27"/>
    </row>
    <row r="957" spans="1:22" ht="16.5" thickBot="1" x14ac:dyDescent="0.3">
      <c r="A957" s="28" t="str">
        <f>A956</f>
        <v>Lao PDR</v>
      </c>
      <c r="B957" s="28" t="str">
        <f>B956</f>
        <v>East Asia and Pacific</v>
      </c>
      <c r="C957" s="28" t="str">
        <f>C956</f>
        <v>P083543</v>
      </c>
      <c r="D957" s="28" t="s">
        <v>26</v>
      </c>
      <c r="E957" s="28" t="s">
        <v>27</v>
      </c>
      <c r="F957" s="28" t="str">
        <f>F956</f>
        <v>P083543C1S20</v>
      </c>
      <c r="G957" s="28" t="s">
        <v>16</v>
      </c>
      <c r="H957" s="29" t="str">
        <f>H955&amp;" / "&amp;H956</f>
        <v>2004 / 2011</v>
      </c>
      <c r="I957" s="29" t="str">
        <f>I956</f>
        <v>Surface Treatment Resurfacing</v>
      </c>
      <c r="J957" s="97">
        <f>IFERROR(J956/J955,"")</f>
        <v>1</v>
      </c>
      <c r="K957" s="32">
        <f>K956/K955</f>
        <v>1</v>
      </c>
      <c r="L957" s="32">
        <f>L956/L955</f>
        <v>0.62789259259259256</v>
      </c>
      <c r="M957" s="28"/>
      <c r="N957" s="32">
        <f>N956/N955</f>
        <v>0.62789259259259256</v>
      </c>
      <c r="O957" s="32">
        <f>O956/O955</f>
        <v>0.62789259259259256</v>
      </c>
      <c r="P957" s="33" t="str">
        <f>IF(K957&lt;50%,"x","")</f>
        <v/>
      </c>
      <c r="Q957" s="33" t="str">
        <f>IF(K957&gt;150%,"x","")</f>
        <v/>
      </c>
      <c r="R957" s="33" t="str">
        <f>IF(O957&lt;50%,"x","")</f>
        <v/>
      </c>
      <c r="S957" s="33" t="str">
        <f>IF(O957&gt;150%,"x","")</f>
        <v/>
      </c>
      <c r="T957" s="33" t="s">
        <v>27</v>
      </c>
      <c r="U957" s="34" t="s">
        <v>27</v>
      </c>
      <c r="V957" s="35" t="s">
        <v>27</v>
      </c>
    </row>
    <row r="958" spans="1:22" ht="16.5" thickTop="1" x14ac:dyDescent="0.25">
      <c r="A958" s="18" t="s">
        <v>470</v>
      </c>
      <c r="B958" s="18" t="s">
        <v>945</v>
      </c>
      <c r="C958" s="18" t="s">
        <v>744</v>
      </c>
      <c r="D958" s="18" t="s">
        <v>26</v>
      </c>
      <c r="E958" s="18" t="s">
        <v>515</v>
      </c>
      <c r="F958" s="18" t="s">
        <v>759</v>
      </c>
      <c r="G958" s="18" t="s">
        <v>29</v>
      </c>
      <c r="H958" s="19">
        <v>2004</v>
      </c>
      <c r="I958" s="18" t="s">
        <v>122</v>
      </c>
      <c r="J958" s="101">
        <v>12</v>
      </c>
      <c r="K958" s="20">
        <v>53</v>
      </c>
      <c r="L958" s="21">
        <v>0.22</v>
      </c>
      <c r="M958" s="22" t="s">
        <v>30</v>
      </c>
      <c r="N958" s="23">
        <v>0.22</v>
      </c>
      <c r="O958" s="24">
        <v>4.1509433962264152E-3</v>
      </c>
      <c r="P958" s="25" t="str">
        <f>IF(P960="x","x","")</f>
        <v/>
      </c>
      <c r="Q958" s="25" t="str">
        <f>IF(Q960="x","x","")</f>
        <v/>
      </c>
      <c r="R958" s="25" t="str">
        <f>IF(R960="x","x","")</f>
        <v/>
      </c>
      <c r="S958" s="25" t="str">
        <f>IF(S960="x","x","")</f>
        <v/>
      </c>
      <c r="T958" s="25" t="s">
        <v>27</v>
      </c>
      <c r="U958" s="26"/>
      <c r="V958" s="27"/>
    </row>
    <row r="959" spans="1:22" x14ac:dyDescent="0.25">
      <c r="A959" s="18" t="s">
        <v>470</v>
      </c>
      <c r="B959" s="18" t="s">
        <v>945</v>
      </c>
      <c r="C959" s="18" t="s">
        <v>744</v>
      </c>
      <c r="D959" s="18" t="s">
        <v>26</v>
      </c>
      <c r="E959" s="18" t="s">
        <v>515</v>
      </c>
      <c r="F959" s="18" t="s">
        <v>759</v>
      </c>
      <c r="G959" s="18" t="s">
        <v>32</v>
      </c>
      <c r="H959" s="19">
        <v>2011</v>
      </c>
      <c r="I959" s="18" t="s">
        <v>122</v>
      </c>
      <c r="J959" s="101">
        <v>12</v>
      </c>
      <c r="K959" s="20">
        <v>53</v>
      </c>
      <c r="L959" s="21">
        <v>0.12998699999999999</v>
      </c>
      <c r="M959" s="22" t="s">
        <v>30</v>
      </c>
      <c r="N959" s="23">
        <v>0.12998699999999999</v>
      </c>
      <c r="O959" s="24">
        <v>2.4525849056603773E-3</v>
      </c>
      <c r="P959" s="25" t="str">
        <f>IF(P960="x","x","")</f>
        <v/>
      </c>
      <c r="Q959" s="25" t="str">
        <f>IF(Q960="x","x","")</f>
        <v/>
      </c>
      <c r="R959" s="25" t="str">
        <f>IF(R960="x","x","")</f>
        <v/>
      </c>
      <c r="S959" s="25" t="str">
        <f>IF(S960="x","x","")</f>
        <v/>
      </c>
      <c r="T959" s="25" t="s">
        <v>27</v>
      </c>
      <c r="U959" s="26"/>
      <c r="V959" s="27"/>
    </row>
    <row r="960" spans="1:22" ht="16.5" thickBot="1" x14ac:dyDescent="0.3">
      <c r="A960" s="28" t="str">
        <f>A959</f>
        <v>Lao PDR</v>
      </c>
      <c r="B960" s="28" t="str">
        <f>B959</f>
        <v>East Asia and Pacific</v>
      </c>
      <c r="C960" s="28" t="str">
        <f>C959</f>
        <v>P083543</v>
      </c>
      <c r="D960" s="28" t="s">
        <v>26</v>
      </c>
      <c r="E960" s="28" t="s">
        <v>27</v>
      </c>
      <c r="F960" s="28" t="str">
        <f>F959</f>
        <v>P083543C1S21</v>
      </c>
      <c r="G960" s="28" t="s">
        <v>16</v>
      </c>
      <c r="H960" s="29" t="str">
        <f>H958&amp;" / "&amp;H959</f>
        <v>2004 / 2011</v>
      </c>
      <c r="I960" s="29" t="str">
        <f>I959</f>
        <v>Gravel Resurfacing</v>
      </c>
      <c r="J960" s="97">
        <f>IFERROR(J959/J958,"")</f>
        <v>1</v>
      </c>
      <c r="K960" s="32">
        <f>K959/K958</f>
        <v>1</v>
      </c>
      <c r="L960" s="32">
        <f>L959/L958</f>
        <v>0.59084999999999999</v>
      </c>
      <c r="M960" s="28"/>
      <c r="N960" s="32">
        <f>N959/N958</f>
        <v>0.59084999999999999</v>
      </c>
      <c r="O960" s="32">
        <f>O959/O958</f>
        <v>0.59084999999999999</v>
      </c>
      <c r="P960" s="33" t="str">
        <f>IF(K960&lt;50%,"x","")</f>
        <v/>
      </c>
      <c r="Q960" s="33" t="str">
        <f>IF(K960&gt;150%,"x","")</f>
        <v/>
      </c>
      <c r="R960" s="33" t="str">
        <f>IF(O960&lt;50%,"x","")</f>
        <v/>
      </c>
      <c r="S960" s="33" t="str">
        <f>IF(O960&gt;150%,"x","")</f>
        <v/>
      </c>
      <c r="T960" s="33" t="s">
        <v>27</v>
      </c>
      <c r="U960" s="34" t="s">
        <v>27</v>
      </c>
      <c r="V960" s="35" t="s">
        <v>27</v>
      </c>
    </row>
    <row r="961" spans="1:22" ht="16.5" thickTop="1" x14ac:dyDescent="0.25">
      <c r="A961" s="18" t="s">
        <v>470</v>
      </c>
      <c r="B961" s="18" t="s">
        <v>945</v>
      </c>
      <c r="C961" s="18" t="s">
        <v>744</v>
      </c>
      <c r="D961" s="18" t="s">
        <v>26</v>
      </c>
      <c r="E961" s="18" t="s">
        <v>517</v>
      </c>
      <c r="F961" s="18" t="s">
        <v>760</v>
      </c>
      <c r="G961" s="18" t="s">
        <v>29</v>
      </c>
      <c r="H961" s="19">
        <v>2004</v>
      </c>
      <c r="I961" s="18" t="s">
        <v>68</v>
      </c>
      <c r="J961" s="101">
        <v>12</v>
      </c>
      <c r="K961" s="20">
        <v>8</v>
      </c>
      <c r="L961" s="21">
        <v>0.16500000000000001</v>
      </c>
      <c r="M961" s="22" t="s">
        <v>30</v>
      </c>
      <c r="N961" s="23">
        <v>0.16500000000000001</v>
      </c>
      <c r="O961" s="24">
        <v>2.0625000000000001E-2</v>
      </c>
      <c r="P961" s="25" t="str">
        <f>IF(P963="x","x","")</f>
        <v/>
      </c>
      <c r="Q961" s="25" t="str">
        <f>IF(Q963="x","x","")</f>
        <v/>
      </c>
      <c r="R961" s="25" t="str">
        <f>IF(R963="x","x","")</f>
        <v/>
      </c>
      <c r="S961" s="25" t="str">
        <f>IF(S963="x","x","")</f>
        <v/>
      </c>
      <c r="T961" s="25" t="s">
        <v>27</v>
      </c>
      <c r="U961" s="26"/>
      <c r="V961" s="27"/>
    </row>
    <row r="962" spans="1:22" x14ac:dyDescent="0.25">
      <c r="A962" s="18" t="s">
        <v>470</v>
      </c>
      <c r="B962" s="18" t="s">
        <v>945</v>
      </c>
      <c r="C962" s="18" t="s">
        <v>744</v>
      </c>
      <c r="D962" s="18" t="s">
        <v>26</v>
      </c>
      <c r="E962" s="18" t="s">
        <v>517</v>
      </c>
      <c r="F962" s="18" t="s">
        <v>760</v>
      </c>
      <c r="G962" s="18" t="s">
        <v>32</v>
      </c>
      <c r="H962" s="19">
        <v>2011</v>
      </c>
      <c r="I962" s="18" t="s">
        <v>68</v>
      </c>
      <c r="J962" s="101">
        <v>12</v>
      </c>
      <c r="K962" s="20">
        <v>8</v>
      </c>
      <c r="L962" s="21">
        <v>0.12582199999999999</v>
      </c>
      <c r="M962" s="22" t="s">
        <v>30</v>
      </c>
      <c r="N962" s="23">
        <v>0.12582199999999999</v>
      </c>
      <c r="O962" s="24">
        <v>1.5727749999999999E-2</v>
      </c>
      <c r="P962" s="25" t="str">
        <f>IF(P963="x","x","")</f>
        <v/>
      </c>
      <c r="Q962" s="25" t="str">
        <f>IF(Q963="x","x","")</f>
        <v/>
      </c>
      <c r="R962" s="25" t="str">
        <f>IF(R963="x","x","")</f>
        <v/>
      </c>
      <c r="S962" s="25" t="str">
        <f>IF(S963="x","x","")</f>
        <v/>
      </c>
      <c r="T962" s="25" t="s">
        <v>27</v>
      </c>
      <c r="U962" s="26"/>
      <c r="V962" s="27"/>
    </row>
    <row r="963" spans="1:22" ht="16.5" thickBot="1" x14ac:dyDescent="0.3">
      <c r="A963" s="28" t="str">
        <f>A962</f>
        <v>Lao PDR</v>
      </c>
      <c r="B963" s="28" t="str">
        <f>B962</f>
        <v>East Asia and Pacific</v>
      </c>
      <c r="C963" s="28" t="str">
        <f>C962</f>
        <v>P083543</v>
      </c>
      <c r="D963" s="28" t="s">
        <v>26</v>
      </c>
      <c r="E963" s="28" t="s">
        <v>27</v>
      </c>
      <c r="F963" s="28" t="str">
        <f>F962</f>
        <v>P083543C1S22</v>
      </c>
      <c r="G963" s="28" t="s">
        <v>16</v>
      </c>
      <c r="H963" s="29" t="str">
        <f>H961&amp;" / "&amp;H962</f>
        <v>2004 / 2011</v>
      </c>
      <c r="I963" s="29" t="str">
        <f>I962</f>
        <v>Asphalt Mix Resurfacing</v>
      </c>
      <c r="J963" s="97">
        <f>IFERROR(J962/J961,"")</f>
        <v>1</v>
      </c>
      <c r="K963" s="32">
        <f>K962/K961</f>
        <v>1</v>
      </c>
      <c r="L963" s="32">
        <f>L962/L961</f>
        <v>0.76255757575757566</v>
      </c>
      <c r="M963" s="28"/>
      <c r="N963" s="32">
        <f>N962/N961</f>
        <v>0.76255757575757566</v>
      </c>
      <c r="O963" s="32">
        <f>O962/O961</f>
        <v>0.76255757575757566</v>
      </c>
      <c r="P963" s="33" t="str">
        <f>IF(K963&lt;50%,"x","")</f>
        <v/>
      </c>
      <c r="Q963" s="33" t="str">
        <f>IF(K963&gt;150%,"x","")</f>
        <v/>
      </c>
      <c r="R963" s="33" t="str">
        <f>IF(O963&lt;50%,"x","")</f>
        <v/>
      </c>
      <c r="S963" s="33" t="str">
        <f>IF(O963&gt;150%,"x","")</f>
        <v/>
      </c>
      <c r="T963" s="33" t="s">
        <v>27</v>
      </c>
      <c r="U963" s="34" t="s">
        <v>27</v>
      </c>
      <c r="V963" s="35" t="s">
        <v>27</v>
      </c>
    </row>
    <row r="964" spans="1:22" ht="16.5" thickTop="1" x14ac:dyDescent="0.25">
      <c r="A964" s="18" t="s">
        <v>470</v>
      </c>
      <c r="B964" s="18" t="s">
        <v>945</v>
      </c>
      <c r="C964" s="18" t="s">
        <v>744</v>
      </c>
      <c r="D964" s="18" t="s">
        <v>26</v>
      </c>
      <c r="E964" s="18" t="s">
        <v>519</v>
      </c>
      <c r="F964" s="18" t="s">
        <v>761</v>
      </c>
      <c r="G964" s="18" t="s">
        <v>29</v>
      </c>
      <c r="H964" s="19">
        <v>2004</v>
      </c>
      <c r="I964" s="18" t="s">
        <v>78</v>
      </c>
      <c r="J964" s="101">
        <v>12</v>
      </c>
      <c r="K964" s="20">
        <v>20</v>
      </c>
      <c r="L964" s="21">
        <v>0.2</v>
      </c>
      <c r="M964" s="22" t="s">
        <v>30</v>
      </c>
      <c r="N964" s="23">
        <v>0.2</v>
      </c>
      <c r="O964" s="24">
        <v>0.01</v>
      </c>
      <c r="P964" s="25" t="str">
        <f>IF(P966="x","x","")</f>
        <v/>
      </c>
      <c r="Q964" s="25" t="str">
        <f>IF(Q966="x","x","")</f>
        <v/>
      </c>
      <c r="R964" s="25" t="str">
        <f>IF(R966="x","x","")</f>
        <v/>
      </c>
      <c r="S964" s="25" t="str">
        <f>IF(S966="x","x","")</f>
        <v/>
      </c>
      <c r="T964" s="25" t="s">
        <v>27</v>
      </c>
      <c r="U964" s="26"/>
      <c r="V964" s="27"/>
    </row>
    <row r="965" spans="1:22" x14ac:dyDescent="0.25">
      <c r="A965" s="18" t="s">
        <v>470</v>
      </c>
      <c r="B965" s="18" t="s">
        <v>945</v>
      </c>
      <c r="C965" s="18" t="s">
        <v>744</v>
      </c>
      <c r="D965" s="18" t="s">
        <v>26</v>
      </c>
      <c r="E965" s="18" t="s">
        <v>519</v>
      </c>
      <c r="F965" s="18" t="s">
        <v>761</v>
      </c>
      <c r="G965" s="18" t="s">
        <v>32</v>
      </c>
      <c r="H965" s="19">
        <v>2011</v>
      </c>
      <c r="I965" s="18" t="s">
        <v>78</v>
      </c>
      <c r="J965" s="101">
        <v>12</v>
      </c>
      <c r="K965" s="20">
        <v>20</v>
      </c>
      <c r="L965" s="21">
        <v>0.164436</v>
      </c>
      <c r="M965" s="22" t="s">
        <v>30</v>
      </c>
      <c r="N965" s="23">
        <v>0.164436</v>
      </c>
      <c r="O965" s="24">
        <v>8.2217999999999996E-3</v>
      </c>
      <c r="P965" s="25" t="str">
        <f>IF(P966="x","x","")</f>
        <v/>
      </c>
      <c r="Q965" s="25" t="str">
        <f>IF(Q966="x","x","")</f>
        <v/>
      </c>
      <c r="R965" s="25" t="str">
        <f>IF(R966="x","x","")</f>
        <v/>
      </c>
      <c r="S965" s="25" t="str">
        <f>IF(S966="x","x","")</f>
        <v/>
      </c>
      <c r="T965" s="25" t="s">
        <v>27</v>
      </c>
      <c r="U965" s="26"/>
      <c r="V965" s="27"/>
    </row>
    <row r="966" spans="1:22" ht="16.5" thickBot="1" x14ac:dyDescent="0.3">
      <c r="A966" s="28" t="str">
        <f>A965</f>
        <v>Lao PDR</v>
      </c>
      <c r="B966" s="28" t="str">
        <f>B965</f>
        <v>East Asia and Pacific</v>
      </c>
      <c r="C966" s="28" t="str">
        <f>C965</f>
        <v>P083543</v>
      </c>
      <c r="D966" s="28" t="s">
        <v>26</v>
      </c>
      <c r="E966" s="28" t="s">
        <v>27</v>
      </c>
      <c r="F966" s="28" t="str">
        <f>F965</f>
        <v>P083543C1S23</v>
      </c>
      <c r="G966" s="28" t="s">
        <v>16</v>
      </c>
      <c r="H966" s="29" t="str">
        <f>H964&amp;" / "&amp;H965</f>
        <v>2004 / 2011</v>
      </c>
      <c r="I966" s="29" t="str">
        <f>I965</f>
        <v>Surface Treatment Resurfacing</v>
      </c>
      <c r="J966" s="97">
        <f>IFERROR(J965/J964,"")</f>
        <v>1</v>
      </c>
      <c r="K966" s="32">
        <f>K965/K964</f>
        <v>1</v>
      </c>
      <c r="L966" s="32">
        <f>L965/L964</f>
        <v>0.82217999999999991</v>
      </c>
      <c r="M966" s="28"/>
      <c r="N966" s="32">
        <f>N965/N964</f>
        <v>0.82217999999999991</v>
      </c>
      <c r="O966" s="32">
        <f>O965/O964</f>
        <v>0.82217999999999991</v>
      </c>
      <c r="P966" s="33" t="str">
        <f>IF(K966&lt;50%,"x","")</f>
        <v/>
      </c>
      <c r="Q966" s="33" t="str">
        <f>IF(K966&gt;150%,"x","")</f>
        <v/>
      </c>
      <c r="R966" s="33" t="str">
        <f>IF(O966&lt;50%,"x","")</f>
        <v/>
      </c>
      <c r="S966" s="33" t="str">
        <f>IF(O966&gt;150%,"x","")</f>
        <v/>
      </c>
      <c r="T966" s="33" t="s">
        <v>27</v>
      </c>
      <c r="U966" s="34" t="s">
        <v>27</v>
      </c>
      <c r="V966" s="35" t="s">
        <v>27</v>
      </c>
    </row>
    <row r="967" spans="1:22" ht="16.5" thickTop="1" x14ac:dyDescent="0.25">
      <c r="A967" s="18" t="s">
        <v>470</v>
      </c>
      <c r="B967" s="18" t="s">
        <v>945</v>
      </c>
      <c r="C967" s="18" t="s">
        <v>744</v>
      </c>
      <c r="D967" s="18" t="s">
        <v>26</v>
      </c>
      <c r="E967" s="18" t="s">
        <v>521</v>
      </c>
      <c r="F967" s="18" t="s">
        <v>762</v>
      </c>
      <c r="G967" s="18" t="s">
        <v>29</v>
      </c>
      <c r="H967" s="19">
        <v>2004</v>
      </c>
      <c r="I967" s="18" t="s">
        <v>122</v>
      </c>
      <c r="J967" s="101">
        <v>12</v>
      </c>
      <c r="K967" s="20">
        <v>26</v>
      </c>
      <c r="L967" s="21">
        <v>0.2</v>
      </c>
      <c r="M967" s="22" t="s">
        <v>30</v>
      </c>
      <c r="N967" s="23">
        <v>0.2</v>
      </c>
      <c r="O967" s="24">
        <v>7.6923076923076927E-3</v>
      </c>
      <c r="P967" s="25" t="str">
        <f>IF(P969="x","x","")</f>
        <v/>
      </c>
      <c r="Q967" s="25" t="str">
        <f>IF(Q969="x","x","")</f>
        <v/>
      </c>
      <c r="R967" s="25" t="str">
        <f>IF(R969="x","x","")</f>
        <v/>
      </c>
      <c r="S967" s="25" t="str">
        <f>IF(S969="x","x","")</f>
        <v/>
      </c>
      <c r="T967" s="25" t="s">
        <v>27</v>
      </c>
      <c r="U967" s="26"/>
      <c r="V967" s="27"/>
    </row>
    <row r="968" spans="1:22" x14ac:dyDescent="0.25">
      <c r="A968" s="18" t="s">
        <v>470</v>
      </c>
      <c r="B968" s="18" t="s">
        <v>945</v>
      </c>
      <c r="C968" s="18" t="s">
        <v>744</v>
      </c>
      <c r="D968" s="18" t="s">
        <v>26</v>
      </c>
      <c r="E968" s="18" t="s">
        <v>521</v>
      </c>
      <c r="F968" s="18" t="s">
        <v>762</v>
      </c>
      <c r="G968" s="18" t="s">
        <v>32</v>
      </c>
      <c r="H968" s="19">
        <v>2011</v>
      </c>
      <c r="I968" s="18" t="s">
        <v>122</v>
      </c>
      <c r="J968" s="101">
        <v>12</v>
      </c>
      <c r="K968" s="20">
        <v>26</v>
      </c>
      <c r="L968" s="21">
        <v>0.163276</v>
      </c>
      <c r="M968" s="22" t="s">
        <v>30</v>
      </c>
      <c r="N968" s="23">
        <v>0.163276</v>
      </c>
      <c r="O968" s="24">
        <v>6.2798461538461541E-3</v>
      </c>
      <c r="P968" s="25" t="str">
        <f>IF(P969="x","x","")</f>
        <v/>
      </c>
      <c r="Q968" s="25" t="str">
        <f>IF(Q969="x","x","")</f>
        <v/>
      </c>
      <c r="R968" s="25" t="str">
        <f>IF(R969="x","x","")</f>
        <v/>
      </c>
      <c r="S968" s="25" t="str">
        <f>IF(S969="x","x","")</f>
        <v/>
      </c>
      <c r="T968" s="25" t="s">
        <v>27</v>
      </c>
      <c r="U968" s="26"/>
      <c r="V968" s="27"/>
    </row>
    <row r="969" spans="1:22" ht="16.5" thickBot="1" x14ac:dyDescent="0.3">
      <c r="A969" s="28" t="str">
        <f>A968</f>
        <v>Lao PDR</v>
      </c>
      <c r="B969" s="28" t="str">
        <f>B968</f>
        <v>East Asia and Pacific</v>
      </c>
      <c r="C969" s="28" t="str">
        <f>C968</f>
        <v>P083543</v>
      </c>
      <c r="D969" s="28" t="s">
        <v>26</v>
      </c>
      <c r="E969" s="28" t="s">
        <v>27</v>
      </c>
      <c r="F969" s="28" t="str">
        <f>F968</f>
        <v>P083543C1S24</v>
      </c>
      <c r="G969" s="28" t="s">
        <v>16</v>
      </c>
      <c r="H969" s="29" t="str">
        <f>H967&amp;" / "&amp;H968</f>
        <v>2004 / 2011</v>
      </c>
      <c r="I969" s="29" t="str">
        <f>I968</f>
        <v>Gravel Resurfacing</v>
      </c>
      <c r="J969" s="97">
        <f>IFERROR(J968/J967,"")</f>
        <v>1</v>
      </c>
      <c r="K969" s="32">
        <f>K968/K967</f>
        <v>1</v>
      </c>
      <c r="L969" s="32">
        <f>L968/L967</f>
        <v>0.81637999999999999</v>
      </c>
      <c r="M969" s="28"/>
      <c r="N969" s="32">
        <f>N968/N967</f>
        <v>0.81637999999999999</v>
      </c>
      <c r="O969" s="32">
        <f>O968/O967</f>
        <v>0.81637999999999999</v>
      </c>
      <c r="P969" s="33" t="str">
        <f>IF(K969&lt;50%,"x","")</f>
        <v/>
      </c>
      <c r="Q969" s="33" t="str">
        <f>IF(K969&gt;150%,"x","")</f>
        <v/>
      </c>
      <c r="R969" s="33" t="str">
        <f>IF(O969&lt;50%,"x","")</f>
        <v/>
      </c>
      <c r="S969" s="33" t="str">
        <f>IF(O969&gt;150%,"x","")</f>
        <v/>
      </c>
      <c r="T969" s="33" t="s">
        <v>27</v>
      </c>
      <c r="U969" s="34" t="s">
        <v>27</v>
      </c>
      <c r="V969" s="35" t="s">
        <v>27</v>
      </c>
    </row>
    <row r="970" spans="1:22" ht="16.5" thickTop="1" x14ac:dyDescent="0.25">
      <c r="A970" s="18" t="s">
        <v>470</v>
      </c>
      <c r="B970" s="18" t="s">
        <v>945</v>
      </c>
      <c r="C970" s="18" t="s">
        <v>744</v>
      </c>
      <c r="D970" s="18" t="s">
        <v>26</v>
      </c>
      <c r="E970" s="18" t="s">
        <v>523</v>
      </c>
      <c r="F970" s="18" t="s">
        <v>763</v>
      </c>
      <c r="G970" s="18" t="s">
        <v>29</v>
      </c>
      <c r="H970" s="19">
        <v>2004</v>
      </c>
      <c r="I970" s="18" t="s">
        <v>122</v>
      </c>
      <c r="J970" s="101">
        <v>12</v>
      </c>
      <c r="K970" s="20">
        <v>30</v>
      </c>
      <c r="L970" s="21">
        <v>0.2</v>
      </c>
      <c r="M970" s="22" t="s">
        <v>30</v>
      </c>
      <c r="N970" s="23">
        <v>0.2</v>
      </c>
      <c r="O970" s="24">
        <v>6.6666666666666671E-3</v>
      </c>
      <c r="P970" s="25" t="str">
        <f>IF(P972="x","x","")</f>
        <v/>
      </c>
      <c r="Q970" s="25" t="str">
        <f>IF(Q972="x","x","")</f>
        <v/>
      </c>
      <c r="R970" s="25" t="str">
        <f>IF(R972="x","x","")</f>
        <v/>
      </c>
      <c r="S970" s="25" t="str">
        <f>IF(S972="x","x","")</f>
        <v/>
      </c>
      <c r="T970" s="25" t="s">
        <v>27</v>
      </c>
      <c r="U970" s="26"/>
      <c r="V970" s="27"/>
    </row>
    <row r="971" spans="1:22" x14ac:dyDescent="0.25">
      <c r="A971" s="18" t="s">
        <v>470</v>
      </c>
      <c r="B971" s="18" t="s">
        <v>945</v>
      </c>
      <c r="C971" s="18" t="s">
        <v>744</v>
      </c>
      <c r="D971" s="18" t="s">
        <v>26</v>
      </c>
      <c r="E971" s="18" t="s">
        <v>523</v>
      </c>
      <c r="F971" s="18" t="s">
        <v>763</v>
      </c>
      <c r="G971" s="18" t="s">
        <v>32</v>
      </c>
      <c r="H971" s="19">
        <v>2011</v>
      </c>
      <c r="I971" s="18" t="s">
        <v>122</v>
      </c>
      <c r="J971" s="101">
        <v>12</v>
      </c>
      <c r="K971" s="20">
        <v>30</v>
      </c>
      <c r="L971" s="21">
        <v>0.107241</v>
      </c>
      <c r="M971" s="22" t="s">
        <v>30</v>
      </c>
      <c r="N971" s="23">
        <v>0.107241</v>
      </c>
      <c r="O971" s="24">
        <v>3.5747000000000001E-3</v>
      </c>
      <c r="P971" s="25" t="str">
        <f>IF(P972="x","x","")</f>
        <v/>
      </c>
      <c r="Q971" s="25" t="str">
        <f>IF(Q972="x","x","")</f>
        <v/>
      </c>
      <c r="R971" s="25" t="str">
        <f>IF(R972="x","x","")</f>
        <v/>
      </c>
      <c r="S971" s="25" t="str">
        <f>IF(S972="x","x","")</f>
        <v/>
      </c>
      <c r="T971" s="25" t="s">
        <v>27</v>
      </c>
      <c r="U971" s="26"/>
      <c r="V971" s="27"/>
    </row>
    <row r="972" spans="1:22" ht="16.5" thickBot="1" x14ac:dyDescent="0.3">
      <c r="A972" s="28" t="str">
        <f>A971</f>
        <v>Lao PDR</v>
      </c>
      <c r="B972" s="28" t="str">
        <f>B971</f>
        <v>East Asia and Pacific</v>
      </c>
      <c r="C972" s="28" t="str">
        <f>C971</f>
        <v>P083543</v>
      </c>
      <c r="D972" s="28" t="s">
        <v>26</v>
      </c>
      <c r="E972" s="28" t="s">
        <v>27</v>
      </c>
      <c r="F972" s="28" t="str">
        <f>F971</f>
        <v>P083543C1S25</v>
      </c>
      <c r="G972" s="28" t="s">
        <v>16</v>
      </c>
      <c r="H972" s="29" t="str">
        <f>H970&amp;" / "&amp;H971</f>
        <v>2004 / 2011</v>
      </c>
      <c r="I972" s="29" t="str">
        <f>I971</f>
        <v>Gravel Resurfacing</v>
      </c>
      <c r="J972" s="97">
        <f>IFERROR(J971/J970,"")</f>
        <v>1</v>
      </c>
      <c r="K972" s="32">
        <f>K971/K970</f>
        <v>1</v>
      </c>
      <c r="L972" s="32">
        <f>L971/L970</f>
        <v>0.53620499999999993</v>
      </c>
      <c r="M972" s="28"/>
      <c r="N972" s="32">
        <f>N971/N970</f>
        <v>0.53620499999999993</v>
      </c>
      <c r="O972" s="32">
        <f>O971/O970</f>
        <v>0.53620499999999993</v>
      </c>
      <c r="P972" s="33" t="str">
        <f>IF(K972&lt;50%,"x","")</f>
        <v/>
      </c>
      <c r="Q972" s="33" t="str">
        <f>IF(K972&gt;150%,"x","")</f>
        <v/>
      </c>
      <c r="R972" s="33" t="str">
        <f>IF(O972&lt;50%,"x","")</f>
        <v/>
      </c>
      <c r="S972" s="33" t="str">
        <f>IF(O972&gt;150%,"x","")</f>
        <v/>
      </c>
      <c r="T972" s="33" t="s">
        <v>27</v>
      </c>
      <c r="U972" s="34" t="s">
        <v>27</v>
      </c>
      <c r="V972" s="35" t="s">
        <v>27</v>
      </c>
    </row>
    <row r="973" spans="1:22" ht="16.5" thickTop="1" x14ac:dyDescent="0.25">
      <c r="A973" s="18" t="s">
        <v>470</v>
      </c>
      <c r="B973" s="18" t="s">
        <v>945</v>
      </c>
      <c r="C973" s="18" t="s">
        <v>744</v>
      </c>
      <c r="D973" s="18" t="s">
        <v>26</v>
      </c>
      <c r="E973" s="18" t="s">
        <v>525</v>
      </c>
      <c r="F973" s="18" t="s">
        <v>764</v>
      </c>
      <c r="G973" s="18" t="s">
        <v>29</v>
      </c>
      <c r="H973" s="19">
        <v>2004</v>
      </c>
      <c r="I973" s="18" t="s">
        <v>78</v>
      </c>
      <c r="J973" s="101">
        <v>12</v>
      </c>
      <c r="K973" s="20">
        <v>39</v>
      </c>
      <c r="L973" s="21">
        <v>0.35</v>
      </c>
      <c r="M973" s="22" t="s">
        <v>30</v>
      </c>
      <c r="N973" s="23">
        <v>0.35</v>
      </c>
      <c r="O973" s="24">
        <v>8.9743589743589737E-3</v>
      </c>
      <c r="P973" s="25" t="str">
        <f>IF(P975="x","x","")</f>
        <v/>
      </c>
      <c r="Q973" s="25" t="str">
        <f>IF(Q975="x","x","")</f>
        <v/>
      </c>
      <c r="R973" s="25" t="str">
        <f>IF(R975="x","x","")</f>
        <v/>
      </c>
      <c r="S973" s="25" t="str">
        <f>IF(S975="x","x","")</f>
        <v/>
      </c>
      <c r="T973" s="25" t="s">
        <v>27</v>
      </c>
      <c r="U973" s="26"/>
      <c r="V973" s="27"/>
    </row>
    <row r="974" spans="1:22" x14ac:dyDescent="0.25">
      <c r="A974" s="18" t="s">
        <v>470</v>
      </c>
      <c r="B974" s="18" t="s">
        <v>945</v>
      </c>
      <c r="C974" s="18" t="s">
        <v>744</v>
      </c>
      <c r="D974" s="18" t="s">
        <v>26</v>
      </c>
      <c r="E974" s="18" t="s">
        <v>525</v>
      </c>
      <c r="F974" s="18" t="s">
        <v>764</v>
      </c>
      <c r="G974" s="18" t="s">
        <v>32</v>
      </c>
      <c r="H974" s="19">
        <v>2011</v>
      </c>
      <c r="I974" s="18" t="s">
        <v>78</v>
      </c>
      <c r="J974" s="101">
        <v>12</v>
      </c>
      <c r="K974" s="20">
        <v>39</v>
      </c>
      <c r="L974" s="21">
        <v>0.35427500000000001</v>
      </c>
      <c r="M974" s="22" t="s">
        <v>30</v>
      </c>
      <c r="N974" s="23">
        <v>0.35427500000000001</v>
      </c>
      <c r="O974" s="24">
        <v>9.0839743589743588E-3</v>
      </c>
      <c r="P974" s="25" t="str">
        <f>IF(P975="x","x","")</f>
        <v/>
      </c>
      <c r="Q974" s="25" t="str">
        <f>IF(Q975="x","x","")</f>
        <v/>
      </c>
      <c r="R974" s="25" t="str">
        <f>IF(R975="x","x","")</f>
        <v/>
      </c>
      <c r="S974" s="25" t="str">
        <f>IF(S975="x","x","")</f>
        <v/>
      </c>
      <c r="T974" s="25" t="s">
        <v>27</v>
      </c>
      <c r="U974" s="26"/>
      <c r="V974" s="27"/>
    </row>
    <row r="975" spans="1:22" ht="16.5" thickBot="1" x14ac:dyDescent="0.3">
      <c r="A975" s="28" t="str">
        <f>A974</f>
        <v>Lao PDR</v>
      </c>
      <c r="B975" s="28" t="str">
        <f>B974</f>
        <v>East Asia and Pacific</v>
      </c>
      <c r="C975" s="28" t="str">
        <f>C974</f>
        <v>P083543</v>
      </c>
      <c r="D975" s="28" t="s">
        <v>26</v>
      </c>
      <c r="E975" s="28" t="s">
        <v>27</v>
      </c>
      <c r="F975" s="28" t="str">
        <f>F974</f>
        <v>P083543C1S26</v>
      </c>
      <c r="G975" s="28" t="s">
        <v>16</v>
      </c>
      <c r="H975" s="29" t="str">
        <f>H973&amp;" / "&amp;H974</f>
        <v>2004 / 2011</v>
      </c>
      <c r="I975" s="29" t="str">
        <f>I974</f>
        <v>Surface Treatment Resurfacing</v>
      </c>
      <c r="J975" s="97">
        <f>IFERROR(J974/J973,"")</f>
        <v>1</v>
      </c>
      <c r="K975" s="32">
        <f>K974/K973</f>
        <v>1</v>
      </c>
      <c r="L975" s="32">
        <f>L974/L973</f>
        <v>1.0122142857142857</v>
      </c>
      <c r="M975" s="28"/>
      <c r="N975" s="32">
        <f>N974/N973</f>
        <v>1.0122142857142857</v>
      </c>
      <c r="O975" s="32">
        <f>O974/O973</f>
        <v>1.0122142857142857</v>
      </c>
      <c r="P975" s="33" t="str">
        <f>IF(K975&lt;50%,"x","")</f>
        <v/>
      </c>
      <c r="Q975" s="33" t="str">
        <f>IF(K975&gt;150%,"x","")</f>
        <v/>
      </c>
      <c r="R975" s="33" t="str">
        <f>IF(O975&lt;50%,"x","")</f>
        <v/>
      </c>
      <c r="S975" s="33" t="str">
        <f>IF(O975&gt;150%,"x","")</f>
        <v/>
      </c>
      <c r="T975" s="33" t="s">
        <v>27</v>
      </c>
      <c r="U975" s="34" t="s">
        <v>27</v>
      </c>
      <c r="V975" s="35" t="s">
        <v>27</v>
      </c>
    </row>
    <row r="976" spans="1:22" ht="16.5" thickTop="1" x14ac:dyDescent="0.25">
      <c r="A976" s="18" t="s">
        <v>470</v>
      </c>
      <c r="B976" s="18" t="s">
        <v>945</v>
      </c>
      <c r="C976" s="18" t="s">
        <v>744</v>
      </c>
      <c r="D976" s="18" t="s">
        <v>26</v>
      </c>
      <c r="E976" s="18" t="s">
        <v>527</v>
      </c>
      <c r="F976" s="18" t="s">
        <v>765</v>
      </c>
      <c r="G976" s="18" t="s">
        <v>29</v>
      </c>
      <c r="H976" s="19">
        <v>2004</v>
      </c>
      <c r="I976" s="18" t="s">
        <v>122</v>
      </c>
      <c r="J976" s="101">
        <v>12</v>
      </c>
      <c r="K976" s="20">
        <v>16</v>
      </c>
      <c r="L976" s="21">
        <v>0.14000000000000001</v>
      </c>
      <c r="M976" s="22" t="s">
        <v>30</v>
      </c>
      <c r="N976" s="23">
        <v>0.14000000000000001</v>
      </c>
      <c r="O976" s="24">
        <v>8.7500000000000008E-3</v>
      </c>
      <c r="P976" s="25" t="str">
        <f>IF(P978="x","x","")</f>
        <v/>
      </c>
      <c r="Q976" s="25" t="str">
        <f>IF(Q978="x","x","")</f>
        <v/>
      </c>
      <c r="R976" s="25" t="str">
        <f>IF(R978="x","x","")</f>
        <v/>
      </c>
      <c r="S976" s="25" t="str">
        <f>IF(S978="x","x","")</f>
        <v/>
      </c>
      <c r="T976" s="25" t="s">
        <v>27</v>
      </c>
      <c r="U976" s="26"/>
      <c r="V976" s="27"/>
    </row>
    <row r="977" spans="1:22" x14ac:dyDescent="0.25">
      <c r="A977" s="18" t="s">
        <v>470</v>
      </c>
      <c r="B977" s="18" t="s">
        <v>945</v>
      </c>
      <c r="C977" s="18" t="s">
        <v>744</v>
      </c>
      <c r="D977" s="18" t="s">
        <v>26</v>
      </c>
      <c r="E977" s="18" t="s">
        <v>527</v>
      </c>
      <c r="F977" s="18" t="s">
        <v>765</v>
      </c>
      <c r="G977" s="18" t="s">
        <v>32</v>
      </c>
      <c r="H977" s="19">
        <v>2011</v>
      </c>
      <c r="I977" s="18" t="s">
        <v>122</v>
      </c>
      <c r="J977" s="101">
        <v>12</v>
      </c>
      <c r="K977" s="20">
        <v>16</v>
      </c>
      <c r="L977" s="21">
        <v>0.16003800000000001</v>
      </c>
      <c r="M977" s="22" t="s">
        <v>30</v>
      </c>
      <c r="N977" s="23">
        <v>0.16003800000000001</v>
      </c>
      <c r="O977" s="24">
        <v>1.0002375000000001E-2</v>
      </c>
      <c r="P977" s="25" t="str">
        <f>IF(P978="x","x","")</f>
        <v/>
      </c>
      <c r="Q977" s="25" t="str">
        <f>IF(Q978="x","x","")</f>
        <v/>
      </c>
      <c r="R977" s="25" t="str">
        <f>IF(R978="x","x","")</f>
        <v/>
      </c>
      <c r="S977" s="25" t="str">
        <f>IF(S978="x","x","")</f>
        <v/>
      </c>
      <c r="T977" s="25" t="s">
        <v>27</v>
      </c>
      <c r="U977" s="26"/>
      <c r="V977" s="27"/>
    </row>
    <row r="978" spans="1:22" ht="16.5" thickBot="1" x14ac:dyDescent="0.3">
      <c r="A978" s="28" t="str">
        <f>A977</f>
        <v>Lao PDR</v>
      </c>
      <c r="B978" s="28" t="str">
        <f>B977</f>
        <v>East Asia and Pacific</v>
      </c>
      <c r="C978" s="28" t="str">
        <f>C977</f>
        <v>P083543</v>
      </c>
      <c r="D978" s="28" t="s">
        <v>26</v>
      </c>
      <c r="E978" s="28" t="s">
        <v>27</v>
      </c>
      <c r="F978" s="28" t="str">
        <f>F977</f>
        <v>P083543C1S27</v>
      </c>
      <c r="G978" s="28" t="s">
        <v>16</v>
      </c>
      <c r="H978" s="29" t="str">
        <f>H976&amp;" / "&amp;H977</f>
        <v>2004 / 2011</v>
      </c>
      <c r="I978" s="29" t="str">
        <f>I977</f>
        <v>Gravel Resurfacing</v>
      </c>
      <c r="J978" s="97">
        <f>IFERROR(J977/J976,"")</f>
        <v>1</v>
      </c>
      <c r="K978" s="32">
        <f>K977/K976</f>
        <v>1</v>
      </c>
      <c r="L978" s="32">
        <f>L977/L976</f>
        <v>1.1431285714285715</v>
      </c>
      <c r="M978" s="28"/>
      <c r="N978" s="32">
        <f>N977/N976</f>
        <v>1.1431285714285715</v>
      </c>
      <c r="O978" s="32">
        <f>O977/O976</f>
        <v>1.1431285714285715</v>
      </c>
      <c r="P978" s="33" t="str">
        <f>IF(K978&lt;50%,"x","")</f>
        <v/>
      </c>
      <c r="Q978" s="33" t="str">
        <f>IF(K978&gt;150%,"x","")</f>
        <v/>
      </c>
      <c r="R978" s="33" t="str">
        <f>IF(O978&lt;50%,"x","")</f>
        <v/>
      </c>
      <c r="S978" s="33" t="str">
        <f>IF(O978&gt;150%,"x","")</f>
        <v/>
      </c>
      <c r="T978" s="33" t="s">
        <v>27</v>
      </c>
      <c r="U978" s="34" t="s">
        <v>27</v>
      </c>
      <c r="V978" s="35" t="s">
        <v>27</v>
      </c>
    </row>
    <row r="979" spans="1:22" ht="16.5" thickTop="1" x14ac:dyDescent="0.25">
      <c r="A979" s="18" t="s">
        <v>470</v>
      </c>
      <c r="B979" s="18" t="s">
        <v>945</v>
      </c>
      <c r="C979" s="18" t="s">
        <v>744</v>
      </c>
      <c r="D979" s="18" t="s">
        <v>26</v>
      </c>
      <c r="E979" s="18" t="s">
        <v>529</v>
      </c>
      <c r="F979" s="18" t="s">
        <v>766</v>
      </c>
      <c r="G979" s="18" t="s">
        <v>29</v>
      </c>
      <c r="H979" s="19">
        <v>2004</v>
      </c>
      <c r="I979" s="18" t="s">
        <v>122</v>
      </c>
      <c r="J979" s="101">
        <v>12</v>
      </c>
      <c r="K979" s="20">
        <v>38.299999999999997</v>
      </c>
      <c r="L979" s="21">
        <v>0.1658007</v>
      </c>
      <c r="M979" s="22" t="s">
        <v>30</v>
      </c>
      <c r="N979" s="23">
        <v>0.1658007</v>
      </c>
      <c r="O979" s="24">
        <v>4.3290000000000004E-3</v>
      </c>
      <c r="P979" s="25" t="str">
        <f>IF(P981="x","x","")</f>
        <v/>
      </c>
      <c r="Q979" s="25" t="str">
        <f>IF(Q981="x","x","")</f>
        <v/>
      </c>
      <c r="R979" s="25" t="str">
        <f>IF(R981="x","x","")</f>
        <v/>
      </c>
      <c r="S979" s="25" t="str">
        <f>IF(S981="x","x","")</f>
        <v>x</v>
      </c>
      <c r="T979" s="25" t="s">
        <v>31</v>
      </c>
      <c r="U979" s="26"/>
      <c r="V979" s="27"/>
    </row>
    <row r="980" spans="1:22" x14ac:dyDescent="0.25">
      <c r="A980" s="18" t="s">
        <v>470</v>
      </c>
      <c r="B980" s="18" t="s">
        <v>945</v>
      </c>
      <c r="C980" s="18" t="s">
        <v>744</v>
      </c>
      <c r="D980" s="18" t="s">
        <v>26</v>
      </c>
      <c r="E980" s="18" t="s">
        <v>529</v>
      </c>
      <c r="F980" s="18" t="s">
        <v>766</v>
      </c>
      <c r="G980" s="18" t="s">
        <v>32</v>
      </c>
      <c r="H980" s="19">
        <v>2011</v>
      </c>
      <c r="I980" s="18" t="s">
        <v>122</v>
      </c>
      <c r="J980" s="101">
        <v>12</v>
      </c>
      <c r="K980" s="20">
        <v>38.299999999999997</v>
      </c>
      <c r="L980" s="21">
        <v>0.3425935</v>
      </c>
      <c r="M980" s="22" t="s">
        <v>30</v>
      </c>
      <c r="N980" s="23">
        <v>0.3425935</v>
      </c>
      <c r="O980" s="24">
        <v>8.9449999999999998E-3</v>
      </c>
      <c r="P980" s="25" t="str">
        <f>IF(P981="x","x","")</f>
        <v/>
      </c>
      <c r="Q980" s="25" t="str">
        <f>IF(Q981="x","x","")</f>
        <v/>
      </c>
      <c r="R980" s="25" t="str">
        <f>IF(R981="x","x","")</f>
        <v/>
      </c>
      <c r="S980" s="25" t="str">
        <f>IF(S981="x","x","")</f>
        <v>x</v>
      </c>
      <c r="T980" s="25" t="s">
        <v>31</v>
      </c>
      <c r="U980" s="26"/>
      <c r="V980" s="27"/>
    </row>
    <row r="981" spans="1:22" ht="63.75" thickBot="1" x14ac:dyDescent="0.3">
      <c r="A981" s="28" t="str">
        <f>A980</f>
        <v>Lao PDR</v>
      </c>
      <c r="B981" s="28" t="str">
        <f>B980</f>
        <v>East Asia and Pacific</v>
      </c>
      <c r="C981" s="28" t="str">
        <f>C980</f>
        <v>P083543</v>
      </c>
      <c r="D981" s="28" t="s">
        <v>26</v>
      </c>
      <c r="E981" s="28" t="s">
        <v>27</v>
      </c>
      <c r="F981" s="28" t="str">
        <f>F980</f>
        <v>P083543C1S28</v>
      </c>
      <c r="G981" s="28" t="s">
        <v>16</v>
      </c>
      <c r="H981" s="29" t="str">
        <f>H979&amp;" / "&amp;H980</f>
        <v>2004 / 2011</v>
      </c>
      <c r="I981" s="29" t="str">
        <f>I980</f>
        <v>Gravel Resurfacing</v>
      </c>
      <c r="J981" s="97">
        <f>IFERROR(J980/J979,"")</f>
        <v>1</v>
      </c>
      <c r="K981" s="32">
        <f>K980/K979</f>
        <v>1</v>
      </c>
      <c r="L981" s="32">
        <f>L980/L979</f>
        <v>2.0662970662970661</v>
      </c>
      <c r="M981" s="28"/>
      <c r="N981" s="32">
        <f>N980/N979</f>
        <v>2.0662970662970661</v>
      </c>
      <c r="O981" s="32">
        <f>O980/O979</f>
        <v>2.0662970662970661</v>
      </c>
      <c r="P981" s="33" t="str">
        <f>IF(K981&lt;50%,"x","")</f>
        <v/>
      </c>
      <c r="Q981" s="33" t="str">
        <f>IF(K981&gt;150%,"x","")</f>
        <v/>
      </c>
      <c r="R981" s="33" t="str">
        <f>IF(O981&lt;50%,"x","")</f>
        <v/>
      </c>
      <c r="S981" s="33" t="str">
        <f>IF(O981&gt;150%,"x","")</f>
        <v>x</v>
      </c>
      <c r="T981" s="33" t="s">
        <v>31</v>
      </c>
      <c r="U981" s="34" t="s">
        <v>1063</v>
      </c>
      <c r="V981" s="35" t="s">
        <v>1064</v>
      </c>
    </row>
    <row r="982" spans="1:22" ht="16.5" thickTop="1" x14ac:dyDescent="0.25">
      <c r="A982" s="18" t="s">
        <v>470</v>
      </c>
      <c r="B982" s="18" t="s">
        <v>945</v>
      </c>
      <c r="C982" s="18" t="s">
        <v>744</v>
      </c>
      <c r="D982" s="18" t="s">
        <v>26</v>
      </c>
      <c r="E982" s="18" t="s">
        <v>531</v>
      </c>
      <c r="F982" s="18" t="s">
        <v>767</v>
      </c>
      <c r="G982" s="18" t="s">
        <v>29</v>
      </c>
      <c r="H982" s="19">
        <v>2004</v>
      </c>
      <c r="I982" s="18" t="s">
        <v>122</v>
      </c>
      <c r="J982" s="101">
        <v>12</v>
      </c>
      <c r="K982" s="20">
        <v>30.5</v>
      </c>
      <c r="L982" s="21">
        <v>0.13200400000000001</v>
      </c>
      <c r="M982" s="22" t="s">
        <v>30</v>
      </c>
      <c r="N982" s="23">
        <v>0.13200400000000001</v>
      </c>
      <c r="O982" s="24">
        <v>4.3280000000000002E-3</v>
      </c>
      <c r="P982" s="25" t="str">
        <f>IF(P984="x","x","")</f>
        <v/>
      </c>
      <c r="Q982" s="25" t="str">
        <f>IF(Q984="x","x","")</f>
        <v/>
      </c>
      <c r="R982" s="25" t="str">
        <f>IF(R984="x","x","")</f>
        <v/>
      </c>
      <c r="S982" s="25" t="str">
        <f>IF(S984="x","x","")</f>
        <v>x</v>
      </c>
      <c r="T982" s="25" t="s">
        <v>31</v>
      </c>
      <c r="U982" s="26"/>
      <c r="V982" s="27"/>
    </row>
    <row r="983" spans="1:22" x14ac:dyDescent="0.25">
      <c r="A983" s="18" t="s">
        <v>470</v>
      </c>
      <c r="B983" s="18" t="s">
        <v>945</v>
      </c>
      <c r="C983" s="18" t="s">
        <v>744</v>
      </c>
      <c r="D983" s="18" t="s">
        <v>26</v>
      </c>
      <c r="E983" s="18" t="s">
        <v>531</v>
      </c>
      <c r="F983" s="18" t="s">
        <v>767</v>
      </c>
      <c r="G983" s="18" t="s">
        <v>32</v>
      </c>
      <c r="H983" s="19">
        <v>2011</v>
      </c>
      <c r="I983" s="18" t="s">
        <v>122</v>
      </c>
      <c r="J983" s="101">
        <v>12</v>
      </c>
      <c r="K983" s="20">
        <v>30.5</v>
      </c>
      <c r="L983" s="21">
        <v>0.31079499999999999</v>
      </c>
      <c r="M983" s="22" t="s">
        <v>30</v>
      </c>
      <c r="N983" s="23">
        <v>0.31079499999999999</v>
      </c>
      <c r="O983" s="24">
        <v>1.0189999999999999E-2</v>
      </c>
      <c r="P983" s="25" t="str">
        <f>IF(P984="x","x","")</f>
        <v/>
      </c>
      <c r="Q983" s="25" t="str">
        <f>IF(Q984="x","x","")</f>
        <v/>
      </c>
      <c r="R983" s="25" t="str">
        <f>IF(R984="x","x","")</f>
        <v/>
      </c>
      <c r="S983" s="25" t="str">
        <f>IF(S984="x","x","")</f>
        <v>x</v>
      </c>
      <c r="T983" s="25" t="s">
        <v>31</v>
      </c>
      <c r="U983" s="26"/>
      <c r="V983" s="27"/>
    </row>
    <row r="984" spans="1:22" ht="63.75" thickBot="1" x14ac:dyDescent="0.3">
      <c r="A984" s="28" t="str">
        <f>A983</f>
        <v>Lao PDR</v>
      </c>
      <c r="B984" s="28" t="str">
        <f>B983</f>
        <v>East Asia and Pacific</v>
      </c>
      <c r="C984" s="28" t="str">
        <f>C983</f>
        <v>P083543</v>
      </c>
      <c r="D984" s="28" t="s">
        <v>26</v>
      </c>
      <c r="E984" s="28" t="s">
        <v>27</v>
      </c>
      <c r="F984" s="28" t="str">
        <f>F983</f>
        <v>P083543C1S29</v>
      </c>
      <c r="G984" s="28" t="s">
        <v>16</v>
      </c>
      <c r="H984" s="29" t="str">
        <f>H982&amp;" / "&amp;H983</f>
        <v>2004 / 2011</v>
      </c>
      <c r="I984" s="29" t="str">
        <f>I983</f>
        <v>Gravel Resurfacing</v>
      </c>
      <c r="J984" s="97">
        <f>IFERROR(J983/J982,"")</f>
        <v>1</v>
      </c>
      <c r="K984" s="32">
        <f>K983/K982</f>
        <v>1</v>
      </c>
      <c r="L984" s="32">
        <f>L983/L982</f>
        <v>2.3544362292051755</v>
      </c>
      <c r="M984" s="28"/>
      <c r="N984" s="32">
        <f>N983/N982</f>
        <v>2.3544362292051755</v>
      </c>
      <c r="O984" s="32">
        <f>O983/O982</f>
        <v>2.3544362292051755</v>
      </c>
      <c r="P984" s="33" t="str">
        <f>IF(K984&lt;50%,"x","")</f>
        <v/>
      </c>
      <c r="Q984" s="33" t="str">
        <f>IF(K984&gt;150%,"x","")</f>
        <v/>
      </c>
      <c r="R984" s="33" t="str">
        <f>IF(O984&lt;50%,"x","")</f>
        <v/>
      </c>
      <c r="S984" s="33" t="str">
        <f>IF(O984&gt;150%,"x","")</f>
        <v>x</v>
      </c>
      <c r="T984" s="33" t="s">
        <v>31</v>
      </c>
      <c r="U984" s="34" t="s">
        <v>1063</v>
      </c>
      <c r="V984" s="35" t="s">
        <v>1064</v>
      </c>
    </row>
    <row r="985" spans="1:22" ht="16.5" thickTop="1" x14ac:dyDescent="0.25">
      <c r="A985" s="18" t="s">
        <v>470</v>
      </c>
      <c r="B985" s="18" t="s">
        <v>945</v>
      </c>
      <c r="C985" s="18" t="s">
        <v>744</v>
      </c>
      <c r="D985" s="18" t="s">
        <v>26</v>
      </c>
      <c r="E985" s="18" t="s">
        <v>69</v>
      </c>
      <c r="F985" s="18" t="s">
        <v>768</v>
      </c>
      <c r="G985" s="18" t="s">
        <v>29</v>
      </c>
      <c r="H985" s="19">
        <v>2004</v>
      </c>
      <c r="I985" s="18" t="s">
        <v>122</v>
      </c>
      <c r="J985" s="101">
        <v>12</v>
      </c>
      <c r="K985" s="20">
        <v>19</v>
      </c>
      <c r="L985" s="21">
        <v>0.14000000000000001</v>
      </c>
      <c r="M985" s="22" t="s">
        <v>30</v>
      </c>
      <c r="N985" s="23">
        <v>0.14000000000000001</v>
      </c>
      <c r="O985" s="24">
        <v>7.3684210526315796E-3</v>
      </c>
      <c r="P985" s="25" t="str">
        <f>IF(P987="x","x","")</f>
        <v/>
      </c>
      <c r="Q985" s="25" t="str">
        <f>IF(Q987="x","x","")</f>
        <v/>
      </c>
      <c r="R985" s="25" t="str">
        <f>IF(R987="x","x","")</f>
        <v/>
      </c>
      <c r="S985" s="25" t="str">
        <f>IF(S987="x","x","")</f>
        <v/>
      </c>
      <c r="T985" s="25" t="s">
        <v>27</v>
      </c>
      <c r="U985" s="26"/>
      <c r="V985" s="27"/>
    </row>
    <row r="986" spans="1:22" x14ac:dyDescent="0.25">
      <c r="A986" s="18" t="s">
        <v>470</v>
      </c>
      <c r="B986" s="18" t="s">
        <v>945</v>
      </c>
      <c r="C986" s="18" t="s">
        <v>744</v>
      </c>
      <c r="D986" s="18" t="s">
        <v>26</v>
      </c>
      <c r="E986" s="18" t="s">
        <v>69</v>
      </c>
      <c r="F986" s="18" t="s">
        <v>768</v>
      </c>
      <c r="G986" s="18" t="s">
        <v>32</v>
      </c>
      <c r="H986" s="19">
        <v>2011</v>
      </c>
      <c r="I986" s="18" t="s">
        <v>122</v>
      </c>
      <c r="J986" s="101">
        <v>12</v>
      </c>
      <c r="K986" s="20">
        <v>19</v>
      </c>
      <c r="L986" s="21">
        <v>8.2600999999999994E-2</v>
      </c>
      <c r="M986" s="22" t="s">
        <v>30</v>
      </c>
      <c r="N986" s="23">
        <v>8.2600999999999994E-2</v>
      </c>
      <c r="O986" s="24">
        <v>4.3474210526315785E-3</v>
      </c>
      <c r="P986" s="25" t="str">
        <f>IF(P987="x","x","")</f>
        <v/>
      </c>
      <c r="Q986" s="25" t="str">
        <f>IF(Q987="x","x","")</f>
        <v/>
      </c>
      <c r="R986" s="25" t="str">
        <f>IF(R987="x","x","")</f>
        <v/>
      </c>
      <c r="S986" s="25" t="str">
        <f>IF(S987="x","x","")</f>
        <v/>
      </c>
      <c r="T986" s="25" t="s">
        <v>27</v>
      </c>
      <c r="U986" s="26"/>
      <c r="V986" s="27"/>
    </row>
    <row r="987" spans="1:22" ht="16.5" thickBot="1" x14ac:dyDescent="0.3">
      <c r="A987" s="28" t="str">
        <f>A986</f>
        <v>Lao PDR</v>
      </c>
      <c r="B987" s="28" t="str">
        <f>B986</f>
        <v>East Asia and Pacific</v>
      </c>
      <c r="C987" s="28" t="str">
        <f>C986</f>
        <v>P083543</v>
      </c>
      <c r="D987" s="28" t="s">
        <v>26</v>
      </c>
      <c r="E987" s="28" t="s">
        <v>27</v>
      </c>
      <c r="F987" s="28" t="str">
        <f>F986</f>
        <v>P083543C1S3</v>
      </c>
      <c r="G987" s="28" t="s">
        <v>16</v>
      </c>
      <c r="H987" s="29" t="str">
        <f>H985&amp;" / "&amp;H986</f>
        <v>2004 / 2011</v>
      </c>
      <c r="I987" s="29" t="str">
        <f>I986</f>
        <v>Gravel Resurfacing</v>
      </c>
      <c r="J987" s="97">
        <f>IFERROR(J986/J985,"")</f>
        <v>1</v>
      </c>
      <c r="K987" s="32">
        <f>K986/K985</f>
        <v>1</v>
      </c>
      <c r="L987" s="32">
        <f>L986/L985</f>
        <v>0.59000714285714273</v>
      </c>
      <c r="M987" s="28"/>
      <c r="N987" s="32">
        <f>N986/N985</f>
        <v>0.59000714285714273</v>
      </c>
      <c r="O987" s="32">
        <f>O986/O985</f>
        <v>0.59000714285714273</v>
      </c>
      <c r="P987" s="33" t="str">
        <f>IF(K987&lt;50%,"x","")</f>
        <v/>
      </c>
      <c r="Q987" s="33" t="str">
        <f>IF(K987&gt;150%,"x","")</f>
        <v/>
      </c>
      <c r="R987" s="33" t="str">
        <f>IF(O987&lt;50%,"x","")</f>
        <v/>
      </c>
      <c r="S987" s="33" t="str">
        <f>IF(O987&gt;150%,"x","")</f>
        <v/>
      </c>
      <c r="T987" s="33" t="s">
        <v>27</v>
      </c>
      <c r="U987" s="34" t="s">
        <v>27</v>
      </c>
      <c r="V987" s="35" t="s">
        <v>27</v>
      </c>
    </row>
    <row r="988" spans="1:22" ht="16.5" thickTop="1" x14ac:dyDescent="0.25">
      <c r="A988" s="18" t="s">
        <v>470</v>
      </c>
      <c r="B988" s="18" t="s">
        <v>945</v>
      </c>
      <c r="C988" s="18" t="s">
        <v>744</v>
      </c>
      <c r="D988" s="18" t="s">
        <v>26</v>
      </c>
      <c r="E988" s="18" t="s">
        <v>534</v>
      </c>
      <c r="F988" s="18" t="s">
        <v>769</v>
      </c>
      <c r="G988" s="18" t="s">
        <v>29</v>
      </c>
      <c r="H988" s="19">
        <v>2004</v>
      </c>
      <c r="I988" s="18" t="s">
        <v>122</v>
      </c>
      <c r="J988" s="101">
        <v>12</v>
      </c>
      <c r="K988" s="20">
        <v>24.2</v>
      </c>
      <c r="L988" s="21">
        <v>0.1047134</v>
      </c>
      <c r="M988" s="22" t="s">
        <v>30</v>
      </c>
      <c r="N988" s="23">
        <v>0.1047134</v>
      </c>
      <c r="O988" s="24">
        <v>4.3270000000000001E-3</v>
      </c>
      <c r="P988" s="25" t="str">
        <f>IF(P990="x","x","")</f>
        <v/>
      </c>
      <c r="Q988" s="25" t="str">
        <f>IF(Q990="x","x","")</f>
        <v/>
      </c>
      <c r="R988" s="25" t="str">
        <f>IF(R990="x","x","")</f>
        <v/>
      </c>
      <c r="S988" s="25" t="str">
        <f>IF(S990="x","x","")</f>
        <v/>
      </c>
      <c r="T988" s="25" t="s">
        <v>27</v>
      </c>
      <c r="U988" s="26"/>
      <c r="V988" s="27"/>
    </row>
    <row r="989" spans="1:22" x14ac:dyDescent="0.25">
      <c r="A989" s="18" t="s">
        <v>470</v>
      </c>
      <c r="B989" s="18" t="s">
        <v>945</v>
      </c>
      <c r="C989" s="18" t="s">
        <v>744</v>
      </c>
      <c r="D989" s="18" t="s">
        <v>26</v>
      </c>
      <c r="E989" s="18" t="s">
        <v>534</v>
      </c>
      <c r="F989" s="18" t="s">
        <v>769</v>
      </c>
      <c r="G989" s="18" t="s">
        <v>32</v>
      </c>
      <c r="H989" s="19">
        <v>2011</v>
      </c>
      <c r="I989" s="18" t="s">
        <v>122</v>
      </c>
      <c r="J989" s="101">
        <v>12</v>
      </c>
      <c r="K989" s="20">
        <v>24.2</v>
      </c>
      <c r="L989" s="21">
        <v>8.5305000000000006E-2</v>
      </c>
      <c r="M989" s="22" t="s">
        <v>30</v>
      </c>
      <c r="N989" s="23">
        <v>8.5305000000000006E-2</v>
      </c>
      <c r="O989" s="24">
        <v>3.5250000000000004E-3</v>
      </c>
      <c r="P989" s="25" t="str">
        <f>IF(P990="x","x","")</f>
        <v/>
      </c>
      <c r="Q989" s="25" t="str">
        <f>IF(Q990="x","x","")</f>
        <v/>
      </c>
      <c r="R989" s="25" t="str">
        <f>IF(R990="x","x","")</f>
        <v/>
      </c>
      <c r="S989" s="25" t="str">
        <f>IF(S990="x","x","")</f>
        <v/>
      </c>
      <c r="T989" s="25" t="s">
        <v>27</v>
      </c>
      <c r="U989" s="26"/>
      <c r="V989" s="27"/>
    </row>
    <row r="990" spans="1:22" ht="16.5" thickBot="1" x14ac:dyDescent="0.3">
      <c r="A990" s="28" t="str">
        <f>A989</f>
        <v>Lao PDR</v>
      </c>
      <c r="B990" s="28" t="str">
        <f>B989</f>
        <v>East Asia and Pacific</v>
      </c>
      <c r="C990" s="28" t="str">
        <f>C989</f>
        <v>P083543</v>
      </c>
      <c r="D990" s="28" t="s">
        <v>26</v>
      </c>
      <c r="E990" s="28" t="s">
        <v>27</v>
      </c>
      <c r="F990" s="28" t="str">
        <f>F989</f>
        <v>P083543C1S30</v>
      </c>
      <c r="G990" s="28" t="s">
        <v>16</v>
      </c>
      <c r="H990" s="29" t="str">
        <f>H988&amp;" / "&amp;H989</f>
        <v>2004 / 2011</v>
      </c>
      <c r="I990" s="29" t="str">
        <f>I989</f>
        <v>Gravel Resurfacing</v>
      </c>
      <c r="J990" s="97">
        <f>IFERROR(J989/J988,"")</f>
        <v>1</v>
      </c>
      <c r="K990" s="32">
        <f>K989/K988</f>
        <v>1</v>
      </c>
      <c r="L990" s="32">
        <f>L989/L988</f>
        <v>0.81465218396117411</v>
      </c>
      <c r="M990" s="28"/>
      <c r="N990" s="32">
        <f>N989/N988</f>
        <v>0.81465218396117411</v>
      </c>
      <c r="O990" s="32">
        <f>O989/O988</f>
        <v>0.81465218396117411</v>
      </c>
      <c r="P990" s="33" t="str">
        <f>IF(K990&lt;50%,"x","")</f>
        <v/>
      </c>
      <c r="Q990" s="33" t="str">
        <f>IF(K990&gt;150%,"x","")</f>
        <v/>
      </c>
      <c r="R990" s="33" t="str">
        <f>IF(O990&lt;50%,"x","")</f>
        <v/>
      </c>
      <c r="S990" s="33" t="str">
        <f>IF(O990&gt;150%,"x","")</f>
        <v/>
      </c>
      <c r="T990" s="33" t="s">
        <v>27</v>
      </c>
      <c r="U990" s="34" t="s">
        <v>27</v>
      </c>
      <c r="V990" s="35" t="s">
        <v>27</v>
      </c>
    </row>
    <row r="991" spans="1:22" ht="16.5" thickTop="1" x14ac:dyDescent="0.25">
      <c r="A991" s="18" t="s">
        <v>470</v>
      </c>
      <c r="B991" s="18" t="s">
        <v>945</v>
      </c>
      <c r="C991" s="18" t="s">
        <v>744</v>
      </c>
      <c r="D991" s="18" t="s">
        <v>26</v>
      </c>
      <c r="E991" s="18" t="s">
        <v>536</v>
      </c>
      <c r="F991" s="18" t="s">
        <v>770</v>
      </c>
      <c r="G991" s="18" t="s">
        <v>29</v>
      </c>
      <c r="H991" s="19">
        <v>2004</v>
      </c>
      <c r="I991" s="18" t="s">
        <v>122</v>
      </c>
      <c r="J991" s="101">
        <v>12</v>
      </c>
      <c r="K991" s="20">
        <v>17</v>
      </c>
      <c r="L991" s="21">
        <v>7.3576000000000003E-2</v>
      </c>
      <c r="M991" s="22" t="s">
        <v>30</v>
      </c>
      <c r="N991" s="23">
        <v>7.3576000000000003E-2</v>
      </c>
      <c r="O991" s="24">
        <v>4.3280000000000002E-3</v>
      </c>
      <c r="P991" s="25" t="str">
        <f>IF(P993="x","x","")</f>
        <v/>
      </c>
      <c r="Q991" s="25" t="str">
        <f>IF(Q993="x","x","")</f>
        <v/>
      </c>
      <c r="R991" s="25" t="str">
        <f>IF(R993="x","x","")</f>
        <v/>
      </c>
      <c r="S991" s="25" t="str">
        <f>IF(S993="x","x","")</f>
        <v/>
      </c>
      <c r="T991" s="25" t="s">
        <v>27</v>
      </c>
      <c r="U991" s="26"/>
      <c r="V991" s="27"/>
    </row>
    <row r="992" spans="1:22" x14ac:dyDescent="0.25">
      <c r="A992" s="18" t="s">
        <v>470</v>
      </c>
      <c r="B992" s="18" t="s">
        <v>945</v>
      </c>
      <c r="C992" s="18" t="s">
        <v>744</v>
      </c>
      <c r="D992" s="18" t="s">
        <v>26</v>
      </c>
      <c r="E992" s="18" t="s">
        <v>536</v>
      </c>
      <c r="F992" s="18" t="s">
        <v>770</v>
      </c>
      <c r="G992" s="18" t="s">
        <v>32</v>
      </c>
      <c r="H992" s="19">
        <v>2011</v>
      </c>
      <c r="I992" s="18" t="s">
        <v>122</v>
      </c>
      <c r="J992" s="101">
        <v>12</v>
      </c>
      <c r="K992" s="20">
        <v>17</v>
      </c>
      <c r="L992" s="21">
        <v>6.1404E-2</v>
      </c>
      <c r="M992" s="22" t="s">
        <v>30</v>
      </c>
      <c r="N992" s="23">
        <v>6.1404E-2</v>
      </c>
      <c r="O992" s="24">
        <v>3.6120000000000002E-3</v>
      </c>
      <c r="P992" s="25" t="str">
        <f>IF(P993="x","x","")</f>
        <v/>
      </c>
      <c r="Q992" s="25" t="str">
        <f>IF(Q993="x","x","")</f>
        <v/>
      </c>
      <c r="R992" s="25" t="str">
        <f>IF(R993="x","x","")</f>
        <v/>
      </c>
      <c r="S992" s="25" t="str">
        <f>IF(S993="x","x","")</f>
        <v/>
      </c>
      <c r="T992" s="25" t="s">
        <v>27</v>
      </c>
      <c r="U992" s="26"/>
      <c r="V992" s="27"/>
    </row>
    <row r="993" spans="1:22" ht="16.5" thickBot="1" x14ac:dyDescent="0.3">
      <c r="A993" s="28" t="str">
        <f>A992</f>
        <v>Lao PDR</v>
      </c>
      <c r="B993" s="28" t="str">
        <f>B992</f>
        <v>East Asia and Pacific</v>
      </c>
      <c r="C993" s="28" t="str">
        <f>C992</f>
        <v>P083543</v>
      </c>
      <c r="D993" s="28" t="s">
        <v>26</v>
      </c>
      <c r="E993" s="28" t="s">
        <v>27</v>
      </c>
      <c r="F993" s="28" t="str">
        <f>F992</f>
        <v>P083543C1S31</v>
      </c>
      <c r="G993" s="28" t="s">
        <v>16</v>
      </c>
      <c r="H993" s="29" t="str">
        <f>H991&amp;" / "&amp;H992</f>
        <v>2004 / 2011</v>
      </c>
      <c r="I993" s="29" t="str">
        <f>I992</f>
        <v>Gravel Resurfacing</v>
      </c>
      <c r="J993" s="97">
        <f>IFERROR(J992/J991,"")</f>
        <v>1</v>
      </c>
      <c r="K993" s="32">
        <f>K992/K991</f>
        <v>1</v>
      </c>
      <c r="L993" s="32">
        <f>L992/L991</f>
        <v>0.8345656192236599</v>
      </c>
      <c r="M993" s="28"/>
      <c r="N993" s="32">
        <f>N992/N991</f>
        <v>0.8345656192236599</v>
      </c>
      <c r="O993" s="32">
        <f>O992/O991</f>
        <v>0.8345656192236599</v>
      </c>
      <c r="P993" s="33" t="str">
        <f>IF(K993&lt;50%,"x","")</f>
        <v/>
      </c>
      <c r="Q993" s="33" t="str">
        <f>IF(K993&gt;150%,"x","")</f>
        <v/>
      </c>
      <c r="R993" s="33" t="str">
        <f>IF(O993&lt;50%,"x","")</f>
        <v/>
      </c>
      <c r="S993" s="33" t="str">
        <f>IF(O993&gt;150%,"x","")</f>
        <v/>
      </c>
      <c r="T993" s="33" t="s">
        <v>27</v>
      </c>
      <c r="U993" s="34" t="s">
        <v>27</v>
      </c>
      <c r="V993" s="35" t="s">
        <v>27</v>
      </c>
    </row>
    <row r="994" spans="1:22" ht="18.600000000000001" customHeight="1" thickTop="1" x14ac:dyDescent="0.25">
      <c r="A994" s="18" t="s">
        <v>470</v>
      </c>
      <c r="B994" s="18" t="s">
        <v>945</v>
      </c>
      <c r="C994" s="18" t="s">
        <v>744</v>
      </c>
      <c r="D994" s="18" t="s">
        <v>26</v>
      </c>
      <c r="E994" s="18" t="s">
        <v>538</v>
      </c>
      <c r="F994" s="18" t="s">
        <v>771</v>
      </c>
      <c r="G994" s="18" t="s">
        <v>29</v>
      </c>
      <c r="H994" s="19">
        <v>2004</v>
      </c>
      <c r="I994" s="18" t="s">
        <v>122</v>
      </c>
      <c r="J994" s="101">
        <v>12</v>
      </c>
      <c r="K994" s="20">
        <v>44.3</v>
      </c>
      <c r="L994" s="21">
        <v>0.1917304</v>
      </c>
      <c r="M994" s="22" t="s">
        <v>30</v>
      </c>
      <c r="N994" s="23">
        <v>0.1917304</v>
      </c>
      <c r="O994" s="24">
        <v>4.3280000000000002E-3</v>
      </c>
      <c r="P994" s="25" t="str">
        <f>IF(P996="x","x","")</f>
        <v/>
      </c>
      <c r="Q994" s="25" t="str">
        <f>IF(Q996="x","x","")</f>
        <v/>
      </c>
      <c r="R994" s="25" t="str">
        <f>IF(R996="x","x","")</f>
        <v/>
      </c>
      <c r="S994" s="25" t="str">
        <f>IF(S996="x","x","")</f>
        <v/>
      </c>
      <c r="T994" s="25" t="s">
        <v>27</v>
      </c>
      <c r="U994" s="26"/>
      <c r="V994" s="27"/>
    </row>
    <row r="995" spans="1:22" ht="18.600000000000001" customHeight="1" x14ac:dyDescent="0.25">
      <c r="A995" s="18" t="s">
        <v>470</v>
      </c>
      <c r="B995" s="18" t="s">
        <v>945</v>
      </c>
      <c r="C995" s="18" t="s">
        <v>744</v>
      </c>
      <c r="D995" s="18" t="s">
        <v>26</v>
      </c>
      <c r="E995" s="18" t="s">
        <v>538</v>
      </c>
      <c r="F995" s="18" t="s">
        <v>771</v>
      </c>
      <c r="G995" s="18" t="s">
        <v>32</v>
      </c>
      <c r="H995" s="19">
        <v>2011</v>
      </c>
      <c r="I995" s="18" t="s">
        <v>122</v>
      </c>
      <c r="J995" s="101">
        <v>12</v>
      </c>
      <c r="K995" s="20">
        <v>44.3</v>
      </c>
      <c r="L995" s="21">
        <v>0.22624009999999997</v>
      </c>
      <c r="M995" s="22" t="s">
        <v>30</v>
      </c>
      <c r="N995" s="23">
        <v>0.22624009999999997</v>
      </c>
      <c r="O995" s="24">
        <v>5.1069999999999996E-3</v>
      </c>
      <c r="P995" s="25" t="str">
        <f>IF(P996="x","x","")</f>
        <v/>
      </c>
      <c r="Q995" s="25" t="str">
        <f>IF(Q996="x","x","")</f>
        <v/>
      </c>
      <c r="R995" s="25" t="str">
        <f>IF(R996="x","x","")</f>
        <v/>
      </c>
      <c r="S995" s="25" t="str">
        <f>IF(S996="x","x","")</f>
        <v/>
      </c>
      <c r="T995" s="25" t="s">
        <v>27</v>
      </c>
      <c r="U995" s="26"/>
      <c r="V995" s="27"/>
    </row>
    <row r="996" spans="1:22" ht="18.600000000000001" customHeight="1" thickBot="1" x14ac:dyDescent="0.3">
      <c r="A996" s="28" t="str">
        <f>A995</f>
        <v>Lao PDR</v>
      </c>
      <c r="B996" s="28" t="str">
        <f>B995</f>
        <v>East Asia and Pacific</v>
      </c>
      <c r="C996" s="28" t="str">
        <f>C995</f>
        <v>P083543</v>
      </c>
      <c r="D996" s="28" t="s">
        <v>26</v>
      </c>
      <c r="E996" s="28" t="s">
        <v>27</v>
      </c>
      <c r="F996" s="28" t="str">
        <f>F995</f>
        <v>P083543C1S32</v>
      </c>
      <c r="G996" s="28" t="s">
        <v>16</v>
      </c>
      <c r="H996" s="29" t="str">
        <f>H994&amp;" / "&amp;H995</f>
        <v>2004 / 2011</v>
      </c>
      <c r="I996" s="29" t="str">
        <f>I995</f>
        <v>Gravel Resurfacing</v>
      </c>
      <c r="J996" s="97">
        <f>IFERROR(J995/J994,"")</f>
        <v>1</v>
      </c>
      <c r="K996" s="32">
        <f>K995/K994</f>
        <v>1</v>
      </c>
      <c r="L996" s="32">
        <f>L995/L994</f>
        <v>1.1799907578558224</v>
      </c>
      <c r="M996" s="28"/>
      <c r="N996" s="32">
        <f>N995/N994</f>
        <v>1.1799907578558224</v>
      </c>
      <c r="O996" s="32">
        <f>O995/O994</f>
        <v>1.1799907578558224</v>
      </c>
      <c r="P996" s="33" t="str">
        <f>IF(K996&lt;50%,"x","")</f>
        <v/>
      </c>
      <c r="Q996" s="33" t="str">
        <f>IF(K996&gt;150%,"x","")</f>
        <v/>
      </c>
      <c r="R996" s="33" t="str">
        <f>IF(O996&lt;50%,"x","")</f>
        <v/>
      </c>
      <c r="S996" s="33" t="str">
        <f>IF(O996&gt;150%,"x","")</f>
        <v/>
      </c>
      <c r="T996" s="33" t="s">
        <v>27</v>
      </c>
      <c r="U996" s="34" t="s">
        <v>27</v>
      </c>
      <c r="V996" s="35" t="s">
        <v>27</v>
      </c>
    </row>
    <row r="997" spans="1:22" ht="18.600000000000001" customHeight="1" thickTop="1" x14ac:dyDescent="0.25">
      <c r="A997" s="18" t="s">
        <v>470</v>
      </c>
      <c r="B997" s="18" t="s">
        <v>945</v>
      </c>
      <c r="C997" s="18" t="s">
        <v>744</v>
      </c>
      <c r="D997" s="18" t="s">
        <v>26</v>
      </c>
      <c r="E997" s="18" t="s">
        <v>540</v>
      </c>
      <c r="F997" s="18" t="s">
        <v>772</v>
      </c>
      <c r="G997" s="18" t="s">
        <v>29</v>
      </c>
      <c r="H997" s="19">
        <v>2004</v>
      </c>
      <c r="I997" s="18" t="s">
        <v>122</v>
      </c>
      <c r="J997" s="101">
        <v>12</v>
      </c>
      <c r="K997" s="20">
        <v>43</v>
      </c>
      <c r="L997" s="21">
        <v>0.18610399999999999</v>
      </c>
      <c r="M997" s="22" t="s">
        <v>30</v>
      </c>
      <c r="N997" s="23">
        <v>0.18610399999999999</v>
      </c>
      <c r="O997" s="24">
        <v>4.3279999999999994E-3</v>
      </c>
      <c r="P997" s="25" t="str">
        <f>IF(P999="x","x","")</f>
        <v/>
      </c>
      <c r="Q997" s="25" t="str">
        <f>IF(Q999="x","x","")</f>
        <v/>
      </c>
      <c r="R997" s="25" t="str">
        <f>IF(R999="x","x","")</f>
        <v/>
      </c>
      <c r="S997" s="25" t="str">
        <f>IF(S999="x","x","")</f>
        <v/>
      </c>
      <c r="T997" s="25" t="s">
        <v>27</v>
      </c>
      <c r="U997" s="26"/>
      <c r="V997" s="27"/>
    </row>
    <row r="998" spans="1:22" ht="18.600000000000001" customHeight="1" x14ac:dyDescent="0.25">
      <c r="A998" s="18" t="s">
        <v>470</v>
      </c>
      <c r="B998" s="18" t="s">
        <v>945</v>
      </c>
      <c r="C998" s="18" t="s">
        <v>744</v>
      </c>
      <c r="D998" s="18" t="s">
        <v>26</v>
      </c>
      <c r="E998" s="18" t="s">
        <v>540</v>
      </c>
      <c r="F998" s="18" t="s">
        <v>772</v>
      </c>
      <c r="G998" s="18" t="s">
        <v>32</v>
      </c>
      <c r="H998" s="19">
        <v>2011</v>
      </c>
      <c r="I998" s="18" t="s">
        <v>122</v>
      </c>
      <c r="J998" s="101">
        <v>12</v>
      </c>
      <c r="K998" s="20">
        <v>43</v>
      </c>
      <c r="L998" s="21">
        <v>0.20446500000000001</v>
      </c>
      <c r="M998" s="22" t="s">
        <v>30</v>
      </c>
      <c r="N998" s="23">
        <v>0.20446500000000001</v>
      </c>
      <c r="O998" s="24">
        <v>4.7550000000000005E-3</v>
      </c>
      <c r="P998" s="25" t="str">
        <f>IF(P999="x","x","")</f>
        <v/>
      </c>
      <c r="Q998" s="25" t="str">
        <f>IF(Q999="x","x","")</f>
        <v/>
      </c>
      <c r="R998" s="25" t="str">
        <f>IF(R999="x","x","")</f>
        <v/>
      </c>
      <c r="S998" s="25" t="str">
        <f>IF(S999="x","x","")</f>
        <v/>
      </c>
      <c r="T998" s="25" t="s">
        <v>27</v>
      </c>
      <c r="U998" s="26"/>
      <c r="V998" s="27"/>
    </row>
    <row r="999" spans="1:22" ht="18.600000000000001" customHeight="1" thickBot="1" x14ac:dyDescent="0.3">
      <c r="A999" s="28" t="str">
        <f>A998</f>
        <v>Lao PDR</v>
      </c>
      <c r="B999" s="28" t="str">
        <f>B998</f>
        <v>East Asia and Pacific</v>
      </c>
      <c r="C999" s="28" t="str">
        <f>C998</f>
        <v>P083543</v>
      </c>
      <c r="D999" s="28" t="s">
        <v>26</v>
      </c>
      <c r="E999" s="28" t="s">
        <v>27</v>
      </c>
      <c r="F999" s="28" t="str">
        <f>F998</f>
        <v>P083543C1S33</v>
      </c>
      <c r="G999" s="28" t="s">
        <v>16</v>
      </c>
      <c r="H999" s="29" t="str">
        <f>H997&amp;" / "&amp;H998</f>
        <v>2004 / 2011</v>
      </c>
      <c r="I999" s="29" t="str">
        <f>I998</f>
        <v>Gravel Resurfacing</v>
      </c>
      <c r="J999" s="97">
        <f>IFERROR(J998/J997,"")</f>
        <v>1</v>
      </c>
      <c r="K999" s="32">
        <f>K998/K997</f>
        <v>1</v>
      </c>
      <c r="L999" s="32">
        <f>L998/L997</f>
        <v>1.09865988909427</v>
      </c>
      <c r="M999" s="28"/>
      <c r="N999" s="32">
        <f>N998/N997</f>
        <v>1.09865988909427</v>
      </c>
      <c r="O999" s="32">
        <f>O998/O997</f>
        <v>1.0986598890942703</v>
      </c>
      <c r="P999" s="33" t="str">
        <f>IF(K999&lt;50%,"x","")</f>
        <v/>
      </c>
      <c r="Q999" s="33" t="str">
        <f>IF(K999&gt;150%,"x","")</f>
        <v/>
      </c>
      <c r="R999" s="33" t="str">
        <f>IF(O999&lt;50%,"x","")</f>
        <v/>
      </c>
      <c r="S999" s="33" t="str">
        <f>IF(O999&gt;150%,"x","")</f>
        <v/>
      </c>
      <c r="T999" s="33" t="s">
        <v>27</v>
      </c>
      <c r="U999" s="34" t="s">
        <v>27</v>
      </c>
      <c r="V999" s="35" t="s">
        <v>27</v>
      </c>
    </row>
    <row r="1000" spans="1:22" ht="18.600000000000001" customHeight="1" thickTop="1" x14ac:dyDescent="0.25">
      <c r="A1000" s="18" t="s">
        <v>470</v>
      </c>
      <c r="B1000" s="18" t="s">
        <v>945</v>
      </c>
      <c r="C1000" s="18" t="s">
        <v>744</v>
      </c>
      <c r="D1000" s="18" t="s">
        <v>26</v>
      </c>
      <c r="E1000" s="18" t="s">
        <v>542</v>
      </c>
      <c r="F1000" s="18" t="s">
        <v>773</v>
      </c>
      <c r="G1000" s="18" t="s">
        <v>29</v>
      </c>
      <c r="H1000" s="19">
        <v>2004</v>
      </c>
      <c r="I1000" s="18" t="s">
        <v>122</v>
      </c>
      <c r="J1000" s="101">
        <v>12</v>
      </c>
      <c r="K1000" s="20">
        <v>11</v>
      </c>
      <c r="L1000" s="21">
        <v>4.7597E-2</v>
      </c>
      <c r="M1000" s="22" t="s">
        <v>30</v>
      </c>
      <c r="N1000" s="23">
        <v>4.7597E-2</v>
      </c>
      <c r="O1000" s="24">
        <v>4.3270000000000001E-3</v>
      </c>
      <c r="P1000" s="25" t="str">
        <f>IF(P1002="x","x","")</f>
        <v/>
      </c>
      <c r="Q1000" s="25" t="str">
        <f>IF(Q1002="x","x","")</f>
        <v/>
      </c>
      <c r="R1000" s="25" t="str">
        <f>IF(R1002="x","x","")</f>
        <v/>
      </c>
      <c r="S1000" s="25" t="str">
        <f>IF(S1002="x","x","")</f>
        <v>x</v>
      </c>
      <c r="T1000" s="25" t="s">
        <v>31</v>
      </c>
      <c r="U1000" s="26"/>
      <c r="V1000" s="27"/>
    </row>
    <row r="1001" spans="1:22" ht="18.600000000000001" customHeight="1" x14ac:dyDescent="0.25">
      <c r="A1001" s="18" t="s">
        <v>470</v>
      </c>
      <c r="B1001" s="18" t="s">
        <v>945</v>
      </c>
      <c r="C1001" s="18" t="s">
        <v>744</v>
      </c>
      <c r="D1001" s="18" t="s">
        <v>26</v>
      </c>
      <c r="E1001" s="18" t="s">
        <v>542</v>
      </c>
      <c r="F1001" s="18" t="s">
        <v>773</v>
      </c>
      <c r="G1001" s="18" t="s">
        <v>32</v>
      </c>
      <c r="H1001" s="19">
        <v>2011</v>
      </c>
      <c r="I1001" s="18" t="s">
        <v>122</v>
      </c>
      <c r="J1001" s="101">
        <v>12</v>
      </c>
      <c r="K1001" s="20">
        <v>11</v>
      </c>
      <c r="L1001" s="21">
        <v>7.5899999999999995E-2</v>
      </c>
      <c r="M1001" s="22" t="s">
        <v>30</v>
      </c>
      <c r="N1001" s="23">
        <v>7.5899999999999995E-2</v>
      </c>
      <c r="O1001" s="24">
        <v>6.8999999999999999E-3</v>
      </c>
      <c r="P1001" s="25" t="str">
        <f>IF(P1002="x","x","")</f>
        <v/>
      </c>
      <c r="Q1001" s="25" t="str">
        <f>IF(Q1002="x","x","")</f>
        <v/>
      </c>
      <c r="R1001" s="25" t="str">
        <f>IF(R1002="x","x","")</f>
        <v/>
      </c>
      <c r="S1001" s="25" t="str">
        <f>IF(S1002="x","x","")</f>
        <v>x</v>
      </c>
      <c r="T1001" s="25" t="s">
        <v>31</v>
      </c>
      <c r="U1001" s="26"/>
      <c r="V1001" s="27"/>
    </row>
    <row r="1002" spans="1:22" ht="18.600000000000001" customHeight="1" thickBot="1" x14ac:dyDescent="0.3">
      <c r="A1002" s="28" t="str">
        <f>A1001</f>
        <v>Lao PDR</v>
      </c>
      <c r="B1002" s="28" t="str">
        <f>B1001</f>
        <v>East Asia and Pacific</v>
      </c>
      <c r="C1002" s="28" t="str">
        <f>C1001</f>
        <v>P083543</v>
      </c>
      <c r="D1002" s="28" t="s">
        <v>26</v>
      </c>
      <c r="E1002" s="28" t="s">
        <v>27</v>
      </c>
      <c r="F1002" s="28" t="str">
        <f>F1001</f>
        <v>P083543C1S34</v>
      </c>
      <c r="G1002" s="28" t="s">
        <v>16</v>
      </c>
      <c r="H1002" s="29" t="str">
        <f>H1000&amp;" / "&amp;H1001</f>
        <v>2004 / 2011</v>
      </c>
      <c r="I1002" s="29" t="str">
        <f>I1001</f>
        <v>Gravel Resurfacing</v>
      </c>
      <c r="J1002" s="97">
        <f>IFERROR(J1001/J1000,"")</f>
        <v>1</v>
      </c>
      <c r="K1002" s="32">
        <f>K1001/K1000</f>
        <v>1</v>
      </c>
      <c r="L1002" s="32">
        <f>L1001/L1000</f>
        <v>1.5946383175410215</v>
      </c>
      <c r="M1002" s="28"/>
      <c r="N1002" s="32">
        <f>N1001/N1000</f>
        <v>1.5946383175410215</v>
      </c>
      <c r="O1002" s="32">
        <f>O1001/O1000</f>
        <v>1.5946383175410215</v>
      </c>
      <c r="P1002" s="33" t="str">
        <f>IF(K1002&lt;50%,"x","")</f>
        <v/>
      </c>
      <c r="Q1002" s="33" t="str">
        <f>IF(K1002&gt;150%,"x","")</f>
        <v/>
      </c>
      <c r="R1002" s="33" t="str">
        <f>IF(O1002&lt;50%,"x","")</f>
        <v/>
      </c>
      <c r="S1002" s="33" t="str">
        <f>IF(O1002&gt;150%,"x","")</f>
        <v>x</v>
      </c>
      <c r="T1002" s="33" t="s">
        <v>31</v>
      </c>
      <c r="U1002" s="34" t="s">
        <v>1063</v>
      </c>
      <c r="V1002" s="35" t="s">
        <v>1064</v>
      </c>
    </row>
    <row r="1003" spans="1:22" ht="18.600000000000001" customHeight="1" thickTop="1" x14ac:dyDescent="0.25">
      <c r="A1003" s="18" t="s">
        <v>470</v>
      </c>
      <c r="B1003" s="18" t="s">
        <v>945</v>
      </c>
      <c r="C1003" s="18" t="s">
        <v>744</v>
      </c>
      <c r="D1003" s="18" t="s">
        <v>26</v>
      </c>
      <c r="E1003" s="18" t="s">
        <v>544</v>
      </c>
      <c r="F1003" s="18" t="s">
        <v>774</v>
      </c>
      <c r="G1003" s="18" t="s">
        <v>29</v>
      </c>
      <c r="H1003" s="19">
        <v>2004</v>
      </c>
      <c r="I1003" s="18" t="s">
        <v>122</v>
      </c>
      <c r="J1003" s="101">
        <v>12</v>
      </c>
      <c r="K1003" s="20">
        <v>16.5</v>
      </c>
      <c r="L1003" s="21">
        <v>7.1428500000000006E-2</v>
      </c>
      <c r="M1003" s="22" t="s">
        <v>30</v>
      </c>
      <c r="N1003" s="23">
        <v>7.1428500000000006E-2</v>
      </c>
      <c r="O1003" s="24">
        <v>4.3290000000000004E-3</v>
      </c>
      <c r="P1003" s="25" t="str">
        <f>IF(P1005="x","x","")</f>
        <v/>
      </c>
      <c r="Q1003" s="25" t="str">
        <f>IF(Q1005="x","x","")</f>
        <v/>
      </c>
      <c r="R1003" s="25" t="str">
        <f>IF(R1005="x","x","")</f>
        <v/>
      </c>
      <c r="S1003" s="25" t="str">
        <f>IF(S1005="x","x","")</f>
        <v/>
      </c>
      <c r="T1003" s="25" t="s">
        <v>27</v>
      </c>
      <c r="U1003" s="26"/>
      <c r="V1003" s="27"/>
    </row>
    <row r="1004" spans="1:22" ht="18.600000000000001" customHeight="1" x14ac:dyDescent="0.25">
      <c r="A1004" s="18" t="s">
        <v>470</v>
      </c>
      <c r="B1004" s="18" t="s">
        <v>945</v>
      </c>
      <c r="C1004" s="18" t="s">
        <v>744</v>
      </c>
      <c r="D1004" s="18" t="s">
        <v>26</v>
      </c>
      <c r="E1004" s="18" t="s">
        <v>544</v>
      </c>
      <c r="F1004" s="18" t="s">
        <v>774</v>
      </c>
      <c r="G1004" s="18" t="s">
        <v>32</v>
      </c>
      <c r="H1004" s="19">
        <v>2011</v>
      </c>
      <c r="I1004" s="18" t="s">
        <v>122</v>
      </c>
      <c r="J1004" s="101">
        <v>12</v>
      </c>
      <c r="K1004" s="20">
        <v>16.5</v>
      </c>
      <c r="L1004" s="21">
        <v>8.2103999999999996E-2</v>
      </c>
      <c r="M1004" s="22" t="s">
        <v>30</v>
      </c>
      <c r="N1004" s="23">
        <v>8.2103999999999996E-2</v>
      </c>
      <c r="O1004" s="24">
        <v>4.9759999999999995E-3</v>
      </c>
      <c r="P1004" s="25" t="str">
        <f>IF(P1005="x","x","")</f>
        <v/>
      </c>
      <c r="Q1004" s="25" t="str">
        <f>IF(Q1005="x","x","")</f>
        <v/>
      </c>
      <c r="R1004" s="25" t="str">
        <f>IF(R1005="x","x","")</f>
        <v/>
      </c>
      <c r="S1004" s="25" t="str">
        <f>IF(S1005="x","x","")</f>
        <v/>
      </c>
      <c r="T1004" s="25" t="s">
        <v>27</v>
      </c>
      <c r="U1004" s="26"/>
      <c r="V1004" s="27"/>
    </row>
    <row r="1005" spans="1:22" ht="18.600000000000001" customHeight="1" thickBot="1" x14ac:dyDescent="0.3">
      <c r="A1005" s="28" t="str">
        <f>A1004</f>
        <v>Lao PDR</v>
      </c>
      <c r="B1005" s="28" t="str">
        <f>B1004</f>
        <v>East Asia and Pacific</v>
      </c>
      <c r="C1005" s="28" t="str">
        <f>C1004</f>
        <v>P083543</v>
      </c>
      <c r="D1005" s="28" t="s">
        <v>26</v>
      </c>
      <c r="E1005" s="28" t="s">
        <v>27</v>
      </c>
      <c r="F1005" s="28" t="str">
        <f>F1004</f>
        <v>P083543C1S35</v>
      </c>
      <c r="G1005" s="28" t="s">
        <v>16</v>
      </c>
      <c r="H1005" s="29" t="str">
        <f>H1003&amp;" / "&amp;H1004</f>
        <v>2004 / 2011</v>
      </c>
      <c r="I1005" s="29" t="str">
        <f>I1004</f>
        <v>Gravel Resurfacing</v>
      </c>
      <c r="J1005" s="97">
        <f>IFERROR(J1004/J1003,"")</f>
        <v>1</v>
      </c>
      <c r="K1005" s="32">
        <f>K1004/K1003</f>
        <v>1</v>
      </c>
      <c r="L1005" s="32">
        <f>L1004/L1003</f>
        <v>1.1494571494571493</v>
      </c>
      <c r="M1005" s="28"/>
      <c r="N1005" s="32">
        <f>N1004/N1003</f>
        <v>1.1494571494571493</v>
      </c>
      <c r="O1005" s="32">
        <f>O1004/O1003</f>
        <v>1.1494571494571493</v>
      </c>
      <c r="P1005" s="33" t="str">
        <f>IF(K1005&lt;50%,"x","")</f>
        <v/>
      </c>
      <c r="Q1005" s="33" t="str">
        <f>IF(K1005&gt;150%,"x","")</f>
        <v/>
      </c>
      <c r="R1005" s="33" t="str">
        <f>IF(O1005&lt;50%,"x","")</f>
        <v/>
      </c>
      <c r="S1005" s="33" t="str">
        <f>IF(O1005&gt;150%,"x","")</f>
        <v/>
      </c>
      <c r="T1005" s="33" t="s">
        <v>27</v>
      </c>
      <c r="U1005" s="34" t="s">
        <v>27</v>
      </c>
      <c r="V1005" s="35" t="s">
        <v>27</v>
      </c>
    </row>
    <row r="1006" spans="1:22" ht="18.600000000000001" customHeight="1" thickTop="1" x14ac:dyDescent="0.25">
      <c r="A1006" s="18" t="s">
        <v>470</v>
      </c>
      <c r="B1006" s="18" t="s">
        <v>945</v>
      </c>
      <c r="C1006" s="18" t="s">
        <v>744</v>
      </c>
      <c r="D1006" s="18" t="s">
        <v>26</v>
      </c>
      <c r="E1006" s="18" t="s">
        <v>546</v>
      </c>
      <c r="F1006" s="18" t="s">
        <v>775</v>
      </c>
      <c r="G1006" s="18" t="s">
        <v>29</v>
      </c>
      <c r="H1006" s="19">
        <v>2004</v>
      </c>
      <c r="I1006" s="18" t="s">
        <v>122</v>
      </c>
      <c r="J1006" s="101">
        <v>12</v>
      </c>
      <c r="K1006" s="20">
        <v>30.6</v>
      </c>
      <c r="L1006" s="21">
        <v>0.1324062</v>
      </c>
      <c r="M1006" s="22" t="s">
        <v>30</v>
      </c>
      <c r="N1006" s="23">
        <v>0.1324062</v>
      </c>
      <c r="O1006" s="24">
        <v>4.3270000000000001E-3</v>
      </c>
      <c r="P1006" s="25" t="str">
        <f>IF(P1008="x","x","")</f>
        <v/>
      </c>
      <c r="Q1006" s="25" t="str">
        <f>IF(Q1008="x","x","")</f>
        <v/>
      </c>
      <c r="R1006" s="25" t="str">
        <f>IF(R1008="x","x","")</f>
        <v/>
      </c>
      <c r="S1006" s="25" t="str">
        <f>IF(S1008="x","x","")</f>
        <v/>
      </c>
      <c r="T1006" s="25" t="s">
        <v>27</v>
      </c>
      <c r="U1006" s="26"/>
      <c r="V1006" s="27"/>
    </row>
    <row r="1007" spans="1:22" ht="18.600000000000001" customHeight="1" x14ac:dyDescent="0.25">
      <c r="A1007" s="18" t="s">
        <v>470</v>
      </c>
      <c r="B1007" s="18" t="s">
        <v>945</v>
      </c>
      <c r="C1007" s="18" t="s">
        <v>744</v>
      </c>
      <c r="D1007" s="18" t="s">
        <v>26</v>
      </c>
      <c r="E1007" s="18" t="s">
        <v>546</v>
      </c>
      <c r="F1007" s="18" t="s">
        <v>775</v>
      </c>
      <c r="G1007" s="18" t="s">
        <v>32</v>
      </c>
      <c r="H1007" s="19">
        <v>2011</v>
      </c>
      <c r="I1007" s="18" t="s">
        <v>122</v>
      </c>
      <c r="J1007" s="101">
        <v>12</v>
      </c>
      <c r="K1007" s="20">
        <v>30.6</v>
      </c>
      <c r="L1007" s="21">
        <v>0.13154939999999998</v>
      </c>
      <c r="M1007" s="22" t="s">
        <v>30</v>
      </c>
      <c r="N1007" s="23">
        <v>0.13154939999999998</v>
      </c>
      <c r="O1007" s="24">
        <v>4.298999999999999E-3</v>
      </c>
      <c r="P1007" s="25" t="str">
        <f>IF(P1008="x","x","")</f>
        <v/>
      </c>
      <c r="Q1007" s="25" t="str">
        <f>IF(Q1008="x","x","")</f>
        <v/>
      </c>
      <c r="R1007" s="25" t="str">
        <f>IF(R1008="x","x","")</f>
        <v/>
      </c>
      <c r="S1007" s="25" t="str">
        <f>IF(S1008="x","x","")</f>
        <v/>
      </c>
      <c r="T1007" s="25" t="s">
        <v>27</v>
      </c>
      <c r="U1007" s="26"/>
      <c r="V1007" s="27"/>
    </row>
    <row r="1008" spans="1:22" ht="18.600000000000001" customHeight="1" thickBot="1" x14ac:dyDescent="0.3">
      <c r="A1008" s="28" t="str">
        <f>A1007</f>
        <v>Lao PDR</v>
      </c>
      <c r="B1008" s="28" t="str">
        <f>B1007</f>
        <v>East Asia and Pacific</v>
      </c>
      <c r="C1008" s="28" t="str">
        <f>C1007</f>
        <v>P083543</v>
      </c>
      <c r="D1008" s="28" t="s">
        <v>26</v>
      </c>
      <c r="E1008" s="28" t="s">
        <v>27</v>
      </c>
      <c r="F1008" s="28" t="str">
        <f>F1007</f>
        <v>P083543C1S36</v>
      </c>
      <c r="G1008" s="28" t="s">
        <v>16</v>
      </c>
      <c r="H1008" s="29" t="str">
        <f>H1006&amp;" / "&amp;H1007</f>
        <v>2004 / 2011</v>
      </c>
      <c r="I1008" s="29" t="str">
        <f>I1007</f>
        <v>Gravel Resurfacing</v>
      </c>
      <c r="J1008" s="97">
        <f>IFERROR(J1007/J1006,"")</f>
        <v>1</v>
      </c>
      <c r="K1008" s="32">
        <f>K1007/K1006</f>
        <v>1</v>
      </c>
      <c r="L1008" s="32">
        <f>L1007/L1006</f>
        <v>0.99352900392881893</v>
      </c>
      <c r="M1008" s="28"/>
      <c r="N1008" s="32">
        <f>N1007/N1006</f>
        <v>0.99352900392881893</v>
      </c>
      <c r="O1008" s="32">
        <f>O1007/O1006</f>
        <v>0.99352900392881882</v>
      </c>
      <c r="P1008" s="33" t="str">
        <f>IF(K1008&lt;50%,"x","")</f>
        <v/>
      </c>
      <c r="Q1008" s="33" t="str">
        <f>IF(K1008&gt;150%,"x","")</f>
        <v/>
      </c>
      <c r="R1008" s="33" t="str">
        <f>IF(O1008&lt;50%,"x","")</f>
        <v/>
      </c>
      <c r="S1008" s="33" t="str">
        <f>IF(O1008&gt;150%,"x","")</f>
        <v/>
      </c>
      <c r="T1008" s="33" t="s">
        <v>27</v>
      </c>
      <c r="U1008" s="34" t="s">
        <v>27</v>
      </c>
      <c r="V1008" s="35" t="s">
        <v>27</v>
      </c>
    </row>
    <row r="1009" spans="1:22" ht="18.600000000000001" customHeight="1" thickTop="1" x14ac:dyDescent="0.25">
      <c r="A1009" s="18" t="s">
        <v>470</v>
      </c>
      <c r="B1009" s="18" t="s">
        <v>945</v>
      </c>
      <c r="C1009" s="18" t="s">
        <v>744</v>
      </c>
      <c r="D1009" s="18" t="s">
        <v>26</v>
      </c>
      <c r="E1009" s="18" t="s">
        <v>548</v>
      </c>
      <c r="F1009" s="18" t="s">
        <v>776</v>
      </c>
      <c r="G1009" s="18" t="s">
        <v>29</v>
      </c>
      <c r="H1009" s="19">
        <v>2004</v>
      </c>
      <c r="I1009" s="18" t="s">
        <v>68</v>
      </c>
      <c r="J1009" s="101">
        <v>12</v>
      </c>
      <c r="K1009" s="20">
        <v>17.8</v>
      </c>
      <c r="L1009" s="21">
        <v>0.57194959999999995</v>
      </c>
      <c r="M1009" s="22" t="s">
        <v>30</v>
      </c>
      <c r="N1009" s="23">
        <v>0.57194959999999995</v>
      </c>
      <c r="O1009" s="24">
        <v>3.2131999999999994E-2</v>
      </c>
      <c r="P1009" s="25" t="str">
        <f>IF(P1011="x","x","")</f>
        <v/>
      </c>
      <c r="Q1009" s="25" t="str">
        <f>IF(Q1011="x","x","")</f>
        <v/>
      </c>
      <c r="R1009" s="25" t="str">
        <f>IF(R1011="x","x","")</f>
        <v/>
      </c>
      <c r="S1009" s="25" t="str">
        <f>IF(S1011="x","x","")</f>
        <v/>
      </c>
      <c r="T1009" s="25" t="s">
        <v>27</v>
      </c>
      <c r="U1009" s="26"/>
      <c r="V1009" s="27"/>
    </row>
    <row r="1010" spans="1:22" ht="18.600000000000001" customHeight="1" x14ac:dyDescent="0.25">
      <c r="A1010" s="18" t="s">
        <v>470</v>
      </c>
      <c r="B1010" s="18" t="s">
        <v>945</v>
      </c>
      <c r="C1010" s="18" t="s">
        <v>744</v>
      </c>
      <c r="D1010" s="18" t="s">
        <v>26</v>
      </c>
      <c r="E1010" s="18" t="s">
        <v>548</v>
      </c>
      <c r="F1010" s="18" t="s">
        <v>776</v>
      </c>
      <c r="G1010" s="18" t="s">
        <v>32</v>
      </c>
      <c r="H1010" s="19">
        <v>2011</v>
      </c>
      <c r="I1010" s="18" t="s">
        <v>68</v>
      </c>
      <c r="J1010" s="101">
        <v>12</v>
      </c>
      <c r="K1010" s="20">
        <v>17.8</v>
      </c>
      <c r="L1010" s="21">
        <v>0.57675559999999992</v>
      </c>
      <c r="M1010" s="22" t="s">
        <v>30</v>
      </c>
      <c r="N1010" s="23">
        <v>0.57675559999999992</v>
      </c>
      <c r="O1010" s="24">
        <v>3.2401999999999993E-2</v>
      </c>
      <c r="P1010" s="25" t="str">
        <f>IF(P1011="x","x","")</f>
        <v/>
      </c>
      <c r="Q1010" s="25" t="str">
        <f>IF(Q1011="x","x","")</f>
        <v/>
      </c>
      <c r="R1010" s="25" t="str">
        <f>IF(R1011="x","x","")</f>
        <v/>
      </c>
      <c r="S1010" s="25" t="str">
        <f>IF(S1011="x","x","")</f>
        <v/>
      </c>
      <c r="T1010" s="25" t="s">
        <v>27</v>
      </c>
      <c r="U1010" s="26"/>
      <c r="V1010" s="27"/>
    </row>
    <row r="1011" spans="1:22" ht="18.600000000000001" customHeight="1" thickBot="1" x14ac:dyDescent="0.3">
      <c r="A1011" s="28" t="str">
        <f>A1010</f>
        <v>Lao PDR</v>
      </c>
      <c r="B1011" s="28" t="str">
        <f>B1010</f>
        <v>East Asia and Pacific</v>
      </c>
      <c r="C1011" s="28" t="str">
        <f>C1010</f>
        <v>P083543</v>
      </c>
      <c r="D1011" s="28" t="s">
        <v>26</v>
      </c>
      <c r="E1011" s="28" t="s">
        <v>27</v>
      </c>
      <c r="F1011" s="28" t="str">
        <f>F1010</f>
        <v>P083543C1S37</v>
      </c>
      <c r="G1011" s="28" t="s">
        <v>16</v>
      </c>
      <c r="H1011" s="29" t="str">
        <f>H1009&amp;" / "&amp;H1010</f>
        <v>2004 / 2011</v>
      </c>
      <c r="I1011" s="29" t="str">
        <f>I1010</f>
        <v>Asphalt Mix Resurfacing</v>
      </c>
      <c r="J1011" s="97">
        <f>IFERROR(J1010/J1009,"")</f>
        <v>1</v>
      </c>
      <c r="K1011" s="32">
        <f>K1010/K1009</f>
        <v>1</v>
      </c>
      <c r="L1011" s="32">
        <f>L1010/L1009</f>
        <v>1.0084028382920454</v>
      </c>
      <c r="M1011" s="28"/>
      <c r="N1011" s="32">
        <f>N1010/N1009</f>
        <v>1.0084028382920454</v>
      </c>
      <c r="O1011" s="32">
        <f>O1010/O1009</f>
        <v>1.0084028382920454</v>
      </c>
      <c r="P1011" s="33" t="str">
        <f>IF(K1011&lt;50%,"x","")</f>
        <v/>
      </c>
      <c r="Q1011" s="33" t="str">
        <f>IF(K1011&gt;150%,"x","")</f>
        <v/>
      </c>
      <c r="R1011" s="33" t="str">
        <f>IF(O1011&lt;50%,"x","")</f>
        <v/>
      </c>
      <c r="S1011" s="33" t="str">
        <f>IF(O1011&gt;150%,"x","")</f>
        <v/>
      </c>
      <c r="T1011" s="33" t="s">
        <v>27</v>
      </c>
      <c r="U1011" s="34" t="s">
        <v>27</v>
      </c>
      <c r="V1011" s="35" t="s">
        <v>27</v>
      </c>
    </row>
    <row r="1012" spans="1:22" ht="18.600000000000001" customHeight="1" thickTop="1" x14ac:dyDescent="0.25">
      <c r="A1012" s="18" t="s">
        <v>470</v>
      </c>
      <c r="B1012" s="18" t="s">
        <v>945</v>
      </c>
      <c r="C1012" s="18" t="s">
        <v>744</v>
      </c>
      <c r="D1012" s="18" t="s">
        <v>26</v>
      </c>
      <c r="E1012" s="18" t="s">
        <v>550</v>
      </c>
      <c r="F1012" s="18" t="s">
        <v>777</v>
      </c>
      <c r="G1012" s="18" t="s">
        <v>29</v>
      </c>
      <c r="H1012" s="19">
        <v>2004</v>
      </c>
      <c r="I1012" s="18" t="s">
        <v>122</v>
      </c>
      <c r="J1012" s="101">
        <v>12</v>
      </c>
      <c r="K1012" s="20">
        <v>4.3</v>
      </c>
      <c r="L1012" s="21">
        <v>1.85846E-2</v>
      </c>
      <c r="M1012" s="22" t="s">
        <v>30</v>
      </c>
      <c r="N1012" s="23">
        <v>1.85846E-2</v>
      </c>
      <c r="O1012" s="24">
        <v>4.3220000000000003E-3</v>
      </c>
      <c r="P1012" s="25" t="str">
        <f>IF(P1014="x","x","")</f>
        <v/>
      </c>
      <c r="Q1012" s="25" t="str">
        <f>IF(Q1014="x","x","")</f>
        <v/>
      </c>
      <c r="R1012" s="25" t="str">
        <f>IF(R1014="x","x","")</f>
        <v/>
      </c>
      <c r="S1012" s="25" t="str">
        <f>IF(S1014="x","x","")</f>
        <v/>
      </c>
      <c r="T1012" s="25" t="s">
        <v>27</v>
      </c>
      <c r="U1012" s="26"/>
      <c r="V1012" s="27"/>
    </row>
    <row r="1013" spans="1:22" ht="18.600000000000001" customHeight="1" x14ac:dyDescent="0.25">
      <c r="A1013" s="18" t="s">
        <v>470</v>
      </c>
      <c r="B1013" s="18" t="s">
        <v>945</v>
      </c>
      <c r="C1013" s="18" t="s">
        <v>744</v>
      </c>
      <c r="D1013" s="18" t="s">
        <v>26</v>
      </c>
      <c r="E1013" s="18" t="s">
        <v>550</v>
      </c>
      <c r="F1013" s="18" t="s">
        <v>777</v>
      </c>
      <c r="G1013" s="18" t="s">
        <v>32</v>
      </c>
      <c r="H1013" s="19">
        <v>2011</v>
      </c>
      <c r="I1013" s="18" t="s">
        <v>122</v>
      </c>
      <c r="J1013" s="101">
        <v>12</v>
      </c>
      <c r="K1013" s="20">
        <v>4.3</v>
      </c>
      <c r="L1013" s="21">
        <v>2.6273000000000001E-2</v>
      </c>
      <c r="M1013" s="22" t="s">
        <v>30</v>
      </c>
      <c r="N1013" s="23">
        <v>2.6273000000000001E-2</v>
      </c>
      <c r="O1013" s="24">
        <v>6.1100000000000008E-3</v>
      </c>
      <c r="P1013" s="25" t="str">
        <f>IF(P1014="x","x","")</f>
        <v/>
      </c>
      <c r="Q1013" s="25" t="str">
        <f>IF(Q1014="x","x","")</f>
        <v/>
      </c>
      <c r="R1013" s="25" t="str">
        <f>IF(R1014="x","x","")</f>
        <v/>
      </c>
      <c r="S1013" s="25" t="str">
        <f>IF(S1014="x","x","")</f>
        <v/>
      </c>
      <c r="T1013" s="25" t="s">
        <v>27</v>
      </c>
      <c r="U1013" s="26"/>
      <c r="V1013" s="27"/>
    </row>
    <row r="1014" spans="1:22" ht="18.600000000000001" customHeight="1" thickBot="1" x14ac:dyDescent="0.3">
      <c r="A1014" s="28" t="str">
        <f>A1013</f>
        <v>Lao PDR</v>
      </c>
      <c r="B1014" s="28" t="str">
        <f>B1013</f>
        <v>East Asia and Pacific</v>
      </c>
      <c r="C1014" s="28" t="str">
        <f>C1013</f>
        <v>P083543</v>
      </c>
      <c r="D1014" s="28" t="s">
        <v>26</v>
      </c>
      <c r="E1014" s="28" t="s">
        <v>27</v>
      </c>
      <c r="F1014" s="28" t="str">
        <f>F1013</f>
        <v>P083543C1S38</v>
      </c>
      <c r="G1014" s="28" t="s">
        <v>16</v>
      </c>
      <c r="H1014" s="29" t="str">
        <f>H1012&amp;" / "&amp;H1013</f>
        <v>2004 / 2011</v>
      </c>
      <c r="I1014" s="29" t="str">
        <f>I1013</f>
        <v>Gravel Resurfacing</v>
      </c>
      <c r="J1014" s="97">
        <f>IFERROR(J1013/J1012,"")</f>
        <v>1</v>
      </c>
      <c r="K1014" s="32">
        <f>K1013/K1012</f>
        <v>1</v>
      </c>
      <c r="L1014" s="32">
        <f>L1013/L1012</f>
        <v>1.4136973623322537</v>
      </c>
      <c r="M1014" s="28"/>
      <c r="N1014" s="32">
        <f>N1013/N1012</f>
        <v>1.4136973623322537</v>
      </c>
      <c r="O1014" s="32">
        <f>O1013/O1012</f>
        <v>1.4136973623322537</v>
      </c>
      <c r="P1014" s="33" t="str">
        <f>IF(K1014&lt;50%,"x","")</f>
        <v/>
      </c>
      <c r="Q1014" s="33" t="str">
        <f>IF(K1014&gt;150%,"x","")</f>
        <v/>
      </c>
      <c r="R1014" s="33" t="str">
        <f>IF(O1014&lt;50%,"x","")</f>
        <v/>
      </c>
      <c r="S1014" s="33" t="str">
        <f>IF(O1014&gt;150%,"x","")</f>
        <v/>
      </c>
      <c r="T1014" s="33" t="s">
        <v>27</v>
      </c>
      <c r="U1014" s="34" t="s">
        <v>27</v>
      </c>
      <c r="V1014" s="35" t="s">
        <v>27</v>
      </c>
    </row>
    <row r="1015" spans="1:22" ht="18.600000000000001" customHeight="1" thickTop="1" x14ac:dyDescent="0.25">
      <c r="A1015" s="18" t="s">
        <v>470</v>
      </c>
      <c r="B1015" s="18" t="s">
        <v>945</v>
      </c>
      <c r="C1015" s="18" t="s">
        <v>744</v>
      </c>
      <c r="D1015" s="18" t="s">
        <v>26</v>
      </c>
      <c r="E1015" s="18" t="s">
        <v>552</v>
      </c>
      <c r="F1015" s="18" t="s">
        <v>778</v>
      </c>
      <c r="G1015" s="18" t="s">
        <v>29</v>
      </c>
      <c r="H1015" s="19">
        <v>2004</v>
      </c>
      <c r="I1015" s="18" t="s">
        <v>122</v>
      </c>
      <c r="J1015" s="101">
        <v>12</v>
      </c>
      <c r="K1015" s="20">
        <v>90.5</v>
      </c>
      <c r="L1015" s="21">
        <v>0.39150299999999999</v>
      </c>
      <c r="M1015" s="22" t="s">
        <v>30</v>
      </c>
      <c r="N1015" s="23">
        <v>0.39150299999999999</v>
      </c>
      <c r="O1015" s="24">
        <v>4.326E-3</v>
      </c>
      <c r="P1015" s="25" t="str">
        <f>IF(P1017="x","x","")</f>
        <v/>
      </c>
      <c r="Q1015" s="25" t="str">
        <f>IF(Q1017="x","x","")</f>
        <v/>
      </c>
      <c r="R1015" s="25" t="str">
        <f>IF(R1017="x","x","")</f>
        <v/>
      </c>
      <c r="S1015" s="25" t="str">
        <f>IF(S1017="x","x","")</f>
        <v/>
      </c>
      <c r="T1015" s="25" t="s">
        <v>27</v>
      </c>
      <c r="U1015" s="26"/>
      <c r="V1015" s="27"/>
    </row>
    <row r="1016" spans="1:22" ht="18.600000000000001" customHeight="1" x14ac:dyDescent="0.25">
      <c r="A1016" s="18" t="s">
        <v>470</v>
      </c>
      <c r="B1016" s="18" t="s">
        <v>945</v>
      </c>
      <c r="C1016" s="18" t="s">
        <v>744</v>
      </c>
      <c r="D1016" s="18" t="s">
        <v>26</v>
      </c>
      <c r="E1016" s="18" t="s">
        <v>552</v>
      </c>
      <c r="F1016" s="18" t="s">
        <v>778</v>
      </c>
      <c r="G1016" s="18" t="s">
        <v>32</v>
      </c>
      <c r="H1016" s="19">
        <v>2011</v>
      </c>
      <c r="I1016" s="18" t="s">
        <v>122</v>
      </c>
      <c r="J1016" s="101">
        <v>12</v>
      </c>
      <c r="K1016" s="20">
        <v>90.5</v>
      </c>
      <c r="L1016" s="21">
        <v>0.49956</v>
      </c>
      <c r="M1016" s="22" t="s">
        <v>30</v>
      </c>
      <c r="N1016" s="23">
        <v>0.49956</v>
      </c>
      <c r="O1016" s="24">
        <v>5.5199999999999997E-3</v>
      </c>
      <c r="P1016" s="25" t="str">
        <f>IF(P1017="x","x","")</f>
        <v/>
      </c>
      <c r="Q1016" s="25" t="str">
        <f>IF(Q1017="x","x","")</f>
        <v/>
      </c>
      <c r="R1016" s="25" t="str">
        <f>IF(R1017="x","x","")</f>
        <v/>
      </c>
      <c r="S1016" s="25" t="str">
        <f>IF(S1017="x","x","")</f>
        <v/>
      </c>
      <c r="T1016" s="25" t="s">
        <v>27</v>
      </c>
      <c r="U1016" s="26"/>
      <c r="V1016" s="27"/>
    </row>
    <row r="1017" spans="1:22" ht="18.600000000000001" customHeight="1" thickBot="1" x14ac:dyDescent="0.3">
      <c r="A1017" s="28" t="str">
        <f>A1016</f>
        <v>Lao PDR</v>
      </c>
      <c r="B1017" s="28" t="str">
        <f>B1016</f>
        <v>East Asia and Pacific</v>
      </c>
      <c r="C1017" s="28" t="str">
        <f>C1016</f>
        <v>P083543</v>
      </c>
      <c r="D1017" s="28" t="s">
        <v>26</v>
      </c>
      <c r="E1017" s="28" t="s">
        <v>27</v>
      </c>
      <c r="F1017" s="28" t="str">
        <f>F1016</f>
        <v>P083543C1S39</v>
      </c>
      <c r="G1017" s="28" t="s">
        <v>16</v>
      </c>
      <c r="H1017" s="29" t="str">
        <f>H1015&amp;" / "&amp;H1016</f>
        <v>2004 / 2011</v>
      </c>
      <c r="I1017" s="29" t="str">
        <f>I1016</f>
        <v>Gravel Resurfacing</v>
      </c>
      <c r="J1017" s="97">
        <f>IFERROR(J1016/J1015,"")</f>
        <v>1</v>
      </c>
      <c r="K1017" s="32">
        <f>K1016/K1015</f>
        <v>1</v>
      </c>
      <c r="L1017" s="32">
        <f>L1016/L1015</f>
        <v>1.2760055478502081</v>
      </c>
      <c r="M1017" s="28"/>
      <c r="N1017" s="32">
        <f>N1016/N1015</f>
        <v>1.2760055478502081</v>
      </c>
      <c r="O1017" s="32">
        <f>O1016/O1015</f>
        <v>1.2760055478502079</v>
      </c>
      <c r="P1017" s="33" t="str">
        <f>IF(K1017&lt;50%,"x","")</f>
        <v/>
      </c>
      <c r="Q1017" s="33" t="str">
        <f>IF(K1017&gt;150%,"x","")</f>
        <v/>
      </c>
      <c r="R1017" s="33" t="str">
        <f>IF(O1017&lt;50%,"x","")</f>
        <v/>
      </c>
      <c r="S1017" s="33" t="str">
        <f>IF(O1017&gt;150%,"x","")</f>
        <v/>
      </c>
      <c r="T1017" s="33" t="s">
        <v>27</v>
      </c>
      <c r="U1017" s="34" t="s">
        <v>27</v>
      </c>
      <c r="V1017" s="35" t="s">
        <v>27</v>
      </c>
    </row>
    <row r="1018" spans="1:22" ht="18.600000000000001" customHeight="1" thickTop="1" x14ac:dyDescent="0.25">
      <c r="A1018" s="18" t="s">
        <v>470</v>
      </c>
      <c r="B1018" s="18" t="s">
        <v>945</v>
      </c>
      <c r="C1018" s="18" t="s">
        <v>744</v>
      </c>
      <c r="D1018" s="18" t="s">
        <v>26</v>
      </c>
      <c r="E1018" s="18" t="s">
        <v>71</v>
      </c>
      <c r="F1018" s="18" t="s">
        <v>779</v>
      </c>
      <c r="G1018" s="18" t="s">
        <v>29</v>
      </c>
      <c r="H1018" s="19">
        <v>2004</v>
      </c>
      <c r="I1018" s="18" t="s">
        <v>78</v>
      </c>
      <c r="J1018" s="101">
        <v>12</v>
      </c>
      <c r="K1018" s="20">
        <v>24</v>
      </c>
      <c r="L1018" s="21">
        <v>0.23</v>
      </c>
      <c r="M1018" s="22" t="s">
        <v>30</v>
      </c>
      <c r="N1018" s="23">
        <v>0.23</v>
      </c>
      <c r="O1018" s="24">
        <v>9.5833333333333343E-3</v>
      </c>
      <c r="P1018" s="25" t="str">
        <f>IF(P1020="x","x","")</f>
        <v/>
      </c>
      <c r="Q1018" s="25" t="str">
        <f>IF(Q1020="x","x","")</f>
        <v/>
      </c>
      <c r="R1018" s="25" t="str">
        <f>IF(R1020="x","x","")</f>
        <v/>
      </c>
      <c r="S1018" s="25" t="str">
        <f>IF(S1020="x","x","")</f>
        <v/>
      </c>
      <c r="T1018" s="25" t="s">
        <v>27</v>
      </c>
      <c r="U1018" s="26"/>
      <c r="V1018" s="27"/>
    </row>
    <row r="1019" spans="1:22" ht="18.600000000000001" customHeight="1" x14ac:dyDescent="0.25">
      <c r="A1019" s="18" t="s">
        <v>470</v>
      </c>
      <c r="B1019" s="18" t="s">
        <v>945</v>
      </c>
      <c r="C1019" s="18" t="s">
        <v>744</v>
      </c>
      <c r="D1019" s="18" t="s">
        <v>26</v>
      </c>
      <c r="E1019" s="18" t="s">
        <v>71</v>
      </c>
      <c r="F1019" s="18" t="s">
        <v>779</v>
      </c>
      <c r="G1019" s="18" t="s">
        <v>32</v>
      </c>
      <c r="H1019" s="19">
        <v>2011</v>
      </c>
      <c r="I1019" s="18" t="s">
        <v>78</v>
      </c>
      <c r="J1019" s="101">
        <v>12</v>
      </c>
      <c r="K1019" s="20">
        <v>24</v>
      </c>
      <c r="L1019" s="21">
        <v>0.33328999999999998</v>
      </c>
      <c r="M1019" s="22" t="s">
        <v>30</v>
      </c>
      <c r="N1019" s="23">
        <v>0.33328999999999998</v>
      </c>
      <c r="O1019" s="24">
        <v>1.3887083333333333E-2</v>
      </c>
      <c r="P1019" s="25" t="str">
        <f>IF(P1020="x","x","")</f>
        <v/>
      </c>
      <c r="Q1019" s="25" t="str">
        <f>IF(Q1020="x","x","")</f>
        <v/>
      </c>
      <c r="R1019" s="25" t="str">
        <f>IF(R1020="x","x","")</f>
        <v/>
      </c>
      <c r="S1019" s="25" t="str">
        <f>IF(S1020="x","x","")</f>
        <v/>
      </c>
      <c r="T1019" s="25" t="s">
        <v>27</v>
      </c>
      <c r="U1019" s="26"/>
      <c r="V1019" s="27"/>
    </row>
    <row r="1020" spans="1:22" ht="18.600000000000001" customHeight="1" thickBot="1" x14ac:dyDescent="0.3">
      <c r="A1020" s="28" t="str">
        <f>A1019</f>
        <v>Lao PDR</v>
      </c>
      <c r="B1020" s="28" t="str">
        <f>B1019</f>
        <v>East Asia and Pacific</v>
      </c>
      <c r="C1020" s="28" t="str">
        <f>C1019</f>
        <v>P083543</v>
      </c>
      <c r="D1020" s="28" t="s">
        <v>26</v>
      </c>
      <c r="E1020" s="28" t="s">
        <v>27</v>
      </c>
      <c r="F1020" s="28" t="str">
        <f>F1019</f>
        <v>P083543C1S4</v>
      </c>
      <c r="G1020" s="28" t="s">
        <v>16</v>
      </c>
      <c r="H1020" s="29" t="str">
        <f>H1018&amp;" / "&amp;H1019</f>
        <v>2004 / 2011</v>
      </c>
      <c r="I1020" s="29" t="str">
        <f>I1019</f>
        <v>Surface Treatment Resurfacing</v>
      </c>
      <c r="J1020" s="97">
        <f>IFERROR(J1019/J1018,"")</f>
        <v>1</v>
      </c>
      <c r="K1020" s="32">
        <f>K1019/K1018</f>
        <v>1</v>
      </c>
      <c r="L1020" s="32">
        <f>L1019/L1018</f>
        <v>1.449086956521739</v>
      </c>
      <c r="M1020" s="28"/>
      <c r="N1020" s="32">
        <f>N1019/N1018</f>
        <v>1.449086956521739</v>
      </c>
      <c r="O1020" s="32">
        <f>O1019/O1018</f>
        <v>1.449086956521739</v>
      </c>
      <c r="P1020" s="33" t="str">
        <f>IF(K1020&lt;50%,"x","")</f>
        <v/>
      </c>
      <c r="Q1020" s="33" t="str">
        <f>IF(K1020&gt;150%,"x","")</f>
        <v/>
      </c>
      <c r="R1020" s="33" t="str">
        <f>IF(O1020&lt;50%,"x","")</f>
        <v/>
      </c>
      <c r="S1020" s="33" t="str">
        <f>IF(O1020&gt;150%,"x","")</f>
        <v/>
      </c>
      <c r="T1020" s="33" t="s">
        <v>27</v>
      </c>
      <c r="U1020" s="34" t="s">
        <v>27</v>
      </c>
      <c r="V1020" s="35" t="s">
        <v>27</v>
      </c>
    </row>
    <row r="1021" spans="1:22" ht="18.600000000000001" customHeight="1" thickTop="1" x14ac:dyDescent="0.25">
      <c r="A1021" s="18" t="s">
        <v>470</v>
      </c>
      <c r="B1021" s="18" t="s">
        <v>945</v>
      </c>
      <c r="C1021" s="18" t="s">
        <v>744</v>
      </c>
      <c r="D1021" s="18" t="s">
        <v>26</v>
      </c>
      <c r="E1021" s="18" t="s">
        <v>555</v>
      </c>
      <c r="F1021" s="18" t="s">
        <v>780</v>
      </c>
      <c r="G1021" s="18" t="s">
        <v>29</v>
      </c>
      <c r="H1021" s="19">
        <v>2004</v>
      </c>
      <c r="I1021" s="18" t="s">
        <v>122</v>
      </c>
      <c r="J1021" s="101">
        <v>12</v>
      </c>
      <c r="K1021" s="20">
        <v>33.4</v>
      </c>
      <c r="L1021" s="21">
        <v>0.14448839999999999</v>
      </c>
      <c r="M1021" s="22" t="s">
        <v>30</v>
      </c>
      <c r="N1021" s="23">
        <v>0.14448839999999999</v>
      </c>
      <c r="O1021" s="24">
        <v>4.326E-3</v>
      </c>
      <c r="P1021" s="25" t="str">
        <f>IF(P1023="x","x","")</f>
        <v/>
      </c>
      <c r="Q1021" s="25" t="str">
        <f>IF(Q1023="x","x","")</f>
        <v/>
      </c>
      <c r="R1021" s="25" t="str">
        <f>IF(R1023="x","x","")</f>
        <v/>
      </c>
      <c r="S1021" s="25" t="str">
        <f>IF(S1023="x","x","")</f>
        <v/>
      </c>
      <c r="T1021" s="25" t="s">
        <v>27</v>
      </c>
      <c r="U1021" s="26"/>
      <c r="V1021" s="27"/>
    </row>
    <row r="1022" spans="1:22" ht="18.600000000000001" customHeight="1" x14ac:dyDescent="0.25">
      <c r="A1022" s="18" t="s">
        <v>470</v>
      </c>
      <c r="B1022" s="18" t="s">
        <v>945</v>
      </c>
      <c r="C1022" s="18" t="s">
        <v>744</v>
      </c>
      <c r="D1022" s="18" t="s">
        <v>26</v>
      </c>
      <c r="E1022" s="18" t="s">
        <v>555</v>
      </c>
      <c r="F1022" s="18" t="s">
        <v>780</v>
      </c>
      <c r="G1022" s="18" t="s">
        <v>32</v>
      </c>
      <c r="H1022" s="19">
        <v>2011</v>
      </c>
      <c r="I1022" s="18" t="s">
        <v>122</v>
      </c>
      <c r="J1022" s="101">
        <v>12</v>
      </c>
      <c r="K1022" s="20">
        <v>33.4</v>
      </c>
      <c r="L1022" s="21">
        <v>0.1892778</v>
      </c>
      <c r="M1022" s="22" t="s">
        <v>30</v>
      </c>
      <c r="N1022" s="23">
        <v>0.1892778</v>
      </c>
      <c r="O1022" s="24">
        <v>5.6670000000000002E-3</v>
      </c>
      <c r="P1022" s="25" t="str">
        <f>IF(P1023="x","x","")</f>
        <v/>
      </c>
      <c r="Q1022" s="25" t="str">
        <f>IF(Q1023="x","x","")</f>
        <v/>
      </c>
      <c r="R1022" s="25" t="str">
        <f>IF(R1023="x","x","")</f>
        <v/>
      </c>
      <c r="S1022" s="25" t="str">
        <f>IF(S1023="x","x","")</f>
        <v/>
      </c>
      <c r="T1022" s="25" t="s">
        <v>27</v>
      </c>
      <c r="U1022" s="26"/>
      <c r="V1022" s="27"/>
    </row>
    <row r="1023" spans="1:22" ht="18.600000000000001" customHeight="1" thickBot="1" x14ac:dyDescent="0.3">
      <c r="A1023" s="28" t="str">
        <f>A1022</f>
        <v>Lao PDR</v>
      </c>
      <c r="B1023" s="28" t="str">
        <f>B1022</f>
        <v>East Asia and Pacific</v>
      </c>
      <c r="C1023" s="28" t="str">
        <f>C1022</f>
        <v>P083543</v>
      </c>
      <c r="D1023" s="28" t="s">
        <v>26</v>
      </c>
      <c r="E1023" s="28" t="s">
        <v>27</v>
      </c>
      <c r="F1023" s="28" t="str">
        <f>F1022</f>
        <v>P083543C1S40</v>
      </c>
      <c r="G1023" s="28" t="s">
        <v>16</v>
      </c>
      <c r="H1023" s="29" t="str">
        <f>H1021&amp;" / "&amp;H1022</f>
        <v>2004 / 2011</v>
      </c>
      <c r="I1023" s="29" t="str">
        <f>I1022</f>
        <v>Gravel Resurfacing</v>
      </c>
      <c r="J1023" s="97">
        <f>IFERROR(J1022/J1021,"")</f>
        <v>1</v>
      </c>
      <c r="K1023" s="32">
        <f>K1022/K1021</f>
        <v>1</v>
      </c>
      <c r="L1023" s="32">
        <f>L1022/L1021</f>
        <v>1.30998613037448</v>
      </c>
      <c r="M1023" s="28"/>
      <c r="N1023" s="32">
        <f>N1022/N1021</f>
        <v>1.30998613037448</v>
      </c>
      <c r="O1023" s="32">
        <f>O1022/O1021</f>
        <v>1.30998613037448</v>
      </c>
      <c r="P1023" s="33" t="str">
        <f>IF(K1023&lt;50%,"x","")</f>
        <v/>
      </c>
      <c r="Q1023" s="33" t="str">
        <f>IF(K1023&gt;150%,"x","")</f>
        <v/>
      </c>
      <c r="R1023" s="33" t="str">
        <f>IF(O1023&lt;50%,"x","")</f>
        <v/>
      </c>
      <c r="S1023" s="33" t="str">
        <f>IF(O1023&gt;150%,"x","")</f>
        <v/>
      </c>
      <c r="T1023" s="33" t="s">
        <v>27</v>
      </c>
      <c r="U1023" s="34" t="s">
        <v>27</v>
      </c>
      <c r="V1023" s="35" t="s">
        <v>27</v>
      </c>
    </row>
    <row r="1024" spans="1:22" ht="18.600000000000001" customHeight="1" thickTop="1" x14ac:dyDescent="0.25">
      <c r="A1024" s="18" t="s">
        <v>470</v>
      </c>
      <c r="B1024" s="18" t="s">
        <v>945</v>
      </c>
      <c r="C1024" s="18" t="s">
        <v>744</v>
      </c>
      <c r="D1024" s="18" t="s">
        <v>26</v>
      </c>
      <c r="E1024" s="18" t="s">
        <v>141</v>
      </c>
      <c r="F1024" s="18" t="s">
        <v>781</v>
      </c>
      <c r="G1024" s="18" t="s">
        <v>29</v>
      </c>
      <c r="H1024" s="19">
        <v>2004</v>
      </c>
      <c r="I1024" s="18" t="s">
        <v>78</v>
      </c>
      <c r="J1024" s="101">
        <v>12</v>
      </c>
      <c r="K1024" s="20">
        <v>17</v>
      </c>
      <c r="L1024" s="21">
        <v>0.17</v>
      </c>
      <c r="M1024" s="22" t="s">
        <v>30</v>
      </c>
      <c r="N1024" s="23">
        <v>0.17</v>
      </c>
      <c r="O1024" s="24">
        <v>0.01</v>
      </c>
      <c r="P1024" s="25" t="str">
        <f>IF(P1026="x","x","")</f>
        <v/>
      </c>
      <c r="Q1024" s="25" t="str">
        <f>IF(Q1026="x","x","")</f>
        <v/>
      </c>
      <c r="R1024" s="25" t="str">
        <f>IF(R1026="x","x","")</f>
        <v/>
      </c>
      <c r="S1024" s="25" t="str">
        <f>IF(S1026="x","x","")</f>
        <v/>
      </c>
      <c r="T1024" s="25" t="s">
        <v>27</v>
      </c>
      <c r="U1024" s="26"/>
      <c r="V1024" s="27"/>
    </row>
    <row r="1025" spans="1:22" ht="18.600000000000001" customHeight="1" x14ac:dyDescent="0.25">
      <c r="A1025" s="18" t="s">
        <v>470</v>
      </c>
      <c r="B1025" s="18" t="s">
        <v>945</v>
      </c>
      <c r="C1025" s="18" t="s">
        <v>744</v>
      </c>
      <c r="D1025" s="18" t="s">
        <v>26</v>
      </c>
      <c r="E1025" s="18" t="s">
        <v>141</v>
      </c>
      <c r="F1025" s="18" t="s">
        <v>781</v>
      </c>
      <c r="G1025" s="18" t="s">
        <v>32</v>
      </c>
      <c r="H1025" s="19">
        <v>2011</v>
      </c>
      <c r="I1025" s="18" t="s">
        <v>78</v>
      </c>
      <c r="J1025" s="101">
        <v>12</v>
      </c>
      <c r="K1025" s="20">
        <v>17</v>
      </c>
      <c r="L1025" s="21">
        <v>0.17721700000000001</v>
      </c>
      <c r="M1025" s="22" t="s">
        <v>30</v>
      </c>
      <c r="N1025" s="23">
        <v>0.17721700000000001</v>
      </c>
      <c r="O1025" s="24">
        <v>1.0424529411764707E-2</v>
      </c>
      <c r="P1025" s="25" t="str">
        <f>IF(P1026="x","x","")</f>
        <v/>
      </c>
      <c r="Q1025" s="25" t="str">
        <f>IF(Q1026="x","x","")</f>
        <v/>
      </c>
      <c r="R1025" s="25" t="str">
        <f>IF(R1026="x","x","")</f>
        <v/>
      </c>
      <c r="S1025" s="25" t="str">
        <f>IF(S1026="x","x","")</f>
        <v/>
      </c>
      <c r="T1025" s="25" t="s">
        <v>27</v>
      </c>
      <c r="U1025" s="26"/>
      <c r="V1025" s="27"/>
    </row>
    <row r="1026" spans="1:22" ht="18.600000000000001" customHeight="1" thickBot="1" x14ac:dyDescent="0.3">
      <c r="A1026" s="28" t="str">
        <f>A1025</f>
        <v>Lao PDR</v>
      </c>
      <c r="B1026" s="28" t="str">
        <f>B1025</f>
        <v>East Asia and Pacific</v>
      </c>
      <c r="C1026" s="28" t="str">
        <f>C1025</f>
        <v>P083543</v>
      </c>
      <c r="D1026" s="28" t="s">
        <v>26</v>
      </c>
      <c r="E1026" s="28" t="s">
        <v>27</v>
      </c>
      <c r="F1026" s="28" t="str">
        <f>F1025</f>
        <v>P083543C1S5</v>
      </c>
      <c r="G1026" s="28" t="s">
        <v>16</v>
      </c>
      <c r="H1026" s="29" t="str">
        <f>H1024&amp;" / "&amp;H1025</f>
        <v>2004 / 2011</v>
      </c>
      <c r="I1026" s="29" t="str">
        <f>I1025</f>
        <v>Surface Treatment Resurfacing</v>
      </c>
      <c r="J1026" s="97">
        <f>IFERROR(J1025/J1024,"")</f>
        <v>1</v>
      </c>
      <c r="K1026" s="32">
        <f>K1025/K1024</f>
        <v>1</v>
      </c>
      <c r="L1026" s="32">
        <f>L1025/L1024</f>
        <v>1.0424529411764707</v>
      </c>
      <c r="M1026" s="28"/>
      <c r="N1026" s="32">
        <f>N1025/N1024</f>
        <v>1.0424529411764707</v>
      </c>
      <c r="O1026" s="32">
        <f>O1025/O1024</f>
        <v>1.0424529411764707</v>
      </c>
      <c r="P1026" s="33" t="str">
        <f>IF(K1026&lt;50%,"x","")</f>
        <v/>
      </c>
      <c r="Q1026" s="33" t="str">
        <f>IF(K1026&gt;150%,"x","")</f>
        <v/>
      </c>
      <c r="R1026" s="33" t="str">
        <f>IF(O1026&lt;50%,"x","")</f>
        <v/>
      </c>
      <c r="S1026" s="33" t="str">
        <f>IF(O1026&gt;150%,"x","")</f>
        <v/>
      </c>
      <c r="T1026" s="33" t="s">
        <v>27</v>
      </c>
      <c r="U1026" s="34" t="s">
        <v>27</v>
      </c>
      <c r="V1026" s="35" t="s">
        <v>27</v>
      </c>
    </row>
    <row r="1027" spans="1:22" ht="18.600000000000001" customHeight="1" thickTop="1" x14ac:dyDescent="0.25">
      <c r="A1027" s="18" t="s">
        <v>470</v>
      </c>
      <c r="B1027" s="18" t="s">
        <v>945</v>
      </c>
      <c r="C1027" s="18" t="s">
        <v>744</v>
      </c>
      <c r="D1027" s="18" t="s">
        <v>26</v>
      </c>
      <c r="E1027" s="18" t="s">
        <v>143</v>
      </c>
      <c r="F1027" s="18" t="s">
        <v>782</v>
      </c>
      <c r="G1027" s="18" t="s">
        <v>29</v>
      </c>
      <c r="H1027" s="19">
        <v>2004</v>
      </c>
      <c r="I1027" s="18" t="s">
        <v>68</v>
      </c>
      <c r="J1027" s="101">
        <v>12</v>
      </c>
      <c r="K1027" s="20">
        <v>8</v>
      </c>
      <c r="L1027" s="21">
        <v>0.16500000000000001</v>
      </c>
      <c r="M1027" s="22" t="s">
        <v>30</v>
      </c>
      <c r="N1027" s="23">
        <v>0.16500000000000001</v>
      </c>
      <c r="O1027" s="24">
        <v>2.0625000000000001E-2</v>
      </c>
      <c r="P1027" s="25" t="str">
        <f>IF(P1029="x","x","")</f>
        <v/>
      </c>
      <c r="Q1027" s="25" t="str">
        <f>IF(Q1029="x","x","")</f>
        <v/>
      </c>
      <c r="R1027" s="25" t="str">
        <f>IF(R1029="x","x","")</f>
        <v/>
      </c>
      <c r="S1027" s="25" t="str">
        <f>IF(S1029="x","x","")</f>
        <v/>
      </c>
      <c r="T1027" s="25" t="s">
        <v>27</v>
      </c>
      <c r="U1027" s="26"/>
      <c r="V1027" s="27"/>
    </row>
    <row r="1028" spans="1:22" ht="18.600000000000001" customHeight="1" x14ac:dyDescent="0.25">
      <c r="A1028" s="18" t="s">
        <v>470</v>
      </c>
      <c r="B1028" s="18" t="s">
        <v>945</v>
      </c>
      <c r="C1028" s="18" t="s">
        <v>744</v>
      </c>
      <c r="D1028" s="18" t="s">
        <v>26</v>
      </c>
      <c r="E1028" s="18" t="s">
        <v>143</v>
      </c>
      <c r="F1028" s="18" t="s">
        <v>782</v>
      </c>
      <c r="G1028" s="18" t="s">
        <v>32</v>
      </c>
      <c r="H1028" s="19">
        <v>2011</v>
      </c>
      <c r="I1028" s="18" t="s">
        <v>68</v>
      </c>
      <c r="J1028" s="101">
        <v>12</v>
      </c>
      <c r="K1028" s="20">
        <v>8</v>
      </c>
      <c r="L1028" s="21">
        <v>0.18324699999999999</v>
      </c>
      <c r="M1028" s="22" t="s">
        <v>30</v>
      </c>
      <c r="N1028" s="23">
        <v>0.18324699999999999</v>
      </c>
      <c r="O1028" s="24">
        <v>2.2905874999999999E-2</v>
      </c>
      <c r="P1028" s="25" t="str">
        <f>IF(P1029="x","x","")</f>
        <v/>
      </c>
      <c r="Q1028" s="25" t="str">
        <f>IF(Q1029="x","x","")</f>
        <v/>
      </c>
      <c r="R1028" s="25" t="str">
        <f>IF(R1029="x","x","")</f>
        <v/>
      </c>
      <c r="S1028" s="25" t="str">
        <f>IF(S1029="x","x","")</f>
        <v/>
      </c>
      <c r="T1028" s="25" t="s">
        <v>27</v>
      </c>
      <c r="U1028" s="26"/>
      <c r="V1028" s="27"/>
    </row>
    <row r="1029" spans="1:22" ht="18.600000000000001" customHeight="1" thickBot="1" x14ac:dyDescent="0.3">
      <c r="A1029" s="28" t="str">
        <f>A1028</f>
        <v>Lao PDR</v>
      </c>
      <c r="B1029" s="28" t="str">
        <f>B1028</f>
        <v>East Asia and Pacific</v>
      </c>
      <c r="C1029" s="28" t="str">
        <f>C1028</f>
        <v>P083543</v>
      </c>
      <c r="D1029" s="28" t="s">
        <v>26</v>
      </c>
      <c r="E1029" s="28" t="s">
        <v>27</v>
      </c>
      <c r="F1029" s="28" t="str">
        <f>F1028</f>
        <v>P083543C1S6</v>
      </c>
      <c r="G1029" s="28" t="s">
        <v>16</v>
      </c>
      <c r="H1029" s="29" t="str">
        <f>H1027&amp;" / "&amp;H1028</f>
        <v>2004 / 2011</v>
      </c>
      <c r="I1029" s="29" t="str">
        <f>I1028</f>
        <v>Asphalt Mix Resurfacing</v>
      </c>
      <c r="J1029" s="97">
        <f>IFERROR(J1028/J1027,"")</f>
        <v>1</v>
      </c>
      <c r="K1029" s="32">
        <f>K1028/K1027</f>
        <v>1</v>
      </c>
      <c r="L1029" s="32">
        <f>L1028/L1027</f>
        <v>1.1105878787878787</v>
      </c>
      <c r="M1029" s="28"/>
      <c r="N1029" s="32">
        <f>N1028/N1027</f>
        <v>1.1105878787878787</v>
      </c>
      <c r="O1029" s="32">
        <f>O1028/O1027</f>
        <v>1.1105878787878787</v>
      </c>
      <c r="P1029" s="33" t="str">
        <f>IF(K1029&lt;50%,"x","")</f>
        <v/>
      </c>
      <c r="Q1029" s="33" t="str">
        <f>IF(K1029&gt;150%,"x","")</f>
        <v/>
      </c>
      <c r="R1029" s="33" t="str">
        <f>IF(O1029&lt;50%,"x","")</f>
        <v/>
      </c>
      <c r="S1029" s="33" t="str">
        <f>IF(O1029&gt;150%,"x","")</f>
        <v/>
      </c>
      <c r="T1029" s="33" t="s">
        <v>27</v>
      </c>
      <c r="U1029" s="34" t="s">
        <v>27</v>
      </c>
      <c r="V1029" s="35" t="s">
        <v>27</v>
      </c>
    </row>
    <row r="1030" spans="1:22" ht="16.5" thickTop="1" x14ac:dyDescent="0.25">
      <c r="A1030" s="18" t="s">
        <v>470</v>
      </c>
      <c r="B1030" s="18" t="s">
        <v>945</v>
      </c>
      <c r="C1030" s="18" t="s">
        <v>744</v>
      </c>
      <c r="D1030" s="18" t="s">
        <v>26</v>
      </c>
      <c r="E1030" s="18" t="s">
        <v>245</v>
      </c>
      <c r="F1030" s="18" t="s">
        <v>783</v>
      </c>
      <c r="G1030" s="18" t="s">
        <v>29</v>
      </c>
      <c r="H1030" s="19">
        <v>2004</v>
      </c>
      <c r="I1030" s="18" t="s">
        <v>122</v>
      </c>
      <c r="J1030" s="101">
        <v>12</v>
      </c>
      <c r="K1030" s="20">
        <v>19</v>
      </c>
      <c r="L1030" s="21">
        <v>0.15</v>
      </c>
      <c r="M1030" s="22" t="s">
        <v>30</v>
      </c>
      <c r="N1030" s="23">
        <v>0.15</v>
      </c>
      <c r="O1030" s="24">
        <v>7.8947368421052634E-3</v>
      </c>
      <c r="P1030" s="25" t="str">
        <f>IF(P1032="x","x","")</f>
        <v/>
      </c>
      <c r="Q1030" s="25" t="str">
        <f>IF(Q1032="x","x","")</f>
        <v/>
      </c>
      <c r="R1030" s="25" t="str">
        <f>IF(R1032="x","x","")</f>
        <v/>
      </c>
      <c r="S1030" s="25" t="str">
        <f>IF(S1032="x","x","")</f>
        <v/>
      </c>
      <c r="T1030" s="25" t="s">
        <v>27</v>
      </c>
      <c r="U1030" s="26"/>
      <c r="V1030" s="27"/>
    </row>
    <row r="1031" spans="1:22" x14ac:dyDescent="0.25">
      <c r="A1031" s="18" t="s">
        <v>470</v>
      </c>
      <c r="B1031" s="18" t="s">
        <v>945</v>
      </c>
      <c r="C1031" s="18" t="s">
        <v>744</v>
      </c>
      <c r="D1031" s="18" t="s">
        <v>26</v>
      </c>
      <c r="E1031" s="18" t="s">
        <v>245</v>
      </c>
      <c r="F1031" s="18" t="s">
        <v>783</v>
      </c>
      <c r="G1031" s="18" t="s">
        <v>32</v>
      </c>
      <c r="H1031" s="19">
        <v>2011</v>
      </c>
      <c r="I1031" s="18" t="s">
        <v>122</v>
      </c>
      <c r="J1031" s="101">
        <v>12</v>
      </c>
      <c r="K1031" s="20">
        <v>19</v>
      </c>
      <c r="L1031" s="21">
        <v>0.113151</v>
      </c>
      <c r="M1031" s="22" t="s">
        <v>30</v>
      </c>
      <c r="N1031" s="23">
        <v>0.113151</v>
      </c>
      <c r="O1031" s="24">
        <v>5.9553157894736844E-3</v>
      </c>
      <c r="P1031" s="25" t="str">
        <f>IF(P1032="x","x","")</f>
        <v/>
      </c>
      <c r="Q1031" s="25" t="str">
        <f>IF(Q1032="x","x","")</f>
        <v/>
      </c>
      <c r="R1031" s="25" t="str">
        <f>IF(R1032="x","x","")</f>
        <v/>
      </c>
      <c r="S1031" s="25" t="str">
        <f>IF(S1032="x","x","")</f>
        <v/>
      </c>
      <c r="T1031" s="25" t="s">
        <v>27</v>
      </c>
      <c r="U1031" s="26"/>
      <c r="V1031" s="27"/>
    </row>
    <row r="1032" spans="1:22" ht="16.5" thickBot="1" x14ac:dyDescent="0.3">
      <c r="A1032" s="28" t="str">
        <f>A1031</f>
        <v>Lao PDR</v>
      </c>
      <c r="B1032" s="28" t="str">
        <f>B1031</f>
        <v>East Asia and Pacific</v>
      </c>
      <c r="C1032" s="28" t="str">
        <f>C1031</f>
        <v>P083543</v>
      </c>
      <c r="D1032" s="28" t="s">
        <v>26</v>
      </c>
      <c r="E1032" s="28" t="s">
        <v>27</v>
      </c>
      <c r="F1032" s="28" t="str">
        <f>F1031</f>
        <v>P083543C1S7</v>
      </c>
      <c r="G1032" s="28" t="s">
        <v>16</v>
      </c>
      <c r="H1032" s="29" t="str">
        <f>H1030&amp;" / "&amp;H1031</f>
        <v>2004 / 2011</v>
      </c>
      <c r="I1032" s="29" t="str">
        <f>I1031</f>
        <v>Gravel Resurfacing</v>
      </c>
      <c r="J1032" s="97">
        <f>IFERROR(J1031/J1030,"")</f>
        <v>1</v>
      </c>
      <c r="K1032" s="32">
        <f>K1031/K1030</f>
        <v>1</v>
      </c>
      <c r="L1032" s="32">
        <f>L1031/L1030</f>
        <v>0.75434000000000001</v>
      </c>
      <c r="M1032" s="28"/>
      <c r="N1032" s="32">
        <f>N1031/N1030</f>
        <v>0.75434000000000001</v>
      </c>
      <c r="O1032" s="32">
        <f>O1031/O1030</f>
        <v>0.75434000000000001</v>
      </c>
      <c r="P1032" s="33" t="str">
        <f>IF(K1032&lt;50%,"x","")</f>
        <v/>
      </c>
      <c r="Q1032" s="33" t="str">
        <f>IF(K1032&gt;150%,"x","")</f>
        <v/>
      </c>
      <c r="R1032" s="33" t="str">
        <f>IF(O1032&lt;50%,"x","")</f>
        <v/>
      </c>
      <c r="S1032" s="33" t="str">
        <f>IF(O1032&gt;150%,"x","")</f>
        <v/>
      </c>
      <c r="T1032" s="33" t="s">
        <v>27</v>
      </c>
      <c r="U1032" s="34" t="s">
        <v>27</v>
      </c>
      <c r="V1032" s="35" t="s">
        <v>27</v>
      </c>
    </row>
    <row r="1033" spans="1:22" ht="16.5" thickTop="1" x14ac:dyDescent="0.25">
      <c r="A1033" s="18" t="s">
        <v>470</v>
      </c>
      <c r="B1033" s="18" t="s">
        <v>945</v>
      </c>
      <c r="C1033" s="18" t="s">
        <v>744</v>
      </c>
      <c r="D1033" s="18" t="s">
        <v>26</v>
      </c>
      <c r="E1033" s="18" t="s">
        <v>247</v>
      </c>
      <c r="F1033" s="18" t="s">
        <v>784</v>
      </c>
      <c r="G1033" s="18" t="s">
        <v>29</v>
      </c>
      <c r="H1033" s="19">
        <v>2004</v>
      </c>
      <c r="I1033" s="18" t="s">
        <v>122</v>
      </c>
      <c r="J1033" s="101">
        <v>12</v>
      </c>
      <c r="K1033" s="20">
        <v>32</v>
      </c>
      <c r="L1033" s="21">
        <v>0.25</v>
      </c>
      <c r="M1033" s="22" t="s">
        <v>30</v>
      </c>
      <c r="N1033" s="23">
        <v>0.25</v>
      </c>
      <c r="O1033" s="24">
        <v>7.8125E-3</v>
      </c>
      <c r="P1033" s="25" t="str">
        <f>IF(P1035="x","x","")</f>
        <v/>
      </c>
      <c r="Q1033" s="25" t="str">
        <f>IF(Q1035="x","x","")</f>
        <v/>
      </c>
      <c r="R1033" s="25" t="str">
        <f>IF(R1035="x","x","")</f>
        <v/>
      </c>
      <c r="S1033" s="25" t="str">
        <f>IF(S1035="x","x","")</f>
        <v/>
      </c>
      <c r="T1033" s="25" t="s">
        <v>27</v>
      </c>
      <c r="U1033" s="26"/>
      <c r="V1033" s="27"/>
    </row>
    <row r="1034" spans="1:22" x14ac:dyDescent="0.25">
      <c r="A1034" s="18" t="s">
        <v>470</v>
      </c>
      <c r="B1034" s="18" t="s">
        <v>945</v>
      </c>
      <c r="C1034" s="18" t="s">
        <v>744</v>
      </c>
      <c r="D1034" s="18" t="s">
        <v>26</v>
      </c>
      <c r="E1034" s="18" t="s">
        <v>247</v>
      </c>
      <c r="F1034" s="18" t="s">
        <v>784</v>
      </c>
      <c r="G1034" s="18" t="s">
        <v>32</v>
      </c>
      <c r="H1034" s="19">
        <v>2011</v>
      </c>
      <c r="I1034" s="18" t="s">
        <v>122</v>
      </c>
      <c r="J1034" s="101">
        <v>12</v>
      </c>
      <c r="K1034" s="20">
        <v>32</v>
      </c>
      <c r="L1034" s="21">
        <v>0.217972</v>
      </c>
      <c r="M1034" s="22" t="s">
        <v>30</v>
      </c>
      <c r="N1034" s="23">
        <v>0.217972</v>
      </c>
      <c r="O1034" s="24">
        <v>6.811625E-3</v>
      </c>
      <c r="P1034" s="25" t="str">
        <f>IF(P1035="x","x","")</f>
        <v/>
      </c>
      <c r="Q1034" s="25" t="str">
        <f>IF(Q1035="x","x","")</f>
        <v/>
      </c>
      <c r="R1034" s="25" t="str">
        <f>IF(R1035="x","x","")</f>
        <v/>
      </c>
      <c r="S1034" s="25" t="str">
        <f>IF(S1035="x","x","")</f>
        <v/>
      </c>
      <c r="T1034" s="25" t="s">
        <v>27</v>
      </c>
      <c r="U1034" s="26"/>
      <c r="V1034" s="27"/>
    </row>
    <row r="1035" spans="1:22" ht="16.5" thickBot="1" x14ac:dyDescent="0.3">
      <c r="A1035" s="28" t="str">
        <f>A1034</f>
        <v>Lao PDR</v>
      </c>
      <c r="B1035" s="28" t="str">
        <f>B1034</f>
        <v>East Asia and Pacific</v>
      </c>
      <c r="C1035" s="28" t="str">
        <f>C1034</f>
        <v>P083543</v>
      </c>
      <c r="D1035" s="28" t="s">
        <v>26</v>
      </c>
      <c r="E1035" s="28" t="s">
        <v>27</v>
      </c>
      <c r="F1035" s="28" t="str">
        <f>F1034</f>
        <v>P083543C1S8</v>
      </c>
      <c r="G1035" s="28" t="s">
        <v>16</v>
      </c>
      <c r="H1035" s="29" t="str">
        <f>H1033&amp;" / "&amp;H1034</f>
        <v>2004 / 2011</v>
      </c>
      <c r="I1035" s="29" t="str">
        <f>I1034</f>
        <v>Gravel Resurfacing</v>
      </c>
      <c r="J1035" s="97">
        <f>IFERROR(J1034/J1033,"")</f>
        <v>1</v>
      </c>
      <c r="K1035" s="32">
        <f>K1034/K1033</f>
        <v>1</v>
      </c>
      <c r="L1035" s="32">
        <f>L1034/L1033</f>
        <v>0.871888</v>
      </c>
      <c r="M1035" s="28"/>
      <c r="N1035" s="32">
        <f>N1034/N1033</f>
        <v>0.871888</v>
      </c>
      <c r="O1035" s="32">
        <f>O1034/O1033</f>
        <v>0.871888</v>
      </c>
      <c r="P1035" s="33" t="str">
        <f>IF(K1035&lt;50%,"x","")</f>
        <v/>
      </c>
      <c r="Q1035" s="33" t="str">
        <f>IF(K1035&gt;150%,"x","")</f>
        <v/>
      </c>
      <c r="R1035" s="33" t="str">
        <f>IF(O1035&lt;50%,"x","")</f>
        <v/>
      </c>
      <c r="S1035" s="33" t="str">
        <f>IF(O1035&gt;150%,"x","")</f>
        <v/>
      </c>
      <c r="T1035" s="33" t="s">
        <v>27</v>
      </c>
      <c r="U1035" s="34" t="s">
        <v>27</v>
      </c>
      <c r="V1035" s="35" t="s">
        <v>27</v>
      </c>
    </row>
    <row r="1036" spans="1:22" ht="16.5" thickTop="1" x14ac:dyDescent="0.25">
      <c r="A1036" s="18" t="s">
        <v>470</v>
      </c>
      <c r="B1036" s="18" t="s">
        <v>945</v>
      </c>
      <c r="C1036" s="18" t="s">
        <v>744</v>
      </c>
      <c r="D1036" s="18" t="s">
        <v>26</v>
      </c>
      <c r="E1036" s="18" t="s">
        <v>249</v>
      </c>
      <c r="F1036" s="18" t="s">
        <v>785</v>
      </c>
      <c r="G1036" s="18" t="s">
        <v>29</v>
      </c>
      <c r="H1036" s="19">
        <v>2004</v>
      </c>
      <c r="I1036" s="18" t="s">
        <v>122</v>
      </c>
      <c r="J1036" s="101">
        <v>12</v>
      </c>
      <c r="K1036" s="20">
        <v>32</v>
      </c>
      <c r="L1036" s="21">
        <v>0.4</v>
      </c>
      <c r="M1036" s="22" t="s">
        <v>30</v>
      </c>
      <c r="N1036" s="23">
        <v>0.4</v>
      </c>
      <c r="O1036" s="24">
        <v>1.2500000000000001E-2</v>
      </c>
      <c r="P1036" s="25" t="str">
        <f>IF(P1038="x","x","")</f>
        <v/>
      </c>
      <c r="Q1036" s="25" t="str">
        <f>IF(Q1038="x","x","")</f>
        <v/>
      </c>
      <c r="R1036" s="25" t="str">
        <f>IF(R1038="x","x","")</f>
        <v/>
      </c>
      <c r="S1036" s="25" t="str">
        <f>IF(S1038="x","x","")</f>
        <v/>
      </c>
      <c r="T1036" s="25" t="s">
        <v>27</v>
      </c>
      <c r="U1036" s="26"/>
      <c r="V1036" s="27"/>
    </row>
    <row r="1037" spans="1:22" x14ac:dyDescent="0.25">
      <c r="A1037" s="18" t="s">
        <v>470</v>
      </c>
      <c r="B1037" s="18" t="s">
        <v>945</v>
      </c>
      <c r="C1037" s="18" t="s">
        <v>744</v>
      </c>
      <c r="D1037" s="18" t="s">
        <v>26</v>
      </c>
      <c r="E1037" s="18" t="s">
        <v>249</v>
      </c>
      <c r="F1037" s="18" t="s">
        <v>785</v>
      </c>
      <c r="G1037" s="18" t="s">
        <v>32</v>
      </c>
      <c r="H1037" s="19">
        <v>2011</v>
      </c>
      <c r="I1037" s="18" t="s">
        <v>122</v>
      </c>
      <c r="J1037" s="101">
        <v>12</v>
      </c>
      <c r="K1037" s="20">
        <v>32</v>
      </c>
      <c r="L1037" s="21">
        <v>0.40590199999999999</v>
      </c>
      <c r="M1037" s="22" t="s">
        <v>30</v>
      </c>
      <c r="N1037" s="23">
        <v>0.40590199999999999</v>
      </c>
      <c r="O1037" s="24">
        <v>1.26844375E-2</v>
      </c>
      <c r="P1037" s="25" t="str">
        <f>IF(P1038="x","x","")</f>
        <v/>
      </c>
      <c r="Q1037" s="25" t="str">
        <f>IF(Q1038="x","x","")</f>
        <v/>
      </c>
      <c r="R1037" s="25" t="str">
        <f>IF(R1038="x","x","")</f>
        <v/>
      </c>
      <c r="S1037" s="25" t="str">
        <f>IF(S1038="x","x","")</f>
        <v/>
      </c>
      <c r="T1037" s="25" t="s">
        <v>27</v>
      </c>
      <c r="U1037" s="26"/>
      <c r="V1037" s="27"/>
    </row>
    <row r="1038" spans="1:22" ht="16.5" thickBot="1" x14ac:dyDescent="0.3">
      <c r="A1038" s="28" t="str">
        <f>A1037</f>
        <v>Lao PDR</v>
      </c>
      <c r="B1038" s="28" t="str">
        <f>B1037</f>
        <v>East Asia and Pacific</v>
      </c>
      <c r="C1038" s="28" t="str">
        <f>C1037</f>
        <v>P083543</v>
      </c>
      <c r="D1038" s="28" t="s">
        <v>26</v>
      </c>
      <c r="E1038" s="28" t="s">
        <v>27</v>
      </c>
      <c r="F1038" s="28" t="str">
        <f>F1037</f>
        <v>P083543C1S9</v>
      </c>
      <c r="G1038" s="28" t="s">
        <v>16</v>
      </c>
      <c r="H1038" s="29" t="str">
        <f>H1036&amp;" / "&amp;H1037</f>
        <v>2004 / 2011</v>
      </c>
      <c r="I1038" s="29" t="str">
        <f>I1037</f>
        <v>Gravel Resurfacing</v>
      </c>
      <c r="J1038" s="97">
        <f>IFERROR(J1037/J1036,"")</f>
        <v>1</v>
      </c>
      <c r="K1038" s="32">
        <f>K1037/K1036</f>
        <v>1</v>
      </c>
      <c r="L1038" s="32">
        <f>L1037/L1036</f>
        <v>1.0147549999999999</v>
      </c>
      <c r="M1038" s="28"/>
      <c r="N1038" s="32">
        <f>N1037/N1036</f>
        <v>1.0147549999999999</v>
      </c>
      <c r="O1038" s="32">
        <f>O1037/O1036</f>
        <v>1.0147549999999999</v>
      </c>
      <c r="P1038" s="33" t="str">
        <f>IF(K1038&lt;50%,"x","")</f>
        <v/>
      </c>
      <c r="Q1038" s="33" t="str">
        <f>IF(K1038&gt;150%,"x","")</f>
        <v/>
      </c>
      <c r="R1038" s="33" t="str">
        <f>IF(O1038&lt;50%,"x","")</f>
        <v/>
      </c>
      <c r="S1038" s="33" t="str">
        <f>IF(O1038&gt;150%,"x","")</f>
        <v/>
      </c>
      <c r="T1038" s="33" t="s">
        <v>27</v>
      </c>
      <c r="U1038" s="34" t="s">
        <v>27</v>
      </c>
      <c r="V1038" s="35" t="s">
        <v>27</v>
      </c>
    </row>
    <row r="1039" spans="1:22" ht="16.5" thickTop="1" x14ac:dyDescent="0.25">
      <c r="A1039" s="18" t="s">
        <v>188</v>
      </c>
      <c r="B1039" s="18" t="s">
        <v>950</v>
      </c>
      <c r="C1039" s="18" t="s">
        <v>189</v>
      </c>
      <c r="D1039" s="18" t="s">
        <v>26</v>
      </c>
      <c r="E1039" s="18" t="s">
        <v>27</v>
      </c>
      <c r="F1039" s="18" t="s">
        <v>190</v>
      </c>
      <c r="G1039" s="18" t="s">
        <v>29</v>
      </c>
      <c r="H1039" s="19">
        <v>2006</v>
      </c>
      <c r="I1039" s="18" t="s">
        <v>38</v>
      </c>
      <c r="J1039" s="101" t="s">
        <v>27</v>
      </c>
      <c r="K1039" s="20">
        <v>53</v>
      </c>
      <c r="L1039" s="21">
        <v>21.25</v>
      </c>
      <c r="M1039" s="22" t="s">
        <v>30</v>
      </c>
      <c r="N1039" s="23">
        <v>21.25</v>
      </c>
      <c r="O1039" s="24">
        <v>0.40094339622641512</v>
      </c>
      <c r="P1039" s="25" t="str">
        <f>IF(P1041="x","x","")</f>
        <v/>
      </c>
      <c r="Q1039" s="25" t="str">
        <f>IF(Q1041="x","x","")</f>
        <v>x</v>
      </c>
      <c r="R1039" s="25" t="str">
        <f>IF(R1041="x","x","")</f>
        <v/>
      </c>
      <c r="S1039" s="25" t="str">
        <f>IF(S1041="x","x","")</f>
        <v/>
      </c>
      <c r="T1039" s="25" t="s">
        <v>31</v>
      </c>
      <c r="U1039" s="26"/>
      <c r="V1039" s="27"/>
    </row>
    <row r="1040" spans="1:22" x14ac:dyDescent="0.25">
      <c r="A1040" s="18" t="s">
        <v>188</v>
      </c>
      <c r="B1040" s="18" t="s">
        <v>950</v>
      </c>
      <c r="C1040" s="18" t="s">
        <v>189</v>
      </c>
      <c r="D1040" s="18" t="s">
        <v>26</v>
      </c>
      <c r="E1040" s="18" t="s">
        <v>27</v>
      </c>
      <c r="F1040" s="18" t="s">
        <v>190</v>
      </c>
      <c r="G1040" s="18" t="s">
        <v>32</v>
      </c>
      <c r="H1040" s="19">
        <v>2015</v>
      </c>
      <c r="I1040" s="18" t="s">
        <v>38</v>
      </c>
      <c r="J1040" s="101" t="s">
        <v>27</v>
      </c>
      <c r="K1040" s="20">
        <v>110</v>
      </c>
      <c r="L1040" s="21">
        <v>63.86</v>
      </c>
      <c r="M1040" s="22" t="s">
        <v>30</v>
      </c>
      <c r="N1040" s="23">
        <v>63.86</v>
      </c>
      <c r="O1040" s="24">
        <v>0.58054545454545459</v>
      </c>
      <c r="P1040" s="25" t="str">
        <f>IF(P1041="x","x","")</f>
        <v/>
      </c>
      <c r="Q1040" s="25" t="str">
        <f>IF(Q1041="x","x","")</f>
        <v>x</v>
      </c>
      <c r="R1040" s="25" t="str">
        <f>IF(R1041="x","x","")</f>
        <v/>
      </c>
      <c r="S1040" s="25" t="str">
        <f>IF(S1041="x","x","")</f>
        <v/>
      </c>
      <c r="T1040" s="25" t="s">
        <v>31</v>
      </c>
      <c r="U1040" s="26"/>
      <c r="V1040" s="27"/>
    </row>
    <row r="1041" spans="1:22" ht="63.75" thickBot="1" x14ac:dyDescent="0.3">
      <c r="A1041" s="28" t="str">
        <f>A1040</f>
        <v>Lesotho</v>
      </c>
      <c r="B1041" s="28" t="str">
        <f>B1040</f>
        <v>Sub-Saharan Africa</v>
      </c>
      <c r="C1041" s="28" t="str">
        <f>C1040</f>
        <v>P075566</v>
      </c>
      <c r="D1041" s="28" t="s">
        <v>26</v>
      </c>
      <c r="E1041" s="28" t="s">
        <v>27</v>
      </c>
      <c r="F1041" s="28" t="str">
        <f>F1040</f>
        <v>P075566C1</v>
      </c>
      <c r="G1041" s="28" t="s">
        <v>16</v>
      </c>
      <c r="H1041" s="29" t="str">
        <f>H1039&amp;" / "&amp;H1040</f>
        <v>2006 / 2015</v>
      </c>
      <c r="I1041" s="29" t="str">
        <f>I1040</f>
        <v>Strengthening</v>
      </c>
      <c r="J1041" s="97" t="str">
        <f>IFERROR(J1040/J1039,"")</f>
        <v/>
      </c>
      <c r="K1041" s="32">
        <f>K1040/K1039</f>
        <v>2.0754716981132075</v>
      </c>
      <c r="L1041" s="32">
        <f>L1040/L1039</f>
        <v>3.0051764705882351</v>
      </c>
      <c r="M1041" s="28"/>
      <c r="N1041" s="32">
        <f>N1040/N1039</f>
        <v>3.0051764705882351</v>
      </c>
      <c r="O1041" s="32">
        <f>O1040/O1039</f>
        <v>1.4479486631016043</v>
      </c>
      <c r="P1041" s="33" t="str">
        <f>IF(K1041&lt;50%,"x","")</f>
        <v/>
      </c>
      <c r="Q1041" s="33" t="str">
        <f>IF(K1041&gt;150%,"x","")</f>
        <v>x</v>
      </c>
      <c r="R1041" s="33" t="str">
        <f>IF(O1041&lt;50%,"x","")</f>
        <v/>
      </c>
      <c r="S1041" s="33" t="str">
        <f>IF(O1041&gt;150%,"x","")</f>
        <v/>
      </c>
      <c r="T1041" s="33" t="s">
        <v>31</v>
      </c>
      <c r="U1041" s="34" t="s">
        <v>988</v>
      </c>
      <c r="V1041" s="35" t="s">
        <v>1149</v>
      </c>
    </row>
    <row r="1042" spans="1:22" ht="16.5" thickTop="1" x14ac:dyDescent="0.25">
      <c r="A1042" s="18" t="s">
        <v>188</v>
      </c>
      <c r="B1042" s="18" t="s">
        <v>950</v>
      </c>
      <c r="C1042" s="18" t="s">
        <v>1251</v>
      </c>
      <c r="D1042" s="18" t="s">
        <v>26</v>
      </c>
      <c r="E1042" s="18" t="s">
        <v>27</v>
      </c>
      <c r="F1042" s="18" t="s">
        <v>1279</v>
      </c>
      <c r="G1042" s="18" t="s">
        <v>29</v>
      </c>
      <c r="H1042" s="19">
        <v>1985</v>
      </c>
      <c r="I1042" s="18" t="s">
        <v>387</v>
      </c>
      <c r="J1042" s="101">
        <v>24</v>
      </c>
      <c r="K1042" s="20">
        <v>22</v>
      </c>
      <c r="L1042" s="21">
        <v>13.293357000000002</v>
      </c>
      <c r="M1042" s="22" t="s">
        <v>1231</v>
      </c>
      <c r="N1042" s="23">
        <v>5.9664977558348298</v>
      </c>
      <c r="O1042" s="24">
        <v>0.2712044434470377</v>
      </c>
      <c r="P1042" s="25" t="s">
        <v>31</v>
      </c>
      <c r="Q1042" s="25" t="s">
        <v>27</v>
      </c>
      <c r="R1042" s="25" t="s">
        <v>31</v>
      </c>
      <c r="S1042" s="25"/>
      <c r="T1042" s="25"/>
      <c r="U1042" s="26"/>
      <c r="V1042" s="27"/>
    </row>
    <row r="1043" spans="1:22" x14ac:dyDescent="0.25">
      <c r="A1043" s="18" t="s">
        <v>188</v>
      </c>
      <c r="B1043" s="18" t="s">
        <v>950</v>
      </c>
      <c r="C1043" s="18" t="s">
        <v>1251</v>
      </c>
      <c r="D1043" s="18" t="s">
        <v>26</v>
      </c>
      <c r="E1043" s="18" t="s">
        <v>27</v>
      </c>
      <c r="F1043" s="18" t="s">
        <v>1279</v>
      </c>
      <c r="G1043" s="18" t="s">
        <v>32</v>
      </c>
      <c r="H1043" s="19">
        <v>1991</v>
      </c>
      <c r="I1043" s="18" t="s">
        <v>387</v>
      </c>
      <c r="J1043" s="101">
        <v>35</v>
      </c>
      <c r="K1043" s="20">
        <v>22</v>
      </c>
      <c r="L1043" s="21">
        <v>30.614378600000002</v>
      </c>
      <c r="M1043" s="22" t="s">
        <v>1231</v>
      </c>
      <c r="N1043" s="23">
        <v>11.088148714233974</v>
      </c>
      <c r="O1043" s="24">
        <v>0.50400675973790787</v>
      </c>
      <c r="P1043" s="25" t="s">
        <v>31</v>
      </c>
      <c r="Q1043" s="25" t="s">
        <v>27</v>
      </c>
      <c r="R1043" s="25" t="s">
        <v>31</v>
      </c>
      <c r="S1043" s="25"/>
      <c r="T1043" s="25"/>
      <c r="U1043" s="26"/>
      <c r="V1043" s="27"/>
    </row>
    <row r="1044" spans="1:22" ht="32.25" thickBot="1" x14ac:dyDescent="0.3">
      <c r="A1044" s="28" t="str">
        <f>A1043</f>
        <v>Lesotho</v>
      </c>
      <c r="B1044" s="28" t="str">
        <f>B1043</f>
        <v>Sub-Saharan Africa</v>
      </c>
      <c r="C1044" s="28" t="str">
        <f>C1043</f>
        <v xml:space="preserve">AfDB loan number: CS/LES/TR/86/18
</v>
      </c>
      <c r="D1044" s="28" t="s">
        <v>26</v>
      </c>
      <c r="E1044" s="28" t="s">
        <v>27</v>
      </c>
      <c r="F1044" s="28" t="str">
        <f>F1043</f>
        <v>AfDB loan number: CS/LES/TR/86/18
C1</v>
      </c>
      <c r="G1044" s="28" t="s">
        <v>16</v>
      </c>
      <c r="H1044" s="29" t="str">
        <f>H1042&amp;" / "&amp;H1043</f>
        <v>1985 / 1991</v>
      </c>
      <c r="I1044" s="29" t="str">
        <f>I1043</f>
        <v>Upgrading</v>
      </c>
      <c r="J1044" s="97">
        <f>IFERROR(J1043/J1042,"")</f>
        <v>1.4583333333333333</v>
      </c>
      <c r="K1044" s="32">
        <f>K1043/K1042</f>
        <v>1</v>
      </c>
      <c r="L1044" s="32">
        <f>L1043/L1042</f>
        <v>2.3029832569756454</v>
      </c>
      <c r="M1044" s="28"/>
      <c r="N1044" s="32">
        <f>N1043/N1042</f>
        <v>1.8584015561541973</v>
      </c>
      <c r="O1044" s="32">
        <f>O1043/O1042</f>
        <v>1.8584015561541973</v>
      </c>
      <c r="P1044" s="33" t="s">
        <v>31</v>
      </c>
      <c r="Q1044" s="33" t="s">
        <v>27</v>
      </c>
      <c r="R1044" s="33" t="s">
        <v>31</v>
      </c>
      <c r="S1044" s="33" t="s">
        <v>20</v>
      </c>
      <c r="T1044" s="33"/>
      <c r="U1044" s="34" t="s">
        <v>1342</v>
      </c>
      <c r="V1044" s="35" t="s">
        <v>27</v>
      </c>
    </row>
    <row r="1045" spans="1:22" ht="16.5" thickTop="1" x14ac:dyDescent="0.25">
      <c r="A1045" s="18" t="s">
        <v>188</v>
      </c>
      <c r="B1045" s="18" t="s">
        <v>950</v>
      </c>
      <c r="C1045" s="18" t="s">
        <v>1255</v>
      </c>
      <c r="D1045" s="18" t="s">
        <v>26</v>
      </c>
      <c r="E1045" s="18" t="s">
        <v>27</v>
      </c>
      <c r="F1045" s="18" t="s">
        <v>1282</v>
      </c>
      <c r="G1045" s="18" t="s">
        <v>29</v>
      </c>
      <c r="H1045" s="19">
        <v>1987</v>
      </c>
      <c r="I1045" s="18" t="s">
        <v>387</v>
      </c>
      <c r="J1045" s="101">
        <v>24</v>
      </c>
      <c r="K1045" s="20">
        <v>109</v>
      </c>
      <c r="L1045" s="21">
        <v>57.466151399999994</v>
      </c>
      <c r="M1045" s="22" t="s">
        <v>1231</v>
      </c>
      <c r="N1045" s="23">
        <v>28.225025245579566</v>
      </c>
      <c r="O1045" s="24">
        <v>0.25894518573926206</v>
      </c>
      <c r="P1045" s="25" t="s">
        <v>31</v>
      </c>
      <c r="Q1045" s="25" t="s">
        <v>27</v>
      </c>
      <c r="R1045" s="25" t="s">
        <v>31</v>
      </c>
      <c r="S1045" s="25"/>
      <c r="T1045" s="25"/>
      <c r="U1045" s="26"/>
      <c r="V1045" s="27"/>
    </row>
    <row r="1046" spans="1:22" x14ac:dyDescent="0.25">
      <c r="A1046" s="18" t="s">
        <v>188</v>
      </c>
      <c r="B1046" s="18" t="s">
        <v>950</v>
      </c>
      <c r="C1046" s="18" t="s">
        <v>1255</v>
      </c>
      <c r="D1046" s="18" t="s">
        <v>26</v>
      </c>
      <c r="E1046" s="18" t="s">
        <v>27</v>
      </c>
      <c r="F1046" s="18" t="s">
        <v>1282</v>
      </c>
      <c r="G1046" s="18" t="s">
        <v>32</v>
      </c>
      <c r="H1046" s="19">
        <v>1997</v>
      </c>
      <c r="I1046" s="18" t="s">
        <v>387</v>
      </c>
      <c r="J1046" s="101">
        <v>84</v>
      </c>
      <c r="K1046" s="20">
        <v>109</v>
      </c>
      <c r="L1046" s="21">
        <v>336.66472399999998</v>
      </c>
      <c r="M1046" s="22" t="s">
        <v>1231</v>
      </c>
      <c r="N1046" s="23">
        <v>73.076779683090948</v>
      </c>
      <c r="O1046" s="24">
        <v>0.67042917140450409</v>
      </c>
      <c r="P1046" s="25" t="s">
        <v>31</v>
      </c>
      <c r="Q1046" s="25" t="s">
        <v>27</v>
      </c>
      <c r="R1046" s="25" t="s">
        <v>31</v>
      </c>
      <c r="S1046" s="25"/>
      <c r="T1046" s="25"/>
      <c r="U1046" s="26"/>
      <c r="V1046" s="27"/>
    </row>
    <row r="1047" spans="1:22" ht="32.25" thickBot="1" x14ac:dyDescent="0.3">
      <c r="A1047" s="28" t="str">
        <f>A1046</f>
        <v>Lesotho</v>
      </c>
      <c r="B1047" s="28" t="str">
        <f>B1046</f>
        <v>Sub-Saharan Africa</v>
      </c>
      <c r="C1047" s="28" t="str">
        <f>C1046</f>
        <v xml:space="preserve">AfDB loan numbers: F/LES/TRA-ROD/87/20 &amp; F/LES/ROD/93/SUP/8
</v>
      </c>
      <c r="D1047" s="28" t="s">
        <v>26</v>
      </c>
      <c r="E1047" s="28" t="s">
        <v>27</v>
      </c>
      <c r="F1047" s="28" t="str">
        <f>F1046</f>
        <v>AfDB loan numbers: F/LES/TRA-ROD/87/20 &amp; F/LES/ROD/93/SUP/8
C1</v>
      </c>
      <c r="G1047" s="28" t="s">
        <v>16</v>
      </c>
      <c r="H1047" s="29" t="str">
        <f>H1045&amp;" / "&amp;H1046</f>
        <v>1987 / 1997</v>
      </c>
      <c r="I1047" s="29" t="str">
        <f>I1046</f>
        <v>Upgrading</v>
      </c>
      <c r="J1047" s="97">
        <f>IFERROR(J1046/J1045,"")</f>
        <v>3.5</v>
      </c>
      <c r="K1047" s="32">
        <f>K1046/K1045</f>
        <v>1</v>
      </c>
      <c r="L1047" s="32">
        <f>L1046/L1045</f>
        <v>5.8584874016811224</v>
      </c>
      <c r="M1047" s="28"/>
      <c r="N1047" s="32">
        <f>N1046/N1045</f>
        <v>2.5890775667077852</v>
      </c>
      <c r="O1047" s="32">
        <f>O1046/O1045</f>
        <v>2.5890775667077852</v>
      </c>
      <c r="P1047" s="33" t="s">
        <v>31</v>
      </c>
      <c r="Q1047" s="33" t="s">
        <v>27</v>
      </c>
      <c r="R1047" s="33" t="s">
        <v>31</v>
      </c>
      <c r="S1047" s="33" t="s">
        <v>1324</v>
      </c>
      <c r="T1047" s="33" t="s">
        <v>1331</v>
      </c>
      <c r="U1047" s="34" t="s">
        <v>1329</v>
      </c>
      <c r="V1047" s="35" t="s">
        <v>1332</v>
      </c>
    </row>
    <row r="1048" spans="1:22" ht="16.5" thickTop="1" x14ac:dyDescent="0.25">
      <c r="A1048" s="18" t="s">
        <v>292</v>
      </c>
      <c r="B1048" s="18" t="s">
        <v>947</v>
      </c>
      <c r="C1048" s="18" t="s">
        <v>293</v>
      </c>
      <c r="D1048" s="18" t="s">
        <v>26</v>
      </c>
      <c r="E1048" s="18" t="s">
        <v>27</v>
      </c>
      <c r="F1048" s="18" t="s">
        <v>294</v>
      </c>
      <c r="G1048" s="18" t="s">
        <v>29</v>
      </c>
      <c r="H1048" s="19">
        <v>2007</v>
      </c>
      <c r="I1048" s="18" t="s">
        <v>56</v>
      </c>
      <c r="J1048" s="101">
        <v>26</v>
      </c>
      <c r="K1048" s="20">
        <v>7.3</v>
      </c>
      <c r="L1048" s="21">
        <v>13.11</v>
      </c>
      <c r="M1048" s="22" t="s">
        <v>30</v>
      </c>
      <c r="N1048" s="23">
        <v>13.11</v>
      </c>
      <c r="O1048" s="24">
        <v>1.795890410958904</v>
      </c>
      <c r="P1048" s="25" t="str">
        <f>IF(P1050="x","x","")</f>
        <v/>
      </c>
      <c r="Q1048" s="25" t="str">
        <f>IF(Q1050="x","x","")</f>
        <v/>
      </c>
      <c r="R1048" s="25" t="str">
        <f>IF(R1050="x","x","")</f>
        <v/>
      </c>
      <c r="S1048" s="25" t="str">
        <f>IF(S1050="x","x","")</f>
        <v/>
      </c>
      <c r="T1048" s="25" t="s">
        <v>27</v>
      </c>
      <c r="U1048" s="26"/>
      <c r="V1048" s="27"/>
    </row>
    <row r="1049" spans="1:22" x14ac:dyDescent="0.25">
      <c r="A1049" s="18" t="s">
        <v>292</v>
      </c>
      <c r="B1049" s="18" t="s">
        <v>947</v>
      </c>
      <c r="C1049" s="18" t="s">
        <v>293</v>
      </c>
      <c r="D1049" s="18" t="s">
        <v>26</v>
      </c>
      <c r="E1049" s="18" t="s">
        <v>27</v>
      </c>
      <c r="F1049" s="18" t="s">
        <v>294</v>
      </c>
      <c r="G1049" s="18" t="s">
        <v>32</v>
      </c>
      <c r="H1049" s="19">
        <v>2012</v>
      </c>
      <c r="I1049" s="18" t="s">
        <v>56</v>
      </c>
      <c r="J1049" s="101">
        <v>33</v>
      </c>
      <c r="K1049" s="20">
        <v>7.3</v>
      </c>
      <c r="L1049" s="21">
        <v>18.149999999999999</v>
      </c>
      <c r="M1049" s="22" t="s">
        <v>30</v>
      </c>
      <c r="N1049" s="23">
        <v>18.149999999999999</v>
      </c>
      <c r="O1049" s="24">
        <v>2.4863013698630136</v>
      </c>
      <c r="P1049" s="25" t="str">
        <f>IF(P1050="x","x","")</f>
        <v/>
      </c>
      <c r="Q1049" s="25" t="str">
        <f>IF(Q1050="x","x","")</f>
        <v/>
      </c>
      <c r="R1049" s="25" t="str">
        <f>IF(R1050="x","x","")</f>
        <v/>
      </c>
      <c r="S1049" s="25" t="str">
        <f>IF(S1050="x","x","")</f>
        <v/>
      </c>
      <c r="T1049" s="25" t="s">
        <v>27</v>
      </c>
      <c r="U1049" s="26"/>
      <c r="V1049" s="27"/>
    </row>
    <row r="1050" spans="1:22" ht="16.5" thickBot="1" x14ac:dyDescent="0.3">
      <c r="A1050" s="28" t="str">
        <f>A1049</f>
        <v>Macedonia, FYR</v>
      </c>
      <c r="B1050" s="28" t="str">
        <f>B1049</f>
        <v>Europe and Central Asia</v>
      </c>
      <c r="C1050" s="28" t="str">
        <f>C1049</f>
        <v>P091723</v>
      </c>
      <c r="D1050" s="28" t="s">
        <v>26</v>
      </c>
      <c r="E1050" s="28" t="s">
        <v>27</v>
      </c>
      <c r="F1050" s="28" t="str">
        <f>F1049</f>
        <v>P091723C1</v>
      </c>
      <c r="G1050" s="28" t="s">
        <v>16</v>
      </c>
      <c r="H1050" s="29" t="str">
        <f>H1048&amp;" / "&amp;H1049</f>
        <v>2007 / 2012</v>
      </c>
      <c r="I1050" s="29" t="str">
        <f>I1049</f>
        <v>Widening</v>
      </c>
      <c r="J1050" s="97">
        <f>IFERROR(J1049/J1048,"")</f>
        <v>1.2692307692307692</v>
      </c>
      <c r="K1050" s="32">
        <f>K1049/K1048</f>
        <v>1</v>
      </c>
      <c r="L1050" s="32">
        <f>L1049/L1048</f>
        <v>1.3844393592677344</v>
      </c>
      <c r="M1050" s="28"/>
      <c r="N1050" s="32">
        <f>N1049/N1048</f>
        <v>1.3844393592677344</v>
      </c>
      <c r="O1050" s="32">
        <f>O1049/O1048</f>
        <v>1.3844393592677346</v>
      </c>
      <c r="P1050" s="33" t="str">
        <f>IF(K1050&lt;50%,"x","")</f>
        <v/>
      </c>
      <c r="Q1050" s="33" t="str">
        <f>IF(K1050&gt;150%,"x","")</f>
        <v/>
      </c>
      <c r="R1050" s="33" t="str">
        <f>IF(O1050&lt;50%,"x","")</f>
        <v/>
      </c>
      <c r="S1050" s="33" t="str">
        <f>IF(O1050&gt;150%,"x","")</f>
        <v/>
      </c>
      <c r="T1050" s="33" t="s">
        <v>27</v>
      </c>
      <c r="U1050" s="34" t="s">
        <v>27</v>
      </c>
      <c r="V1050" s="35" t="s">
        <v>27</v>
      </c>
    </row>
    <row r="1051" spans="1:22" ht="16.5" thickTop="1" x14ac:dyDescent="0.25">
      <c r="A1051" s="18" t="s">
        <v>292</v>
      </c>
      <c r="B1051" s="18" t="s">
        <v>947</v>
      </c>
      <c r="C1051" s="18" t="s">
        <v>890</v>
      </c>
      <c r="D1051" s="18" t="s">
        <v>26</v>
      </c>
      <c r="E1051" s="18" t="s">
        <v>36</v>
      </c>
      <c r="F1051" s="18" t="s">
        <v>891</v>
      </c>
      <c r="G1051" s="18" t="s">
        <v>29</v>
      </c>
      <c r="H1051" s="19">
        <v>2008</v>
      </c>
      <c r="I1051" s="18" t="s">
        <v>359</v>
      </c>
      <c r="J1051" s="101" t="s">
        <v>27</v>
      </c>
      <c r="K1051" s="20">
        <v>15.2</v>
      </c>
      <c r="L1051" s="21">
        <v>1.38</v>
      </c>
      <c r="M1051" s="22" t="s">
        <v>869</v>
      </c>
      <c r="N1051" s="23">
        <v>2.0909090909090908</v>
      </c>
      <c r="O1051" s="24">
        <v>0.13755980861244019</v>
      </c>
      <c r="P1051" s="25" t="str">
        <f>IF(P1053="x","x","")</f>
        <v/>
      </c>
      <c r="Q1051" s="25" t="str">
        <f>IF(Q1053="x","x","")</f>
        <v/>
      </c>
      <c r="R1051" s="25" t="str">
        <f>IF(R1053="x","x","")</f>
        <v/>
      </c>
      <c r="S1051" s="25" t="str">
        <f>IF(S1053="x","x","")</f>
        <v/>
      </c>
      <c r="T1051" s="25" t="s">
        <v>27</v>
      </c>
      <c r="U1051" s="26"/>
      <c r="V1051" s="27"/>
    </row>
    <row r="1052" spans="1:22" x14ac:dyDescent="0.25">
      <c r="A1052" s="18" t="s">
        <v>292</v>
      </c>
      <c r="B1052" s="18" t="s">
        <v>947</v>
      </c>
      <c r="C1052" s="18" t="s">
        <v>890</v>
      </c>
      <c r="D1052" s="18" t="s">
        <v>26</v>
      </c>
      <c r="E1052" s="18" t="s">
        <v>36</v>
      </c>
      <c r="F1052" s="18" t="s">
        <v>891</v>
      </c>
      <c r="G1052" s="18" t="s">
        <v>32</v>
      </c>
      <c r="H1052" s="19">
        <v>2016</v>
      </c>
      <c r="I1052" s="18" t="s">
        <v>359</v>
      </c>
      <c r="J1052" s="101">
        <v>25</v>
      </c>
      <c r="K1052" s="20">
        <v>19.100000000000001</v>
      </c>
      <c r="L1052" s="21">
        <v>1.67</v>
      </c>
      <c r="M1052" s="22" t="s">
        <v>869</v>
      </c>
      <c r="N1052" s="23">
        <v>2.5097714285714283</v>
      </c>
      <c r="O1052" s="24">
        <v>0.13140164547494387</v>
      </c>
      <c r="P1052" s="25" t="str">
        <f>IF(P1053="x","x","")</f>
        <v/>
      </c>
      <c r="Q1052" s="25" t="str">
        <f>IF(Q1053="x","x","")</f>
        <v/>
      </c>
      <c r="R1052" s="25" t="str">
        <f>IF(R1053="x","x","")</f>
        <v/>
      </c>
      <c r="S1052" s="25" t="str">
        <f>IF(S1053="x","x","")</f>
        <v/>
      </c>
      <c r="T1052" s="25" t="s">
        <v>27</v>
      </c>
      <c r="U1052" s="26"/>
      <c r="V1052" s="27"/>
    </row>
    <row r="1053" spans="1:22" ht="205.5" thickBot="1" x14ac:dyDescent="0.3">
      <c r="A1053" s="28" t="str">
        <f>A1052</f>
        <v>Macedonia, FYR</v>
      </c>
      <c r="B1053" s="28" t="str">
        <f>B1052</f>
        <v>Europe and Central Asia</v>
      </c>
      <c r="C1053" s="28" t="str">
        <f>C1052</f>
        <v>P107840</v>
      </c>
      <c r="D1053" s="28" t="s">
        <v>26</v>
      </c>
      <c r="E1053" s="28" t="s">
        <v>27</v>
      </c>
      <c r="F1053" s="28" t="str">
        <f>F1052</f>
        <v>P107840C1S1</v>
      </c>
      <c r="G1053" s="28" t="s">
        <v>16</v>
      </c>
      <c r="H1053" s="29" t="str">
        <f>H1051&amp;" / "&amp;H1052</f>
        <v>2008 / 2016</v>
      </c>
      <c r="I1053" s="29" t="str">
        <f>I1052</f>
        <v>Reconstruction</v>
      </c>
      <c r="J1053" s="97" t="str">
        <f>IFERROR(J1052/J1051,"")</f>
        <v/>
      </c>
      <c r="K1053" s="32">
        <f>K1052/K1051</f>
        <v>1.2565789473684212</v>
      </c>
      <c r="L1053" s="32">
        <f>L1052/L1051</f>
        <v>1.2101449275362319</v>
      </c>
      <c r="M1053" s="28"/>
      <c r="N1053" s="32">
        <f>N1052/N1051</f>
        <v>1.2003254658385092</v>
      </c>
      <c r="O1053" s="32">
        <f>O1052/O1051</f>
        <v>0.95523283145263549</v>
      </c>
      <c r="P1053" s="33" t="str">
        <f>IF(K1053&lt;50%,"x","")</f>
        <v/>
      </c>
      <c r="Q1053" s="33" t="str">
        <f>IF(K1053&gt;150%,"x","")</f>
        <v/>
      </c>
      <c r="R1053" s="33" t="str">
        <f>IF(O1053&lt;50%,"x","")</f>
        <v/>
      </c>
      <c r="S1053" s="33" t="str">
        <f>IF(O1053&gt;150%,"x","")</f>
        <v/>
      </c>
      <c r="T1053" s="33" t="s">
        <v>27</v>
      </c>
      <c r="U1053" s="34" t="s">
        <v>1089</v>
      </c>
      <c r="V1053" s="35" t="s">
        <v>1090</v>
      </c>
    </row>
    <row r="1054" spans="1:22" ht="16.5" thickTop="1" x14ac:dyDescent="0.25">
      <c r="A1054" s="18" t="s">
        <v>292</v>
      </c>
      <c r="B1054" s="18" t="s">
        <v>947</v>
      </c>
      <c r="C1054" s="18" t="s">
        <v>890</v>
      </c>
      <c r="D1054" s="18" t="s">
        <v>26</v>
      </c>
      <c r="E1054" s="18" t="s">
        <v>234</v>
      </c>
      <c r="F1054" s="18" t="s">
        <v>893</v>
      </c>
      <c r="G1054" s="18" t="s">
        <v>29</v>
      </c>
      <c r="H1054" s="19">
        <v>2008</v>
      </c>
      <c r="I1054" s="18" t="s">
        <v>359</v>
      </c>
      <c r="J1054" s="101" t="s">
        <v>27</v>
      </c>
      <c r="K1054" s="20">
        <v>18.100000000000001</v>
      </c>
      <c r="L1054" s="21">
        <v>1.65</v>
      </c>
      <c r="M1054" s="22" t="s">
        <v>869</v>
      </c>
      <c r="N1054" s="23">
        <v>2.4999999999999996</v>
      </c>
      <c r="O1054" s="24">
        <v>0.13812154696132592</v>
      </c>
      <c r="P1054" s="25" t="str">
        <f>IF(P1056="x","x","")</f>
        <v/>
      </c>
      <c r="Q1054" s="25" t="str">
        <f>IF(Q1056="x","x","")</f>
        <v/>
      </c>
      <c r="R1054" s="25" t="str">
        <f>IF(R1056="x","x","")</f>
        <v/>
      </c>
      <c r="S1054" s="25" t="str">
        <f>IF(S1056="x","x","")</f>
        <v/>
      </c>
      <c r="T1054" s="25" t="s">
        <v>27</v>
      </c>
      <c r="U1054" s="26"/>
      <c r="V1054" s="27"/>
    </row>
    <row r="1055" spans="1:22" x14ac:dyDescent="0.25">
      <c r="A1055" s="18" t="s">
        <v>292</v>
      </c>
      <c r="B1055" s="18" t="s">
        <v>947</v>
      </c>
      <c r="C1055" s="18" t="s">
        <v>890</v>
      </c>
      <c r="D1055" s="18" t="s">
        <v>26</v>
      </c>
      <c r="E1055" s="18" t="s">
        <v>234</v>
      </c>
      <c r="F1055" s="18" t="s">
        <v>893</v>
      </c>
      <c r="G1055" s="18" t="s">
        <v>32</v>
      </c>
      <c r="H1055" s="19">
        <v>2016</v>
      </c>
      <c r="I1055" s="18" t="s">
        <v>359</v>
      </c>
      <c r="J1055" s="101">
        <v>20</v>
      </c>
      <c r="K1055" s="20">
        <v>13.2</v>
      </c>
      <c r="L1055" s="21">
        <v>1.47</v>
      </c>
      <c r="M1055" s="22" t="s">
        <v>869</v>
      </c>
      <c r="N1055" s="23">
        <v>2.2092000000000001</v>
      </c>
      <c r="O1055" s="24">
        <v>0.16736363636363638</v>
      </c>
      <c r="P1055" s="25" t="str">
        <f>IF(P1056="x","x","")</f>
        <v/>
      </c>
      <c r="Q1055" s="25" t="str">
        <f>IF(Q1056="x","x","")</f>
        <v/>
      </c>
      <c r="R1055" s="25" t="str">
        <f>IF(R1056="x","x","")</f>
        <v/>
      </c>
      <c r="S1055" s="25" t="str">
        <f>IF(S1056="x","x","")</f>
        <v/>
      </c>
      <c r="T1055" s="25" t="s">
        <v>27</v>
      </c>
      <c r="U1055" s="26"/>
      <c r="V1055" s="27"/>
    </row>
    <row r="1056" spans="1:22" ht="63.75" thickBot="1" x14ac:dyDescent="0.3">
      <c r="A1056" s="28" t="str">
        <f>A1055</f>
        <v>Macedonia, FYR</v>
      </c>
      <c r="B1056" s="28" t="str">
        <f>B1055</f>
        <v>Europe and Central Asia</v>
      </c>
      <c r="C1056" s="28" t="str">
        <f>C1055</f>
        <v>P107840</v>
      </c>
      <c r="D1056" s="28" t="s">
        <v>26</v>
      </c>
      <c r="E1056" s="28" t="s">
        <v>27</v>
      </c>
      <c r="F1056" s="28" t="str">
        <f>F1055</f>
        <v>P107840C1S10</v>
      </c>
      <c r="G1056" s="28" t="s">
        <v>16</v>
      </c>
      <c r="H1056" s="29" t="str">
        <f>H1054&amp;" / "&amp;H1055</f>
        <v>2008 / 2016</v>
      </c>
      <c r="I1056" s="29" t="str">
        <f>I1055</f>
        <v>Reconstruction</v>
      </c>
      <c r="J1056" s="97" t="str">
        <f>IFERROR(J1055/J1054,"")</f>
        <v/>
      </c>
      <c r="K1056" s="32">
        <f>K1055/K1054</f>
        <v>0.72928176795580102</v>
      </c>
      <c r="L1056" s="32">
        <f>L1055/L1054</f>
        <v>0.89090909090909098</v>
      </c>
      <c r="M1056" s="28"/>
      <c r="N1056" s="32">
        <f>N1055/N1054</f>
        <v>0.88368000000000013</v>
      </c>
      <c r="O1056" s="32">
        <f>O1055/O1054</f>
        <v>1.2117127272727277</v>
      </c>
      <c r="P1056" s="33" t="str">
        <f>IF(K1056&lt;50%,"x","")</f>
        <v/>
      </c>
      <c r="Q1056" s="33" t="str">
        <f>IF(K1056&gt;150%,"x","")</f>
        <v/>
      </c>
      <c r="R1056" s="33" t="str">
        <f>IF(O1056&lt;50%,"x","")</f>
        <v/>
      </c>
      <c r="S1056" s="33" t="str">
        <f>IF(O1056&gt;150%,"x","")</f>
        <v/>
      </c>
      <c r="T1056" s="33" t="s">
        <v>27</v>
      </c>
      <c r="U1056" s="34" t="s">
        <v>1091</v>
      </c>
      <c r="V1056" s="35" t="s">
        <v>1092</v>
      </c>
    </row>
    <row r="1057" spans="1:22" ht="16.5" thickTop="1" x14ac:dyDescent="0.25">
      <c r="A1057" s="18" t="s">
        <v>292</v>
      </c>
      <c r="B1057" s="18" t="s">
        <v>947</v>
      </c>
      <c r="C1057" s="18" t="s">
        <v>890</v>
      </c>
      <c r="D1057" s="18" t="s">
        <v>26</v>
      </c>
      <c r="E1057" s="18" t="s">
        <v>236</v>
      </c>
      <c r="F1057" s="18" t="s">
        <v>894</v>
      </c>
      <c r="G1057" s="18" t="s">
        <v>29</v>
      </c>
      <c r="H1057" s="19">
        <v>2008</v>
      </c>
      <c r="I1057" s="18" t="s">
        <v>359</v>
      </c>
      <c r="J1057" s="101" t="s">
        <v>27</v>
      </c>
      <c r="K1057" s="20">
        <v>28.1</v>
      </c>
      <c r="L1057" s="21">
        <v>2.74</v>
      </c>
      <c r="M1057" s="22" t="s">
        <v>869</v>
      </c>
      <c r="N1057" s="23">
        <v>4.1515151515151514</v>
      </c>
      <c r="O1057" s="24">
        <v>0.14774075272295911</v>
      </c>
      <c r="P1057" s="25" t="str">
        <f>IF(P1059="x","x","")</f>
        <v/>
      </c>
      <c r="Q1057" s="25" t="str">
        <f>IF(Q1059="x","x","")</f>
        <v/>
      </c>
      <c r="R1057" s="25" t="str">
        <f>IF(R1059="x","x","")</f>
        <v/>
      </c>
      <c r="S1057" s="25" t="str">
        <f>IF(S1059="x","x","")</f>
        <v/>
      </c>
      <c r="T1057" s="25" t="s">
        <v>27</v>
      </c>
      <c r="U1057" s="26"/>
      <c r="V1057" s="27"/>
    </row>
    <row r="1058" spans="1:22" x14ac:dyDescent="0.25">
      <c r="A1058" s="18" t="s">
        <v>292</v>
      </c>
      <c r="B1058" s="18" t="s">
        <v>947</v>
      </c>
      <c r="C1058" s="18" t="s">
        <v>890</v>
      </c>
      <c r="D1058" s="18" t="s">
        <v>26</v>
      </c>
      <c r="E1058" s="18" t="s">
        <v>236</v>
      </c>
      <c r="F1058" s="18" t="s">
        <v>894</v>
      </c>
      <c r="G1058" s="18" t="s">
        <v>32</v>
      </c>
      <c r="H1058" s="19">
        <v>2016</v>
      </c>
      <c r="I1058" s="18" t="s">
        <v>359</v>
      </c>
      <c r="J1058" s="101">
        <v>25</v>
      </c>
      <c r="K1058" s="20">
        <v>24.4</v>
      </c>
      <c r="L1058" s="21">
        <v>2.17</v>
      </c>
      <c r="M1058" s="22" t="s">
        <v>869</v>
      </c>
      <c r="N1058" s="23">
        <v>3.2611999999999997</v>
      </c>
      <c r="O1058" s="24">
        <v>0.13365573770491804</v>
      </c>
      <c r="P1058" s="25" t="str">
        <f>IF(P1059="x","x","")</f>
        <v/>
      </c>
      <c r="Q1058" s="25" t="str">
        <f>IF(Q1059="x","x","")</f>
        <v/>
      </c>
      <c r="R1058" s="25" t="str">
        <f>IF(R1059="x","x","")</f>
        <v/>
      </c>
      <c r="S1058" s="25" t="str">
        <f>IF(S1059="x","x","")</f>
        <v/>
      </c>
      <c r="T1058" s="25" t="s">
        <v>27</v>
      </c>
      <c r="U1058" s="26"/>
      <c r="V1058" s="27"/>
    </row>
    <row r="1059" spans="1:22" ht="252.75" thickBot="1" x14ac:dyDescent="0.3">
      <c r="A1059" s="28" t="str">
        <f>A1058</f>
        <v>Macedonia, FYR</v>
      </c>
      <c r="B1059" s="28" t="str">
        <f>B1058</f>
        <v>Europe and Central Asia</v>
      </c>
      <c r="C1059" s="28" t="str">
        <f>C1058</f>
        <v>P107840</v>
      </c>
      <c r="D1059" s="28" t="s">
        <v>26</v>
      </c>
      <c r="E1059" s="28" t="s">
        <v>27</v>
      </c>
      <c r="F1059" s="28" t="str">
        <f>F1058</f>
        <v>P107840C1S11</v>
      </c>
      <c r="G1059" s="28" t="s">
        <v>16</v>
      </c>
      <c r="H1059" s="29" t="str">
        <f>H1057&amp;" / "&amp;H1058</f>
        <v>2008 / 2016</v>
      </c>
      <c r="I1059" s="29" t="str">
        <f>I1058</f>
        <v>Reconstruction</v>
      </c>
      <c r="J1059" s="97" t="str">
        <f>IFERROR(J1058/J1057,"")</f>
        <v/>
      </c>
      <c r="K1059" s="32">
        <f>K1058/K1057</f>
        <v>0.86832740213523119</v>
      </c>
      <c r="L1059" s="32">
        <f>L1058/L1057</f>
        <v>0.79197080291970789</v>
      </c>
      <c r="M1059" s="28"/>
      <c r="N1059" s="32">
        <f>N1058/N1057</f>
        <v>0.78554452554744525</v>
      </c>
      <c r="O1059" s="32">
        <f>O1058/O1057</f>
        <v>0.90466398229029565</v>
      </c>
      <c r="P1059" s="33" t="str">
        <f>IF(K1059&lt;50%,"x","")</f>
        <v/>
      </c>
      <c r="Q1059" s="33" t="str">
        <f>IF(K1059&gt;150%,"x","")</f>
        <v/>
      </c>
      <c r="R1059" s="33" t="str">
        <f>IF(O1059&lt;50%,"x","")</f>
        <v/>
      </c>
      <c r="S1059" s="33" t="str">
        <f>IF(O1059&gt;150%,"x","")</f>
        <v/>
      </c>
      <c r="T1059" s="33" t="s">
        <v>27</v>
      </c>
      <c r="U1059" s="34" t="s">
        <v>1093</v>
      </c>
      <c r="V1059" s="35" t="s">
        <v>1094</v>
      </c>
    </row>
    <row r="1060" spans="1:22" ht="16.5" thickTop="1" x14ac:dyDescent="0.25">
      <c r="A1060" s="18" t="s">
        <v>292</v>
      </c>
      <c r="B1060" s="18" t="s">
        <v>947</v>
      </c>
      <c r="C1060" s="18" t="s">
        <v>890</v>
      </c>
      <c r="D1060" s="18" t="s">
        <v>26</v>
      </c>
      <c r="E1060" s="18" t="s">
        <v>40</v>
      </c>
      <c r="F1060" s="18" t="s">
        <v>895</v>
      </c>
      <c r="G1060" s="18" t="s">
        <v>29</v>
      </c>
      <c r="H1060" s="19">
        <v>2008</v>
      </c>
      <c r="I1060" s="18" t="s">
        <v>359</v>
      </c>
      <c r="J1060" s="101" t="s">
        <v>27</v>
      </c>
      <c r="K1060" s="20">
        <v>38</v>
      </c>
      <c r="L1060" s="21">
        <v>3.46</v>
      </c>
      <c r="M1060" s="22" t="s">
        <v>869</v>
      </c>
      <c r="N1060" s="23">
        <v>5.2424242424242422</v>
      </c>
      <c r="O1060" s="24">
        <v>0.13795853269537481</v>
      </c>
      <c r="P1060" s="25" t="str">
        <f>IF(P1062="x","x","")</f>
        <v/>
      </c>
      <c r="Q1060" s="25" t="str">
        <f>IF(Q1062="x","x","")</f>
        <v/>
      </c>
      <c r="R1060" s="25" t="str">
        <f>IF(R1062="x","x","")</f>
        <v/>
      </c>
      <c r="S1060" s="25" t="str">
        <f>IF(S1062="x","x","")</f>
        <v/>
      </c>
      <c r="T1060" s="25" t="s">
        <v>27</v>
      </c>
      <c r="U1060" s="26"/>
      <c r="V1060" s="27"/>
    </row>
    <row r="1061" spans="1:22" x14ac:dyDescent="0.25">
      <c r="A1061" s="18" t="s">
        <v>292</v>
      </c>
      <c r="B1061" s="18" t="s">
        <v>947</v>
      </c>
      <c r="C1061" s="18" t="s">
        <v>890</v>
      </c>
      <c r="D1061" s="18" t="s">
        <v>26</v>
      </c>
      <c r="E1061" s="18" t="s">
        <v>40</v>
      </c>
      <c r="F1061" s="18" t="s">
        <v>895</v>
      </c>
      <c r="G1061" s="18" t="s">
        <v>32</v>
      </c>
      <c r="H1061" s="19">
        <v>2016</v>
      </c>
      <c r="I1061" s="18" t="s">
        <v>359</v>
      </c>
      <c r="J1061" s="101">
        <v>28</v>
      </c>
      <c r="K1061" s="20">
        <v>35.4</v>
      </c>
      <c r="L1061" s="21">
        <v>2.4500000000000002</v>
      </c>
      <c r="M1061" s="22" t="s">
        <v>869</v>
      </c>
      <c r="N1061" s="23">
        <v>3.6819999999999999</v>
      </c>
      <c r="O1061" s="24">
        <v>0.10401129943502825</v>
      </c>
      <c r="P1061" s="25" t="str">
        <f>IF(P1062="x","x","")</f>
        <v/>
      </c>
      <c r="Q1061" s="25" t="str">
        <f>IF(Q1062="x","x","")</f>
        <v/>
      </c>
      <c r="R1061" s="25" t="str">
        <f>IF(R1062="x","x","")</f>
        <v/>
      </c>
      <c r="S1061" s="25" t="str">
        <f>IF(S1062="x","x","")</f>
        <v/>
      </c>
      <c r="T1061" s="25" t="s">
        <v>27</v>
      </c>
      <c r="U1061" s="26"/>
      <c r="V1061" s="27"/>
    </row>
    <row r="1062" spans="1:22" ht="205.5" thickBot="1" x14ac:dyDescent="0.3">
      <c r="A1062" s="28" t="str">
        <f>A1061</f>
        <v>Macedonia, FYR</v>
      </c>
      <c r="B1062" s="28" t="str">
        <f>B1061</f>
        <v>Europe and Central Asia</v>
      </c>
      <c r="C1062" s="28" t="str">
        <f>C1061</f>
        <v>P107840</v>
      </c>
      <c r="D1062" s="28" t="s">
        <v>26</v>
      </c>
      <c r="E1062" s="28" t="s">
        <v>27</v>
      </c>
      <c r="F1062" s="28" t="str">
        <f>F1061</f>
        <v>P107840C1S2</v>
      </c>
      <c r="G1062" s="28" t="s">
        <v>16</v>
      </c>
      <c r="H1062" s="29" t="str">
        <f>H1060&amp;" / "&amp;H1061</f>
        <v>2008 / 2016</v>
      </c>
      <c r="I1062" s="29" t="str">
        <f>I1061</f>
        <v>Reconstruction</v>
      </c>
      <c r="J1062" s="97" t="str">
        <f>IFERROR(J1061/J1060,"")</f>
        <v/>
      </c>
      <c r="K1062" s="32">
        <f>K1061/K1060</f>
        <v>0.93157894736842106</v>
      </c>
      <c r="L1062" s="32">
        <f>L1061/L1060</f>
        <v>0.70809248554913296</v>
      </c>
      <c r="M1062" s="28"/>
      <c r="N1062" s="32">
        <f>N1061/N1060</f>
        <v>0.7023468208092486</v>
      </c>
      <c r="O1062" s="32">
        <f>O1061/O1060</f>
        <v>0.75393161555795041</v>
      </c>
      <c r="P1062" s="33" t="str">
        <f>IF(K1062&lt;50%,"x","")</f>
        <v/>
      </c>
      <c r="Q1062" s="33" t="str">
        <f>IF(K1062&gt;150%,"x","")</f>
        <v/>
      </c>
      <c r="R1062" s="33" t="str">
        <f>IF(O1062&lt;50%,"x","")</f>
        <v/>
      </c>
      <c r="S1062" s="33" t="str">
        <f>IF(O1062&gt;150%,"x","")</f>
        <v/>
      </c>
      <c r="T1062" s="33" t="s">
        <v>27</v>
      </c>
      <c r="U1062" s="34" t="s">
        <v>1089</v>
      </c>
      <c r="V1062" s="35" t="s">
        <v>1090</v>
      </c>
    </row>
    <row r="1063" spans="1:22" ht="16.5" thickTop="1" x14ac:dyDescent="0.25">
      <c r="A1063" s="18" t="s">
        <v>292</v>
      </c>
      <c r="B1063" s="18" t="s">
        <v>947</v>
      </c>
      <c r="C1063" s="18" t="s">
        <v>890</v>
      </c>
      <c r="D1063" s="18" t="s">
        <v>26</v>
      </c>
      <c r="E1063" s="18" t="s">
        <v>69</v>
      </c>
      <c r="F1063" s="18" t="s">
        <v>896</v>
      </c>
      <c r="G1063" s="18" t="s">
        <v>29</v>
      </c>
      <c r="H1063" s="19">
        <v>2008</v>
      </c>
      <c r="I1063" s="18" t="s">
        <v>359</v>
      </c>
      <c r="J1063" s="101" t="s">
        <v>27</v>
      </c>
      <c r="K1063" s="20">
        <v>27.1</v>
      </c>
      <c r="L1063" s="21">
        <v>2.4700000000000002</v>
      </c>
      <c r="M1063" s="22" t="s">
        <v>869</v>
      </c>
      <c r="N1063" s="23">
        <v>3.7424242424242427</v>
      </c>
      <c r="O1063" s="24">
        <v>0.13809683551380969</v>
      </c>
      <c r="P1063" s="25" t="str">
        <f>IF(P1065="x","x","")</f>
        <v/>
      </c>
      <c r="Q1063" s="25" t="str">
        <f>IF(Q1065="x","x","")</f>
        <v/>
      </c>
      <c r="R1063" s="25" t="str">
        <f>IF(R1065="x","x","")</f>
        <v/>
      </c>
      <c r="S1063" s="25" t="str">
        <f>IF(S1065="x","x","")</f>
        <v/>
      </c>
      <c r="T1063" s="25" t="s">
        <v>27</v>
      </c>
      <c r="U1063" s="26"/>
      <c r="V1063" s="27"/>
    </row>
    <row r="1064" spans="1:22" x14ac:dyDescent="0.25">
      <c r="A1064" s="18" t="s">
        <v>292</v>
      </c>
      <c r="B1064" s="18" t="s">
        <v>947</v>
      </c>
      <c r="C1064" s="18" t="s">
        <v>890</v>
      </c>
      <c r="D1064" s="18" t="s">
        <v>26</v>
      </c>
      <c r="E1064" s="18" t="s">
        <v>69</v>
      </c>
      <c r="F1064" s="18" t="s">
        <v>896</v>
      </c>
      <c r="G1064" s="18" t="s">
        <v>32</v>
      </c>
      <c r="H1064" s="19">
        <v>2016</v>
      </c>
      <c r="I1064" s="18" t="s">
        <v>359</v>
      </c>
      <c r="J1064" s="101">
        <v>8</v>
      </c>
      <c r="K1064" s="20">
        <v>33.4</v>
      </c>
      <c r="L1064" s="21">
        <v>3.06</v>
      </c>
      <c r="M1064" s="22" t="s">
        <v>869</v>
      </c>
      <c r="N1064" s="23">
        <v>4.5987428571428568</v>
      </c>
      <c r="O1064" s="24">
        <v>0.13768691189050469</v>
      </c>
      <c r="P1064" s="25" t="str">
        <f>IF(P1065="x","x","")</f>
        <v/>
      </c>
      <c r="Q1064" s="25" t="str">
        <f>IF(Q1065="x","x","")</f>
        <v/>
      </c>
      <c r="R1064" s="25" t="str">
        <f>IF(R1065="x","x","")</f>
        <v/>
      </c>
      <c r="S1064" s="25" t="str">
        <f>IF(S1065="x","x","")</f>
        <v/>
      </c>
      <c r="T1064" s="25" t="s">
        <v>27</v>
      </c>
      <c r="U1064" s="26"/>
      <c r="V1064" s="27"/>
    </row>
    <row r="1065" spans="1:22" ht="63.75" thickBot="1" x14ac:dyDescent="0.3">
      <c r="A1065" s="28" t="str">
        <f>A1064</f>
        <v>Macedonia, FYR</v>
      </c>
      <c r="B1065" s="28" t="str">
        <f>B1064</f>
        <v>Europe and Central Asia</v>
      </c>
      <c r="C1065" s="28" t="str">
        <f>C1064</f>
        <v>P107840</v>
      </c>
      <c r="D1065" s="28" t="s">
        <v>26</v>
      </c>
      <c r="E1065" s="28" t="s">
        <v>27</v>
      </c>
      <c r="F1065" s="28" t="str">
        <f>F1064</f>
        <v>P107840C1S3</v>
      </c>
      <c r="G1065" s="28" t="s">
        <v>16</v>
      </c>
      <c r="H1065" s="29" t="str">
        <f>H1063&amp;" / "&amp;H1064</f>
        <v>2008 / 2016</v>
      </c>
      <c r="I1065" s="29" t="str">
        <f>I1064</f>
        <v>Reconstruction</v>
      </c>
      <c r="J1065" s="97" t="str">
        <f>IFERROR(J1064/J1063,"")</f>
        <v/>
      </c>
      <c r="K1065" s="32">
        <f>K1064/K1063</f>
        <v>1.2324723247232472</v>
      </c>
      <c r="L1065" s="32">
        <f>L1064/L1063</f>
        <v>1.2388663967611335</v>
      </c>
      <c r="M1065" s="28"/>
      <c r="N1065" s="32">
        <f>N1064/N1063</f>
        <v>1.2288138808559859</v>
      </c>
      <c r="O1065" s="32">
        <f>O1064/O1063</f>
        <v>0.99703162189213235</v>
      </c>
      <c r="P1065" s="33" t="str">
        <f>IF(K1065&lt;50%,"x","")</f>
        <v/>
      </c>
      <c r="Q1065" s="33" t="str">
        <f>IF(K1065&gt;150%,"x","")</f>
        <v/>
      </c>
      <c r="R1065" s="33" t="str">
        <f>IF(O1065&lt;50%,"x","")</f>
        <v/>
      </c>
      <c r="S1065" s="33" t="str">
        <f>IF(O1065&gt;150%,"x","")</f>
        <v/>
      </c>
      <c r="T1065" s="33" t="s">
        <v>27</v>
      </c>
      <c r="U1065" s="34" t="s">
        <v>1091</v>
      </c>
      <c r="V1065" s="35" t="s">
        <v>1092</v>
      </c>
    </row>
    <row r="1066" spans="1:22" ht="16.5" thickTop="1" x14ac:dyDescent="0.25">
      <c r="A1066" s="18" t="s">
        <v>292</v>
      </c>
      <c r="B1066" s="18" t="s">
        <v>947</v>
      </c>
      <c r="C1066" s="18" t="s">
        <v>890</v>
      </c>
      <c r="D1066" s="18" t="s">
        <v>26</v>
      </c>
      <c r="E1066" s="18" t="s">
        <v>71</v>
      </c>
      <c r="F1066" s="18" t="s">
        <v>897</v>
      </c>
      <c r="G1066" s="18" t="s">
        <v>29</v>
      </c>
      <c r="H1066" s="19">
        <v>2008</v>
      </c>
      <c r="I1066" s="18" t="s">
        <v>359</v>
      </c>
      <c r="J1066" s="101" t="s">
        <v>27</v>
      </c>
      <c r="K1066" s="20">
        <v>11.5</v>
      </c>
      <c r="L1066" s="21">
        <v>1.35</v>
      </c>
      <c r="M1066" s="22" t="s">
        <v>869</v>
      </c>
      <c r="N1066" s="23">
        <v>2.0454545454545454</v>
      </c>
      <c r="O1066" s="24">
        <v>0.17786561264822134</v>
      </c>
      <c r="P1066" s="25" t="str">
        <f>IF(P1068="x","x","")</f>
        <v/>
      </c>
      <c r="Q1066" s="25" t="str">
        <f>IF(Q1068="x","x","")</f>
        <v/>
      </c>
      <c r="R1066" s="25" t="str">
        <f>IF(R1068="x","x","")</f>
        <v/>
      </c>
      <c r="S1066" s="25" t="str">
        <f>IF(S1068="x","x","")</f>
        <v/>
      </c>
      <c r="T1066" s="25" t="s">
        <v>27</v>
      </c>
      <c r="U1066" s="26"/>
      <c r="V1066" s="27"/>
    </row>
    <row r="1067" spans="1:22" x14ac:dyDescent="0.25">
      <c r="A1067" s="18" t="s">
        <v>292</v>
      </c>
      <c r="B1067" s="18" t="s">
        <v>947</v>
      </c>
      <c r="C1067" s="18" t="s">
        <v>890</v>
      </c>
      <c r="D1067" s="18" t="s">
        <v>26</v>
      </c>
      <c r="E1067" s="18" t="s">
        <v>71</v>
      </c>
      <c r="F1067" s="18" t="s">
        <v>897</v>
      </c>
      <c r="G1067" s="18" t="s">
        <v>32</v>
      </c>
      <c r="H1067" s="19">
        <v>2016</v>
      </c>
      <c r="I1067" s="18" t="s">
        <v>359</v>
      </c>
      <c r="J1067" s="101">
        <v>8</v>
      </c>
      <c r="K1067" s="20">
        <v>14.3</v>
      </c>
      <c r="L1067" s="21">
        <v>0.99</v>
      </c>
      <c r="M1067" s="22" t="s">
        <v>869</v>
      </c>
      <c r="N1067" s="23">
        <v>1.4878285714285713</v>
      </c>
      <c r="O1067" s="24">
        <v>0.10404395604395603</v>
      </c>
      <c r="P1067" s="25" t="str">
        <f>IF(P1068="x","x","")</f>
        <v/>
      </c>
      <c r="Q1067" s="25" t="str">
        <f>IF(Q1068="x","x","")</f>
        <v/>
      </c>
      <c r="R1067" s="25" t="str">
        <f>IF(R1068="x","x","")</f>
        <v/>
      </c>
      <c r="S1067" s="25" t="str">
        <f>IF(S1068="x","x","")</f>
        <v/>
      </c>
      <c r="T1067" s="25" t="s">
        <v>27</v>
      </c>
      <c r="U1067" s="26"/>
      <c r="V1067" s="27"/>
    </row>
    <row r="1068" spans="1:22" ht="252.75" thickBot="1" x14ac:dyDescent="0.3">
      <c r="A1068" s="28" t="str">
        <f>A1067</f>
        <v>Macedonia, FYR</v>
      </c>
      <c r="B1068" s="28" t="str">
        <f>B1067</f>
        <v>Europe and Central Asia</v>
      </c>
      <c r="C1068" s="28" t="str">
        <f>C1067</f>
        <v>P107840</v>
      </c>
      <c r="D1068" s="28" t="s">
        <v>26</v>
      </c>
      <c r="E1068" s="28" t="s">
        <v>27</v>
      </c>
      <c r="F1068" s="28" t="str">
        <f>F1067</f>
        <v>P107840C1S4</v>
      </c>
      <c r="G1068" s="28" t="s">
        <v>16</v>
      </c>
      <c r="H1068" s="29" t="str">
        <f>H1066&amp;" / "&amp;H1067</f>
        <v>2008 / 2016</v>
      </c>
      <c r="I1068" s="29" t="str">
        <f>I1067</f>
        <v>Reconstruction</v>
      </c>
      <c r="J1068" s="97" t="str">
        <f>IFERROR(J1067/J1066,"")</f>
        <v/>
      </c>
      <c r="K1068" s="32">
        <f>K1067/K1066</f>
        <v>1.2434782608695654</v>
      </c>
      <c r="L1068" s="32">
        <f>L1067/L1066</f>
        <v>0.73333333333333328</v>
      </c>
      <c r="M1068" s="28"/>
      <c r="N1068" s="32">
        <f>N1067/N1066</f>
        <v>0.72738285714285711</v>
      </c>
      <c r="O1068" s="32">
        <f>O1067/O1066</f>
        <v>0.58495824175824163</v>
      </c>
      <c r="P1068" s="33" t="str">
        <f>IF(K1068&lt;50%,"x","")</f>
        <v/>
      </c>
      <c r="Q1068" s="33" t="str">
        <f>IF(K1068&gt;150%,"x","")</f>
        <v/>
      </c>
      <c r="R1068" s="33" t="str">
        <f>IF(O1068&lt;50%,"x","")</f>
        <v/>
      </c>
      <c r="S1068" s="33" t="str">
        <f>IF(O1068&gt;150%,"x","")</f>
        <v/>
      </c>
      <c r="T1068" s="33" t="s">
        <v>27</v>
      </c>
      <c r="U1068" s="34" t="s">
        <v>1093</v>
      </c>
      <c r="V1068" s="35" t="s">
        <v>1094</v>
      </c>
    </row>
    <row r="1069" spans="1:22" ht="16.5" thickTop="1" x14ac:dyDescent="0.25">
      <c r="A1069" s="18" t="s">
        <v>292</v>
      </c>
      <c r="B1069" s="18" t="s">
        <v>947</v>
      </c>
      <c r="C1069" s="18" t="s">
        <v>890</v>
      </c>
      <c r="D1069" s="18" t="s">
        <v>26</v>
      </c>
      <c r="E1069" s="18" t="s">
        <v>141</v>
      </c>
      <c r="F1069" s="18" t="s">
        <v>898</v>
      </c>
      <c r="G1069" s="18" t="s">
        <v>29</v>
      </c>
      <c r="H1069" s="19">
        <v>2008</v>
      </c>
      <c r="I1069" s="18" t="s">
        <v>359</v>
      </c>
      <c r="J1069" s="101" t="s">
        <v>27</v>
      </c>
      <c r="K1069" s="20">
        <v>25.3</v>
      </c>
      <c r="L1069" s="21">
        <v>2.2999999999999998</v>
      </c>
      <c r="M1069" s="22" t="s">
        <v>869</v>
      </c>
      <c r="N1069" s="23">
        <v>3.4848484848484844</v>
      </c>
      <c r="O1069" s="24">
        <v>0.1377410468319559</v>
      </c>
      <c r="P1069" s="25" t="str">
        <f>IF(P1071="x","x","")</f>
        <v/>
      </c>
      <c r="Q1069" s="25" t="str">
        <f>IF(Q1071="x","x","")</f>
        <v/>
      </c>
      <c r="R1069" s="25" t="str">
        <f>IF(R1071="x","x","")</f>
        <v/>
      </c>
      <c r="S1069" s="25" t="str">
        <f>IF(S1071="x","x","")</f>
        <v/>
      </c>
      <c r="T1069" s="25" t="s">
        <v>27</v>
      </c>
      <c r="U1069" s="26"/>
      <c r="V1069" s="27"/>
    </row>
    <row r="1070" spans="1:22" x14ac:dyDescent="0.25">
      <c r="A1070" s="18" t="s">
        <v>292</v>
      </c>
      <c r="B1070" s="18" t="s">
        <v>947</v>
      </c>
      <c r="C1070" s="18" t="s">
        <v>890</v>
      </c>
      <c r="D1070" s="18" t="s">
        <v>26</v>
      </c>
      <c r="E1070" s="18" t="s">
        <v>141</v>
      </c>
      <c r="F1070" s="18" t="s">
        <v>898</v>
      </c>
      <c r="G1070" s="18" t="s">
        <v>32</v>
      </c>
      <c r="H1070" s="19">
        <v>2016</v>
      </c>
      <c r="I1070" s="18" t="s">
        <v>359</v>
      </c>
      <c r="J1070" s="101">
        <v>25</v>
      </c>
      <c r="K1070" s="20">
        <v>25.5</v>
      </c>
      <c r="L1070" s="21">
        <v>2.98</v>
      </c>
      <c r="M1070" s="22" t="s">
        <v>869</v>
      </c>
      <c r="N1070" s="23">
        <v>4.4785142857142857</v>
      </c>
      <c r="O1070" s="24">
        <v>0.17562801120448179</v>
      </c>
      <c r="P1070" s="25" t="str">
        <f>IF(P1071="x","x","")</f>
        <v/>
      </c>
      <c r="Q1070" s="25" t="str">
        <f>IF(Q1071="x","x","")</f>
        <v/>
      </c>
      <c r="R1070" s="25" t="str">
        <f>IF(R1071="x","x","")</f>
        <v/>
      </c>
      <c r="S1070" s="25" t="str">
        <f>IF(S1071="x","x","")</f>
        <v/>
      </c>
      <c r="T1070" s="25" t="s">
        <v>27</v>
      </c>
      <c r="U1070" s="26"/>
      <c r="V1070" s="27"/>
    </row>
    <row r="1071" spans="1:22" ht="205.5" thickBot="1" x14ac:dyDescent="0.3">
      <c r="A1071" s="28" t="str">
        <f>A1070</f>
        <v>Macedonia, FYR</v>
      </c>
      <c r="B1071" s="28" t="str">
        <f>B1070</f>
        <v>Europe and Central Asia</v>
      </c>
      <c r="C1071" s="28" t="str">
        <f>C1070</f>
        <v>P107840</v>
      </c>
      <c r="D1071" s="28" t="s">
        <v>26</v>
      </c>
      <c r="E1071" s="28" t="s">
        <v>27</v>
      </c>
      <c r="F1071" s="28" t="str">
        <f>F1070</f>
        <v>P107840C1S5</v>
      </c>
      <c r="G1071" s="28" t="s">
        <v>16</v>
      </c>
      <c r="H1071" s="29" t="str">
        <f>H1069&amp;" / "&amp;H1070</f>
        <v>2008 / 2016</v>
      </c>
      <c r="I1071" s="29" t="str">
        <f>I1070</f>
        <v>Reconstruction</v>
      </c>
      <c r="J1071" s="97" t="str">
        <f>IFERROR(J1070/J1069,"")</f>
        <v/>
      </c>
      <c r="K1071" s="32">
        <f>K1070/K1069</f>
        <v>1.0079051383399209</v>
      </c>
      <c r="L1071" s="32">
        <f>L1070/L1069</f>
        <v>1.2956521739130435</v>
      </c>
      <c r="M1071" s="28"/>
      <c r="N1071" s="32">
        <f>N1070/N1069</f>
        <v>1.2851388819875778</v>
      </c>
      <c r="O1071" s="32">
        <f>O1070/O1069</f>
        <v>1.275059361344538</v>
      </c>
      <c r="P1071" s="33" t="str">
        <f>IF(K1071&lt;50%,"x","")</f>
        <v/>
      </c>
      <c r="Q1071" s="33" t="str">
        <f>IF(K1071&gt;150%,"x","")</f>
        <v/>
      </c>
      <c r="R1071" s="33" t="str">
        <f>IF(O1071&lt;50%,"x","")</f>
        <v/>
      </c>
      <c r="S1071" s="33" t="str">
        <f>IF(O1071&gt;150%,"x","")</f>
        <v/>
      </c>
      <c r="T1071" s="33" t="s">
        <v>27</v>
      </c>
      <c r="U1071" s="34" t="s">
        <v>1089</v>
      </c>
      <c r="V1071" s="35" t="s">
        <v>1090</v>
      </c>
    </row>
    <row r="1072" spans="1:22" ht="16.5" thickTop="1" x14ac:dyDescent="0.25">
      <c r="A1072" s="18" t="s">
        <v>292</v>
      </c>
      <c r="B1072" s="18" t="s">
        <v>947</v>
      </c>
      <c r="C1072" s="18" t="s">
        <v>890</v>
      </c>
      <c r="D1072" s="18" t="s">
        <v>26</v>
      </c>
      <c r="E1072" s="18" t="s">
        <v>143</v>
      </c>
      <c r="F1072" s="18" t="s">
        <v>899</v>
      </c>
      <c r="G1072" s="18" t="s">
        <v>29</v>
      </c>
      <c r="H1072" s="19">
        <v>2008</v>
      </c>
      <c r="I1072" s="18" t="s">
        <v>359</v>
      </c>
      <c r="J1072" s="101" t="s">
        <v>27</v>
      </c>
      <c r="K1072" s="20">
        <v>22</v>
      </c>
      <c r="L1072" s="21">
        <v>2</v>
      </c>
      <c r="M1072" s="22" t="s">
        <v>869</v>
      </c>
      <c r="N1072" s="23">
        <v>3.0303030303030303</v>
      </c>
      <c r="O1072" s="24">
        <v>0.13774104683195593</v>
      </c>
      <c r="P1072" s="25" t="str">
        <f>IF(P1074="x","x","")</f>
        <v/>
      </c>
      <c r="Q1072" s="25" t="str">
        <f>IF(Q1074="x","x","")</f>
        <v/>
      </c>
      <c r="R1072" s="25" t="str">
        <f>IF(R1074="x","x","")</f>
        <v/>
      </c>
      <c r="S1072" s="25" t="str">
        <f>IF(S1074="x","x","")</f>
        <v>x</v>
      </c>
      <c r="T1072" s="25" t="s">
        <v>31</v>
      </c>
      <c r="U1072" s="26"/>
      <c r="V1072" s="27"/>
    </row>
    <row r="1073" spans="1:22" x14ac:dyDescent="0.25">
      <c r="A1073" s="18" t="s">
        <v>292</v>
      </c>
      <c r="B1073" s="18" t="s">
        <v>947</v>
      </c>
      <c r="C1073" s="18" t="s">
        <v>890</v>
      </c>
      <c r="D1073" s="18" t="s">
        <v>26</v>
      </c>
      <c r="E1073" s="18" t="s">
        <v>143</v>
      </c>
      <c r="F1073" s="18" t="s">
        <v>899</v>
      </c>
      <c r="G1073" s="18" t="s">
        <v>32</v>
      </c>
      <c r="H1073" s="19">
        <v>2016</v>
      </c>
      <c r="I1073" s="18" t="s">
        <v>359</v>
      </c>
      <c r="J1073" s="101">
        <v>6</v>
      </c>
      <c r="K1073" s="20">
        <v>24.2</v>
      </c>
      <c r="L1073" s="21">
        <v>4.45</v>
      </c>
      <c r="M1073" s="22" t="s">
        <v>869</v>
      </c>
      <c r="N1073" s="23">
        <v>6.6877142857142857</v>
      </c>
      <c r="O1073" s="24">
        <v>0.27635182998819363</v>
      </c>
      <c r="P1073" s="25" t="str">
        <f>IF(P1074="x","x","")</f>
        <v/>
      </c>
      <c r="Q1073" s="25" t="str">
        <f>IF(Q1074="x","x","")</f>
        <v/>
      </c>
      <c r="R1073" s="25" t="str">
        <f>IF(R1074="x","x","")</f>
        <v/>
      </c>
      <c r="S1073" s="25" t="str">
        <f>IF(S1074="x","x","")</f>
        <v>x</v>
      </c>
      <c r="T1073" s="25" t="s">
        <v>31</v>
      </c>
      <c r="U1073" s="26"/>
      <c r="V1073" s="27"/>
    </row>
    <row r="1074" spans="1:22" ht="79.5" thickBot="1" x14ac:dyDescent="0.3">
      <c r="A1074" s="28" t="str">
        <f>A1073</f>
        <v>Macedonia, FYR</v>
      </c>
      <c r="B1074" s="28" t="str">
        <f>B1073</f>
        <v>Europe and Central Asia</v>
      </c>
      <c r="C1074" s="28" t="str">
        <f>C1073</f>
        <v>P107840</v>
      </c>
      <c r="D1074" s="28" t="s">
        <v>26</v>
      </c>
      <c r="E1074" s="28" t="s">
        <v>27</v>
      </c>
      <c r="F1074" s="28" t="str">
        <f>F1073</f>
        <v>P107840C1S6</v>
      </c>
      <c r="G1074" s="28" t="s">
        <v>16</v>
      </c>
      <c r="H1074" s="29" t="str">
        <f>H1072&amp;" / "&amp;H1073</f>
        <v>2008 / 2016</v>
      </c>
      <c r="I1074" s="29" t="str">
        <f>I1073</f>
        <v>Reconstruction</v>
      </c>
      <c r="J1074" s="97" t="str">
        <f>IFERROR(J1073/J1072,"")</f>
        <v/>
      </c>
      <c r="K1074" s="32">
        <f>K1073/K1072</f>
        <v>1.0999999999999999</v>
      </c>
      <c r="L1074" s="32">
        <f>L1073/L1072</f>
        <v>2.2250000000000001</v>
      </c>
      <c r="M1074" s="28"/>
      <c r="N1074" s="32">
        <f>N1073/N1072</f>
        <v>2.2069457142857143</v>
      </c>
      <c r="O1074" s="32">
        <f>O1073/O1072</f>
        <v>2.0063142857142857</v>
      </c>
      <c r="P1074" s="33" t="str">
        <f>IF(K1074&lt;50%,"x","")</f>
        <v/>
      </c>
      <c r="Q1074" s="33" t="str">
        <f>IF(K1074&gt;150%,"x","")</f>
        <v/>
      </c>
      <c r="R1074" s="33" t="str">
        <f>IF(O1074&lt;50%,"x","")</f>
        <v/>
      </c>
      <c r="S1074" s="33" t="str">
        <f>IF(O1074&gt;150%,"x","")</f>
        <v>x</v>
      </c>
      <c r="T1074" s="33" t="s">
        <v>31</v>
      </c>
      <c r="U1074" s="34" t="s">
        <v>1095</v>
      </c>
      <c r="V1074" s="35" t="s">
        <v>1096</v>
      </c>
    </row>
    <row r="1075" spans="1:22" ht="16.5" thickTop="1" x14ac:dyDescent="0.25">
      <c r="A1075" s="18" t="s">
        <v>292</v>
      </c>
      <c r="B1075" s="18" t="s">
        <v>947</v>
      </c>
      <c r="C1075" s="18" t="s">
        <v>890</v>
      </c>
      <c r="D1075" s="18" t="s">
        <v>26</v>
      </c>
      <c r="E1075" s="18" t="s">
        <v>245</v>
      </c>
      <c r="F1075" s="18" t="s">
        <v>900</v>
      </c>
      <c r="G1075" s="18" t="s">
        <v>29</v>
      </c>
      <c r="H1075" s="19">
        <v>2008</v>
      </c>
      <c r="I1075" s="18" t="s">
        <v>359</v>
      </c>
      <c r="J1075" s="101" t="s">
        <v>27</v>
      </c>
      <c r="K1075" s="20">
        <v>27.8</v>
      </c>
      <c r="L1075" s="21">
        <v>3.61</v>
      </c>
      <c r="M1075" s="22" t="s">
        <v>869</v>
      </c>
      <c r="N1075" s="23">
        <v>5.4696969696969688</v>
      </c>
      <c r="O1075" s="24">
        <v>0.19675168955744493</v>
      </c>
      <c r="P1075" s="25" t="str">
        <f>IF(P1077="x","x","")</f>
        <v/>
      </c>
      <c r="Q1075" s="25" t="str">
        <f>IF(Q1077="x","x","")</f>
        <v/>
      </c>
      <c r="R1075" s="25" t="str">
        <f>IF(R1077="x","x","")</f>
        <v/>
      </c>
      <c r="S1075" s="25" t="str">
        <f>IF(S1077="x","x","")</f>
        <v/>
      </c>
      <c r="T1075" s="25" t="s">
        <v>27</v>
      </c>
      <c r="U1075" s="26"/>
      <c r="V1075" s="27"/>
    </row>
    <row r="1076" spans="1:22" x14ac:dyDescent="0.25">
      <c r="A1076" s="18" t="s">
        <v>292</v>
      </c>
      <c r="B1076" s="18" t="s">
        <v>947</v>
      </c>
      <c r="C1076" s="18" t="s">
        <v>890</v>
      </c>
      <c r="D1076" s="18" t="s">
        <v>26</v>
      </c>
      <c r="E1076" s="18" t="s">
        <v>245</v>
      </c>
      <c r="F1076" s="18" t="s">
        <v>900</v>
      </c>
      <c r="G1076" s="18" t="s">
        <v>32</v>
      </c>
      <c r="H1076" s="19">
        <v>2016</v>
      </c>
      <c r="I1076" s="18" t="s">
        <v>359</v>
      </c>
      <c r="J1076" s="101">
        <v>26</v>
      </c>
      <c r="K1076" s="20">
        <v>38.200000000000003</v>
      </c>
      <c r="L1076" s="21">
        <v>3.98</v>
      </c>
      <c r="M1076" s="22" t="s">
        <v>869</v>
      </c>
      <c r="N1076" s="23">
        <v>5.9813714285714283</v>
      </c>
      <c r="O1076" s="24">
        <v>0.15658040388930439</v>
      </c>
      <c r="P1076" s="25" t="str">
        <f>IF(P1077="x","x","")</f>
        <v/>
      </c>
      <c r="Q1076" s="25" t="str">
        <f>IF(Q1077="x","x","")</f>
        <v/>
      </c>
      <c r="R1076" s="25" t="str">
        <f>IF(R1077="x","x","")</f>
        <v/>
      </c>
      <c r="S1076" s="25" t="str">
        <f>IF(S1077="x","x","")</f>
        <v/>
      </c>
      <c r="T1076" s="25" t="s">
        <v>27</v>
      </c>
      <c r="U1076" s="26"/>
      <c r="V1076" s="27"/>
    </row>
    <row r="1077" spans="1:22" ht="16.5" thickBot="1" x14ac:dyDescent="0.3">
      <c r="A1077" s="28" t="str">
        <f>A1076</f>
        <v>Macedonia, FYR</v>
      </c>
      <c r="B1077" s="28" t="str">
        <f>B1076</f>
        <v>Europe and Central Asia</v>
      </c>
      <c r="C1077" s="28" t="str">
        <f>C1076</f>
        <v>P107840</v>
      </c>
      <c r="D1077" s="28" t="s">
        <v>26</v>
      </c>
      <c r="E1077" s="28" t="s">
        <v>27</v>
      </c>
      <c r="F1077" s="28" t="str">
        <f>F1076</f>
        <v>P107840C1S7</v>
      </c>
      <c r="G1077" s="28" t="s">
        <v>16</v>
      </c>
      <c r="H1077" s="29" t="str">
        <f>H1075&amp;" / "&amp;H1076</f>
        <v>2008 / 2016</v>
      </c>
      <c r="I1077" s="29" t="str">
        <f>I1076</f>
        <v>Reconstruction</v>
      </c>
      <c r="J1077" s="97" t="str">
        <f>IFERROR(J1076/J1075,"")</f>
        <v/>
      </c>
      <c r="K1077" s="32">
        <f>K1076/K1075</f>
        <v>1.3741007194244605</v>
      </c>
      <c r="L1077" s="32">
        <f>L1076/L1075</f>
        <v>1.1024930747922439</v>
      </c>
      <c r="M1077" s="28"/>
      <c r="N1077" s="32">
        <f>N1076/N1075</f>
        <v>1.0935471309853582</v>
      </c>
      <c r="O1077" s="32">
        <f>O1076/O1075</f>
        <v>0.79582749323018209</v>
      </c>
      <c r="P1077" s="33" t="str">
        <f>IF(K1077&lt;50%,"x","")</f>
        <v/>
      </c>
      <c r="Q1077" s="33" t="str">
        <f>IF(K1077&gt;150%,"x","")</f>
        <v/>
      </c>
      <c r="R1077" s="33" t="str">
        <f>IF(O1077&lt;50%,"x","")</f>
        <v/>
      </c>
      <c r="S1077" s="33" t="str">
        <f>IF(O1077&gt;150%,"x","")</f>
        <v/>
      </c>
      <c r="T1077" s="33" t="s">
        <v>27</v>
      </c>
      <c r="U1077" s="34" t="s">
        <v>27</v>
      </c>
      <c r="V1077" s="35" t="s">
        <v>27</v>
      </c>
    </row>
    <row r="1078" spans="1:22" ht="16.5" thickTop="1" x14ac:dyDescent="0.25">
      <c r="A1078" s="18" t="s">
        <v>292</v>
      </c>
      <c r="B1078" s="18" t="s">
        <v>947</v>
      </c>
      <c r="C1078" s="18" t="s">
        <v>890</v>
      </c>
      <c r="D1078" s="18" t="s">
        <v>26</v>
      </c>
      <c r="E1078" s="18" t="s">
        <v>247</v>
      </c>
      <c r="F1078" s="18" t="s">
        <v>901</v>
      </c>
      <c r="G1078" s="18" t="s">
        <v>29</v>
      </c>
      <c r="H1078" s="19">
        <v>2008</v>
      </c>
      <c r="I1078" s="18" t="s">
        <v>359</v>
      </c>
      <c r="J1078" s="101" t="s">
        <v>27</v>
      </c>
      <c r="K1078" s="20">
        <v>36</v>
      </c>
      <c r="L1078" s="21">
        <v>3.28</v>
      </c>
      <c r="M1078" s="22" t="s">
        <v>869</v>
      </c>
      <c r="N1078" s="23">
        <v>4.9696969696969688</v>
      </c>
      <c r="O1078" s="24">
        <v>0.13804713804713803</v>
      </c>
      <c r="P1078" s="25" t="str">
        <f>IF(P1080="x","x","")</f>
        <v/>
      </c>
      <c r="Q1078" s="25" t="str">
        <f>IF(Q1080="x","x","")</f>
        <v/>
      </c>
      <c r="R1078" s="25" t="str">
        <f>IF(R1080="x","x","")</f>
        <v/>
      </c>
      <c r="S1078" s="25" t="str">
        <f>IF(S1080="x","x","")</f>
        <v/>
      </c>
      <c r="T1078" s="25" t="s">
        <v>27</v>
      </c>
      <c r="U1078" s="26"/>
      <c r="V1078" s="27"/>
    </row>
    <row r="1079" spans="1:22" x14ac:dyDescent="0.25">
      <c r="A1079" s="18" t="s">
        <v>292</v>
      </c>
      <c r="B1079" s="18" t="s">
        <v>947</v>
      </c>
      <c r="C1079" s="18" t="s">
        <v>890</v>
      </c>
      <c r="D1079" s="18" t="s">
        <v>26</v>
      </c>
      <c r="E1079" s="18" t="s">
        <v>247</v>
      </c>
      <c r="F1079" s="18" t="s">
        <v>901</v>
      </c>
      <c r="G1079" s="18" t="s">
        <v>32</v>
      </c>
      <c r="H1079" s="19">
        <v>2016</v>
      </c>
      <c r="I1079" s="18" t="s">
        <v>359</v>
      </c>
      <c r="J1079" s="101">
        <v>26</v>
      </c>
      <c r="K1079" s="20">
        <v>37</v>
      </c>
      <c r="L1079" s="21">
        <v>3.86</v>
      </c>
      <c r="M1079" s="22" t="s">
        <v>869</v>
      </c>
      <c r="N1079" s="23">
        <v>5.8010285714285708</v>
      </c>
      <c r="O1079" s="24">
        <v>0.15678455598455596</v>
      </c>
      <c r="P1079" s="25" t="str">
        <f>IF(P1080="x","x","")</f>
        <v/>
      </c>
      <c r="Q1079" s="25" t="str">
        <f>IF(Q1080="x","x","")</f>
        <v/>
      </c>
      <c r="R1079" s="25" t="str">
        <f>IF(R1080="x","x","")</f>
        <v/>
      </c>
      <c r="S1079" s="25" t="str">
        <f>IF(S1080="x","x","")</f>
        <v/>
      </c>
      <c r="T1079" s="25" t="s">
        <v>27</v>
      </c>
      <c r="U1079" s="26"/>
      <c r="V1079" s="27"/>
    </row>
    <row r="1080" spans="1:22" ht="16.5" thickBot="1" x14ac:dyDescent="0.3">
      <c r="A1080" s="28" t="str">
        <f>A1079</f>
        <v>Macedonia, FYR</v>
      </c>
      <c r="B1080" s="28" t="str">
        <f>B1079</f>
        <v>Europe and Central Asia</v>
      </c>
      <c r="C1080" s="28" t="str">
        <f>C1079</f>
        <v>P107840</v>
      </c>
      <c r="D1080" s="28" t="s">
        <v>26</v>
      </c>
      <c r="E1080" s="28" t="s">
        <v>27</v>
      </c>
      <c r="F1080" s="28" t="str">
        <f>F1079</f>
        <v>P107840C1S8</v>
      </c>
      <c r="G1080" s="28" t="s">
        <v>16</v>
      </c>
      <c r="H1080" s="29" t="str">
        <f>H1078&amp;" / "&amp;H1079</f>
        <v>2008 / 2016</v>
      </c>
      <c r="I1080" s="29" t="str">
        <f>I1079</f>
        <v>Reconstruction</v>
      </c>
      <c r="J1080" s="97" t="str">
        <f>IFERROR(J1079/J1078,"")</f>
        <v/>
      </c>
      <c r="K1080" s="32">
        <f>K1079/K1078</f>
        <v>1.0277777777777777</v>
      </c>
      <c r="L1080" s="32">
        <f>L1079/L1078</f>
        <v>1.1768292682926829</v>
      </c>
      <c r="M1080" s="28"/>
      <c r="N1080" s="32">
        <f>N1079/N1078</f>
        <v>1.1672801393728223</v>
      </c>
      <c r="O1080" s="32">
        <f>O1079/O1078</f>
        <v>1.135732027497881</v>
      </c>
      <c r="P1080" s="33" t="str">
        <f>IF(K1080&lt;50%,"x","")</f>
        <v/>
      </c>
      <c r="Q1080" s="33" t="str">
        <f>IF(K1080&gt;150%,"x","")</f>
        <v/>
      </c>
      <c r="R1080" s="33" t="str">
        <f>IF(O1080&lt;50%,"x","")</f>
        <v/>
      </c>
      <c r="S1080" s="33" t="str">
        <f>IF(O1080&gt;150%,"x","")</f>
        <v/>
      </c>
      <c r="T1080" s="33" t="s">
        <v>27</v>
      </c>
      <c r="U1080" s="34" t="s">
        <v>27</v>
      </c>
      <c r="V1080" s="35" t="s">
        <v>27</v>
      </c>
    </row>
    <row r="1081" spans="1:22" ht="16.5" thickTop="1" x14ac:dyDescent="0.25">
      <c r="A1081" s="18" t="s">
        <v>292</v>
      </c>
      <c r="B1081" s="18" t="s">
        <v>947</v>
      </c>
      <c r="C1081" s="18" t="s">
        <v>890</v>
      </c>
      <c r="D1081" s="18" t="s">
        <v>26</v>
      </c>
      <c r="E1081" s="18" t="s">
        <v>249</v>
      </c>
      <c r="F1081" s="18" t="s">
        <v>902</v>
      </c>
      <c r="G1081" s="18" t="s">
        <v>29</v>
      </c>
      <c r="H1081" s="19">
        <v>2008</v>
      </c>
      <c r="I1081" s="18" t="s">
        <v>359</v>
      </c>
      <c r="J1081" s="101" t="s">
        <v>27</v>
      </c>
      <c r="K1081" s="20">
        <v>25.8</v>
      </c>
      <c r="L1081" s="21">
        <v>3.35</v>
      </c>
      <c r="M1081" s="22" t="s">
        <v>869</v>
      </c>
      <c r="N1081" s="23">
        <v>5.0757575757575752</v>
      </c>
      <c r="O1081" s="24">
        <v>0.19673478975804554</v>
      </c>
      <c r="P1081" s="25" t="str">
        <f>IF(P1083="x","x","")</f>
        <v/>
      </c>
      <c r="Q1081" s="25" t="str">
        <f>IF(Q1083="x","x","")</f>
        <v/>
      </c>
      <c r="R1081" s="25" t="str">
        <f>IF(R1083="x","x","")</f>
        <v/>
      </c>
      <c r="S1081" s="25" t="str">
        <f>IF(S1083="x","x","")</f>
        <v/>
      </c>
      <c r="T1081" s="25" t="s">
        <v>27</v>
      </c>
      <c r="U1081" s="26"/>
      <c r="V1081" s="27"/>
    </row>
    <row r="1082" spans="1:22" x14ac:dyDescent="0.25">
      <c r="A1082" s="18" t="s">
        <v>292</v>
      </c>
      <c r="B1082" s="18" t="s">
        <v>947</v>
      </c>
      <c r="C1082" s="18" t="s">
        <v>890</v>
      </c>
      <c r="D1082" s="18" t="s">
        <v>26</v>
      </c>
      <c r="E1082" s="18" t="s">
        <v>249</v>
      </c>
      <c r="F1082" s="18" t="s">
        <v>902</v>
      </c>
      <c r="G1082" s="18" t="s">
        <v>32</v>
      </c>
      <c r="H1082" s="19">
        <v>2016</v>
      </c>
      <c r="I1082" s="18" t="s">
        <v>359</v>
      </c>
      <c r="J1082" s="101">
        <v>20</v>
      </c>
      <c r="K1082" s="20">
        <v>18.8</v>
      </c>
      <c r="L1082" s="21">
        <v>1.52</v>
      </c>
      <c r="M1082" s="22" t="s">
        <v>869</v>
      </c>
      <c r="N1082" s="23">
        <v>2.2843428571428572</v>
      </c>
      <c r="O1082" s="24">
        <v>0.12150759878419452</v>
      </c>
      <c r="P1082" s="25" t="str">
        <f>IF(P1083="x","x","")</f>
        <v/>
      </c>
      <c r="Q1082" s="25" t="str">
        <f>IF(Q1083="x","x","")</f>
        <v/>
      </c>
      <c r="R1082" s="25" t="str">
        <f>IF(R1083="x","x","")</f>
        <v/>
      </c>
      <c r="S1082" s="25" t="str">
        <f>IF(S1083="x","x","")</f>
        <v/>
      </c>
      <c r="T1082" s="25" t="s">
        <v>27</v>
      </c>
      <c r="U1082" s="26"/>
      <c r="V1082" s="27"/>
    </row>
    <row r="1083" spans="1:22" ht="16.5" thickBot="1" x14ac:dyDescent="0.3">
      <c r="A1083" s="28" t="str">
        <f>A1082</f>
        <v>Macedonia, FYR</v>
      </c>
      <c r="B1083" s="28" t="str">
        <f>B1082</f>
        <v>Europe and Central Asia</v>
      </c>
      <c r="C1083" s="28" t="str">
        <f>C1082</f>
        <v>P107840</v>
      </c>
      <c r="D1083" s="28" t="s">
        <v>26</v>
      </c>
      <c r="E1083" s="28" t="s">
        <v>27</v>
      </c>
      <c r="F1083" s="28" t="str">
        <f>F1082</f>
        <v>P107840C1S9</v>
      </c>
      <c r="G1083" s="28" t="s">
        <v>16</v>
      </c>
      <c r="H1083" s="29" t="str">
        <f>H1081&amp;" / "&amp;H1082</f>
        <v>2008 / 2016</v>
      </c>
      <c r="I1083" s="29" t="str">
        <f>I1082</f>
        <v>Reconstruction</v>
      </c>
      <c r="J1083" s="97" t="str">
        <f>IFERROR(J1082/J1081,"")</f>
        <v/>
      </c>
      <c r="K1083" s="32">
        <f>K1082/K1081</f>
        <v>0.72868217054263562</v>
      </c>
      <c r="L1083" s="32">
        <f>L1082/L1081</f>
        <v>0.45373134328358206</v>
      </c>
      <c r="M1083" s="28"/>
      <c r="N1083" s="32">
        <f>N1082/N1081</f>
        <v>0.4500496375266525</v>
      </c>
      <c r="O1083" s="32">
        <f>O1082/O1081</f>
        <v>0.61762131107381035</v>
      </c>
      <c r="P1083" s="33" t="str">
        <f>IF(K1083&lt;50%,"x","")</f>
        <v/>
      </c>
      <c r="Q1083" s="33" t="str">
        <f>IF(K1083&gt;150%,"x","")</f>
        <v/>
      </c>
      <c r="R1083" s="33" t="str">
        <f>IF(O1083&lt;50%,"x","")</f>
        <v/>
      </c>
      <c r="S1083" s="33" t="str">
        <f>IF(O1083&gt;150%,"x","")</f>
        <v/>
      </c>
      <c r="T1083" s="33" t="s">
        <v>27</v>
      </c>
      <c r="U1083" s="34" t="s">
        <v>27</v>
      </c>
      <c r="V1083" s="35" t="s">
        <v>27</v>
      </c>
    </row>
    <row r="1084" spans="1:22" ht="16.5" thickTop="1" x14ac:dyDescent="0.25">
      <c r="A1084" s="18" t="s">
        <v>166</v>
      </c>
      <c r="B1084" s="18" t="s">
        <v>950</v>
      </c>
      <c r="C1084" s="18" t="s">
        <v>167</v>
      </c>
      <c r="D1084" s="18" t="s">
        <v>26</v>
      </c>
      <c r="E1084" s="18" t="s">
        <v>27</v>
      </c>
      <c r="F1084" s="18" t="s">
        <v>168</v>
      </c>
      <c r="G1084" s="18" t="s">
        <v>29</v>
      </c>
      <c r="H1084" s="19">
        <v>2002</v>
      </c>
      <c r="I1084" s="18" t="s">
        <v>359</v>
      </c>
      <c r="J1084" s="101" t="s">
        <v>27</v>
      </c>
      <c r="K1084" s="20">
        <v>3000</v>
      </c>
      <c r="L1084" s="21">
        <v>30</v>
      </c>
      <c r="M1084" s="22" t="s">
        <v>30</v>
      </c>
      <c r="N1084" s="23">
        <v>30</v>
      </c>
      <c r="O1084" s="24">
        <v>0.01</v>
      </c>
      <c r="P1084" s="25" t="str">
        <f>IF(P1086="x","x","")</f>
        <v>x</v>
      </c>
      <c r="Q1084" s="25" t="str">
        <f>IF(Q1086="x","x","")</f>
        <v/>
      </c>
      <c r="R1084" s="25" t="str">
        <f>IF(R1086="x","x","")</f>
        <v/>
      </c>
      <c r="S1084" s="25" t="str">
        <f>IF(S1086="x","x","")</f>
        <v>x</v>
      </c>
      <c r="T1084" s="25" t="s">
        <v>31</v>
      </c>
      <c r="U1084" s="26"/>
      <c r="V1084" s="27"/>
    </row>
    <row r="1085" spans="1:22" x14ac:dyDescent="0.25">
      <c r="A1085" s="18" t="s">
        <v>166</v>
      </c>
      <c r="B1085" s="18" t="s">
        <v>950</v>
      </c>
      <c r="C1085" s="18" t="s">
        <v>167</v>
      </c>
      <c r="D1085" s="18" t="s">
        <v>26</v>
      </c>
      <c r="E1085" s="18" t="s">
        <v>27</v>
      </c>
      <c r="F1085" s="18" t="s">
        <v>168</v>
      </c>
      <c r="G1085" s="18" t="s">
        <v>32</v>
      </c>
      <c r="H1085" s="19">
        <v>2013</v>
      </c>
      <c r="I1085" s="18" t="s">
        <v>359</v>
      </c>
      <c r="J1085" s="101" t="s">
        <v>27</v>
      </c>
      <c r="K1085" s="20">
        <v>1400</v>
      </c>
      <c r="L1085" s="21">
        <v>28</v>
      </c>
      <c r="M1085" s="22" t="s">
        <v>30</v>
      </c>
      <c r="N1085" s="23">
        <v>28</v>
      </c>
      <c r="O1085" s="24">
        <v>0.02</v>
      </c>
      <c r="P1085" s="25" t="str">
        <f>IF(P1086="x","x","")</f>
        <v>x</v>
      </c>
      <c r="Q1085" s="25" t="str">
        <f>IF(Q1086="x","x","")</f>
        <v/>
      </c>
      <c r="R1085" s="25" t="str">
        <f>IF(R1086="x","x","")</f>
        <v/>
      </c>
      <c r="S1085" s="25" t="str">
        <f>IF(S1086="x","x","")</f>
        <v>x</v>
      </c>
      <c r="T1085" s="25" t="s">
        <v>31</v>
      </c>
      <c r="U1085" s="26"/>
      <c r="V1085" s="27"/>
    </row>
    <row r="1086" spans="1:22" ht="32.25" thickBot="1" x14ac:dyDescent="0.3">
      <c r="A1086" s="28" t="str">
        <f>A1085</f>
        <v>Madagascar</v>
      </c>
      <c r="B1086" s="28" t="str">
        <f>B1085</f>
        <v>Sub-Saharan Africa</v>
      </c>
      <c r="C1086" s="28" t="str">
        <f>C1085</f>
        <v>P073689</v>
      </c>
      <c r="D1086" s="28" t="s">
        <v>26</v>
      </c>
      <c r="E1086" s="28" t="s">
        <v>27</v>
      </c>
      <c r="F1086" s="28" t="str">
        <f>F1085</f>
        <v>P073689C1</v>
      </c>
      <c r="G1086" s="28" t="s">
        <v>16</v>
      </c>
      <c r="H1086" s="29" t="str">
        <f>H1084&amp;" / "&amp;H1085</f>
        <v>2002 / 2013</v>
      </c>
      <c r="I1086" s="29" t="str">
        <f>I1085</f>
        <v>Reconstruction</v>
      </c>
      <c r="J1086" s="97" t="str">
        <f>IFERROR(J1085/J1084,"")</f>
        <v/>
      </c>
      <c r="K1086" s="32">
        <f>K1085/K1084</f>
        <v>0.46666666666666667</v>
      </c>
      <c r="L1086" s="32">
        <f>L1085/L1084</f>
        <v>0.93333333333333335</v>
      </c>
      <c r="M1086" s="28"/>
      <c r="N1086" s="32">
        <f>N1085/N1084</f>
        <v>0.93333333333333335</v>
      </c>
      <c r="O1086" s="32">
        <f>O1085/O1084</f>
        <v>2</v>
      </c>
      <c r="P1086" s="33" t="str">
        <f>IF(K1086&lt;50%,"x","")</f>
        <v>x</v>
      </c>
      <c r="Q1086" s="33" t="str">
        <f>IF(K1086&gt;150%,"x","")</f>
        <v/>
      </c>
      <c r="R1086" s="33" t="str">
        <f>IF(O1086&lt;50%,"x","")</f>
        <v/>
      </c>
      <c r="S1086" s="33" t="str">
        <f>IF(O1086&gt;150%,"x","")</f>
        <v>x</v>
      </c>
      <c r="T1086" s="33" t="s">
        <v>31</v>
      </c>
      <c r="U1086" s="34" t="s">
        <v>1140</v>
      </c>
      <c r="V1086" s="35" t="s">
        <v>1141</v>
      </c>
    </row>
    <row r="1087" spans="1:22" ht="16.5" thickTop="1" x14ac:dyDescent="0.25">
      <c r="A1087" s="18" t="s">
        <v>166</v>
      </c>
      <c r="B1087" s="18" t="s">
        <v>950</v>
      </c>
      <c r="C1087" s="18" t="s">
        <v>251</v>
      </c>
      <c r="D1087" s="18" t="s">
        <v>26</v>
      </c>
      <c r="E1087" s="18" t="s">
        <v>36</v>
      </c>
      <c r="F1087" s="18" t="s">
        <v>252</v>
      </c>
      <c r="G1087" s="18" t="s">
        <v>29</v>
      </c>
      <c r="H1087" s="19">
        <v>2003</v>
      </c>
      <c r="I1087" s="18" t="s">
        <v>68</v>
      </c>
      <c r="J1087" s="101">
        <v>24</v>
      </c>
      <c r="K1087" s="20">
        <v>249</v>
      </c>
      <c r="L1087" s="21">
        <v>6.6901320000000002</v>
      </c>
      <c r="M1087" s="22" t="s">
        <v>30</v>
      </c>
      <c r="N1087" s="23">
        <v>6.6901320000000002</v>
      </c>
      <c r="O1087" s="24">
        <v>2.6868E-2</v>
      </c>
      <c r="P1087" s="25" t="str">
        <f>IF(P1089="x","x","")</f>
        <v/>
      </c>
      <c r="Q1087" s="25" t="str">
        <f>IF(Q1089="x","x","")</f>
        <v/>
      </c>
      <c r="R1087" s="25" t="str">
        <f>IF(R1089="x","x","")</f>
        <v/>
      </c>
      <c r="S1087" s="25" t="str">
        <f>IF(S1089="x","x","")</f>
        <v>x</v>
      </c>
      <c r="T1087" s="25" t="s">
        <v>31</v>
      </c>
      <c r="U1087" s="26"/>
      <c r="V1087" s="27"/>
    </row>
    <row r="1088" spans="1:22" x14ac:dyDescent="0.25">
      <c r="A1088" s="18" t="s">
        <v>166</v>
      </c>
      <c r="B1088" s="18" t="s">
        <v>950</v>
      </c>
      <c r="C1088" s="18" t="s">
        <v>251</v>
      </c>
      <c r="D1088" s="18" t="s">
        <v>26</v>
      </c>
      <c r="E1088" s="18" t="s">
        <v>36</v>
      </c>
      <c r="F1088" s="18" t="s">
        <v>252</v>
      </c>
      <c r="G1088" s="18" t="s">
        <v>32</v>
      </c>
      <c r="H1088" s="19">
        <v>2013</v>
      </c>
      <c r="I1088" s="18" t="s">
        <v>68</v>
      </c>
      <c r="J1088" s="101">
        <v>39</v>
      </c>
      <c r="K1088" s="20">
        <v>314.5</v>
      </c>
      <c r="L1088" s="21">
        <v>42.679537000000003</v>
      </c>
      <c r="M1088" s="22" t="s">
        <v>30</v>
      </c>
      <c r="N1088" s="23">
        <v>42.679537000000003</v>
      </c>
      <c r="O1088" s="24">
        <v>0.13570600000000002</v>
      </c>
      <c r="P1088" s="25" t="str">
        <f>IF(P1089="x","x","")</f>
        <v/>
      </c>
      <c r="Q1088" s="25" t="str">
        <f>IF(Q1089="x","x","")</f>
        <v/>
      </c>
      <c r="R1088" s="25" t="str">
        <f>IF(R1089="x","x","")</f>
        <v/>
      </c>
      <c r="S1088" s="25" t="str">
        <f>IF(S1089="x","x","")</f>
        <v>x</v>
      </c>
      <c r="T1088" s="25" t="s">
        <v>31</v>
      </c>
      <c r="U1088" s="26"/>
      <c r="V1088" s="27"/>
    </row>
    <row r="1089" spans="1:22" ht="63.75" thickBot="1" x14ac:dyDescent="0.3">
      <c r="A1089" s="28" t="str">
        <f>A1088</f>
        <v>Madagascar</v>
      </c>
      <c r="B1089" s="28" t="str">
        <f>B1088</f>
        <v>Sub-Saharan Africa</v>
      </c>
      <c r="C1089" s="28" t="str">
        <f>C1088</f>
        <v>P082806</v>
      </c>
      <c r="D1089" s="28" t="s">
        <v>26</v>
      </c>
      <c r="E1089" s="28" t="s">
        <v>27</v>
      </c>
      <c r="F1089" s="28" t="str">
        <f>F1088</f>
        <v>P082806C1S1</v>
      </c>
      <c r="G1089" s="28" t="s">
        <v>16</v>
      </c>
      <c r="H1089" s="29" t="str">
        <f>H1087&amp;" / "&amp;H1088</f>
        <v>2003 / 2013</v>
      </c>
      <c r="I1089" s="29" t="str">
        <f>I1088</f>
        <v>Asphalt Mix Resurfacing</v>
      </c>
      <c r="J1089" s="97">
        <f>IFERROR(J1088/J1087,"")</f>
        <v>1.625</v>
      </c>
      <c r="K1089" s="32">
        <f>K1088/K1087</f>
        <v>1.2630522088353413</v>
      </c>
      <c r="L1089" s="32">
        <f>L1088/L1087</f>
        <v>6.3794760701283622</v>
      </c>
      <c r="M1089" s="28"/>
      <c r="N1089" s="32">
        <f>N1088/N1087</f>
        <v>6.3794760701283622</v>
      </c>
      <c r="O1089" s="32">
        <f>O1088/O1087</f>
        <v>5.0508411493226149</v>
      </c>
      <c r="P1089" s="33" t="str">
        <f>IF(K1089&lt;50%,"x","")</f>
        <v/>
      </c>
      <c r="Q1089" s="33" t="str">
        <f>IF(K1089&gt;150%,"x","")</f>
        <v/>
      </c>
      <c r="R1089" s="33" t="str">
        <f>IF(O1089&lt;50%,"x","")</f>
        <v/>
      </c>
      <c r="S1089" s="33" t="str">
        <f>IF(O1089&gt;150%,"x","")</f>
        <v>x</v>
      </c>
      <c r="T1089" s="33" t="s">
        <v>31</v>
      </c>
      <c r="U1089" s="34" t="s">
        <v>1160</v>
      </c>
      <c r="V1089" s="35" t="s">
        <v>1161</v>
      </c>
    </row>
    <row r="1090" spans="1:22" ht="16.5" thickTop="1" x14ac:dyDescent="0.25">
      <c r="A1090" s="18" t="s">
        <v>166</v>
      </c>
      <c r="B1090" s="18" t="s">
        <v>950</v>
      </c>
      <c r="C1090" s="18" t="s">
        <v>251</v>
      </c>
      <c r="D1090" s="18" t="s">
        <v>26</v>
      </c>
      <c r="E1090" s="18" t="s">
        <v>40</v>
      </c>
      <c r="F1090" s="18" t="s">
        <v>253</v>
      </c>
      <c r="G1090" s="18" t="s">
        <v>29</v>
      </c>
      <c r="H1090" s="19">
        <v>2003</v>
      </c>
      <c r="I1090" s="18" t="s">
        <v>68</v>
      </c>
      <c r="J1090" s="101">
        <v>17</v>
      </c>
      <c r="K1090" s="20">
        <v>295</v>
      </c>
      <c r="L1090" s="21">
        <v>7.9260599999999997</v>
      </c>
      <c r="M1090" s="22" t="s">
        <v>30</v>
      </c>
      <c r="N1090" s="23">
        <v>7.9260599999999997</v>
      </c>
      <c r="O1090" s="24">
        <v>2.6868E-2</v>
      </c>
      <c r="P1090" s="25" t="str">
        <f>IF(P1092="x","x","")</f>
        <v>x</v>
      </c>
      <c r="Q1090" s="25" t="str">
        <f>IF(Q1092="x","x","")</f>
        <v/>
      </c>
      <c r="R1090" s="25" t="str">
        <f>IF(R1092="x","x","")</f>
        <v/>
      </c>
      <c r="S1090" s="25" t="str">
        <f>IF(S1092="x","x","")</f>
        <v>x</v>
      </c>
      <c r="T1090" s="25" t="s">
        <v>31</v>
      </c>
      <c r="U1090" s="26"/>
      <c r="V1090" s="27"/>
    </row>
    <row r="1091" spans="1:22" x14ac:dyDescent="0.25">
      <c r="A1091" s="18" t="s">
        <v>166</v>
      </c>
      <c r="B1091" s="18" t="s">
        <v>950</v>
      </c>
      <c r="C1091" s="18" t="s">
        <v>251</v>
      </c>
      <c r="D1091" s="18" t="s">
        <v>26</v>
      </c>
      <c r="E1091" s="18" t="s">
        <v>40</v>
      </c>
      <c r="F1091" s="18" t="s">
        <v>253</v>
      </c>
      <c r="G1091" s="18" t="s">
        <v>32</v>
      </c>
      <c r="H1091" s="19">
        <v>2013</v>
      </c>
      <c r="I1091" s="18" t="s">
        <v>68</v>
      </c>
      <c r="J1091" s="101">
        <v>17</v>
      </c>
      <c r="K1091" s="20">
        <v>143.9</v>
      </c>
      <c r="L1091" s="21">
        <v>15.067193400000001</v>
      </c>
      <c r="M1091" s="22" t="s">
        <v>30</v>
      </c>
      <c r="N1091" s="23">
        <v>15.067193400000001</v>
      </c>
      <c r="O1091" s="24">
        <v>0.10470600000000001</v>
      </c>
      <c r="P1091" s="25" t="str">
        <f>IF(P1092="x","x","")</f>
        <v>x</v>
      </c>
      <c r="Q1091" s="25" t="str">
        <f>IF(Q1092="x","x","")</f>
        <v/>
      </c>
      <c r="R1091" s="25" t="str">
        <f>IF(R1092="x","x","")</f>
        <v/>
      </c>
      <c r="S1091" s="25" t="str">
        <f>IF(S1092="x","x","")</f>
        <v>x</v>
      </c>
      <c r="T1091" s="25" t="s">
        <v>31</v>
      </c>
      <c r="U1091" s="26"/>
      <c r="V1091" s="27"/>
    </row>
    <row r="1092" spans="1:22" ht="79.5" thickBot="1" x14ac:dyDescent="0.3">
      <c r="A1092" s="28" t="str">
        <f>A1091</f>
        <v>Madagascar</v>
      </c>
      <c r="B1092" s="28" t="str">
        <f>B1091</f>
        <v>Sub-Saharan Africa</v>
      </c>
      <c r="C1092" s="28" t="str">
        <f>C1091</f>
        <v>P082806</v>
      </c>
      <c r="D1092" s="28" t="s">
        <v>26</v>
      </c>
      <c r="E1092" s="28" t="s">
        <v>27</v>
      </c>
      <c r="F1092" s="28" t="str">
        <f>F1091</f>
        <v>P082806C1S2</v>
      </c>
      <c r="G1092" s="28" t="s">
        <v>16</v>
      </c>
      <c r="H1092" s="29" t="str">
        <f>H1090&amp;" / "&amp;H1091</f>
        <v>2003 / 2013</v>
      </c>
      <c r="I1092" s="29" t="str">
        <f>I1091</f>
        <v>Asphalt Mix Resurfacing</v>
      </c>
      <c r="J1092" s="97">
        <f>IFERROR(J1091/J1090,"")</f>
        <v>1</v>
      </c>
      <c r="K1092" s="32">
        <f>K1091/K1090</f>
        <v>0.48779661016949155</v>
      </c>
      <c r="L1092" s="32">
        <f>L1091/L1090</f>
        <v>1.9009688798722191</v>
      </c>
      <c r="M1092" s="28"/>
      <c r="N1092" s="32">
        <f>N1091/N1090</f>
        <v>1.9009688798722191</v>
      </c>
      <c r="O1092" s="32">
        <f>O1091/O1090</f>
        <v>3.897052255471193</v>
      </c>
      <c r="P1092" s="33" t="str">
        <f>IF(K1092&lt;50%,"x","")</f>
        <v>x</v>
      </c>
      <c r="Q1092" s="33" t="str">
        <f>IF(K1092&gt;150%,"x","")</f>
        <v/>
      </c>
      <c r="R1092" s="33" t="str">
        <f>IF(O1092&lt;50%,"x","")</f>
        <v/>
      </c>
      <c r="S1092" s="33" t="str">
        <f>IF(O1092&gt;150%,"x","")</f>
        <v>x</v>
      </c>
      <c r="T1092" s="33" t="s">
        <v>31</v>
      </c>
      <c r="U1092" s="34" t="s">
        <v>1162</v>
      </c>
      <c r="V1092" s="35" t="s">
        <v>1163</v>
      </c>
    </row>
    <row r="1093" spans="1:22" ht="16.5" thickTop="1" x14ac:dyDescent="0.25">
      <c r="A1093" s="18" t="s">
        <v>166</v>
      </c>
      <c r="B1093" s="18" t="s">
        <v>950</v>
      </c>
      <c r="C1093" s="18" t="s">
        <v>251</v>
      </c>
      <c r="D1093" s="18" t="s">
        <v>26</v>
      </c>
      <c r="E1093" s="18" t="s">
        <v>69</v>
      </c>
      <c r="F1093" s="18" t="s">
        <v>254</v>
      </c>
      <c r="G1093" s="18" t="s">
        <v>29</v>
      </c>
      <c r="H1093" s="19">
        <v>2003</v>
      </c>
      <c r="I1093" s="18" t="s">
        <v>122</v>
      </c>
      <c r="J1093" s="101">
        <v>36</v>
      </c>
      <c r="K1093" s="20">
        <v>181</v>
      </c>
      <c r="L1093" s="21">
        <v>59.327818000000001</v>
      </c>
      <c r="M1093" s="22" t="s">
        <v>30</v>
      </c>
      <c r="N1093" s="23">
        <v>59.327818000000001</v>
      </c>
      <c r="O1093" s="24">
        <v>0.32777800000000001</v>
      </c>
      <c r="P1093" s="25" t="str">
        <f>IF(P1095="x","x","")</f>
        <v/>
      </c>
      <c r="Q1093" s="25" t="str">
        <f>IF(Q1095="x","x","")</f>
        <v/>
      </c>
      <c r="R1093" s="25" t="str">
        <f>IF(R1095="x","x","")</f>
        <v>x</v>
      </c>
      <c r="S1093" s="25" t="str">
        <f>IF(S1095="x","x","")</f>
        <v/>
      </c>
      <c r="T1093" s="25" t="s">
        <v>31</v>
      </c>
      <c r="U1093" s="26"/>
      <c r="V1093" s="27"/>
    </row>
    <row r="1094" spans="1:22" x14ac:dyDescent="0.25">
      <c r="A1094" s="18" t="s">
        <v>166</v>
      </c>
      <c r="B1094" s="18" t="s">
        <v>950</v>
      </c>
      <c r="C1094" s="18" t="s">
        <v>251</v>
      </c>
      <c r="D1094" s="18" t="s">
        <v>26</v>
      </c>
      <c r="E1094" s="18" t="s">
        <v>69</v>
      </c>
      <c r="F1094" s="18" t="s">
        <v>254</v>
      </c>
      <c r="G1094" s="18" t="s">
        <v>32</v>
      </c>
      <c r="H1094" s="19">
        <v>2013</v>
      </c>
      <c r="I1094" s="18" t="s">
        <v>122</v>
      </c>
      <c r="J1094" s="101">
        <v>10</v>
      </c>
      <c r="K1094" s="20">
        <v>183</v>
      </c>
      <c r="L1094" s="21">
        <v>5.8616729999999997</v>
      </c>
      <c r="M1094" s="22" t="s">
        <v>30</v>
      </c>
      <c r="N1094" s="23">
        <v>5.8616729999999997</v>
      </c>
      <c r="O1094" s="24">
        <v>3.2030999999999997E-2</v>
      </c>
      <c r="P1094" s="25" t="str">
        <f>IF(P1095="x","x","")</f>
        <v/>
      </c>
      <c r="Q1094" s="25" t="str">
        <f>IF(Q1095="x","x","")</f>
        <v/>
      </c>
      <c r="R1094" s="25" t="str">
        <f>IF(R1095="x","x","")</f>
        <v>x</v>
      </c>
      <c r="S1094" s="25" t="str">
        <f>IF(S1095="x","x","")</f>
        <v/>
      </c>
      <c r="T1094" s="25" t="s">
        <v>31</v>
      </c>
      <c r="U1094" s="26"/>
      <c r="V1094" s="27"/>
    </row>
    <row r="1095" spans="1:22" ht="48" thickBot="1" x14ac:dyDescent="0.3">
      <c r="A1095" s="28" t="str">
        <f>A1094</f>
        <v>Madagascar</v>
      </c>
      <c r="B1095" s="28" t="str">
        <f>B1094</f>
        <v>Sub-Saharan Africa</v>
      </c>
      <c r="C1095" s="28" t="str">
        <f>C1094</f>
        <v>P082806</v>
      </c>
      <c r="D1095" s="28" t="s">
        <v>26</v>
      </c>
      <c r="E1095" s="28" t="s">
        <v>27</v>
      </c>
      <c r="F1095" s="28" t="str">
        <f>F1094</f>
        <v>P082806C1S3</v>
      </c>
      <c r="G1095" s="28" t="s">
        <v>16</v>
      </c>
      <c r="H1095" s="29" t="str">
        <f>H1093&amp;" / "&amp;H1094</f>
        <v>2003 / 2013</v>
      </c>
      <c r="I1095" s="29" t="str">
        <f>I1094</f>
        <v>Gravel Resurfacing</v>
      </c>
      <c r="J1095" s="97">
        <f>IFERROR(J1094/J1093,"")</f>
        <v>0.27777777777777779</v>
      </c>
      <c r="K1095" s="32">
        <f>K1094/K1093</f>
        <v>1.011049723756906</v>
      </c>
      <c r="L1095" s="32">
        <f>L1094/L1093</f>
        <v>9.8801425665107037E-2</v>
      </c>
      <c r="M1095" s="28"/>
      <c r="N1095" s="32">
        <f>N1094/N1093</f>
        <v>9.8801425665107037E-2</v>
      </c>
      <c r="O1095" s="32">
        <f>O1094/O1093</f>
        <v>9.7721628663302584E-2</v>
      </c>
      <c r="P1095" s="33" t="str">
        <f>IF(K1095&lt;50%,"x","")</f>
        <v/>
      </c>
      <c r="Q1095" s="33" t="str">
        <f>IF(K1095&gt;150%,"x","")</f>
        <v/>
      </c>
      <c r="R1095" s="33" t="str">
        <f>IF(O1095&lt;50%,"x","")</f>
        <v>x</v>
      </c>
      <c r="S1095" s="33" t="str">
        <f>IF(O1095&gt;150%,"x","")</f>
        <v/>
      </c>
      <c r="T1095" s="33" t="s">
        <v>31</v>
      </c>
      <c r="U1095" s="34" t="s">
        <v>1164</v>
      </c>
      <c r="V1095" s="35" t="s">
        <v>1165</v>
      </c>
    </row>
    <row r="1096" spans="1:22" ht="16.5" thickTop="1" x14ac:dyDescent="0.25">
      <c r="A1096" s="18" t="s">
        <v>166</v>
      </c>
      <c r="B1096" s="18" t="s">
        <v>950</v>
      </c>
      <c r="C1096" s="18" t="s">
        <v>433</v>
      </c>
      <c r="D1096" s="18" t="s">
        <v>26</v>
      </c>
      <c r="E1096" s="18" t="s">
        <v>36</v>
      </c>
      <c r="F1096" s="18" t="s">
        <v>434</v>
      </c>
      <c r="G1096" s="18" t="s">
        <v>29</v>
      </c>
      <c r="H1096" s="19">
        <v>2000</v>
      </c>
      <c r="I1096" s="18" t="s">
        <v>78</v>
      </c>
      <c r="J1096" s="101" t="s">
        <v>27</v>
      </c>
      <c r="K1096" s="20">
        <v>527</v>
      </c>
      <c r="L1096" s="21">
        <v>9.4</v>
      </c>
      <c r="M1096" s="22" t="s">
        <v>30</v>
      </c>
      <c r="N1096" s="23">
        <v>9.4</v>
      </c>
      <c r="O1096" s="24">
        <v>1.7836812144212524E-2</v>
      </c>
      <c r="P1096" s="25" t="str">
        <f>IF(P1098="x","x","")</f>
        <v/>
      </c>
      <c r="Q1096" s="25" t="str">
        <f>IF(Q1098="x","x","")</f>
        <v/>
      </c>
      <c r="R1096" s="25" t="str">
        <f>IF(R1098="x","x","")</f>
        <v/>
      </c>
      <c r="S1096" s="25" t="str">
        <f>IF(S1098="x","x","")</f>
        <v>x</v>
      </c>
      <c r="T1096" s="25" t="s">
        <v>31</v>
      </c>
      <c r="U1096" s="26"/>
      <c r="V1096" s="27"/>
    </row>
    <row r="1097" spans="1:22" x14ac:dyDescent="0.25">
      <c r="A1097" s="18" t="s">
        <v>166</v>
      </c>
      <c r="B1097" s="18" t="s">
        <v>950</v>
      </c>
      <c r="C1097" s="18" t="s">
        <v>433</v>
      </c>
      <c r="D1097" s="18" t="s">
        <v>26</v>
      </c>
      <c r="E1097" s="18" t="s">
        <v>36</v>
      </c>
      <c r="F1097" s="18" t="s">
        <v>434</v>
      </c>
      <c r="G1097" s="18" t="s">
        <v>32</v>
      </c>
      <c r="H1097" s="19">
        <v>2006</v>
      </c>
      <c r="I1097" s="18" t="s">
        <v>78</v>
      </c>
      <c r="J1097" s="101" t="s">
        <v>27</v>
      </c>
      <c r="K1097" s="20">
        <v>527</v>
      </c>
      <c r="L1097" s="21">
        <v>20.9</v>
      </c>
      <c r="M1097" s="22" t="s">
        <v>30</v>
      </c>
      <c r="N1097" s="23">
        <v>20.9</v>
      </c>
      <c r="O1097" s="24">
        <v>3.9658444022770398E-2</v>
      </c>
      <c r="P1097" s="25" t="str">
        <f>IF(P1098="x","x","")</f>
        <v/>
      </c>
      <c r="Q1097" s="25" t="str">
        <f>IF(Q1098="x","x","")</f>
        <v/>
      </c>
      <c r="R1097" s="25" t="str">
        <f>IF(R1098="x","x","")</f>
        <v/>
      </c>
      <c r="S1097" s="25" t="str">
        <f>IF(S1098="x","x","")</f>
        <v>x</v>
      </c>
      <c r="T1097" s="25" t="s">
        <v>31</v>
      </c>
      <c r="U1097" s="26"/>
      <c r="V1097" s="27"/>
    </row>
    <row r="1098" spans="1:22" ht="63.75" thickBot="1" x14ac:dyDescent="0.3">
      <c r="A1098" s="28" t="str">
        <f>A1097</f>
        <v>Madagascar</v>
      </c>
      <c r="B1098" s="28" t="str">
        <f>B1097</f>
        <v>Sub-Saharan Africa</v>
      </c>
      <c r="C1098" s="28" t="str">
        <f>C1097</f>
        <v>P052208</v>
      </c>
      <c r="D1098" s="28" t="s">
        <v>26</v>
      </c>
      <c r="E1098" s="28" t="s">
        <v>27</v>
      </c>
      <c r="F1098" s="28" t="str">
        <f>F1097</f>
        <v>P052208C1S1</v>
      </c>
      <c r="G1098" s="28" t="s">
        <v>16</v>
      </c>
      <c r="H1098" s="29" t="str">
        <f>H1096&amp;" / "&amp;H1097</f>
        <v>2000 / 2006</v>
      </c>
      <c r="I1098" s="29" t="str">
        <f>I1097</f>
        <v>Surface Treatment Resurfacing</v>
      </c>
      <c r="J1098" s="97" t="str">
        <f>IFERROR(J1097/J1096,"")</f>
        <v/>
      </c>
      <c r="K1098" s="32">
        <f>K1097/K1096</f>
        <v>1</v>
      </c>
      <c r="L1098" s="32">
        <f>L1097/L1096</f>
        <v>2.2234042553191489</v>
      </c>
      <c r="M1098" s="28"/>
      <c r="N1098" s="32">
        <f>N1097/N1096</f>
        <v>2.2234042553191489</v>
      </c>
      <c r="O1098" s="32">
        <f>O1097/O1096</f>
        <v>2.2234042553191489</v>
      </c>
      <c r="P1098" s="33" t="str">
        <f>IF(K1098&lt;50%,"x","")</f>
        <v/>
      </c>
      <c r="Q1098" s="33" t="str">
        <f>IF(K1098&gt;150%,"x","")</f>
        <v/>
      </c>
      <c r="R1098" s="33" t="str">
        <f>IF(O1098&lt;50%,"x","")</f>
        <v/>
      </c>
      <c r="S1098" s="33" t="str">
        <f>IF(O1098&gt;150%,"x","")</f>
        <v>x</v>
      </c>
      <c r="T1098" s="33" t="s">
        <v>31</v>
      </c>
      <c r="U1098" s="34" t="s">
        <v>978</v>
      </c>
      <c r="V1098" s="35" t="s">
        <v>979</v>
      </c>
    </row>
    <row r="1099" spans="1:22" ht="16.5" thickTop="1" x14ac:dyDescent="0.25">
      <c r="A1099" s="18" t="s">
        <v>1258</v>
      </c>
      <c r="B1099" s="18" t="s">
        <v>950</v>
      </c>
      <c r="C1099" s="18" t="s">
        <v>1259</v>
      </c>
      <c r="D1099" s="18" t="s">
        <v>26</v>
      </c>
      <c r="E1099" s="18" t="s">
        <v>27</v>
      </c>
      <c r="F1099" s="18" t="s">
        <v>1285</v>
      </c>
      <c r="G1099" s="18" t="s">
        <v>29</v>
      </c>
      <c r="H1099" s="19">
        <v>1987</v>
      </c>
      <c r="I1099" s="18" t="s">
        <v>387</v>
      </c>
      <c r="J1099" s="101" t="s">
        <v>27</v>
      </c>
      <c r="K1099" s="20">
        <v>62</v>
      </c>
      <c r="L1099" s="21">
        <v>1.0149999999999999</v>
      </c>
      <c r="M1099" s="22" t="s">
        <v>1260</v>
      </c>
      <c r="N1099" s="23">
        <v>0.46136363636363631</v>
      </c>
      <c r="O1099" s="24">
        <v>7.4413489736070374E-3</v>
      </c>
      <c r="P1099" s="25" t="s">
        <v>31</v>
      </c>
      <c r="Q1099" s="25" t="s">
        <v>27</v>
      </c>
      <c r="R1099" s="25" t="s">
        <v>31</v>
      </c>
      <c r="S1099" s="25"/>
      <c r="T1099" s="25"/>
      <c r="U1099" s="26"/>
      <c r="V1099" s="27"/>
    </row>
    <row r="1100" spans="1:22" x14ac:dyDescent="0.25">
      <c r="A1100" s="18" t="s">
        <v>1258</v>
      </c>
      <c r="B1100" s="18" t="s">
        <v>950</v>
      </c>
      <c r="C1100" s="18" t="s">
        <v>1259</v>
      </c>
      <c r="D1100" s="18" t="s">
        <v>26</v>
      </c>
      <c r="E1100" s="18" t="s">
        <v>27</v>
      </c>
      <c r="F1100" s="18" t="s">
        <v>1285</v>
      </c>
      <c r="G1100" s="18" t="s">
        <v>32</v>
      </c>
      <c r="H1100" s="19">
        <v>1999</v>
      </c>
      <c r="I1100" s="18" t="s">
        <v>387</v>
      </c>
      <c r="J1100" s="101" t="s">
        <v>27</v>
      </c>
      <c r="K1100" s="20">
        <v>65</v>
      </c>
      <c r="L1100" s="21">
        <v>1.8939999999999999</v>
      </c>
      <c r="M1100" s="22" t="s">
        <v>1260</v>
      </c>
      <c r="N1100" s="23">
        <v>4.2967332123411979E-2</v>
      </c>
      <c r="O1100" s="24">
        <v>6.6103587882172278E-4</v>
      </c>
      <c r="P1100" s="25" t="s">
        <v>31</v>
      </c>
      <c r="Q1100" s="25" t="s">
        <v>27</v>
      </c>
      <c r="R1100" s="25" t="s">
        <v>31</v>
      </c>
      <c r="S1100" s="25"/>
      <c r="T1100" s="25"/>
      <c r="U1100" s="26"/>
      <c r="V1100" s="27"/>
    </row>
    <row r="1101" spans="1:22" ht="48" thickBot="1" x14ac:dyDescent="0.3">
      <c r="A1101" s="28" t="str">
        <f>A1100</f>
        <v>Malawi</v>
      </c>
      <c r="B1101" s="28" t="str">
        <f>B1100</f>
        <v>Sub-Saharan Africa</v>
      </c>
      <c r="C1101" s="28" t="str">
        <f>C1100</f>
        <v>AfDB loan F/MLW/AGR(RD)/87/15</v>
      </c>
      <c r="D1101" s="28" t="s">
        <v>26</v>
      </c>
      <c r="E1101" s="28" t="s">
        <v>27</v>
      </c>
      <c r="F1101" s="28" t="str">
        <f>F1100</f>
        <v>AfDB loan F/MLW/AGR(RD)/87/15C1</v>
      </c>
      <c r="G1101" s="28" t="s">
        <v>16</v>
      </c>
      <c r="H1101" s="29" t="str">
        <f>H1099&amp;" / "&amp;H1100</f>
        <v>1987 / 1999</v>
      </c>
      <c r="I1101" s="29" t="str">
        <f>I1100</f>
        <v>Upgrading</v>
      </c>
      <c r="J1101" s="97" t="str">
        <f>IFERROR(J1100/J1099,"")</f>
        <v/>
      </c>
      <c r="K1101" s="32">
        <f>K1100/K1099</f>
        <v>1.0483870967741935</v>
      </c>
      <c r="L1101" s="32">
        <f>L1100/L1099</f>
        <v>1.8660098522167488</v>
      </c>
      <c r="M1101" s="28"/>
      <c r="N1101" s="32">
        <f>N1100/N1099</f>
        <v>9.313116322315898E-2</v>
      </c>
      <c r="O1101" s="32">
        <f>O1100/O1099</f>
        <v>8.8832801843628573E-2</v>
      </c>
      <c r="P1101" s="33" t="s">
        <v>31</v>
      </c>
      <c r="Q1101" s="33" t="s">
        <v>27</v>
      </c>
      <c r="R1101" s="33" t="s">
        <v>31</v>
      </c>
      <c r="S1101" s="33" t="s">
        <v>18</v>
      </c>
      <c r="T1101" s="33" t="s">
        <v>1333</v>
      </c>
      <c r="U1101" s="34" t="s">
        <v>1334</v>
      </c>
      <c r="V1101" s="35" t="s">
        <v>1335</v>
      </c>
    </row>
    <row r="1102" spans="1:22" ht="16.5" thickTop="1" x14ac:dyDescent="0.25">
      <c r="A1102" s="18" t="s">
        <v>220</v>
      </c>
      <c r="B1102" s="18" t="s">
        <v>950</v>
      </c>
      <c r="C1102" s="18" t="s">
        <v>221</v>
      </c>
      <c r="D1102" s="18" t="s">
        <v>26</v>
      </c>
      <c r="E1102" s="18" t="s">
        <v>40</v>
      </c>
      <c r="F1102" s="18" t="s">
        <v>222</v>
      </c>
      <c r="G1102" s="18" t="s">
        <v>29</v>
      </c>
      <c r="H1102" s="19">
        <v>2008</v>
      </c>
      <c r="I1102" s="18" t="s">
        <v>68</v>
      </c>
      <c r="J1102" s="101" t="s">
        <v>27</v>
      </c>
      <c r="K1102" s="20">
        <v>154</v>
      </c>
      <c r="L1102" s="21">
        <v>4</v>
      </c>
      <c r="M1102" s="22" t="s">
        <v>30</v>
      </c>
      <c r="N1102" s="23">
        <v>4</v>
      </c>
      <c r="O1102" s="24">
        <v>2.5974025974025976E-2</v>
      </c>
      <c r="P1102" s="25" t="str">
        <f>IF(P1104="x","x","")</f>
        <v/>
      </c>
      <c r="Q1102" s="25" t="str">
        <f>IF(Q1104="x","x","")</f>
        <v/>
      </c>
      <c r="R1102" s="25" t="str">
        <f>IF(R1104="x","x","")</f>
        <v/>
      </c>
      <c r="S1102" s="25" t="str">
        <f>IF(S1104="x","x","")</f>
        <v>x</v>
      </c>
      <c r="T1102" s="25" t="s">
        <v>31</v>
      </c>
      <c r="U1102" s="26"/>
      <c r="V1102" s="27"/>
    </row>
    <row r="1103" spans="1:22" x14ac:dyDescent="0.25">
      <c r="A1103" s="18" t="s">
        <v>220</v>
      </c>
      <c r="B1103" s="18" t="s">
        <v>950</v>
      </c>
      <c r="C1103" s="18" t="s">
        <v>221</v>
      </c>
      <c r="D1103" s="18" t="s">
        <v>26</v>
      </c>
      <c r="E1103" s="18" t="s">
        <v>40</v>
      </c>
      <c r="F1103" s="18" t="s">
        <v>222</v>
      </c>
      <c r="G1103" s="18" t="s">
        <v>32</v>
      </c>
      <c r="H1103" s="19">
        <v>2015</v>
      </c>
      <c r="I1103" s="18" t="s">
        <v>68</v>
      </c>
      <c r="J1103" s="101">
        <v>47</v>
      </c>
      <c r="K1103" s="20">
        <v>199</v>
      </c>
      <c r="L1103" s="21">
        <v>27.6</v>
      </c>
      <c r="M1103" s="22" t="s">
        <v>30</v>
      </c>
      <c r="N1103" s="23">
        <v>27.6</v>
      </c>
      <c r="O1103" s="24">
        <v>0.13869346733668342</v>
      </c>
      <c r="P1103" s="25" t="str">
        <f>IF(P1104="x","x","")</f>
        <v/>
      </c>
      <c r="Q1103" s="25" t="str">
        <f>IF(Q1104="x","x","")</f>
        <v/>
      </c>
      <c r="R1103" s="25" t="str">
        <f>IF(R1104="x","x","")</f>
        <v/>
      </c>
      <c r="S1103" s="25" t="str">
        <f>IF(S1104="x","x","")</f>
        <v>x</v>
      </c>
      <c r="T1103" s="25" t="s">
        <v>31</v>
      </c>
      <c r="U1103" s="26"/>
      <c r="V1103" s="27"/>
    </row>
    <row r="1104" spans="1:22" ht="63.75" thickBot="1" x14ac:dyDescent="0.3">
      <c r="A1104" s="28" t="str">
        <f>A1103</f>
        <v>Mali</v>
      </c>
      <c r="B1104" s="28" t="str">
        <f>B1103</f>
        <v>Sub-Saharan Africa</v>
      </c>
      <c r="C1104" s="28" t="str">
        <f>C1103</f>
        <v>P079749_2</v>
      </c>
      <c r="D1104" s="28" t="s">
        <v>26</v>
      </c>
      <c r="E1104" s="28" t="s">
        <v>27</v>
      </c>
      <c r="F1104" s="28" t="str">
        <f>F1103</f>
        <v>P079749_2C1S2</v>
      </c>
      <c r="G1104" s="28" t="s">
        <v>16</v>
      </c>
      <c r="H1104" s="29" t="str">
        <f>H1102&amp;" / "&amp;H1103</f>
        <v>2008 / 2015</v>
      </c>
      <c r="I1104" s="29" t="str">
        <f>I1103</f>
        <v>Asphalt Mix Resurfacing</v>
      </c>
      <c r="J1104" s="97" t="str">
        <f>IFERROR(J1103/J1102,"")</f>
        <v/>
      </c>
      <c r="K1104" s="32">
        <f>K1103/K1102</f>
        <v>1.2922077922077921</v>
      </c>
      <c r="L1104" s="32">
        <f>L1103/L1102</f>
        <v>6.9</v>
      </c>
      <c r="M1104" s="28"/>
      <c r="N1104" s="32">
        <f>N1103/N1102</f>
        <v>6.9</v>
      </c>
      <c r="O1104" s="32">
        <f>O1103/O1102</f>
        <v>5.3396984924623112</v>
      </c>
      <c r="P1104" s="33" t="str">
        <f>IF(K1104&lt;50%,"x","")</f>
        <v/>
      </c>
      <c r="Q1104" s="33" t="str">
        <f>IF(K1104&gt;150%,"x","")</f>
        <v/>
      </c>
      <c r="R1104" s="33" t="str">
        <f>IF(O1104&lt;50%,"x","")</f>
        <v/>
      </c>
      <c r="S1104" s="33" t="str">
        <f>IF(O1104&gt;150%,"x","")</f>
        <v>x</v>
      </c>
      <c r="T1104" s="33" t="s">
        <v>31</v>
      </c>
      <c r="U1104" s="34" t="s">
        <v>982</v>
      </c>
      <c r="V1104" s="35" t="s">
        <v>1155</v>
      </c>
    </row>
    <row r="1105" spans="1:22" ht="16.5" thickTop="1" x14ac:dyDescent="0.25">
      <c r="A1105" s="18" t="s">
        <v>220</v>
      </c>
      <c r="B1105" s="18" t="s">
        <v>950</v>
      </c>
      <c r="C1105" s="18" t="s">
        <v>279</v>
      </c>
      <c r="D1105" s="18" t="s">
        <v>26</v>
      </c>
      <c r="E1105" s="18" t="s">
        <v>27</v>
      </c>
      <c r="F1105" s="18" t="s">
        <v>280</v>
      </c>
      <c r="G1105" s="18" t="s">
        <v>29</v>
      </c>
      <c r="H1105" s="19">
        <v>2007</v>
      </c>
      <c r="I1105" s="18" t="s">
        <v>122</v>
      </c>
      <c r="J1105" s="101" t="s">
        <v>27</v>
      </c>
      <c r="K1105" s="20">
        <v>2150</v>
      </c>
      <c r="L1105" s="21">
        <v>81</v>
      </c>
      <c r="M1105" s="22" t="s">
        <v>30</v>
      </c>
      <c r="N1105" s="23">
        <v>81</v>
      </c>
      <c r="O1105" s="24">
        <v>3.7674418604651164E-2</v>
      </c>
      <c r="P1105" s="25" t="str">
        <f>IF(P1107="x","x","")</f>
        <v/>
      </c>
      <c r="Q1105" s="25" t="str">
        <f>IF(Q1107="x","x","")</f>
        <v/>
      </c>
      <c r="R1105" s="25" t="str">
        <f>IF(R1107="x","x","")</f>
        <v/>
      </c>
      <c r="S1105" s="25" t="str">
        <f>IF(S1107="x","x","")</f>
        <v/>
      </c>
      <c r="T1105" s="25" t="s">
        <v>27</v>
      </c>
      <c r="U1105" s="26"/>
      <c r="V1105" s="27"/>
    </row>
    <row r="1106" spans="1:22" x14ac:dyDescent="0.25">
      <c r="A1106" s="18" t="s">
        <v>220</v>
      </c>
      <c r="B1106" s="18" t="s">
        <v>950</v>
      </c>
      <c r="C1106" s="18" t="s">
        <v>279</v>
      </c>
      <c r="D1106" s="18" t="s">
        <v>26</v>
      </c>
      <c r="E1106" s="18" t="s">
        <v>27</v>
      </c>
      <c r="F1106" s="18" t="s">
        <v>280</v>
      </c>
      <c r="G1106" s="18" t="s">
        <v>32</v>
      </c>
      <c r="H1106" s="19">
        <v>2016</v>
      </c>
      <c r="I1106" s="18" t="s">
        <v>122</v>
      </c>
      <c r="J1106" s="101">
        <v>37</v>
      </c>
      <c r="K1106" s="20">
        <v>2485</v>
      </c>
      <c r="L1106" s="21">
        <v>76.77</v>
      </c>
      <c r="M1106" s="22" t="s">
        <v>30</v>
      </c>
      <c r="N1106" s="23">
        <v>76.77</v>
      </c>
      <c r="O1106" s="24">
        <v>3.0893360160965794E-2</v>
      </c>
      <c r="P1106" s="25" t="str">
        <f>IF(P1107="x","x","")</f>
        <v/>
      </c>
      <c r="Q1106" s="25" t="str">
        <f>IF(Q1107="x","x","")</f>
        <v/>
      </c>
      <c r="R1106" s="25" t="str">
        <f>IF(R1107="x","x","")</f>
        <v/>
      </c>
      <c r="S1106" s="25" t="str">
        <f>IF(S1107="x","x","")</f>
        <v/>
      </c>
      <c r="T1106" s="25" t="s">
        <v>27</v>
      </c>
      <c r="U1106" s="26"/>
      <c r="V1106" s="27"/>
    </row>
    <row r="1107" spans="1:22" ht="16.5" thickBot="1" x14ac:dyDescent="0.3">
      <c r="A1107" s="28" t="str">
        <f>A1106</f>
        <v>Mali</v>
      </c>
      <c r="B1107" s="28" t="str">
        <f>B1106</f>
        <v>Sub-Saharan Africa</v>
      </c>
      <c r="C1107" s="28" t="str">
        <f>C1106</f>
        <v>P090075</v>
      </c>
      <c r="D1107" s="28" t="s">
        <v>26</v>
      </c>
      <c r="E1107" s="28" t="s">
        <v>27</v>
      </c>
      <c r="F1107" s="28" t="str">
        <f>F1106</f>
        <v>P090075C1</v>
      </c>
      <c r="G1107" s="28" t="s">
        <v>16</v>
      </c>
      <c r="H1107" s="29" t="str">
        <f>H1105&amp;" / "&amp;H1106</f>
        <v>2007 / 2016</v>
      </c>
      <c r="I1107" s="29" t="str">
        <f>I1106</f>
        <v>Gravel Resurfacing</v>
      </c>
      <c r="J1107" s="97" t="str">
        <f>IFERROR(J1106/J1105,"")</f>
        <v/>
      </c>
      <c r="K1107" s="32">
        <f>K1106/K1105</f>
        <v>1.155813953488372</v>
      </c>
      <c r="L1107" s="32">
        <f>L1106/L1105</f>
        <v>0.94777777777777772</v>
      </c>
      <c r="M1107" s="28"/>
      <c r="N1107" s="32">
        <f>N1106/N1105</f>
        <v>0.94777777777777772</v>
      </c>
      <c r="O1107" s="32">
        <f>O1106/O1105</f>
        <v>0.8200089425441538</v>
      </c>
      <c r="P1107" s="33" t="str">
        <f>IF(K1107&lt;50%,"x","")</f>
        <v/>
      </c>
      <c r="Q1107" s="33" t="str">
        <f>IF(K1107&gt;150%,"x","")</f>
        <v/>
      </c>
      <c r="R1107" s="33" t="str">
        <f>IF(O1107&lt;50%,"x","")</f>
        <v/>
      </c>
      <c r="S1107" s="33" t="str">
        <f>IF(O1107&gt;150%,"x","")</f>
        <v/>
      </c>
      <c r="T1107" s="33" t="s">
        <v>27</v>
      </c>
      <c r="U1107" s="34" t="s">
        <v>27</v>
      </c>
      <c r="V1107" s="35" t="s">
        <v>27</v>
      </c>
    </row>
    <row r="1108" spans="1:22" ht="16.5" thickTop="1" x14ac:dyDescent="0.25">
      <c r="A1108" s="18" t="s">
        <v>220</v>
      </c>
      <c r="B1108" s="18" t="s">
        <v>950</v>
      </c>
      <c r="C1108" s="18" t="s">
        <v>709</v>
      </c>
      <c r="D1108" s="18" t="s">
        <v>26</v>
      </c>
      <c r="E1108" s="18" t="s">
        <v>27</v>
      </c>
      <c r="F1108" s="18" t="s">
        <v>710</v>
      </c>
      <c r="G1108" s="18" t="s">
        <v>29</v>
      </c>
      <c r="H1108" s="19">
        <v>2004</v>
      </c>
      <c r="I1108" s="18" t="s">
        <v>68</v>
      </c>
      <c r="J1108" s="101">
        <v>60</v>
      </c>
      <c r="K1108" s="20">
        <v>564</v>
      </c>
      <c r="L1108" s="21">
        <v>32.479999999999997</v>
      </c>
      <c r="M1108" s="22" t="s">
        <v>30</v>
      </c>
      <c r="N1108" s="23">
        <v>32.479999999999997</v>
      </c>
      <c r="O1108" s="24">
        <v>5.7588652482269499E-2</v>
      </c>
      <c r="P1108" s="25" t="str">
        <f>IF(P1110="x","x","")</f>
        <v>x</v>
      </c>
      <c r="Q1108" s="25" t="str">
        <f>IF(Q1110="x","x","")</f>
        <v/>
      </c>
      <c r="R1108" s="25" t="str">
        <f>IF(R1110="x","x","")</f>
        <v/>
      </c>
      <c r="S1108" s="25" t="str">
        <f>IF(S1110="x","x","")</f>
        <v>x</v>
      </c>
      <c r="T1108" s="25" t="s">
        <v>31</v>
      </c>
      <c r="U1108" s="26"/>
      <c r="V1108" s="27"/>
    </row>
    <row r="1109" spans="1:22" x14ac:dyDescent="0.25">
      <c r="A1109" s="18" t="s">
        <v>220</v>
      </c>
      <c r="B1109" s="18" t="s">
        <v>950</v>
      </c>
      <c r="C1109" s="18" t="s">
        <v>709</v>
      </c>
      <c r="D1109" s="18" t="s">
        <v>26</v>
      </c>
      <c r="E1109" s="18" t="s">
        <v>27</v>
      </c>
      <c r="F1109" s="18" t="s">
        <v>710</v>
      </c>
      <c r="G1109" s="18" t="s">
        <v>32</v>
      </c>
      <c r="H1109" s="19">
        <v>2010</v>
      </c>
      <c r="I1109" s="18" t="s">
        <v>68</v>
      </c>
      <c r="J1109" s="101">
        <v>72</v>
      </c>
      <c r="K1109" s="20">
        <v>239</v>
      </c>
      <c r="L1109" s="21">
        <v>32.1</v>
      </c>
      <c r="M1109" s="22" t="s">
        <v>30</v>
      </c>
      <c r="N1109" s="23">
        <v>32.1</v>
      </c>
      <c r="O1109" s="24">
        <v>0.13430962343096234</v>
      </c>
      <c r="P1109" s="25" t="str">
        <f>IF(P1110="x","x","")</f>
        <v>x</v>
      </c>
      <c r="Q1109" s="25" t="str">
        <f>IF(Q1110="x","x","")</f>
        <v/>
      </c>
      <c r="R1109" s="25" t="str">
        <f>IF(R1110="x","x","")</f>
        <v/>
      </c>
      <c r="S1109" s="25" t="str">
        <f>IF(S1110="x","x","")</f>
        <v>x</v>
      </c>
      <c r="T1109" s="25" t="s">
        <v>31</v>
      </c>
      <c r="U1109" s="26"/>
      <c r="V1109" s="27"/>
    </row>
    <row r="1110" spans="1:22" ht="63.75" thickBot="1" x14ac:dyDescent="0.3">
      <c r="A1110" s="28" t="str">
        <f>A1109</f>
        <v>Mali</v>
      </c>
      <c r="B1110" s="28" t="str">
        <f>B1109</f>
        <v>Sub-Saharan Africa</v>
      </c>
      <c r="C1110" s="28" t="str">
        <f>C1109</f>
        <v>P079351</v>
      </c>
      <c r="D1110" s="28" t="s">
        <v>26</v>
      </c>
      <c r="E1110" s="28" t="s">
        <v>27</v>
      </c>
      <c r="F1110" s="28" t="str">
        <f>F1109</f>
        <v>P079351C1</v>
      </c>
      <c r="G1110" s="28" t="s">
        <v>16</v>
      </c>
      <c r="H1110" s="29" t="str">
        <f>H1108&amp;" / "&amp;H1109</f>
        <v>2004 / 2010</v>
      </c>
      <c r="I1110" s="29" t="str">
        <f>I1109</f>
        <v>Asphalt Mix Resurfacing</v>
      </c>
      <c r="J1110" s="97">
        <f>IFERROR(J1109/J1108,"")</f>
        <v>1.2</v>
      </c>
      <c r="K1110" s="32">
        <f>K1109/K1108</f>
        <v>0.42375886524822692</v>
      </c>
      <c r="L1110" s="32">
        <f>L1109/L1108</f>
        <v>0.98830049261083752</v>
      </c>
      <c r="M1110" s="28"/>
      <c r="N1110" s="32">
        <f>N1109/N1108</f>
        <v>0.98830049261083752</v>
      </c>
      <c r="O1110" s="32">
        <f>O1109/O1108</f>
        <v>2.3322237566213904</v>
      </c>
      <c r="P1110" s="33" t="str">
        <f>IF(K1110&lt;50%,"x","")</f>
        <v>x</v>
      </c>
      <c r="Q1110" s="33" t="str">
        <f>IF(K1110&gt;150%,"x","")</f>
        <v/>
      </c>
      <c r="R1110" s="33" t="str">
        <f>IF(O1110&lt;50%,"x","")</f>
        <v/>
      </c>
      <c r="S1110" s="33" t="str">
        <f>IF(O1110&gt;150%,"x","")</f>
        <v>x</v>
      </c>
      <c r="T1110" s="33" t="s">
        <v>31</v>
      </c>
      <c r="U1110" s="34" t="s">
        <v>1050</v>
      </c>
      <c r="V1110" s="35" t="s">
        <v>1051</v>
      </c>
    </row>
    <row r="1111" spans="1:22" ht="16.5" thickTop="1" x14ac:dyDescent="0.25">
      <c r="A1111" s="18" t="s">
        <v>825</v>
      </c>
      <c r="B1111" s="18" t="s">
        <v>950</v>
      </c>
      <c r="C1111" s="18" t="s">
        <v>826</v>
      </c>
      <c r="D1111" s="18" t="s">
        <v>26</v>
      </c>
      <c r="E1111" s="18" t="s">
        <v>36</v>
      </c>
      <c r="F1111" s="18" t="s">
        <v>827</v>
      </c>
      <c r="G1111" s="18" t="s">
        <v>29</v>
      </c>
      <c r="H1111" s="19">
        <v>2009</v>
      </c>
      <c r="I1111" s="18" t="s">
        <v>131</v>
      </c>
      <c r="J1111" s="101" t="s">
        <v>27</v>
      </c>
      <c r="K1111" s="20">
        <v>12.1</v>
      </c>
      <c r="L1111" s="21">
        <v>21.6</v>
      </c>
      <c r="M1111" s="22" t="s">
        <v>30</v>
      </c>
      <c r="N1111" s="23">
        <v>21.6</v>
      </c>
      <c r="O1111" s="24">
        <v>1.785123966942149</v>
      </c>
      <c r="P1111" s="25" t="str">
        <f>IF(P1113="x","x","")</f>
        <v/>
      </c>
      <c r="Q1111" s="25" t="str">
        <f>IF(Q1113="x","x","")</f>
        <v/>
      </c>
      <c r="R1111" s="25" t="str">
        <f>IF(R1113="x","x","")</f>
        <v/>
      </c>
      <c r="S1111" s="25" t="str">
        <f>IF(S1113="x","x","")</f>
        <v>x</v>
      </c>
      <c r="T1111" s="25" t="s">
        <v>31</v>
      </c>
      <c r="U1111" s="26"/>
      <c r="V1111" s="27"/>
    </row>
    <row r="1112" spans="1:22" x14ac:dyDescent="0.25">
      <c r="A1112" s="18" t="s">
        <v>825</v>
      </c>
      <c r="B1112" s="18" t="s">
        <v>950</v>
      </c>
      <c r="C1112" s="18" t="s">
        <v>826</v>
      </c>
      <c r="D1112" s="18" t="s">
        <v>26</v>
      </c>
      <c r="E1112" s="18" t="s">
        <v>36</v>
      </c>
      <c r="F1112" s="18" t="s">
        <v>827</v>
      </c>
      <c r="G1112" s="18" t="s">
        <v>32</v>
      </c>
      <c r="H1112" s="19">
        <v>2015</v>
      </c>
      <c r="I1112" s="18" t="s">
        <v>131</v>
      </c>
      <c r="J1112" s="101">
        <v>18</v>
      </c>
      <c r="K1112" s="20">
        <v>12.1</v>
      </c>
      <c r="L1112" s="21">
        <v>33.880000000000003</v>
      </c>
      <c r="M1112" s="22" t="s">
        <v>30</v>
      </c>
      <c r="N1112" s="23">
        <v>33.880000000000003</v>
      </c>
      <c r="O1112" s="24">
        <v>2.8000000000000003</v>
      </c>
      <c r="P1112" s="25" t="str">
        <f>IF(P1113="x","x","")</f>
        <v/>
      </c>
      <c r="Q1112" s="25" t="str">
        <f>IF(Q1113="x","x","")</f>
        <v/>
      </c>
      <c r="R1112" s="25" t="str">
        <f>IF(R1113="x","x","")</f>
        <v/>
      </c>
      <c r="S1112" s="25" t="str">
        <f>IF(S1113="x","x","")</f>
        <v>x</v>
      </c>
      <c r="T1112" s="25" t="s">
        <v>31</v>
      </c>
      <c r="U1112" s="26"/>
      <c r="V1112" s="27"/>
    </row>
    <row r="1113" spans="1:22" ht="63.75" thickBot="1" x14ac:dyDescent="0.3">
      <c r="A1113" s="28" t="str">
        <f>A1112</f>
        <v>Mauritius</v>
      </c>
      <c r="B1113" s="28" t="str">
        <f>B1112</f>
        <v>Sub-Saharan Africa</v>
      </c>
      <c r="C1113" s="28" t="str">
        <f>C1112</f>
        <v>P091828</v>
      </c>
      <c r="D1113" s="28" t="s">
        <v>26</v>
      </c>
      <c r="E1113" s="28" t="s">
        <v>27</v>
      </c>
      <c r="F1113" s="28" t="str">
        <f>F1112</f>
        <v>P091828C1S1</v>
      </c>
      <c r="G1113" s="28" t="s">
        <v>16</v>
      </c>
      <c r="H1113" s="29" t="str">
        <f>H1111&amp;" / "&amp;H1112</f>
        <v>2009 / 2015</v>
      </c>
      <c r="I1113" s="29" t="str">
        <f>I1112</f>
        <v>Partial Widening and Reconstruction</v>
      </c>
      <c r="J1113" s="97" t="str">
        <f>IFERROR(J1112/J1111,"")</f>
        <v/>
      </c>
      <c r="K1113" s="32">
        <f>K1112/K1111</f>
        <v>1</v>
      </c>
      <c r="L1113" s="32">
        <f>L1112/L1111</f>
        <v>1.5685185185185184</v>
      </c>
      <c r="M1113" s="28"/>
      <c r="N1113" s="32">
        <f>N1112/N1111</f>
        <v>1.5685185185185184</v>
      </c>
      <c r="O1113" s="32">
        <f>O1112/O1111</f>
        <v>1.5685185185185184</v>
      </c>
      <c r="P1113" s="33" t="str">
        <f>IF(K1113&lt;50%,"x","")</f>
        <v/>
      </c>
      <c r="Q1113" s="33" t="str">
        <f>IF(K1113&gt;150%,"x","")</f>
        <v/>
      </c>
      <c r="R1113" s="33" t="str">
        <f>IF(O1113&lt;50%,"x","")</f>
        <v/>
      </c>
      <c r="S1113" s="33" t="str">
        <f>IF(O1113&gt;150%,"x","")</f>
        <v>x</v>
      </c>
      <c r="T1113" s="33" t="s">
        <v>31</v>
      </c>
      <c r="U1113" s="34" t="s">
        <v>986</v>
      </c>
      <c r="V1113" s="35" t="s">
        <v>1073</v>
      </c>
    </row>
    <row r="1114" spans="1:22" ht="16.5" thickTop="1" x14ac:dyDescent="0.25">
      <c r="A1114" s="18" t="s">
        <v>825</v>
      </c>
      <c r="B1114" s="18" t="s">
        <v>950</v>
      </c>
      <c r="C1114" s="18" t="s">
        <v>826</v>
      </c>
      <c r="D1114" s="18" t="s">
        <v>26</v>
      </c>
      <c r="E1114" s="18" t="s">
        <v>40</v>
      </c>
      <c r="F1114" s="18" t="s">
        <v>828</v>
      </c>
      <c r="G1114" s="18" t="s">
        <v>29</v>
      </c>
      <c r="H1114" s="19">
        <v>2009</v>
      </c>
      <c r="I1114" s="18" t="s">
        <v>359</v>
      </c>
      <c r="J1114" s="101" t="s">
        <v>27</v>
      </c>
      <c r="K1114" s="20">
        <v>5</v>
      </c>
      <c r="L1114" s="21">
        <v>4.6399999999999997</v>
      </c>
      <c r="M1114" s="22" t="s">
        <v>30</v>
      </c>
      <c r="N1114" s="23">
        <v>4.6399999999999997</v>
      </c>
      <c r="O1114" s="24">
        <v>0.92799999999999994</v>
      </c>
      <c r="P1114" s="25" t="str">
        <f>IF(P1116="x","x","")</f>
        <v/>
      </c>
      <c r="Q1114" s="25" t="str">
        <f>IF(Q1116="x","x","")</f>
        <v/>
      </c>
      <c r="R1114" s="25" t="str">
        <f>IF(R1116="x","x","")</f>
        <v/>
      </c>
      <c r="S1114" s="25" t="str">
        <f>IF(S1116="x","x","")</f>
        <v/>
      </c>
      <c r="T1114" s="25" t="s">
        <v>27</v>
      </c>
      <c r="U1114" s="26"/>
      <c r="V1114" s="27"/>
    </row>
    <row r="1115" spans="1:22" x14ac:dyDescent="0.25">
      <c r="A1115" s="18" t="s">
        <v>825</v>
      </c>
      <c r="B1115" s="18" t="s">
        <v>950</v>
      </c>
      <c r="C1115" s="18" t="s">
        <v>826</v>
      </c>
      <c r="D1115" s="18" t="s">
        <v>26</v>
      </c>
      <c r="E1115" s="18" t="s">
        <v>40</v>
      </c>
      <c r="F1115" s="18" t="s">
        <v>828</v>
      </c>
      <c r="G1115" s="18" t="s">
        <v>32</v>
      </c>
      <c r="H1115" s="19">
        <v>2015</v>
      </c>
      <c r="I1115" s="18" t="s">
        <v>359</v>
      </c>
      <c r="J1115" s="101">
        <v>10</v>
      </c>
      <c r="K1115" s="20">
        <v>5</v>
      </c>
      <c r="L1115" s="21">
        <v>3.7520395051968509</v>
      </c>
      <c r="M1115" s="22" t="s">
        <v>30</v>
      </c>
      <c r="N1115" s="23">
        <v>3.7520395051968509</v>
      </c>
      <c r="O1115" s="24">
        <v>0.75040790103937016</v>
      </c>
      <c r="P1115" s="25" t="str">
        <f>IF(P1116="x","x","")</f>
        <v/>
      </c>
      <c r="Q1115" s="25" t="str">
        <f>IF(Q1116="x","x","")</f>
        <v/>
      </c>
      <c r="R1115" s="25" t="str">
        <f>IF(R1116="x","x","")</f>
        <v/>
      </c>
      <c r="S1115" s="25" t="str">
        <f>IF(S1116="x","x","")</f>
        <v/>
      </c>
      <c r="T1115" s="25" t="s">
        <v>27</v>
      </c>
      <c r="U1115" s="26"/>
      <c r="V1115" s="27"/>
    </row>
    <row r="1116" spans="1:22" ht="16.5" thickBot="1" x14ac:dyDescent="0.3">
      <c r="A1116" s="28" t="str">
        <f>A1115</f>
        <v>Mauritius</v>
      </c>
      <c r="B1116" s="28" t="str">
        <f>B1115</f>
        <v>Sub-Saharan Africa</v>
      </c>
      <c r="C1116" s="28" t="str">
        <f>C1115</f>
        <v>P091828</v>
      </c>
      <c r="D1116" s="28" t="s">
        <v>26</v>
      </c>
      <c r="E1116" s="28" t="s">
        <v>27</v>
      </c>
      <c r="F1116" s="28" t="str">
        <f>F1115</f>
        <v>P091828C1S2</v>
      </c>
      <c r="G1116" s="28" t="s">
        <v>16</v>
      </c>
      <c r="H1116" s="29" t="str">
        <f>H1114&amp;" / "&amp;H1115</f>
        <v>2009 / 2015</v>
      </c>
      <c r="I1116" s="29" t="str">
        <f>I1115</f>
        <v>Reconstruction</v>
      </c>
      <c r="J1116" s="97" t="str">
        <f>IFERROR(J1115/J1114,"")</f>
        <v/>
      </c>
      <c r="K1116" s="32">
        <f>K1115/K1114</f>
        <v>1</v>
      </c>
      <c r="L1116" s="32">
        <f>L1115/L1114</f>
        <v>0.80862920370621794</v>
      </c>
      <c r="M1116" s="28"/>
      <c r="N1116" s="32">
        <f>N1115/N1114</f>
        <v>0.80862920370621794</v>
      </c>
      <c r="O1116" s="32">
        <f>O1115/O1114</f>
        <v>0.80862920370621794</v>
      </c>
      <c r="P1116" s="33" t="str">
        <f>IF(K1116&lt;50%,"x","")</f>
        <v/>
      </c>
      <c r="Q1116" s="33" t="str">
        <f>IF(K1116&gt;150%,"x","")</f>
        <v/>
      </c>
      <c r="R1116" s="33" t="str">
        <f>IF(O1116&lt;50%,"x","")</f>
        <v/>
      </c>
      <c r="S1116" s="33" t="str">
        <f>IF(O1116&gt;150%,"x","")</f>
        <v/>
      </c>
      <c r="T1116" s="33" t="s">
        <v>27</v>
      </c>
      <c r="U1116" s="34" t="s">
        <v>27</v>
      </c>
      <c r="V1116" s="35" t="s">
        <v>27</v>
      </c>
    </row>
    <row r="1117" spans="1:22" ht="16.5" thickTop="1" x14ac:dyDescent="0.25">
      <c r="A1117" s="18" t="s">
        <v>825</v>
      </c>
      <c r="B1117" s="18" t="s">
        <v>950</v>
      </c>
      <c r="C1117" s="18" t="s">
        <v>826</v>
      </c>
      <c r="D1117" s="18" t="s">
        <v>26</v>
      </c>
      <c r="E1117" s="18" t="s">
        <v>69</v>
      </c>
      <c r="F1117" s="18" t="s">
        <v>829</v>
      </c>
      <c r="G1117" s="18" t="s">
        <v>29</v>
      </c>
      <c r="H1117" s="19">
        <v>2009</v>
      </c>
      <c r="I1117" s="18" t="s">
        <v>359</v>
      </c>
      <c r="J1117" s="101" t="s">
        <v>27</v>
      </c>
      <c r="K1117" s="20">
        <v>8</v>
      </c>
      <c r="L1117" s="21">
        <v>3.33</v>
      </c>
      <c r="M1117" s="22" t="s">
        <v>30</v>
      </c>
      <c r="N1117" s="23">
        <v>3.33</v>
      </c>
      <c r="O1117" s="24">
        <v>0.41625000000000001</v>
      </c>
      <c r="P1117" s="25" t="str">
        <f>IF(P1119="x","x","")</f>
        <v/>
      </c>
      <c r="Q1117" s="25" t="str">
        <f>IF(Q1119="x","x","")</f>
        <v/>
      </c>
      <c r="R1117" s="25" t="str">
        <f>IF(R1119="x","x","")</f>
        <v/>
      </c>
      <c r="S1117" s="25" t="str">
        <f>IF(S1119="x","x","")</f>
        <v>x</v>
      </c>
      <c r="T1117" s="25" t="s">
        <v>31</v>
      </c>
      <c r="U1117" s="26"/>
      <c r="V1117" s="27"/>
    </row>
    <row r="1118" spans="1:22" x14ac:dyDescent="0.25">
      <c r="A1118" s="18" t="s">
        <v>825</v>
      </c>
      <c r="B1118" s="18" t="s">
        <v>950</v>
      </c>
      <c r="C1118" s="18" t="s">
        <v>826</v>
      </c>
      <c r="D1118" s="18" t="s">
        <v>26</v>
      </c>
      <c r="E1118" s="18" t="s">
        <v>69</v>
      </c>
      <c r="F1118" s="18" t="s">
        <v>829</v>
      </c>
      <c r="G1118" s="18" t="s">
        <v>32</v>
      </c>
      <c r="H1118" s="19">
        <v>2015</v>
      </c>
      <c r="I1118" s="18" t="s">
        <v>359</v>
      </c>
      <c r="J1118" s="101">
        <v>10</v>
      </c>
      <c r="K1118" s="20">
        <v>8</v>
      </c>
      <c r="L1118" s="21">
        <v>6.3849968737007874</v>
      </c>
      <c r="M1118" s="22" t="s">
        <v>30</v>
      </c>
      <c r="N1118" s="23">
        <v>6.3849968737007874</v>
      </c>
      <c r="O1118" s="24">
        <v>0.79812460921259842</v>
      </c>
      <c r="P1118" s="25" t="str">
        <f>IF(P1119="x","x","")</f>
        <v/>
      </c>
      <c r="Q1118" s="25" t="str">
        <f>IF(Q1119="x","x","")</f>
        <v/>
      </c>
      <c r="R1118" s="25" t="str">
        <f>IF(R1119="x","x","")</f>
        <v/>
      </c>
      <c r="S1118" s="25" t="str">
        <f>IF(S1119="x","x","")</f>
        <v>x</v>
      </c>
      <c r="T1118" s="25" t="s">
        <v>31</v>
      </c>
      <c r="U1118" s="26"/>
      <c r="V1118" s="27"/>
    </row>
    <row r="1119" spans="1:22" ht="63.75" thickBot="1" x14ac:dyDescent="0.3">
      <c r="A1119" s="28" t="str">
        <f>A1118</f>
        <v>Mauritius</v>
      </c>
      <c r="B1119" s="28" t="str">
        <f>B1118</f>
        <v>Sub-Saharan Africa</v>
      </c>
      <c r="C1119" s="28" t="str">
        <f>C1118</f>
        <v>P091828</v>
      </c>
      <c r="D1119" s="28" t="s">
        <v>26</v>
      </c>
      <c r="E1119" s="28" t="s">
        <v>27</v>
      </c>
      <c r="F1119" s="28" t="str">
        <f>F1118</f>
        <v>P091828C1S3</v>
      </c>
      <c r="G1119" s="28" t="s">
        <v>16</v>
      </c>
      <c r="H1119" s="29" t="str">
        <f>H1117&amp;" / "&amp;H1118</f>
        <v>2009 / 2015</v>
      </c>
      <c r="I1119" s="29" t="str">
        <f>I1118</f>
        <v>Reconstruction</v>
      </c>
      <c r="J1119" s="97" t="str">
        <f>IFERROR(J1118/J1117,"")</f>
        <v/>
      </c>
      <c r="K1119" s="32">
        <f>K1118/K1117</f>
        <v>1</v>
      </c>
      <c r="L1119" s="32">
        <f>L1118/L1117</f>
        <v>1.917416478588825</v>
      </c>
      <c r="M1119" s="28"/>
      <c r="N1119" s="32">
        <f>N1118/N1117</f>
        <v>1.917416478588825</v>
      </c>
      <c r="O1119" s="32">
        <f>O1118/O1117</f>
        <v>1.917416478588825</v>
      </c>
      <c r="P1119" s="33" t="str">
        <f>IF(K1119&lt;50%,"x","")</f>
        <v/>
      </c>
      <c r="Q1119" s="33" t="str">
        <f>IF(K1119&gt;150%,"x","")</f>
        <v/>
      </c>
      <c r="R1119" s="33" t="str">
        <f>IF(O1119&lt;50%,"x","")</f>
        <v/>
      </c>
      <c r="S1119" s="33" t="str">
        <f>IF(O1119&gt;150%,"x","")</f>
        <v>x</v>
      </c>
      <c r="T1119" s="33" t="s">
        <v>31</v>
      </c>
      <c r="U1119" s="34" t="s">
        <v>1074</v>
      </c>
      <c r="V1119" s="35" t="s">
        <v>1075</v>
      </c>
    </row>
    <row r="1120" spans="1:22" ht="16.5" thickTop="1" x14ac:dyDescent="0.25">
      <c r="A1120" s="18" t="s">
        <v>825</v>
      </c>
      <c r="B1120" s="18" t="s">
        <v>950</v>
      </c>
      <c r="C1120" s="18" t="s">
        <v>826</v>
      </c>
      <c r="D1120" s="18" t="s">
        <v>26</v>
      </c>
      <c r="E1120" s="18" t="s">
        <v>71</v>
      </c>
      <c r="F1120" s="18" t="s">
        <v>830</v>
      </c>
      <c r="G1120" s="18" t="s">
        <v>29</v>
      </c>
      <c r="H1120" s="19">
        <v>2009</v>
      </c>
      <c r="I1120" s="18" t="s">
        <v>359</v>
      </c>
      <c r="J1120" s="101" t="s">
        <v>27</v>
      </c>
      <c r="K1120" s="20">
        <v>4</v>
      </c>
      <c r="L1120" s="21">
        <v>2.4300000000000002</v>
      </c>
      <c r="M1120" s="22" t="s">
        <v>30</v>
      </c>
      <c r="N1120" s="23">
        <v>2.4300000000000002</v>
      </c>
      <c r="O1120" s="24">
        <v>0.60750000000000004</v>
      </c>
      <c r="P1120" s="25" t="str">
        <f>IF(P1122="x","x","")</f>
        <v/>
      </c>
      <c r="Q1120" s="25" t="str">
        <f>IF(Q1122="x","x","")</f>
        <v/>
      </c>
      <c r="R1120" s="25" t="str">
        <f>IF(R1122="x","x","")</f>
        <v/>
      </c>
      <c r="S1120" s="25" t="str">
        <f>IF(S1122="x","x","")</f>
        <v/>
      </c>
      <c r="T1120" s="25" t="s">
        <v>27</v>
      </c>
      <c r="U1120" s="26"/>
      <c r="V1120" s="27"/>
    </row>
    <row r="1121" spans="1:22" x14ac:dyDescent="0.25">
      <c r="A1121" s="18" t="s">
        <v>825</v>
      </c>
      <c r="B1121" s="18" t="s">
        <v>950</v>
      </c>
      <c r="C1121" s="18" t="s">
        <v>826</v>
      </c>
      <c r="D1121" s="18" t="s">
        <v>26</v>
      </c>
      <c r="E1121" s="18" t="s">
        <v>71</v>
      </c>
      <c r="F1121" s="18" t="s">
        <v>830</v>
      </c>
      <c r="G1121" s="18" t="s">
        <v>32</v>
      </c>
      <c r="H1121" s="19">
        <v>2015</v>
      </c>
      <c r="I1121" s="18" t="s">
        <v>359</v>
      </c>
      <c r="J1121" s="101">
        <v>6</v>
      </c>
      <c r="K1121" s="20">
        <v>4</v>
      </c>
      <c r="L1121" s="21">
        <v>2.2313215644094488</v>
      </c>
      <c r="M1121" s="22" t="s">
        <v>30</v>
      </c>
      <c r="N1121" s="23">
        <v>2.2313215644094488</v>
      </c>
      <c r="O1121" s="24">
        <v>0.55783039110236221</v>
      </c>
      <c r="P1121" s="25" t="str">
        <f>IF(P1122="x","x","")</f>
        <v/>
      </c>
      <c r="Q1121" s="25" t="str">
        <f>IF(Q1122="x","x","")</f>
        <v/>
      </c>
      <c r="R1121" s="25" t="str">
        <f>IF(R1122="x","x","")</f>
        <v/>
      </c>
      <c r="S1121" s="25" t="str">
        <f>IF(S1122="x","x","")</f>
        <v/>
      </c>
      <c r="T1121" s="25" t="s">
        <v>27</v>
      </c>
      <c r="U1121" s="26"/>
      <c r="V1121" s="27"/>
    </row>
    <row r="1122" spans="1:22" ht="16.5" thickBot="1" x14ac:dyDescent="0.3">
      <c r="A1122" s="28" t="str">
        <f>A1121</f>
        <v>Mauritius</v>
      </c>
      <c r="B1122" s="28" t="str">
        <f>B1121</f>
        <v>Sub-Saharan Africa</v>
      </c>
      <c r="C1122" s="28" t="str">
        <f>C1121</f>
        <v>P091828</v>
      </c>
      <c r="D1122" s="28" t="s">
        <v>26</v>
      </c>
      <c r="E1122" s="28" t="s">
        <v>27</v>
      </c>
      <c r="F1122" s="28" t="str">
        <f>F1121</f>
        <v>P091828C1S4</v>
      </c>
      <c r="G1122" s="28" t="s">
        <v>16</v>
      </c>
      <c r="H1122" s="29" t="str">
        <f>H1120&amp;" / "&amp;H1121</f>
        <v>2009 / 2015</v>
      </c>
      <c r="I1122" s="29" t="str">
        <f>I1121</f>
        <v>Reconstruction</v>
      </c>
      <c r="J1122" s="97" t="str">
        <f>IFERROR(J1121/J1120,"")</f>
        <v/>
      </c>
      <c r="K1122" s="32">
        <f>K1121/K1120</f>
        <v>1</v>
      </c>
      <c r="L1122" s="32">
        <f>L1121/L1120</f>
        <v>0.91823932691746857</v>
      </c>
      <c r="M1122" s="28"/>
      <c r="N1122" s="32">
        <f>N1121/N1120</f>
        <v>0.91823932691746857</v>
      </c>
      <c r="O1122" s="32">
        <f>O1121/O1120</f>
        <v>0.91823932691746857</v>
      </c>
      <c r="P1122" s="33" t="str">
        <f>IF(K1122&lt;50%,"x","")</f>
        <v/>
      </c>
      <c r="Q1122" s="33" t="str">
        <f>IF(K1122&gt;150%,"x","")</f>
        <v/>
      </c>
      <c r="R1122" s="33" t="str">
        <f>IF(O1122&lt;50%,"x","")</f>
        <v/>
      </c>
      <c r="S1122" s="33" t="str">
        <f>IF(O1122&gt;150%,"x","")</f>
        <v/>
      </c>
      <c r="T1122" s="33" t="s">
        <v>27</v>
      </c>
      <c r="U1122" s="34" t="s">
        <v>27</v>
      </c>
      <c r="V1122" s="35" t="s">
        <v>27</v>
      </c>
    </row>
    <row r="1123" spans="1:22" ht="16.5" thickTop="1" x14ac:dyDescent="0.25">
      <c r="A1123" s="18" t="s">
        <v>494</v>
      </c>
      <c r="B1123" s="18" t="s">
        <v>946</v>
      </c>
      <c r="C1123" s="18" t="s">
        <v>495</v>
      </c>
      <c r="D1123" s="18" t="s">
        <v>26</v>
      </c>
      <c r="E1123" s="18" t="s">
        <v>36</v>
      </c>
      <c r="F1123" s="18" t="s">
        <v>496</v>
      </c>
      <c r="G1123" s="18" t="s">
        <v>29</v>
      </c>
      <c r="H1123" s="19">
        <v>2000</v>
      </c>
      <c r="I1123" s="18" t="s">
        <v>359</v>
      </c>
      <c r="J1123" s="101" t="s">
        <v>27</v>
      </c>
      <c r="K1123" s="20">
        <v>14.4</v>
      </c>
      <c r="L1123" s="21">
        <v>1.62</v>
      </c>
      <c r="M1123" s="22" t="s">
        <v>30</v>
      </c>
      <c r="N1123" s="23">
        <v>1.62</v>
      </c>
      <c r="O1123" s="24">
        <v>0.1125</v>
      </c>
      <c r="P1123" s="25" t="str">
        <f>IF(P1125="x","x","")</f>
        <v/>
      </c>
      <c r="Q1123" s="25" t="str">
        <f>IF(Q1125="x","x","")</f>
        <v/>
      </c>
      <c r="R1123" s="25" t="str">
        <f>IF(R1125="x","x","")</f>
        <v/>
      </c>
      <c r="S1123" s="25" t="str">
        <f>IF(S1125="x","x","")</f>
        <v/>
      </c>
      <c r="T1123" s="25" t="s">
        <v>27</v>
      </c>
      <c r="U1123" s="26"/>
      <c r="V1123" s="27"/>
    </row>
    <row r="1124" spans="1:22" x14ac:dyDescent="0.25">
      <c r="A1124" s="18" t="s">
        <v>494</v>
      </c>
      <c r="B1124" s="18" t="s">
        <v>946</v>
      </c>
      <c r="C1124" s="18" t="s">
        <v>495</v>
      </c>
      <c r="D1124" s="18" t="s">
        <v>26</v>
      </c>
      <c r="E1124" s="18" t="s">
        <v>36</v>
      </c>
      <c r="F1124" s="18" t="s">
        <v>496</v>
      </c>
      <c r="G1124" s="18" t="s">
        <v>32</v>
      </c>
      <c r="H1124" s="19">
        <v>2007</v>
      </c>
      <c r="I1124" s="18" t="s">
        <v>359</v>
      </c>
      <c r="J1124" s="101" t="s">
        <v>27</v>
      </c>
      <c r="K1124" s="20">
        <v>14.4</v>
      </c>
      <c r="L1124" s="21">
        <v>1.54</v>
      </c>
      <c r="M1124" s="22" t="s">
        <v>30</v>
      </c>
      <c r="N1124" s="23">
        <v>1.54</v>
      </c>
      <c r="O1124" s="24">
        <v>0.10694444444444444</v>
      </c>
      <c r="P1124" s="25" t="str">
        <f>IF(P1125="x","x","")</f>
        <v/>
      </c>
      <c r="Q1124" s="25" t="str">
        <f>IF(Q1125="x","x","")</f>
        <v/>
      </c>
      <c r="R1124" s="25" t="str">
        <f>IF(R1125="x","x","")</f>
        <v/>
      </c>
      <c r="S1124" s="25" t="str">
        <f>IF(S1125="x","x","")</f>
        <v/>
      </c>
      <c r="T1124" s="25" t="s">
        <v>27</v>
      </c>
      <c r="U1124" s="26"/>
      <c r="V1124" s="27"/>
    </row>
    <row r="1125" spans="1:22" ht="16.5" thickBot="1" x14ac:dyDescent="0.3">
      <c r="A1125" s="28" t="str">
        <f>A1124</f>
        <v>Mexico</v>
      </c>
      <c r="B1125" s="28" t="str">
        <f>B1124</f>
        <v>Latin America and Caribbean</v>
      </c>
      <c r="C1125" s="28" t="str">
        <f>C1124</f>
        <v>P065779</v>
      </c>
      <c r="D1125" s="28" t="s">
        <v>26</v>
      </c>
      <c r="E1125" s="28" t="s">
        <v>27</v>
      </c>
      <c r="F1125" s="28" t="str">
        <f>F1124</f>
        <v>P065779C1S1</v>
      </c>
      <c r="G1125" s="28" t="s">
        <v>16</v>
      </c>
      <c r="H1125" s="29" t="str">
        <f>H1123&amp;" / "&amp;H1124</f>
        <v>2000 / 2007</v>
      </c>
      <c r="I1125" s="29" t="str">
        <f>I1124</f>
        <v>Reconstruction</v>
      </c>
      <c r="J1125" s="97" t="str">
        <f>IFERROR(J1124/J1123,"")</f>
        <v/>
      </c>
      <c r="K1125" s="32">
        <f>K1124/K1123</f>
        <v>1</v>
      </c>
      <c r="L1125" s="32">
        <f>L1124/L1123</f>
        <v>0.95061728395061729</v>
      </c>
      <c r="M1125" s="28"/>
      <c r="N1125" s="32">
        <f>N1124/N1123</f>
        <v>0.95061728395061729</v>
      </c>
      <c r="O1125" s="32">
        <f>O1124/O1123</f>
        <v>0.95061728395061718</v>
      </c>
      <c r="P1125" s="33" t="str">
        <f>IF(K1125&lt;50%,"x","")</f>
        <v/>
      </c>
      <c r="Q1125" s="33" t="str">
        <f>IF(K1125&gt;150%,"x","")</f>
        <v/>
      </c>
      <c r="R1125" s="33" t="str">
        <f>IF(O1125&lt;50%,"x","")</f>
        <v/>
      </c>
      <c r="S1125" s="33" t="str">
        <f>IF(O1125&gt;150%,"x","")</f>
        <v/>
      </c>
      <c r="T1125" s="33" t="s">
        <v>27</v>
      </c>
      <c r="U1125" s="34" t="s">
        <v>27</v>
      </c>
      <c r="V1125" s="35" t="s">
        <v>27</v>
      </c>
    </row>
    <row r="1126" spans="1:22" ht="16.5" thickTop="1" x14ac:dyDescent="0.25">
      <c r="A1126" s="18" t="s">
        <v>494</v>
      </c>
      <c r="B1126" s="18" t="s">
        <v>946</v>
      </c>
      <c r="C1126" s="18" t="s">
        <v>495</v>
      </c>
      <c r="D1126" s="18" t="s">
        <v>26</v>
      </c>
      <c r="E1126" s="18" t="s">
        <v>234</v>
      </c>
      <c r="F1126" s="18" t="s">
        <v>497</v>
      </c>
      <c r="G1126" s="18" t="s">
        <v>29</v>
      </c>
      <c r="H1126" s="19">
        <v>2000</v>
      </c>
      <c r="I1126" s="18" t="s">
        <v>359</v>
      </c>
      <c r="J1126" s="101" t="s">
        <v>27</v>
      </c>
      <c r="K1126" s="20">
        <v>11.9</v>
      </c>
      <c r="L1126" s="21">
        <v>2.16</v>
      </c>
      <c r="M1126" s="22" t="s">
        <v>30</v>
      </c>
      <c r="N1126" s="23">
        <v>2.16</v>
      </c>
      <c r="O1126" s="24">
        <v>0.1815126050420168</v>
      </c>
      <c r="P1126" s="25" t="str">
        <f>IF(P1128="x","x","")</f>
        <v/>
      </c>
      <c r="Q1126" s="25" t="str">
        <f>IF(Q1128="x","x","")</f>
        <v/>
      </c>
      <c r="R1126" s="25" t="str">
        <f>IF(R1128="x","x","")</f>
        <v/>
      </c>
      <c r="S1126" s="25" t="str">
        <f>IF(S1128="x","x","")</f>
        <v/>
      </c>
      <c r="T1126" s="25" t="s">
        <v>27</v>
      </c>
      <c r="U1126" s="26"/>
      <c r="V1126" s="27"/>
    </row>
    <row r="1127" spans="1:22" x14ac:dyDescent="0.25">
      <c r="A1127" s="18" t="s">
        <v>494</v>
      </c>
      <c r="B1127" s="18" t="s">
        <v>946</v>
      </c>
      <c r="C1127" s="18" t="s">
        <v>495</v>
      </c>
      <c r="D1127" s="18" t="s">
        <v>26</v>
      </c>
      <c r="E1127" s="18" t="s">
        <v>234</v>
      </c>
      <c r="F1127" s="18" t="s">
        <v>497</v>
      </c>
      <c r="G1127" s="18" t="s">
        <v>32</v>
      </c>
      <c r="H1127" s="19">
        <v>2007</v>
      </c>
      <c r="I1127" s="18" t="s">
        <v>359</v>
      </c>
      <c r="J1127" s="101" t="s">
        <v>27</v>
      </c>
      <c r="K1127" s="20">
        <v>11.9</v>
      </c>
      <c r="L1127" s="21">
        <v>3.08</v>
      </c>
      <c r="M1127" s="22" t="s">
        <v>30</v>
      </c>
      <c r="N1127" s="23">
        <v>3.08</v>
      </c>
      <c r="O1127" s="24">
        <v>0.25882352941176473</v>
      </c>
      <c r="P1127" s="25" t="str">
        <f>IF(P1128="x","x","")</f>
        <v/>
      </c>
      <c r="Q1127" s="25" t="str">
        <f>IF(Q1128="x","x","")</f>
        <v/>
      </c>
      <c r="R1127" s="25" t="str">
        <f>IF(R1128="x","x","")</f>
        <v/>
      </c>
      <c r="S1127" s="25" t="str">
        <f>IF(S1128="x","x","")</f>
        <v/>
      </c>
      <c r="T1127" s="25" t="s">
        <v>27</v>
      </c>
      <c r="U1127" s="26"/>
      <c r="V1127" s="27"/>
    </row>
    <row r="1128" spans="1:22" ht="16.5" thickBot="1" x14ac:dyDescent="0.3">
      <c r="A1128" s="28" t="str">
        <f>A1127</f>
        <v>Mexico</v>
      </c>
      <c r="B1128" s="28" t="str">
        <f>B1127</f>
        <v>Latin America and Caribbean</v>
      </c>
      <c r="C1128" s="28" t="str">
        <f>C1127</f>
        <v>P065779</v>
      </c>
      <c r="D1128" s="28" t="s">
        <v>26</v>
      </c>
      <c r="E1128" s="28" t="s">
        <v>27</v>
      </c>
      <c r="F1128" s="28" t="str">
        <f>F1127</f>
        <v>P065779C1S10</v>
      </c>
      <c r="G1128" s="28" t="s">
        <v>16</v>
      </c>
      <c r="H1128" s="29" t="str">
        <f>H1126&amp;" / "&amp;H1127</f>
        <v>2000 / 2007</v>
      </c>
      <c r="I1128" s="29" t="str">
        <f>I1127</f>
        <v>Reconstruction</v>
      </c>
      <c r="J1128" s="97" t="str">
        <f>IFERROR(J1127/J1126,"")</f>
        <v/>
      </c>
      <c r="K1128" s="32">
        <f>K1127/K1126</f>
        <v>1</v>
      </c>
      <c r="L1128" s="32">
        <f>L1127/L1126</f>
        <v>1.4259259259259258</v>
      </c>
      <c r="M1128" s="28"/>
      <c r="N1128" s="32">
        <f>N1127/N1126</f>
        <v>1.4259259259259258</v>
      </c>
      <c r="O1128" s="32">
        <f>O1127/O1126</f>
        <v>1.425925925925926</v>
      </c>
      <c r="P1128" s="33" t="str">
        <f>IF(K1128&lt;50%,"x","")</f>
        <v/>
      </c>
      <c r="Q1128" s="33" t="str">
        <f>IF(K1128&gt;150%,"x","")</f>
        <v/>
      </c>
      <c r="R1128" s="33" t="str">
        <f>IF(O1128&lt;50%,"x","")</f>
        <v/>
      </c>
      <c r="S1128" s="33" t="str">
        <f>IF(O1128&gt;150%,"x","")</f>
        <v/>
      </c>
      <c r="T1128" s="33" t="s">
        <v>27</v>
      </c>
      <c r="U1128" s="34" t="s">
        <v>27</v>
      </c>
      <c r="V1128" s="35" t="s">
        <v>27</v>
      </c>
    </row>
    <row r="1129" spans="1:22" ht="16.5" thickTop="1" x14ac:dyDescent="0.25">
      <c r="A1129" s="18" t="s">
        <v>494</v>
      </c>
      <c r="B1129" s="18" t="s">
        <v>946</v>
      </c>
      <c r="C1129" s="18" t="s">
        <v>495</v>
      </c>
      <c r="D1129" s="18" t="s">
        <v>26</v>
      </c>
      <c r="E1129" s="18" t="s">
        <v>236</v>
      </c>
      <c r="F1129" s="18" t="s">
        <v>498</v>
      </c>
      <c r="G1129" s="18" t="s">
        <v>29</v>
      </c>
      <c r="H1129" s="19">
        <v>2000</v>
      </c>
      <c r="I1129" s="18" t="s">
        <v>359</v>
      </c>
      <c r="J1129" s="101" t="s">
        <v>27</v>
      </c>
      <c r="K1129" s="20">
        <v>3</v>
      </c>
      <c r="L1129" s="21">
        <v>0.54</v>
      </c>
      <c r="M1129" s="22" t="s">
        <v>30</v>
      </c>
      <c r="N1129" s="23">
        <v>0.54</v>
      </c>
      <c r="O1129" s="24">
        <v>0.18000000000000002</v>
      </c>
      <c r="P1129" s="25" t="str">
        <f>IF(P1131="x","x","")</f>
        <v/>
      </c>
      <c r="Q1129" s="25" t="str">
        <f>IF(Q1131="x","x","")</f>
        <v/>
      </c>
      <c r="R1129" s="25" t="str">
        <f>IF(R1131="x","x","")</f>
        <v/>
      </c>
      <c r="S1129" s="25" t="str">
        <f>IF(S1131="x","x","")</f>
        <v/>
      </c>
      <c r="T1129" s="25" t="s">
        <v>27</v>
      </c>
      <c r="U1129" s="26"/>
      <c r="V1129" s="27"/>
    </row>
    <row r="1130" spans="1:22" x14ac:dyDescent="0.25">
      <c r="A1130" s="18" t="s">
        <v>494</v>
      </c>
      <c r="B1130" s="18" t="s">
        <v>946</v>
      </c>
      <c r="C1130" s="18" t="s">
        <v>495</v>
      </c>
      <c r="D1130" s="18" t="s">
        <v>26</v>
      </c>
      <c r="E1130" s="18" t="s">
        <v>236</v>
      </c>
      <c r="F1130" s="18" t="s">
        <v>498</v>
      </c>
      <c r="G1130" s="18" t="s">
        <v>32</v>
      </c>
      <c r="H1130" s="19">
        <v>2007</v>
      </c>
      <c r="I1130" s="18" t="s">
        <v>359</v>
      </c>
      <c r="J1130" s="101" t="s">
        <v>27</v>
      </c>
      <c r="K1130" s="20">
        <v>3</v>
      </c>
      <c r="L1130" s="21">
        <v>0.74</v>
      </c>
      <c r="M1130" s="22" t="s">
        <v>30</v>
      </c>
      <c r="N1130" s="23">
        <v>0.74</v>
      </c>
      <c r="O1130" s="24">
        <v>0.24666666666666667</v>
      </c>
      <c r="P1130" s="25" t="str">
        <f>IF(P1131="x","x","")</f>
        <v/>
      </c>
      <c r="Q1130" s="25" t="str">
        <f>IF(Q1131="x","x","")</f>
        <v/>
      </c>
      <c r="R1130" s="25" t="str">
        <f>IF(R1131="x","x","")</f>
        <v/>
      </c>
      <c r="S1130" s="25" t="str">
        <f>IF(S1131="x","x","")</f>
        <v/>
      </c>
      <c r="T1130" s="25" t="s">
        <v>27</v>
      </c>
      <c r="U1130" s="26"/>
      <c r="V1130" s="27"/>
    </row>
    <row r="1131" spans="1:22" ht="16.5" thickBot="1" x14ac:dyDescent="0.3">
      <c r="A1131" s="28" t="str">
        <f>A1130</f>
        <v>Mexico</v>
      </c>
      <c r="B1131" s="28" t="str">
        <f>B1130</f>
        <v>Latin America and Caribbean</v>
      </c>
      <c r="C1131" s="28" t="str">
        <f>C1130</f>
        <v>P065779</v>
      </c>
      <c r="D1131" s="28" t="s">
        <v>26</v>
      </c>
      <c r="E1131" s="28" t="s">
        <v>27</v>
      </c>
      <c r="F1131" s="28" t="str">
        <f>F1130</f>
        <v>P065779C1S11</v>
      </c>
      <c r="G1131" s="28" t="s">
        <v>16</v>
      </c>
      <c r="H1131" s="29" t="str">
        <f>H1129&amp;" / "&amp;H1130</f>
        <v>2000 / 2007</v>
      </c>
      <c r="I1131" s="29" t="str">
        <f>I1130</f>
        <v>Reconstruction</v>
      </c>
      <c r="J1131" s="97" t="str">
        <f>IFERROR(J1130/J1129,"")</f>
        <v/>
      </c>
      <c r="K1131" s="32">
        <f>K1130/K1129</f>
        <v>1</v>
      </c>
      <c r="L1131" s="32">
        <f>L1130/L1129</f>
        <v>1.3703703703703702</v>
      </c>
      <c r="M1131" s="28"/>
      <c r="N1131" s="32">
        <f>N1130/N1129</f>
        <v>1.3703703703703702</v>
      </c>
      <c r="O1131" s="32">
        <f>O1130/O1129</f>
        <v>1.3703703703703702</v>
      </c>
      <c r="P1131" s="33" t="str">
        <f>IF(K1131&lt;50%,"x","")</f>
        <v/>
      </c>
      <c r="Q1131" s="33" t="str">
        <f>IF(K1131&gt;150%,"x","")</f>
        <v/>
      </c>
      <c r="R1131" s="33" t="str">
        <f>IF(O1131&lt;50%,"x","")</f>
        <v/>
      </c>
      <c r="S1131" s="33" t="str">
        <f>IF(O1131&gt;150%,"x","")</f>
        <v/>
      </c>
      <c r="T1131" s="33" t="s">
        <v>27</v>
      </c>
      <c r="U1131" s="34" t="s">
        <v>27</v>
      </c>
      <c r="V1131" s="35" t="s">
        <v>27</v>
      </c>
    </row>
    <row r="1132" spans="1:22" ht="16.5" thickTop="1" x14ac:dyDescent="0.25">
      <c r="A1132" s="18" t="s">
        <v>494</v>
      </c>
      <c r="B1132" s="18" t="s">
        <v>946</v>
      </c>
      <c r="C1132" s="18" t="s">
        <v>495</v>
      </c>
      <c r="D1132" s="18" t="s">
        <v>26</v>
      </c>
      <c r="E1132" s="18" t="s">
        <v>238</v>
      </c>
      <c r="F1132" s="18" t="s">
        <v>499</v>
      </c>
      <c r="G1132" s="18" t="s">
        <v>29</v>
      </c>
      <c r="H1132" s="19">
        <v>2000</v>
      </c>
      <c r="I1132" s="18" t="s">
        <v>359</v>
      </c>
      <c r="J1132" s="101" t="s">
        <v>27</v>
      </c>
      <c r="K1132" s="20">
        <v>12.5</v>
      </c>
      <c r="L1132" s="21">
        <v>1.41</v>
      </c>
      <c r="M1132" s="22" t="s">
        <v>30</v>
      </c>
      <c r="N1132" s="23">
        <v>1.41</v>
      </c>
      <c r="O1132" s="24">
        <v>0.1128</v>
      </c>
      <c r="P1132" s="25" t="str">
        <f>IF(P1134="x","x","")</f>
        <v/>
      </c>
      <c r="Q1132" s="25" t="str">
        <f>IF(Q1134="x","x","")</f>
        <v/>
      </c>
      <c r="R1132" s="25" t="str">
        <f>IF(R1134="x","x","")</f>
        <v/>
      </c>
      <c r="S1132" s="25" t="str">
        <f>IF(S1134="x","x","")</f>
        <v/>
      </c>
      <c r="T1132" s="25" t="s">
        <v>27</v>
      </c>
      <c r="U1132" s="26"/>
      <c r="V1132" s="27"/>
    </row>
    <row r="1133" spans="1:22" x14ac:dyDescent="0.25">
      <c r="A1133" s="18" t="s">
        <v>494</v>
      </c>
      <c r="B1133" s="18" t="s">
        <v>946</v>
      </c>
      <c r="C1133" s="18" t="s">
        <v>495</v>
      </c>
      <c r="D1133" s="18" t="s">
        <v>26</v>
      </c>
      <c r="E1133" s="18" t="s">
        <v>238</v>
      </c>
      <c r="F1133" s="18" t="s">
        <v>499</v>
      </c>
      <c r="G1133" s="18" t="s">
        <v>32</v>
      </c>
      <c r="H1133" s="19">
        <v>2007</v>
      </c>
      <c r="I1133" s="18" t="s">
        <v>359</v>
      </c>
      <c r="J1133" s="101" t="s">
        <v>27</v>
      </c>
      <c r="K1133" s="20">
        <v>12.5</v>
      </c>
      <c r="L1133" s="21">
        <v>1.2</v>
      </c>
      <c r="M1133" s="22" t="s">
        <v>30</v>
      </c>
      <c r="N1133" s="23">
        <v>1.2</v>
      </c>
      <c r="O1133" s="24">
        <v>9.6000000000000002E-2</v>
      </c>
      <c r="P1133" s="25" t="str">
        <f>IF(P1134="x","x","")</f>
        <v/>
      </c>
      <c r="Q1133" s="25" t="str">
        <f>IF(Q1134="x","x","")</f>
        <v/>
      </c>
      <c r="R1133" s="25" t="str">
        <f>IF(R1134="x","x","")</f>
        <v/>
      </c>
      <c r="S1133" s="25" t="str">
        <f>IF(S1134="x","x","")</f>
        <v/>
      </c>
      <c r="T1133" s="25" t="s">
        <v>27</v>
      </c>
      <c r="U1133" s="26"/>
      <c r="V1133" s="27"/>
    </row>
    <row r="1134" spans="1:22" ht="16.5" thickBot="1" x14ac:dyDescent="0.3">
      <c r="A1134" s="28" t="str">
        <f>A1133</f>
        <v>Mexico</v>
      </c>
      <c r="B1134" s="28" t="str">
        <f>B1133</f>
        <v>Latin America and Caribbean</v>
      </c>
      <c r="C1134" s="28" t="str">
        <f>C1133</f>
        <v>P065779</v>
      </c>
      <c r="D1134" s="28" t="s">
        <v>26</v>
      </c>
      <c r="E1134" s="28" t="s">
        <v>27</v>
      </c>
      <c r="F1134" s="28" t="str">
        <f>F1133</f>
        <v>P065779C1S12</v>
      </c>
      <c r="G1134" s="28" t="s">
        <v>16</v>
      </c>
      <c r="H1134" s="29" t="str">
        <f>H1132&amp;" / "&amp;H1133</f>
        <v>2000 / 2007</v>
      </c>
      <c r="I1134" s="29" t="str">
        <f>I1133</f>
        <v>Reconstruction</v>
      </c>
      <c r="J1134" s="97" t="str">
        <f>IFERROR(J1133/J1132,"")</f>
        <v/>
      </c>
      <c r="K1134" s="32">
        <f>K1133/K1132</f>
        <v>1</v>
      </c>
      <c r="L1134" s="32">
        <f>L1133/L1132</f>
        <v>0.85106382978723405</v>
      </c>
      <c r="M1134" s="28"/>
      <c r="N1134" s="32">
        <f>N1133/N1132</f>
        <v>0.85106382978723405</v>
      </c>
      <c r="O1134" s="32">
        <f>O1133/O1132</f>
        <v>0.85106382978723405</v>
      </c>
      <c r="P1134" s="33" t="str">
        <f>IF(K1134&lt;50%,"x","")</f>
        <v/>
      </c>
      <c r="Q1134" s="33" t="str">
        <f>IF(K1134&gt;150%,"x","")</f>
        <v/>
      </c>
      <c r="R1134" s="33" t="str">
        <f>IF(O1134&lt;50%,"x","")</f>
        <v/>
      </c>
      <c r="S1134" s="33" t="str">
        <f>IF(O1134&gt;150%,"x","")</f>
        <v/>
      </c>
      <c r="T1134" s="33" t="s">
        <v>27</v>
      </c>
      <c r="U1134" s="34" t="s">
        <v>27</v>
      </c>
      <c r="V1134" s="35" t="s">
        <v>27</v>
      </c>
    </row>
    <row r="1135" spans="1:22" ht="16.5" thickTop="1" x14ac:dyDescent="0.25">
      <c r="A1135" s="18" t="s">
        <v>494</v>
      </c>
      <c r="B1135" s="18" t="s">
        <v>946</v>
      </c>
      <c r="C1135" s="18" t="s">
        <v>495</v>
      </c>
      <c r="D1135" s="18" t="s">
        <v>26</v>
      </c>
      <c r="E1135" s="18" t="s">
        <v>500</v>
      </c>
      <c r="F1135" s="18" t="s">
        <v>501</v>
      </c>
      <c r="G1135" s="18" t="s">
        <v>29</v>
      </c>
      <c r="H1135" s="19">
        <v>2000</v>
      </c>
      <c r="I1135" s="18" t="s">
        <v>359</v>
      </c>
      <c r="J1135" s="101" t="s">
        <v>27</v>
      </c>
      <c r="K1135" s="20">
        <v>9</v>
      </c>
      <c r="L1135" s="21">
        <v>1.1499999999999999</v>
      </c>
      <c r="M1135" s="22" t="s">
        <v>30</v>
      </c>
      <c r="N1135" s="23">
        <v>1.1499999999999999</v>
      </c>
      <c r="O1135" s="24">
        <v>0.12777777777777777</v>
      </c>
      <c r="P1135" s="25" t="str">
        <f>IF(P1137="x","x","")</f>
        <v/>
      </c>
      <c r="Q1135" s="25" t="str">
        <f>IF(Q1137="x","x","")</f>
        <v/>
      </c>
      <c r="R1135" s="25" t="str">
        <f>IF(R1137="x","x","")</f>
        <v/>
      </c>
      <c r="S1135" s="25" t="str">
        <f>IF(S1137="x","x","")</f>
        <v>x</v>
      </c>
      <c r="T1135" s="25" t="s">
        <v>31</v>
      </c>
      <c r="U1135" s="26"/>
      <c r="V1135" s="27"/>
    </row>
    <row r="1136" spans="1:22" x14ac:dyDescent="0.25">
      <c r="A1136" s="18" t="s">
        <v>494</v>
      </c>
      <c r="B1136" s="18" t="s">
        <v>946</v>
      </c>
      <c r="C1136" s="18" t="s">
        <v>495</v>
      </c>
      <c r="D1136" s="18" t="s">
        <v>26</v>
      </c>
      <c r="E1136" s="18" t="s">
        <v>500</v>
      </c>
      <c r="F1136" s="18" t="s">
        <v>501</v>
      </c>
      <c r="G1136" s="18" t="s">
        <v>32</v>
      </c>
      <c r="H1136" s="19">
        <v>2007</v>
      </c>
      <c r="I1136" s="18" t="s">
        <v>359</v>
      </c>
      <c r="J1136" s="101" t="s">
        <v>27</v>
      </c>
      <c r="K1136" s="20">
        <v>9</v>
      </c>
      <c r="L1136" s="21">
        <v>2.0699999999999998</v>
      </c>
      <c r="M1136" s="22" t="s">
        <v>30</v>
      </c>
      <c r="N1136" s="23">
        <v>2.0699999999999998</v>
      </c>
      <c r="O1136" s="24">
        <v>0.22999999999999998</v>
      </c>
      <c r="P1136" s="25" t="str">
        <f>IF(P1137="x","x","")</f>
        <v/>
      </c>
      <c r="Q1136" s="25" t="str">
        <f>IF(Q1137="x","x","")</f>
        <v/>
      </c>
      <c r="R1136" s="25" t="str">
        <f>IF(R1137="x","x","")</f>
        <v/>
      </c>
      <c r="S1136" s="25" t="str">
        <f>IF(S1137="x","x","")</f>
        <v>x</v>
      </c>
      <c r="T1136" s="25" t="s">
        <v>31</v>
      </c>
      <c r="U1136" s="26"/>
      <c r="V1136" s="27"/>
    </row>
    <row r="1137" spans="1:22" ht="63.75" thickBot="1" x14ac:dyDescent="0.3">
      <c r="A1137" s="28" t="str">
        <f>A1136</f>
        <v>Mexico</v>
      </c>
      <c r="B1137" s="28" t="str">
        <f>B1136</f>
        <v>Latin America and Caribbean</v>
      </c>
      <c r="C1137" s="28" t="str">
        <f>C1136</f>
        <v>P065779</v>
      </c>
      <c r="D1137" s="28" t="s">
        <v>26</v>
      </c>
      <c r="E1137" s="28" t="s">
        <v>27</v>
      </c>
      <c r="F1137" s="28" t="str">
        <f>F1136</f>
        <v>P065779C1S13</v>
      </c>
      <c r="G1137" s="28" t="s">
        <v>16</v>
      </c>
      <c r="H1137" s="29" t="str">
        <f>H1135&amp;" / "&amp;H1136</f>
        <v>2000 / 2007</v>
      </c>
      <c r="I1137" s="29" t="str">
        <f>I1136</f>
        <v>Reconstruction</v>
      </c>
      <c r="J1137" s="97" t="str">
        <f>IFERROR(J1136/J1135,"")</f>
        <v/>
      </c>
      <c r="K1137" s="32">
        <f>K1136/K1135</f>
        <v>1</v>
      </c>
      <c r="L1137" s="32">
        <f>L1136/L1135</f>
        <v>1.8</v>
      </c>
      <c r="M1137" s="28"/>
      <c r="N1137" s="32">
        <f>N1136/N1135</f>
        <v>1.8</v>
      </c>
      <c r="O1137" s="32">
        <f>O1136/O1135</f>
        <v>1.8</v>
      </c>
      <c r="P1137" s="33" t="str">
        <f>IF(K1137&lt;50%,"x","")</f>
        <v/>
      </c>
      <c r="Q1137" s="33" t="str">
        <f>IF(K1137&gt;150%,"x","")</f>
        <v/>
      </c>
      <c r="R1137" s="33" t="str">
        <f>IF(O1137&lt;50%,"x","")</f>
        <v/>
      </c>
      <c r="S1137" s="33" t="str">
        <f>IF(O1137&gt;150%,"x","")</f>
        <v>x</v>
      </c>
      <c r="T1137" s="33" t="s">
        <v>31</v>
      </c>
      <c r="U1137" s="34" t="s">
        <v>999</v>
      </c>
      <c r="V1137" s="35" t="s">
        <v>1000</v>
      </c>
    </row>
    <row r="1138" spans="1:22" ht="16.5" thickTop="1" x14ac:dyDescent="0.25">
      <c r="A1138" s="18" t="s">
        <v>494</v>
      </c>
      <c r="B1138" s="18" t="s">
        <v>946</v>
      </c>
      <c r="C1138" s="18" t="s">
        <v>495</v>
      </c>
      <c r="D1138" s="18" t="s">
        <v>26</v>
      </c>
      <c r="E1138" s="18" t="s">
        <v>376</v>
      </c>
      <c r="F1138" s="18" t="s">
        <v>502</v>
      </c>
      <c r="G1138" s="18" t="s">
        <v>29</v>
      </c>
      <c r="H1138" s="19">
        <v>2000</v>
      </c>
      <c r="I1138" s="18" t="s">
        <v>359</v>
      </c>
      <c r="J1138" s="101" t="s">
        <v>27</v>
      </c>
      <c r="K1138" s="20">
        <v>4</v>
      </c>
      <c r="L1138" s="21">
        <v>0.6</v>
      </c>
      <c r="M1138" s="22" t="s">
        <v>30</v>
      </c>
      <c r="N1138" s="23">
        <v>0.6</v>
      </c>
      <c r="O1138" s="24">
        <v>0.15</v>
      </c>
      <c r="P1138" s="25" t="str">
        <f>IF(P1140="x","x","")</f>
        <v/>
      </c>
      <c r="Q1138" s="25" t="str">
        <f>IF(Q1140="x","x","")</f>
        <v/>
      </c>
      <c r="R1138" s="25" t="str">
        <f>IF(R1140="x","x","")</f>
        <v/>
      </c>
      <c r="S1138" s="25" t="str">
        <f>IF(S1140="x","x","")</f>
        <v>x</v>
      </c>
      <c r="T1138" s="25" t="s">
        <v>31</v>
      </c>
      <c r="U1138" s="26"/>
      <c r="V1138" s="27"/>
    </row>
    <row r="1139" spans="1:22" x14ac:dyDescent="0.25">
      <c r="A1139" s="18" t="s">
        <v>494</v>
      </c>
      <c r="B1139" s="18" t="s">
        <v>946</v>
      </c>
      <c r="C1139" s="18" t="s">
        <v>495</v>
      </c>
      <c r="D1139" s="18" t="s">
        <v>26</v>
      </c>
      <c r="E1139" s="18" t="s">
        <v>376</v>
      </c>
      <c r="F1139" s="18" t="s">
        <v>502</v>
      </c>
      <c r="G1139" s="18" t="s">
        <v>32</v>
      </c>
      <c r="H1139" s="19">
        <v>2007</v>
      </c>
      <c r="I1139" s="18" t="s">
        <v>359</v>
      </c>
      <c r="J1139" s="101" t="s">
        <v>27</v>
      </c>
      <c r="K1139" s="20">
        <v>3.4</v>
      </c>
      <c r="L1139" s="21">
        <v>1.53</v>
      </c>
      <c r="M1139" s="22" t="s">
        <v>30</v>
      </c>
      <c r="N1139" s="23">
        <v>1.53</v>
      </c>
      <c r="O1139" s="24">
        <v>0.45</v>
      </c>
      <c r="P1139" s="25" t="str">
        <f>IF(P1140="x","x","")</f>
        <v/>
      </c>
      <c r="Q1139" s="25" t="str">
        <f>IF(Q1140="x","x","")</f>
        <v/>
      </c>
      <c r="R1139" s="25" t="str">
        <f>IF(R1140="x","x","")</f>
        <v/>
      </c>
      <c r="S1139" s="25" t="str">
        <f>IF(S1140="x","x","")</f>
        <v>x</v>
      </c>
      <c r="T1139" s="25" t="s">
        <v>31</v>
      </c>
      <c r="U1139" s="26"/>
      <c r="V1139" s="27"/>
    </row>
    <row r="1140" spans="1:22" ht="63.75" thickBot="1" x14ac:dyDescent="0.3">
      <c r="A1140" s="28" t="str">
        <f>A1139</f>
        <v>Mexico</v>
      </c>
      <c r="B1140" s="28" t="str">
        <f>B1139</f>
        <v>Latin America and Caribbean</v>
      </c>
      <c r="C1140" s="28" t="str">
        <f>C1139</f>
        <v>P065779</v>
      </c>
      <c r="D1140" s="28" t="s">
        <v>26</v>
      </c>
      <c r="E1140" s="28" t="s">
        <v>27</v>
      </c>
      <c r="F1140" s="28" t="str">
        <f>F1139</f>
        <v>P065779C1S14</v>
      </c>
      <c r="G1140" s="28" t="s">
        <v>16</v>
      </c>
      <c r="H1140" s="29" t="str">
        <f>H1138&amp;" / "&amp;H1139</f>
        <v>2000 / 2007</v>
      </c>
      <c r="I1140" s="29" t="str">
        <f>I1139</f>
        <v>Reconstruction</v>
      </c>
      <c r="J1140" s="97" t="str">
        <f>IFERROR(J1139/J1138,"")</f>
        <v/>
      </c>
      <c r="K1140" s="32">
        <f>K1139/K1138</f>
        <v>0.85</v>
      </c>
      <c r="L1140" s="32">
        <f>L1139/L1138</f>
        <v>2.5500000000000003</v>
      </c>
      <c r="M1140" s="28"/>
      <c r="N1140" s="32">
        <f>N1139/N1138</f>
        <v>2.5500000000000003</v>
      </c>
      <c r="O1140" s="32">
        <f>O1139/O1138</f>
        <v>3</v>
      </c>
      <c r="P1140" s="33" t="str">
        <f>IF(K1140&lt;50%,"x","")</f>
        <v/>
      </c>
      <c r="Q1140" s="33" t="str">
        <f>IF(K1140&gt;150%,"x","")</f>
        <v/>
      </c>
      <c r="R1140" s="33" t="str">
        <f>IF(O1140&lt;50%,"x","")</f>
        <v/>
      </c>
      <c r="S1140" s="33" t="str">
        <f>IF(O1140&gt;150%,"x","")</f>
        <v>x</v>
      </c>
      <c r="T1140" s="33" t="s">
        <v>31</v>
      </c>
      <c r="U1140" s="34" t="s">
        <v>999</v>
      </c>
      <c r="V1140" s="35" t="s">
        <v>1001</v>
      </c>
    </row>
    <row r="1141" spans="1:22" ht="16.5" thickTop="1" x14ac:dyDescent="0.25">
      <c r="A1141" s="18" t="s">
        <v>494</v>
      </c>
      <c r="B1141" s="18" t="s">
        <v>946</v>
      </c>
      <c r="C1141" s="18" t="s">
        <v>495</v>
      </c>
      <c r="D1141" s="18" t="s">
        <v>26</v>
      </c>
      <c r="E1141" s="18" t="s">
        <v>378</v>
      </c>
      <c r="F1141" s="18" t="s">
        <v>503</v>
      </c>
      <c r="G1141" s="18" t="s">
        <v>29</v>
      </c>
      <c r="H1141" s="19">
        <v>2000</v>
      </c>
      <c r="I1141" s="18" t="s">
        <v>359</v>
      </c>
      <c r="J1141" s="101" t="s">
        <v>27</v>
      </c>
      <c r="K1141" s="20">
        <v>15.4</v>
      </c>
      <c r="L1141" s="21">
        <v>2.48</v>
      </c>
      <c r="M1141" s="22" t="s">
        <v>30</v>
      </c>
      <c r="N1141" s="23">
        <v>2.48</v>
      </c>
      <c r="O1141" s="24">
        <v>0.16103896103896104</v>
      </c>
      <c r="P1141" s="25" t="str">
        <f>IF(P1143="x","x","")</f>
        <v/>
      </c>
      <c r="Q1141" s="25" t="str">
        <f>IF(Q1143="x","x","")</f>
        <v/>
      </c>
      <c r="R1141" s="25" t="str">
        <f>IF(R1143="x","x","")</f>
        <v/>
      </c>
      <c r="S1141" s="25" t="str">
        <f>IF(S1143="x","x","")</f>
        <v/>
      </c>
      <c r="T1141" s="25" t="s">
        <v>27</v>
      </c>
      <c r="U1141" s="26"/>
      <c r="V1141" s="27"/>
    </row>
    <row r="1142" spans="1:22" x14ac:dyDescent="0.25">
      <c r="A1142" s="18" t="s">
        <v>494</v>
      </c>
      <c r="B1142" s="18" t="s">
        <v>946</v>
      </c>
      <c r="C1142" s="18" t="s">
        <v>495</v>
      </c>
      <c r="D1142" s="18" t="s">
        <v>26</v>
      </c>
      <c r="E1142" s="18" t="s">
        <v>378</v>
      </c>
      <c r="F1142" s="18" t="s">
        <v>503</v>
      </c>
      <c r="G1142" s="18" t="s">
        <v>32</v>
      </c>
      <c r="H1142" s="19">
        <v>2007</v>
      </c>
      <c r="I1142" s="18" t="s">
        <v>359</v>
      </c>
      <c r="J1142" s="101" t="s">
        <v>27</v>
      </c>
      <c r="K1142" s="20">
        <v>15.4</v>
      </c>
      <c r="L1142" s="21">
        <v>1.91</v>
      </c>
      <c r="M1142" s="22" t="s">
        <v>30</v>
      </c>
      <c r="N1142" s="23">
        <v>1.91</v>
      </c>
      <c r="O1142" s="24">
        <v>0.12402597402597401</v>
      </c>
      <c r="P1142" s="25" t="str">
        <f>IF(P1143="x","x","")</f>
        <v/>
      </c>
      <c r="Q1142" s="25" t="str">
        <f>IF(Q1143="x","x","")</f>
        <v/>
      </c>
      <c r="R1142" s="25" t="str">
        <f>IF(R1143="x","x","")</f>
        <v/>
      </c>
      <c r="S1142" s="25" t="str">
        <f>IF(S1143="x","x","")</f>
        <v/>
      </c>
      <c r="T1142" s="25" t="s">
        <v>27</v>
      </c>
      <c r="U1142" s="26"/>
      <c r="V1142" s="27"/>
    </row>
    <row r="1143" spans="1:22" ht="16.5" thickBot="1" x14ac:dyDescent="0.3">
      <c r="A1143" s="28" t="str">
        <f>A1142</f>
        <v>Mexico</v>
      </c>
      <c r="B1143" s="28" t="str">
        <f>B1142</f>
        <v>Latin America and Caribbean</v>
      </c>
      <c r="C1143" s="28" t="str">
        <f>C1142</f>
        <v>P065779</v>
      </c>
      <c r="D1143" s="28" t="s">
        <v>26</v>
      </c>
      <c r="E1143" s="28" t="s">
        <v>27</v>
      </c>
      <c r="F1143" s="28" t="str">
        <f>F1142</f>
        <v>P065779C1S15</v>
      </c>
      <c r="G1143" s="28" t="s">
        <v>16</v>
      </c>
      <c r="H1143" s="29" t="str">
        <f>H1141&amp;" / "&amp;H1142</f>
        <v>2000 / 2007</v>
      </c>
      <c r="I1143" s="29" t="str">
        <f>I1142</f>
        <v>Reconstruction</v>
      </c>
      <c r="J1143" s="97" t="str">
        <f>IFERROR(J1142/J1141,"")</f>
        <v/>
      </c>
      <c r="K1143" s="32">
        <f>K1142/K1141</f>
        <v>1</v>
      </c>
      <c r="L1143" s="32">
        <f>L1142/L1141</f>
        <v>0.77016129032258063</v>
      </c>
      <c r="M1143" s="28"/>
      <c r="N1143" s="32">
        <f>N1142/N1141</f>
        <v>0.77016129032258063</v>
      </c>
      <c r="O1143" s="32">
        <f>O1142/O1141</f>
        <v>0.77016129032258052</v>
      </c>
      <c r="P1143" s="33" t="str">
        <f>IF(K1143&lt;50%,"x","")</f>
        <v/>
      </c>
      <c r="Q1143" s="33" t="str">
        <f>IF(K1143&gt;150%,"x","")</f>
        <v/>
      </c>
      <c r="R1143" s="33" t="str">
        <f>IF(O1143&lt;50%,"x","")</f>
        <v/>
      </c>
      <c r="S1143" s="33" t="str">
        <f>IF(O1143&gt;150%,"x","")</f>
        <v/>
      </c>
      <c r="T1143" s="33" t="s">
        <v>27</v>
      </c>
      <c r="U1143" s="34" t="s">
        <v>27</v>
      </c>
      <c r="V1143" s="35" t="s">
        <v>27</v>
      </c>
    </row>
    <row r="1144" spans="1:22" ht="16.5" thickTop="1" x14ac:dyDescent="0.25">
      <c r="A1144" s="18" t="s">
        <v>494</v>
      </c>
      <c r="B1144" s="18" t="s">
        <v>946</v>
      </c>
      <c r="C1144" s="18" t="s">
        <v>495</v>
      </c>
      <c r="D1144" s="18" t="s">
        <v>26</v>
      </c>
      <c r="E1144" s="18" t="s">
        <v>504</v>
      </c>
      <c r="F1144" s="18" t="s">
        <v>505</v>
      </c>
      <c r="G1144" s="18" t="s">
        <v>29</v>
      </c>
      <c r="H1144" s="19">
        <v>2000</v>
      </c>
      <c r="I1144" s="18" t="s">
        <v>359</v>
      </c>
      <c r="J1144" s="101" t="s">
        <v>27</v>
      </c>
      <c r="K1144" s="20">
        <v>9.1999999999999993</v>
      </c>
      <c r="L1144" s="21">
        <v>1.38</v>
      </c>
      <c r="M1144" s="22" t="s">
        <v>30</v>
      </c>
      <c r="N1144" s="23">
        <v>1.38</v>
      </c>
      <c r="O1144" s="24">
        <v>0.15</v>
      </c>
      <c r="P1144" s="25" t="str">
        <f>IF(P1146="x","x","")</f>
        <v/>
      </c>
      <c r="Q1144" s="25" t="str">
        <f>IF(Q1146="x","x","")</f>
        <v/>
      </c>
      <c r="R1144" s="25" t="str">
        <f>IF(R1146="x","x","")</f>
        <v/>
      </c>
      <c r="S1144" s="25" t="str">
        <f>IF(S1146="x","x","")</f>
        <v/>
      </c>
      <c r="T1144" s="25" t="s">
        <v>27</v>
      </c>
      <c r="U1144" s="26"/>
      <c r="V1144" s="27"/>
    </row>
    <row r="1145" spans="1:22" x14ac:dyDescent="0.25">
      <c r="A1145" s="18" t="s">
        <v>494</v>
      </c>
      <c r="B1145" s="18" t="s">
        <v>946</v>
      </c>
      <c r="C1145" s="18" t="s">
        <v>495</v>
      </c>
      <c r="D1145" s="18" t="s">
        <v>26</v>
      </c>
      <c r="E1145" s="18" t="s">
        <v>504</v>
      </c>
      <c r="F1145" s="18" t="s">
        <v>505</v>
      </c>
      <c r="G1145" s="18" t="s">
        <v>32</v>
      </c>
      <c r="H1145" s="19">
        <v>2007</v>
      </c>
      <c r="I1145" s="18" t="s">
        <v>359</v>
      </c>
      <c r="J1145" s="101" t="s">
        <v>27</v>
      </c>
      <c r="K1145" s="20">
        <v>9.1999999999999993</v>
      </c>
      <c r="L1145" s="21">
        <v>1.26</v>
      </c>
      <c r="M1145" s="22" t="s">
        <v>30</v>
      </c>
      <c r="N1145" s="23">
        <v>1.26</v>
      </c>
      <c r="O1145" s="24">
        <v>0.13695652173913045</v>
      </c>
      <c r="P1145" s="25" t="str">
        <f>IF(P1146="x","x","")</f>
        <v/>
      </c>
      <c r="Q1145" s="25" t="str">
        <f>IF(Q1146="x","x","")</f>
        <v/>
      </c>
      <c r="R1145" s="25" t="str">
        <f>IF(R1146="x","x","")</f>
        <v/>
      </c>
      <c r="S1145" s="25" t="str">
        <f>IF(S1146="x","x","")</f>
        <v/>
      </c>
      <c r="T1145" s="25" t="s">
        <v>27</v>
      </c>
      <c r="U1145" s="26"/>
      <c r="V1145" s="27"/>
    </row>
    <row r="1146" spans="1:22" ht="16.5" thickBot="1" x14ac:dyDescent="0.3">
      <c r="A1146" s="28" t="str">
        <f>A1145</f>
        <v>Mexico</v>
      </c>
      <c r="B1146" s="28" t="str">
        <f>B1145</f>
        <v>Latin America and Caribbean</v>
      </c>
      <c r="C1146" s="28" t="str">
        <f>C1145</f>
        <v>P065779</v>
      </c>
      <c r="D1146" s="28" t="s">
        <v>26</v>
      </c>
      <c r="E1146" s="28" t="s">
        <v>27</v>
      </c>
      <c r="F1146" s="28" t="str">
        <f>F1145</f>
        <v>P065779C1S16</v>
      </c>
      <c r="G1146" s="28" t="s">
        <v>16</v>
      </c>
      <c r="H1146" s="29" t="str">
        <f>H1144&amp;" / "&amp;H1145</f>
        <v>2000 / 2007</v>
      </c>
      <c r="I1146" s="29" t="str">
        <f>I1145</f>
        <v>Reconstruction</v>
      </c>
      <c r="J1146" s="97" t="str">
        <f>IFERROR(J1145/J1144,"")</f>
        <v/>
      </c>
      <c r="K1146" s="32">
        <f>K1145/K1144</f>
        <v>1</v>
      </c>
      <c r="L1146" s="32">
        <f>L1145/L1144</f>
        <v>0.91304347826086962</v>
      </c>
      <c r="M1146" s="28"/>
      <c r="N1146" s="32">
        <f>N1145/N1144</f>
        <v>0.91304347826086962</v>
      </c>
      <c r="O1146" s="32">
        <f>O1145/O1144</f>
        <v>0.91304347826086973</v>
      </c>
      <c r="P1146" s="33" t="str">
        <f>IF(K1146&lt;50%,"x","")</f>
        <v/>
      </c>
      <c r="Q1146" s="33" t="str">
        <f>IF(K1146&gt;150%,"x","")</f>
        <v/>
      </c>
      <c r="R1146" s="33" t="str">
        <f>IF(O1146&lt;50%,"x","")</f>
        <v/>
      </c>
      <c r="S1146" s="33" t="str">
        <f>IF(O1146&gt;150%,"x","")</f>
        <v/>
      </c>
      <c r="T1146" s="33" t="s">
        <v>27</v>
      </c>
      <c r="U1146" s="34" t="s">
        <v>27</v>
      </c>
      <c r="V1146" s="35" t="s">
        <v>27</v>
      </c>
    </row>
    <row r="1147" spans="1:22" ht="16.5" thickTop="1" x14ac:dyDescent="0.25">
      <c r="A1147" s="18" t="s">
        <v>494</v>
      </c>
      <c r="B1147" s="18" t="s">
        <v>946</v>
      </c>
      <c r="C1147" s="18" t="s">
        <v>495</v>
      </c>
      <c r="D1147" s="18" t="s">
        <v>26</v>
      </c>
      <c r="E1147" s="18" t="s">
        <v>506</v>
      </c>
      <c r="F1147" s="18" t="s">
        <v>507</v>
      </c>
      <c r="G1147" s="18" t="s">
        <v>29</v>
      </c>
      <c r="H1147" s="19">
        <v>2000</v>
      </c>
      <c r="I1147" s="18" t="s">
        <v>359</v>
      </c>
      <c r="J1147" s="101" t="s">
        <v>27</v>
      </c>
      <c r="K1147" s="20">
        <v>25</v>
      </c>
      <c r="L1147" s="21">
        <v>2.81</v>
      </c>
      <c r="M1147" s="22" t="s">
        <v>30</v>
      </c>
      <c r="N1147" s="23">
        <v>2.81</v>
      </c>
      <c r="O1147" s="24">
        <v>0.1124</v>
      </c>
      <c r="P1147" s="25" t="str">
        <f>IF(P1149="x","x","")</f>
        <v/>
      </c>
      <c r="Q1147" s="25" t="str">
        <f>IF(Q1149="x","x","")</f>
        <v/>
      </c>
      <c r="R1147" s="25" t="str">
        <f>IF(R1149="x","x","")</f>
        <v>x</v>
      </c>
      <c r="S1147" s="25" t="str">
        <f>IF(S1149="x","x","")</f>
        <v/>
      </c>
      <c r="T1147" s="25" t="s">
        <v>31</v>
      </c>
      <c r="U1147" s="26"/>
      <c r="V1147" s="27"/>
    </row>
    <row r="1148" spans="1:22" x14ac:dyDescent="0.25">
      <c r="A1148" s="18" t="s">
        <v>494</v>
      </c>
      <c r="B1148" s="18" t="s">
        <v>946</v>
      </c>
      <c r="C1148" s="18" t="s">
        <v>495</v>
      </c>
      <c r="D1148" s="18" t="s">
        <v>26</v>
      </c>
      <c r="E1148" s="18" t="s">
        <v>506</v>
      </c>
      <c r="F1148" s="18" t="s">
        <v>507</v>
      </c>
      <c r="G1148" s="18" t="s">
        <v>32</v>
      </c>
      <c r="H1148" s="19">
        <v>2007</v>
      </c>
      <c r="I1148" s="18" t="s">
        <v>359</v>
      </c>
      <c r="J1148" s="101" t="s">
        <v>27</v>
      </c>
      <c r="K1148" s="20">
        <v>25</v>
      </c>
      <c r="L1148" s="21">
        <v>0.53</v>
      </c>
      <c r="M1148" s="22" t="s">
        <v>30</v>
      </c>
      <c r="N1148" s="23">
        <v>0.53</v>
      </c>
      <c r="O1148" s="24">
        <v>2.12E-2</v>
      </c>
      <c r="P1148" s="25" t="str">
        <f>IF(P1149="x","x","")</f>
        <v/>
      </c>
      <c r="Q1148" s="25" t="str">
        <f>IF(Q1149="x","x","")</f>
        <v/>
      </c>
      <c r="R1148" s="25" t="str">
        <f>IF(R1149="x","x","")</f>
        <v>x</v>
      </c>
      <c r="S1148" s="25" t="str">
        <f>IF(S1149="x","x","")</f>
        <v/>
      </c>
      <c r="T1148" s="25" t="s">
        <v>31</v>
      </c>
      <c r="U1148" s="26"/>
      <c r="V1148" s="27"/>
    </row>
    <row r="1149" spans="1:22" ht="32.25" thickBot="1" x14ac:dyDescent="0.3">
      <c r="A1149" s="28" t="str">
        <f>A1148</f>
        <v>Mexico</v>
      </c>
      <c r="B1149" s="28" t="str">
        <f>B1148</f>
        <v>Latin America and Caribbean</v>
      </c>
      <c r="C1149" s="28" t="str">
        <f>C1148</f>
        <v>P065779</v>
      </c>
      <c r="D1149" s="28" t="s">
        <v>26</v>
      </c>
      <c r="E1149" s="28" t="s">
        <v>27</v>
      </c>
      <c r="F1149" s="28" t="str">
        <f>F1148</f>
        <v>P065779C1S17</v>
      </c>
      <c r="G1149" s="28" t="s">
        <v>16</v>
      </c>
      <c r="H1149" s="29" t="str">
        <f>H1147&amp;" / "&amp;H1148</f>
        <v>2000 / 2007</v>
      </c>
      <c r="I1149" s="29" t="str">
        <f>I1148</f>
        <v>Reconstruction</v>
      </c>
      <c r="J1149" s="97" t="str">
        <f>IFERROR(J1148/J1147,"")</f>
        <v/>
      </c>
      <c r="K1149" s="32">
        <f>K1148/K1147</f>
        <v>1</v>
      </c>
      <c r="L1149" s="32">
        <f>L1148/L1147</f>
        <v>0.18861209964412812</v>
      </c>
      <c r="M1149" s="28"/>
      <c r="N1149" s="32">
        <f>N1148/N1147</f>
        <v>0.18861209964412812</v>
      </c>
      <c r="O1149" s="32">
        <f>O1148/O1147</f>
        <v>0.18861209964412812</v>
      </c>
      <c r="P1149" s="33" t="str">
        <f>IF(K1149&lt;50%,"x","")</f>
        <v/>
      </c>
      <c r="Q1149" s="33" t="str">
        <f>IF(K1149&gt;150%,"x","")</f>
        <v/>
      </c>
      <c r="R1149" s="33" t="str">
        <f>IF(O1149&lt;50%,"x","")</f>
        <v>x</v>
      </c>
      <c r="S1149" s="33" t="str">
        <f>IF(O1149&gt;150%,"x","")</f>
        <v/>
      </c>
      <c r="T1149" s="33" t="s">
        <v>31</v>
      </c>
      <c r="U1149" s="34" t="s">
        <v>988</v>
      </c>
      <c r="V1149" s="35" t="s">
        <v>1002</v>
      </c>
    </row>
    <row r="1150" spans="1:22" ht="16.5" thickTop="1" x14ac:dyDescent="0.25">
      <c r="A1150" s="18" t="s">
        <v>494</v>
      </c>
      <c r="B1150" s="18" t="s">
        <v>946</v>
      </c>
      <c r="C1150" s="18" t="s">
        <v>495</v>
      </c>
      <c r="D1150" s="18" t="s">
        <v>26</v>
      </c>
      <c r="E1150" s="18" t="s">
        <v>508</v>
      </c>
      <c r="F1150" s="18" t="s">
        <v>509</v>
      </c>
      <c r="G1150" s="18" t="s">
        <v>29</v>
      </c>
      <c r="H1150" s="19">
        <v>2000</v>
      </c>
      <c r="I1150" s="18" t="s">
        <v>359</v>
      </c>
      <c r="J1150" s="101" t="s">
        <v>27</v>
      </c>
      <c r="K1150" s="20">
        <v>11</v>
      </c>
      <c r="L1150" s="21">
        <v>1.24</v>
      </c>
      <c r="M1150" s="22" t="s">
        <v>30</v>
      </c>
      <c r="N1150" s="23">
        <v>1.24</v>
      </c>
      <c r="O1150" s="24">
        <v>0.11272727272727273</v>
      </c>
      <c r="P1150" s="25" t="str">
        <f>IF(P1152="x","x","")</f>
        <v/>
      </c>
      <c r="Q1150" s="25" t="str">
        <f>IF(Q1152="x","x","")</f>
        <v/>
      </c>
      <c r="R1150" s="25" t="str">
        <f>IF(R1152="x","x","")</f>
        <v/>
      </c>
      <c r="S1150" s="25" t="str">
        <f>IF(S1152="x","x","")</f>
        <v/>
      </c>
      <c r="T1150" s="25" t="s">
        <v>27</v>
      </c>
      <c r="U1150" s="26"/>
      <c r="V1150" s="27"/>
    </row>
    <row r="1151" spans="1:22" x14ac:dyDescent="0.25">
      <c r="A1151" s="18" t="s">
        <v>494</v>
      </c>
      <c r="B1151" s="18" t="s">
        <v>946</v>
      </c>
      <c r="C1151" s="18" t="s">
        <v>495</v>
      </c>
      <c r="D1151" s="18" t="s">
        <v>26</v>
      </c>
      <c r="E1151" s="18" t="s">
        <v>508</v>
      </c>
      <c r="F1151" s="18" t="s">
        <v>509</v>
      </c>
      <c r="G1151" s="18" t="s">
        <v>32</v>
      </c>
      <c r="H1151" s="19">
        <v>2007</v>
      </c>
      <c r="I1151" s="18" t="s">
        <v>359</v>
      </c>
      <c r="J1151" s="101" t="s">
        <v>27</v>
      </c>
      <c r="K1151" s="20">
        <v>11</v>
      </c>
      <c r="L1151" s="21">
        <v>1.55</v>
      </c>
      <c r="M1151" s="22" t="s">
        <v>30</v>
      </c>
      <c r="N1151" s="23">
        <v>1.55</v>
      </c>
      <c r="O1151" s="24">
        <v>0.1409090909090909</v>
      </c>
      <c r="P1151" s="25" t="str">
        <f>IF(P1152="x","x","")</f>
        <v/>
      </c>
      <c r="Q1151" s="25" t="str">
        <f>IF(Q1152="x","x","")</f>
        <v/>
      </c>
      <c r="R1151" s="25" t="str">
        <f>IF(R1152="x","x","")</f>
        <v/>
      </c>
      <c r="S1151" s="25" t="str">
        <f>IF(S1152="x","x","")</f>
        <v/>
      </c>
      <c r="T1151" s="25" t="s">
        <v>27</v>
      </c>
      <c r="U1151" s="26"/>
      <c r="V1151" s="27"/>
    </row>
    <row r="1152" spans="1:22" ht="16.5" thickBot="1" x14ac:dyDescent="0.3">
      <c r="A1152" s="28" t="str">
        <f>A1151</f>
        <v>Mexico</v>
      </c>
      <c r="B1152" s="28" t="str">
        <f>B1151</f>
        <v>Latin America and Caribbean</v>
      </c>
      <c r="C1152" s="28" t="str">
        <f>C1151</f>
        <v>P065779</v>
      </c>
      <c r="D1152" s="28" t="s">
        <v>26</v>
      </c>
      <c r="E1152" s="28" t="s">
        <v>27</v>
      </c>
      <c r="F1152" s="28" t="str">
        <f>F1151</f>
        <v>P065779C1S18</v>
      </c>
      <c r="G1152" s="28" t="s">
        <v>16</v>
      </c>
      <c r="H1152" s="29" t="str">
        <f>H1150&amp;" / "&amp;H1151</f>
        <v>2000 / 2007</v>
      </c>
      <c r="I1152" s="29" t="str">
        <f>I1151</f>
        <v>Reconstruction</v>
      </c>
      <c r="J1152" s="97" t="str">
        <f>IFERROR(J1151/J1150,"")</f>
        <v/>
      </c>
      <c r="K1152" s="32">
        <f>K1151/K1150</f>
        <v>1</v>
      </c>
      <c r="L1152" s="32">
        <f>L1151/L1150</f>
        <v>1.25</v>
      </c>
      <c r="M1152" s="28"/>
      <c r="N1152" s="32">
        <f>N1151/N1150</f>
        <v>1.25</v>
      </c>
      <c r="O1152" s="32">
        <f>O1151/O1150</f>
        <v>1.2499999999999998</v>
      </c>
      <c r="P1152" s="33" t="str">
        <f>IF(K1152&lt;50%,"x","")</f>
        <v/>
      </c>
      <c r="Q1152" s="33" t="str">
        <f>IF(K1152&gt;150%,"x","")</f>
        <v/>
      </c>
      <c r="R1152" s="33" t="str">
        <f>IF(O1152&lt;50%,"x","")</f>
        <v/>
      </c>
      <c r="S1152" s="33" t="str">
        <f>IF(O1152&gt;150%,"x","")</f>
        <v/>
      </c>
      <c r="T1152" s="33" t="s">
        <v>27</v>
      </c>
      <c r="U1152" s="34" t="s">
        <v>27</v>
      </c>
      <c r="V1152" s="35" t="s">
        <v>27</v>
      </c>
    </row>
    <row r="1153" spans="1:22" ht="16.5" thickTop="1" x14ac:dyDescent="0.25">
      <c r="A1153" s="18" t="s">
        <v>494</v>
      </c>
      <c r="B1153" s="18" t="s">
        <v>946</v>
      </c>
      <c r="C1153" s="18" t="s">
        <v>495</v>
      </c>
      <c r="D1153" s="18" t="s">
        <v>26</v>
      </c>
      <c r="E1153" s="18" t="s">
        <v>510</v>
      </c>
      <c r="F1153" s="18" t="s">
        <v>511</v>
      </c>
      <c r="G1153" s="18" t="s">
        <v>29</v>
      </c>
      <c r="H1153" s="19">
        <v>2000</v>
      </c>
      <c r="I1153" s="18" t="s">
        <v>359</v>
      </c>
      <c r="J1153" s="101" t="s">
        <v>27</v>
      </c>
      <c r="K1153" s="20">
        <v>10.5</v>
      </c>
      <c r="L1153" s="21">
        <v>1.34</v>
      </c>
      <c r="M1153" s="22" t="s">
        <v>30</v>
      </c>
      <c r="N1153" s="23">
        <v>1.34</v>
      </c>
      <c r="O1153" s="24">
        <v>0.12761904761904763</v>
      </c>
      <c r="P1153" s="25" t="str">
        <f>IF(P1155="x","x","")</f>
        <v/>
      </c>
      <c r="Q1153" s="25" t="str">
        <f>IF(Q1155="x","x","")</f>
        <v/>
      </c>
      <c r="R1153" s="25" t="str">
        <f>IF(R1155="x","x","")</f>
        <v/>
      </c>
      <c r="S1153" s="25" t="str">
        <f>IF(S1155="x","x","")</f>
        <v>x</v>
      </c>
      <c r="T1153" s="25" t="s">
        <v>31</v>
      </c>
      <c r="U1153" s="26"/>
      <c r="V1153" s="27"/>
    </row>
    <row r="1154" spans="1:22" x14ac:dyDescent="0.25">
      <c r="A1154" s="18" t="s">
        <v>494</v>
      </c>
      <c r="B1154" s="18" t="s">
        <v>946</v>
      </c>
      <c r="C1154" s="18" t="s">
        <v>495</v>
      </c>
      <c r="D1154" s="18" t="s">
        <v>26</v>
      </c>
      <c r="E1154" s="18" t="s">
        <v>510</v>
      </c>
      <c r="F1154" s="18" t="s">
        <v>511</v>
      </c>
      <c r="G1154" s="18" t="s">
        <v>32</v>
      </c>
      <c r="H1154" s="19">
        <v>2007</v>
      </c>
      <c r="I1154" s="18" t="s">
        <v>359</v>
      </c>
      <c r="J1154" s="101" t="s">
        <v>27</v>
      </c>
      <c r="K1154" s="20">
        <v>10.5</v>
      </c>
      <c r="L1154" s="21">
        <v>2.0499999999999998</v>
      </c>
      <c r="M1154" s="22" t="s">
        <v>30</v>
      </c>
      <c r="N1154" s="23">
        <v>2.0499999999999998</v>
      </c>
      <c r="O1154" s="24">
        <v>0.19523809523809521</v>
      </c>
      <c r="P1154" s="25" t="str">
        <f>IF(P1155="x","x","")</f>
        <v/>
      </c>
      <c r="Q1154" s="25" t="str">
        <f>IF(Q1155="x","x","")</f>
        <v/>
      </c>
      <c r="R1154" s="25" t="str">
        <f>IF(R1155="x","x","")</f>
        <v/>
      </c>
      <c r="S1154" s="25" t="str">
        <f>IF(S1155="x","x","")</f>
        <v>x</v>
      </c>
      <c r="T1154" s="25" t="s">
        <v>31</v>
      </c>
      <c r="U1154" s="26"/>
      <c r="V1154" s="27"/>
    </row>
    <row r="1155" spans="1:22" ht="63.75" thickBot="1" x14ac:dyDescent="0.3">
      <c r="A1155" s="28" t="str">
        <f>A1154</f>
        <v>Mexico</v>
      </c>
      <c r="B1155" s="28" t="str">
        <f>B1154</f>
        <v>Latin America and Caribbean</v>
      </c>
      <c r="C1155" s="28" t="str">
        <f>C1154</f>
        <v>P065779</v>
      </c>
      <c r="D1155" s="28" t="s">
        <v>26</v>
      </c>
      <c r="E1155" s="28" t="s">
        <v>27</v>
      </c>
      <c r="F1155" s="28" t="str">
        <f>F1154</f>
        <v>P065779C1S19</v>
      </c>
      <c r="G1155" s="28" t="s">
        <v>16</v>
      </c>
      <c r="H1155" s="29" t="str">
        <f>H1153&amp;" / "&amp;H1154</f>
        <v>2000 / 2007</v>
      </c>
      <c r="I1155" s="29" t="str">
        <f>I1154</f>
        <v>Reconstruction</v>
      </c>
      <c r="J1155" s="97" t="str">
        <f>IFERROR(J1154/J1153,"")</f>
        <v/>
      </c>
      <c r="K1155" s="32">
        <f>K1154/K1153</f>
        <v>1</v>
      </c>
      <c r="L1155" s="32">
        <f>L1154/L1153</f>
        <v>1.5298507462686566</v>
      </c>
      <c r="M1155" s="28"/>
      <c r="N1155" s="32">
        <f>N1154/N1153</f>
        <v>1.5298507462686566</v>
      </c>
      <c r="O1155" s="32">
        <f>O1154/O1153</f>
        <v>1.5298507462686564</v>
      </c>
      <c r="P1155" s="33" t="str">
        <f>IF(K1155&lt;50%,"x","")</f>
        <v/>
      </c>
      <c r="Q1155" s="33" t="str">
        <f>IF(K1155&gt;150%,"x","")</f>
        <v/>
      </c>
      <c r="R1155" s="33" t="str">
        <f>IF(O1155&lt;50%,"x","")</f>
        <v/>
      </c>
      <c r="S1155" s="33" t="str">
        <f>IF(O1155&gt;150%,"x","")</f>
        <v>x</v>
      </c>
      <c r="T1155" s="33" t="s">
        <v>31</v>
      </c>
      <c r="U1155" s="34" t="s">
        <v>999</v>
      </c>
      <c r="V1155" s="35" t="s">
        <v>1001</v>
      </c>
    </row>
    <row r="1156" spans="1:22" ht="16.5" thickTop="1" x14ac:dyDescent="0.25">
      <c r="A1156" s="18" t="s">
        <v>494</v>
      </c>
      <c r="B1156" s="18" t="s">
        <v>946</v>
      </c>
      <c r="C1156" s="18" t="s">
        <v>495</v>
      </c>
      <c r="D1156" s="18" t="s">
        <v>26</v>
      </c>
      <c r="E1156" s="18" t="s">
        <v>40</v>
      </c>
      <c r="F1156" s="18" t="s">
        <v>512</v>
      </c>
      <c r="G1156" s="18" t="s">
        <v>29</v>
      </c>
      <c r="H1156" s="19">
        <v>2000</v>
      </c>
      <c r="I1156" s="18" t="s">
        <v>359</v>
      </c>
      <c r="J1156" s="101" t="s">
        <v>27</v>
      </c>
      <c r="K1156" s="20">
        <v>11</v>
      </c>
      <c r="L1156" s="21">
        <v>1.24</v>
      </c>
      <c r="M1156" s="22" t="s">
        <v>30</v>
      </c>
      <c r="N1156" s="23">
        <v>1.24</v>
      </c>
      <c r="O1156" s="24">
        <v>0.11272727272727273</v>
      </c>
      <c r="P1156" s="25" t="str">
        <f>IF(P1158="x","x","")</f>
        <v/>
      </c>
      <c r="Q1156" s="25" t="str">
        <f>IF(Q1158="x","x","")</f>
        <v/>
      </c>
      <c r="R1156" s="25" t="str">
        <f>IF(R1158="x","x","")</f>
        <v/>
      </c>
      <c r="S1156" s="25" t="str">
        <f>IF(S1158="x","x","")</f>
        <v/>
      </c>
      <c r="T1156" s="25" t="s">
        <v>27</v>
      </c>
      <c r="U1156" s="26"/>
      <c r="V1156" s="27"/>
    </row>
    <row r="1157" spans="1:22" x14ac:dyDescent="0.25">
      <c r="A1157" s="18" t="s">
        <v>494</v>
      </c>
      <c r="B1157" s="18" t="s">
        <v>946</v>
      </c>
      <c r="C1157" s="18" t="s">
        <v>495</v>
      </c>
      <c r="D1157" s="18" t="s">
        <v>26</v>
      </c>
      <c r="E1157" s="18" t="s">
        <v>40</v>
      </c>
      <c r="F1157" s="18" t="s">
        <v>512</v>
      </c>
      <c r="G1157" s="18" t="s">
        <v>32</v>
      </c>
      <c r="H1157" s="19">
        <v>2007</v>
      </c>
      <c r="I1157" s="18" t="s">
        <v>359</v>
      </c>
      <c r="J1157" s="101" t="s">
        <v>27</v>
      </c>
      <c r="K1157" s="20">
        <v>11</v>
      </c>
      <c r="L1157" s="21">
        <v>0.8</v>
      </c>
      <c r="M1157" s="22" t="s">
        <v>30</v>
      </c>
      <c r="N1157" s="23">
        <v>0.8</v>
      </c>
      <c r="O1157" s="24">
        <v>7.2727272727272738E-2</v>
      </c>
      <c r="P1157" s="25" t="str">
        <f>IF(P1158="x","x","")</f>
        <v/>
      </c>
      <c r="Q1157" s="25" t="str">
        <f>IF(Q1158="x","x","")</f>
        <v/>
      </c>
      <c r="R1157" s="25" t="str">
        <f>IF(R1158="x","x","")</f>
        <v/>
      </c>
      <c r="S1157" s="25" t="str">
        <f>IF(S1158="x","x","")</f>
        <v/>
      </c>
      <c r="T1157" s="25" t="s">
        <v>27</v>
      </c>
      <c r="U1157" s="26"/>
      <c r="V1157" s="27"/>
    </row>
    <row r="1158" spans="1:22" ht="16.5" thickBot="1" x14ac:dyDescent="0.3">
      <c r="A1158" s="28" t="str">
        <f>A1157</f>
        <v>Mexico</v>
      </c>
      <c r="B1158" s="28" t="str">
        <f>B1157</f>
        <v>Latin America and Caribbean</v>
      </c>
      <c r="C1158" s="28" t="str">
        <f>C1157</f>
        <v>P065779</v>
      </c>
      <c r="D1158" s="28" t="s">
        <v>26</v>
      </c>
      <c r="E1158" s="28" t="s">
        <v>27</v>
      </c>
      <c r="F1158" s="28" t="str">
        <f>F1157</f>
        <v>P065779C1S2</v>
      </c>
      <c r="G1158" s="28" t="s">
        <v>16</v>
      </c>
      <c r="H1158" s="29" t="str">
        <f>H1156&amp;" / "&amp;H1157</f>
        <v>2000 / 2007</v>
      </c>
      <c r="I1158" s="29" t="str">
        <f>I1157</f>
        <v>Reconstruction</v>
      </c>
      <c r="J1158" s="97" t="str">
        <f>IFERROR(J1157/J1156,"")</f>
        <v/>
      </c>
      <c r="K1158" s="32">
        <f>K1157/K1156</f>
        <v>1</v>
      </c>
      <c r="L1158" s="32">
        <f>L1157/L1156</f>
        <v>0.64516129032258074</v>
      </c>
      <c r="M1158" s="28"/>
      <c r="N1158" s="32">
        <f>N1157/N1156</f>
        <v>0.64516129032258074</v>
      </c>
      <c r="O1158" s="32">
        <f>O1157/O1156</f>
        <v>0.64516129032258074</v>
      </c>
      <c r="P1158" s="33" t="str">
        <f>IF(K1158&lt;50%,"x","")</f>
        <v/>
      </c>
      <c r="Q1158" s="33" t="str">
        <f>IF(K1158&gt;150%,"x","")</f>
        <v/>
      </c>
      <c r="R1158" s="33" t="str">
        <f>IF(O1158&lt;50%,"x","")</f>
        <v/>
      </c>
      <c r="S1158" s="33" t="str">
        <f>IF(O1158&gt;150%,"x","")</f>
        <v/>
      </c>
      <c r="T1158" s="33" t="s">
        <v>27</v>
      </c>
      <c r="U1158" s="34" t="s">
        <v>27</v>
      </c>
      <c r="V1158" s="35" t="s">
        <v>27</v>
      </c>
    </row>
    <row r="1159" spans="1:22" ht="16.5" thickTop="1" x14ac:dyDescent="0.25">
      <c r="A1159" s="18" t="s">
        <v>494</v>
      </c>
      <c r="B1159" s="18" t="s">
        <v>946</v>
      </c>
      <c r="C1159" s="18" t="s">
        <v>495</v>
      </c>
      <c r="D1159" s="18" t="s">
        <v>26</v>
      </c>
      <c r="E1159" s="18" t="s">
        <v>513</v>
      </c>
      <c r="F1159" s="18" t="s">
        <v>514</v>
      </c>
      <c r="G1159" s="18" t="s">
        <v>29</v>
      </c>
      <c r="H1159" s="19">
        <v>2000</v>
      </c>
      <c r="I1159" s="18" t="s">
        <v>359</v>
      </c>
      <c r="J1159" s="101" t="s">
        <v>27</v>
      </c>
      <c r="K1159" s="20">
        <v>21</v>
      </c>
      <c r="L1159" s="21">
        <v>3.78</v>
      </c>
      <c r="M1159" s="22" t="s">
        <v>30</v>
      </c>
      <c r="N1159" s="23">
        <v>3.78</v>
      </c>
      <c r="O1159" s="24">
        <v>0.18</v>
      </c>
      <c r="P1159" s="25" t="str">
        <f>IF(P1161="x","x","")</f>
        <v/>
      </c>
      <c r="Q1159" s="25" t="str">
        <f>IF(Q1161="x","x","")</f>
        <v/>
      </c>
      <c r="R1159" s="25" t="str">
        <f>IF(R1161="x","x","")</f>
        <v/>
      </c>
      <c r="S1159" s="25" t="str">
        <f>IF(S1161="x","x","")</f>
        <v/>
      </c>
      <c r="T1159" s="25" t="s">
        <v>27</v>
      </c>
      <c r="U1159" s="26"/>
      <c r="V1159" s="27"/>
    </row>
    <row r="1160" spans="1:22" x14ac:dyDescent="0.25">
      <c r="A1160" s="18" t="s">
        <v>494</v>
      </c>
      <c r="B1160" s="18" t="s">
        <v>946</v>
      </c>
      <c r="C1160" s="18" t="s">
        <v>495</v>
      </c>
      <c r="D1160" s="18" t="s">
        <v>26</v>
      </c>
      <c r="E1160" s="18" t="s">
        <v>513</v>
      </c>
      <c r="F1160" s="18" t="s">
        <v>514</v>
      </c>
      <c r="G1160" s="18" t="s">
        <v>32</v>
      </c>
      <c r="H1160" s="19">
        <v>2007</v>
      </c>
      <c r="I1160" s="18" t="s">
        <v>359</v>
      </c>
      <c r="J1160" s="101" t="s">
        <v>27</v>
      </c>
      <c r="K1160" s="20">
        <v>21</v>
      </c>
      <c r="L1160" s="21">
        <v>4.9400000000000004</v>
      </c>
      <c r="M1160" s="22" t="s">
        <v>30</v>
      </c>
      <c r="N1160" s="23">
        <v>4.9400000000000004</v>
      </c>
      <c r="O1160" s="24">
        <v>0.23523809523809525</v>
      </c>
      <c r="P1160" s="25" t="str">
        <f>IF(P1161="x","x","")</f>
        <v/>
      </c>
      <c r="Q1160" s="25" t="str">
        <f>IF(Q1161="x","x","")</f>
        <v/>
      </c>
      <c r="R1160" s="25" t="str">
        <f>IF(R1161="x","x","")</f>
        <v/>
      </c>
      <c r="S1160" s="25" t="str">
        <f>IF(S1161="x","x","")</f>
        <v/>
      </c>
      <c r="T1160" s="25" t="s">
        <v>27</v>
      </c>
      <c r="U1160" s="26"/>
      <c r="V1160" s="27"/>
    </row>
    <row r="1161" spans="1:22" ht="16.5" thickBot="1" x14ac:dyDescent="0.3">
      <c r="A1161" s="28" t="str">
        <f>A1160</f>
        <v>Mexico</v>
      </c>
      <c r="B1161" s="28" t="str">
        <f>B1160</f>
        <v>Latin America and Caribbean</v>
      </c>
      <c r="C1161" s="28" t="str">
        <f>C1160</f>
        <v>P065779</v>
      </c>
      <c r="D1161" s="28" t="s">
        <v>26</v>
      </c>
      <c r="E1161" s="28" t="s">
        <v>27</v>
      </c>
      <c r="F1161" s="28" t="str">
        <f>F1160</f>
        <v>P065779C1S20</v>
      </c>
      <c r="G1161" s="28" t="s">
        <v>16</v>
      </c>
      <c r="H1161" s="29" t="str">
        <f>H1159&amp;" / "&amp;H1160</f>
        <v>2000 / 2007</v>
      </c>
      <c r="I1161" s="29" t="str">
        <f>I1160</f>
        <v>Reconstruction</v>
      </c>
      <c r="J1161" s="97" t="str">
        <f>IFERROR(J1160/J1159,"")</f>
        <v/>
      </c>
      <c r="K1161" s="32">
        <f>K1160/K1159</f>
        <v>1</v>
      </c>
      <c r="L1161" s="32">
        <f>L1160/L1159</f>
        <v>1.306878306878307</v>
      </c>
      <c r="M1161" s="28"/>
      <c r="N1161" s="32">
        <f>N1160/N1159</f>
        <v>1.306878306878307</v>
      </c>
      <c r="O1161" s="32">
        <f>O1160/O1159</f>
        <v>1.306878306878307</v>
      </c>
      <c r="P1161" s="33" t="str">
        <f>IF(K1161&lt;50%,"x","")</f>
        <v/>
      </c>
      <c r="Q1161" s="33" t="str">
        <f>IF(K1161&gt;150%,"x","")</f>
        <v/>
      </c>
      <c r="R1161" s="33" t="str">
        <f>IF(O1161&lt;50%,"x","")</f>
        <v/>
      </c>
      <c r="S1161" s="33" t="str">
        <f>IF(O1161&gt;150%,"x","")</f>
        <v/>
      </c>
      <c r="T1161" s="33" t="s">
        <v>27</v>
      </c>
      <c r="U1161" s="34" t="s">
        <v>27</v>
      </c>
      <c r="V1161" s="35" t="s">
        <v>27</v>
      </c>
    </row>
    <row r="1162" spans="1:22" ht="16.5" thickTop="1" x14ac:dyDescent="0.25">
      <c r="A1162" s="18" t="s">
        <v>494</v>
      </c>
      <c r="B1162" s="18" t="s">
        <v>946</v>
      </c>
      <c r="C1162" s="18" t="s">
        <v>495</v>
      </c>
      <c r="D1162" s="18" t="s">
        <v>26</v>
      </c>
      <c r="E1162" s="18" t="s">
        <v>515</v>
      </c>
      <c r="F1162" s="18" t="s">
        <v>516</v>
      </c>
      <c r="G1162" s="18" t="s">
        <v>29</v>
      </c>
      <c r="H1162" s="19">
        <v>2000</v>
      </c>
      <c r="I1162" s="18" t="s">
        <v>359</v>
      </c>
      <c r="J1162" s="101" t="s">
        <v>27</v>
      </c>
      <c r="K1162" s="20">
        <v>21.4</v>
      </c>
      <c r="L1162" s="21">
        <v>3.85</v>
      </c>
      <c r="M1162" s="22" t="s">
        <v>30</v>
      </c>
      <c r="N1162" s="23">
        <v>3.85</v>
      </c>
      <c r="O1162" s="24">
        <v>0.17990654205607479</v>
      </c>
      <c r="P1162" s="25" t="str">
        <f>IF(P1164="x","x","")</f>
        <v>x</v>
      </c>
      <c r="Q1162" s="25" t="str">
        <f>IF(Q1164="x","x","")</f>
        <v/>
      </c>
      <c r="R1162" s="25" t="str">
        <f>IF(R1164="x","x","")</f>
        <v>x</v>
      </c>
      <c r="S1162" s="25" t="str">
        <f>IF(S1164="x","x","")</f>
        <v/>
      </c>
      <c r="T1162" s="25" t="s">
        <v>31</v>
      </c>
      <c r="U1162" s="26"/>
      <c r="V1162" s="27"/>
    </row>
    <row r="1163" spans="1:22" x14ac:dyDescent="0.25">
      <c r="A1163" s="18" t="s">
        <v>494</v>
      </c>
      <c r="B1163" s="18" t="s">
        <v>946</v>
      </c>
      <c r="C1163" s="18" t="s">
        <v>495</v>
      </c>
      <c r="D1163" s="18" t="s">
        <v>26</v>
      </c>
      <c r="E1163" s="18" t="s">
        <v>515</v>
      </c>
      <c r="F1163" s="18" t="s">
        <v>516</v>
      </c>
      <c r="G1163" s="18" t="s">
        <v>32</v>
      </c>
      <c r="H1163" s="19">
        <v>2007</v>
      </c>
      <c r="I1163" s="18" t="s">
        <v>68</v>
      </c>
      <c r="J1163" s="101" t="s">
        <v>27</v>
      </c>
      <c r="K1163" s="20">
        <v>10</v>
      </c>
      <c r="L1163" s="21">
        <v>0.75</v>
      </c>
      <c r="M1163" s="22" t="s">
        <v>30</v>
      </c>
      <c r="N1163" s="23">
        <v>0.75</v>
      </c>
      <c r="O1163" s="24">
        <v>7.4999999999999997E-2</v>
      </c>
      <c r="P1163" s="25" t="str">
        <f>IF(P1164="x","x","")</f>
        <v>x</v>
      </c>
      <c r="Q1163" s="25" t="str">
        <f>IF(Q1164="x","x","")</f>
        <v/>
      </c>
      <c r="R1163" s="25" t="str">
        <f>IF(R1164="x","x","")</f>
        <v>x</v>
      </c>
      <c r="S1163" s="25" t="str">
        <f>IF(S1164="x","x","")</f>
        <v/>
      </c>
      <c r="T1163" s="25" t="s">
        <v>31</v>
      </c>
      <c r="U1163" s="26"/>
      <c r="V1163" s="27"/>
    </row>
    <row r="1164" spans="1:22" ht="32.25" thickBot="1" x14ac:dyDescent="0.3">
      <c r="A1164" s="28" t="str">
        <f>A1163</f>
        <v>Mexico</v>
      </c>
      <c r="B1164" s="28" t="str">
        <f>B1163</f>
        <v>Latin America and Caribbean</v>
      </c>
      <c r="C1164" s="28" t="str">
        <f>C1163</f>
        <v>P065779</v>
      </c>
      <c r="D1164" s="28" t="s">
        <v>26</v>
      </c>
      <c r="E1164" s="28" t="s">
        <v>27</v>
      </c>
      <c r="F1164" s="28" t="str">
        <f>F1163</f>
        <v>P065779C1S21</v>
      </c>
      <c r="G1164" s="28" t="s">
        <v>16</v>
      </c>
      <c r="H1164" s="29" t="str">
        <f>H1162&amp;" / "&amp;H1163</f>
        <v>2000 / 2007</v>
      </c>
      <c r="I1164" s="29" t="str">
        <f>I1163</f>
        <v>Asphalt Mix Resurfacing</v>
      </c>
      <c r="J1164" s="97" t="str">
        <f>IFERROR(J1163/J1162,"")</f>
        <v/>
      </c>
      <c r="K1164" s="32">
        <f>K1163/K1162</f>
        <v>0.46728971962616828</v>
      </c>
      <c r="L1164" s="32">
        <f>L1163/L1162</f>
        <v>0.19480519480519481</v>
      </c>
      <c r="M1164" s="28"/>
      <c r="N1164" s="32">
        <f>N1163/N1162</f>
        <v>0.19480519480519481</v>
      </c>
      <c r="O1164" s="32">
        <f>O1163/O1162</f>
        <v>0.4168831168831168</v>
      </c>
      <c r="P1164" s="33" t="str">
        <f>IF(K1164&lt;50%,"x","")</f>
        <v>x</v>
      </c>
      <c r="Q1164" s="33" t="str">
        <f>IF(K1164&gt;150%,"x","")</f>
        <v/>
      </c>
      <c r="R1164" s="33" t="str">
        <f>IF(O1164&lt;50%,"x","")</f>
        <v>x</v>
      </c>
      <c r="S1164" s="33" t="str">
        <f>IF(O1164&gt;150%,"x","")</f>
        <v/>
      </c>
      <c r="T1164" s="33" t="s">
        <v>31</v>
      </c>
      <c r="U1164" s="34" t="s">
        <v>988</v>
      </c>
      <c r="V1164" s="35" t="s">
        <v>1003</v>
      </c>
    </row>
    <row r="1165" spans="1:22" ht="16.5" thickTop="1" x14ac:dyDescent="0.25">
      <c r="A1165" s="18" t="s">
        <v>494</v>
      </c>
      <c r="B1165" s="18" t="s">
        <v>946</v>
      </c>
      <c r="C1165" s="18" t="s">
        <v>495</v>
      </c>
      <c r="D1165" s="18" t="s">
        <v>26</v>
      </c>
      <c r="E1165" s="18" t="s">
        <v>517</v>
      </c>
      <c r="F1165" s="18" t="s">
        <v>518</v>
      </c>
      <c r="G1165" s="18" t="s">
        <v>29</v>
      </c>
      <c r="H1165" s="19">
        <v>2000</v>
      </c>
      <c r="I1165" s="18" t="s">
        <v>359</v>
      </c>
      <c r="J1165" s="101" t="s">
        <v>27</v>
      </c>
      <c r="K1165" s="20">
        <v>12</v>
      </c>
      <c r="L1165" s="21">
        <v>2.16</v>
      </c>
      <c r="M1165" s="22" t="s">
        <v>30</v>
      </c>
      <c r="N1165" s="23">
        <v>2.16</v>
      </c>
      <c r="O1165" s="24">
        <v>0.18000000000000002</v>
      </c>
      <c r="P1165" s="25" t="str">
        <f>IF(P1167="x","x","")</f>
        <v/>
      </c>
      <c r="Q1165" s="25" t="str">
        <f>IF(Q1167="x","x","")</f>
        <v/>
      </c>
      <c r="R1165" s="25" t="str">
        <f>IF(R1167="x","x","")</f>
        <v/>
      </c>
      <c r="S1165" s="25" t="str">
        <f>IF(S1167="x","x","")</f>
        <v/>
      </c>
      <c r="T1165" s="25" t="s">
        <v>27</v>
      </c>
      <c r="U1165" s="26"/>
      <c r="V1165" s="27"/>
    </row>
    <row r="1166" spans="1:22" x14ac:dyDescent="0.25">
      <c r="A1166" s="18" t="s">
        <v>494</v>
      </c>
      <c r="B1166" s="18" t="s">
        <v>946</v>
      </c>
      <c r="C1166" s="18" t="s">
        <v>495</v>
      </c>
      <c r="D1166" s="18" t="s">
        <v>26</v>
      </c>
      <c r="E1166" s="18" t="s">
        <v>517</v>
      </c>
      <c r="F1166" s="18" t="s">
        <v>518</v>
      </c>
      <c r="G1166" s="18" t="s">
        <v>32</v>
      </c>
      <c r="H1166" s="19">
        <v>2007</v>
      </c>
      <c r="I1166" s="18" t="s">
        <v>68</v>
      </c>
      <c r="J1166" s="101" t="s">
        <v>27</v>
      </c>
      <c r="K1166" s="20">
        <v>12.1</v>
      </c>
      <c r="L1166" s="21">
        <v>1.4</v>
      </c>
      <c r="M1166" s="22" t="s">
        <v>30</v>
      </c>
      <c r="N1166" s="23">
        <v>1.4</v>
      </c>
      <c r="O1166" s="24">
        <v>0.11570247933884296</v>
      </c>
      <c r="P1166" s="25" t="str">
        <f>IF(P1167="x","x","")</f>
        <v/>
      </c>
      <c r="Q1166" s="25" t="str">
        <f>IF(Q1167="x","x","")</f>
        <v/>
      </c>
      <c r="R1166" s="25" t="str">
        <f>IF(R1167="x","x","")</f>
        <v/>
      </c>
      <c r="S1166" s="25" t="str">
        <f>IF(S1167="x","x","")</f>
        <v/>
      </c>
      <c r="T1166" s="25" t="s">
        <v>27</v>
      </c>
      <c r="U1166" s="26"/>
      <c r="V1166" s="27"/>
    </row>
    <row r="1167" spans="1:22" ht="16.5" thickBot="1" x14ac:dyDescent="0.3">
      <c r="A1167" s="28" t="str">
        <f>A1166</f>
        <v>Mexico</v>
      </c>
      <c r="B1167" s="28" t="str">
        <f>B1166</f>
        <v>Latin America and Caribbean</v>
      </c>
      <c r="C1167" s="28" t="str">
        <f>C1166</f>
        <v>P065779</v>
      </c>
      <c r="D1167" s="28" t="s">
        <v>26</v>
      </c>
      <c r="E1167" s="28" t="s">
        <v>27</v>
      </c>
      <c r="F1167" s="28" t="str">
        <f>F1166</f>
        <v>P065779C1S22</v>
      </c>
      <c r="G1167" s="28" t="s">
        <v>16</v>
      </c>
      <c r="H1167" s="29" t="str">
        <f>H1165&amp;" / "&amp;H1166</f>
        <v>2000 / 2007</v>
      </c>
      <c r="I1167" s="29" t="str">
        <f>I1166</f>
        <v>Asphalt Mix Resurfacing</v>
      </c>
      <c r="J1167" s="97" t="str">
        <f>IFERROR(J1166/J1165,"")</f>
        <v/>
      </c>
      <c r="K1167" s="32">
        <f>K1166/K1165</f>
        <v>1.0083333333333333</v>
      </c>
      <c r="L1167" s="32">
        <f>L1166/L1165</f>
        <v>0.64814814814814803</v>
      </c>
      <c r="M1167" s="28"/>
      <c r="N1167" s="32">
        <f>N1166/N1165</f>
        <v>0.64814814814814803</v>
      </c>
      <c r="O1167" s="32">
        <f>O1166/O1165</f>
        <v>0.64279155188246084</v>
      </c>
      <c r="P1167" s="33" t="str">
        <f>IF(K1167&lt;50%,"x","")</f>
        <v/>
      </c>
      <c r="Q1167" s="33" t="str">
        <f>IF(K1167&gt;150%,"x","")</f>
        <v/>
      </c>
      <c r="R1167" s="33" t="str">
        <f>IF(O1167&lt;50%,"x","")</f>
        <v/>
      </c>
      <c r="S1167" s="33" t="str">
        <f>IF(O1167&gt;150%,"x","")</f>
        <v/>
      </c>
      <c r="T1167" s="33" t="s">
        <v>27</v>
      </c>
      <c r="U1167" s="34" t="s">
        <v>27</v>
      </c>
      <c r="V1167" s="35" t="s">
        <v>27</v>
      </c>
    </row>
    <row r="1168" spans="1:22" ht="16.5" thickTop="1" x14ac:dyDescent="0.25">
      <c r="A1168" s="18" t="s">
        <v>494</v>
      </c>
      <c r="B1168" s="18" t="s">
        <v>946</v>
      </c>
      <c r="C1168" s="18" t="s">
        <v>495</v>
      </c>
      <c r="D1168" s="18" t="s">
        <v>26</v>
      </c>
      <c r="E1168" s="18" t="s">
        <v>519</v>
      </c>
      <c r="F1168" s="18" t="s">
        <v>520</v>
      </c>
      <c r="G1168" s="18" t="s">
        <v>29</v>
      </c>
      <c r="H1168" s="19">
        <v>2000</v>
      </c>
      <c r="I1168" s="18" t="s">
        <v>359</v>
      </c>
      <c r="J1168" s="101" t="s">
        <v>27</v>
      </c>
      <c r="K1168" s="20">
        <v>4</v>
      </c>
      <c r="L1168" s="21">
        <v>0.6</v>
      </c>
      <c r="M1168" s="22" t="s">
        <v>30</v>
      </c>
      <c r="N1168" s="23">
        <v>0.6</v>
      </c>
      <c r="O1168" s="24">
        <v>0.15</v>
      </c>
      <c r="P1168" s="25" t="str">
        <f>IF(P1170="x","x","")</f>
        <v/>
      </c>
      <c r="Q1168" s="25" t="str">
        <f>IF(Q1170="x","x","")</f>
        <v/>
      </c>
      <c r="R1168" s="25" t="str">
        <f>IF(R1170="x","x","")</f>
        <v/>
      </c>
      <c r="S1168" s="25" t="str">
        <f>IF(S1170="x","x","")</f>
        <v/>
      </c>
      <c r="T1168" s="25" t="s">
        <v>27</v>
      </c>
      <c r="U1168" s="26"/>
      <c r="V1168" s="27"/>
    </row>
    <row r="1169" spans="1:22" x14ac:dyDescent="0.25">
      <c r="A1169" s="18" t="s">
        <v>494</v>
      </c>
      <c r="B1169" s="18" t="s">
        <v>946</v>
      </c>
      <c r="C1169" s="18" t="s">
        <v>495</v>
      </c>
      <c r="D1169" s="18" t="s">
        <v>26</v>
      </c>
      <c r="E1169" s="18" t="s">
        <v>519</v>
      </c>
      <c r="F1169" s="18" t="s">
        <v>520</v>
      </c>
      <c r="G1169" s="18" t="s">
        <v>32</v>
      </c>
      <c r="H1169" s="19">
        <v>2007</v>
      </c>
      <c r="I1169" s="18" t="s">
        <v>359</v>
      </c>
      <c r="J1169" s="101" t="s">
        <v>27</v>
      </c>
      <c r="K1169" s="20">
        <v>4</v>
      </c>
      <c r="L1169" s="21">
        <v>0.55000000000000004</v>
      </c>
      <c r="M1169" s="22" t="s">
        <v>30</v>
      </c>
      <c r="N1169" s="23">
        <v>0.55000000000000004</v>
      </c>
      <c r="O1169" s="24">
        <v>0.13750000000000001</v>
      </c>
      <c r="P1169" s="25" t="str">
        <f>IF(P1170="x","x","")</f>
        <v/>
      </c>
      <c r="Q1169" s="25" t="str">
        <f>IF(Q1170="x","x","")</f>
        <v/>
      </c>
      <c r="R1169" s="25" t="str">
        <f>IF(R1170="x","x","")</f>
        <v/>
      </c>
      <c r="S1169" s="25" t="str">
        <f>IF(S1170="x","x","")</f>
        <v/>
      </c>
      <c r="T1169" s="25" t="s">
        <v>27</v>
      </c>
      <c r="U1169" s="26"/>
      <c r="V1169" s="27"/>
    </row>
    <row r="1170" spans="1:22" ht="16.5" thickBot="1" x14ac:dyDescent="0.3">
      <c r="A1170" s="28" t="str">
        <f>A1169</f>
        <v>Mexico</v>
      </c>
      <c r="B1170" s="28" t="str">
        <f>B1169</f>
        <v>Latin America and Caribbean</v>
      </c>
      <c r="C1170" s="28" t="str">
        <f>C1169</f>
        <v>P065779</v>
      </c>
      <c r="D1170" s="28" t="s">
        <v>26</v>
      </c>
      <c r="E1170" s="28" t="s">
        <v>27</v>
      </c>
      <c r="F1170" s="28" t="str">
        <f>F1169</f>
        <v>P065779C1S23</v>
      </c>
      <c r="G1170" s="28" t="s">
        <v>16</v>
      </c>
      <c r="H1170" s="29" t="str">
        <f>H1168&amp;" / "&amp;H1169</f>
        <v>2000 / 2007</v>
      </c>
      <c r="I1170" s="29" t="str">
        <f>I1169</f>
        <v>Reconstruction</v>
      </c>
      <c r="J1170" s="97" t="str">
        <f>IFERROR(J1169/J1168,"")</f>
        <v/>
      </c>
      <c r="K1170" s="32">
        <f>K1169/K1168</f>
        <v>1</v>
      </c>
      <c r="L1170" s="32">
        <f>L1169/L1168</f>
        <v>0.91666666666666674</v>
      </c>
      <c r="M1170" s="28"/>
      <c r="N1170" s="32">
        <f>N1169/N1168</f>
        <v>0.91666666666666674</v>
      </c>
      <c r="O1170" s="32">
        <f>O1169/O1168</f>
        <v>0.91666666666666674</v>
      </c>
      <c r="P1170" s="33" t="str">
        <f>IF(K1170&lt;50%,"x","")</f>
        <v/>
      </c>
      <c r="Q1170" s="33" t="str">
        <f>IF(K1170&gt;150%,"x","")</f>
        <v/>
      </c>
      <c r="R1170" s="33" t="str">
        <f>IF(O1170&lt;50%,"x","")</f>
        <v/>
      </c>
      <c r="S1170" s="33" t="str">
        <f>IF(O1170&gt;150%,"x","")</f>
        <v/>
      </c>
      <c r="T1170" s="33" t="s">
        <v>27</v>
      </c>
      <c r="U1170" s="34" t="s">
        <v>27</v>
      </c>
      <c r="V1170" s="35" t="s">
        <v>27</v>
      </c>
    </row>
    <row r="1171" spans="1:22" ht="16.5" thickTop="1" x14ac:dyDescent="0.25">
      <c r="A1171" s="18" t="s">
        <v>494</v>
      </c>
      <c r="B1171" s="18" t="s">
        <v>946</v>
      </c>
      <c r="C1171" s="18" t="s">
        <v>495</v>
      </c>
      <c r="D1171" s="18" t="s">
        <v>26</v>
      </c>
      <c r="E1171" s="18" t="s">
        <v>521</v>
      </c>
      <c r="F1171" s="18" t="s">
        <v>522</v>
      </c>
      <c r="G1171" s="18" t="s">
        <v>29</v>
      </c>
      <c r="H1171" s="19">
        <v>2000</v>
      </c>
      <c r="I1171" s="18" t="s">
        <v>359</v>
      </c>
      <c r="J1171" s="101" t="s">
        <v>27</v>
      </c>
      <c r="K1171" s="20">
        <v>6.5</v>
      </c>
      <c r="L1171" s="21">
        <v>0.98</v>
      </c>
      <c r="M1171" s="22" t="s">
        <v>30</v>
      </c>
      <c r="N1171" s="23">
        <v>0.98</v>
      </c>
      <c r="O1171" s="24">
        <v>0.15076923076923077</v>
      </c>
      <c r="P1171" s="25" t="str">
        <f>IF(P1173="x","x","")</f>
        <v/>
      </c>
      <c r="Q1171" s="25" t="str">
        <f>IF(Q1173="x","x","")</f>
        <v/>
      </c>
      <c r="R1171" s="25" t="str">
        <f>IF(R1173="x","x","")</f>
        <v/>
      </c>
      <c r="S1171" s="25" t="str">
        <f>IF(S1173="x","x","")</f>
        <v/>
      </c>
      <c r="T1171" s="25" t="s">
        <v>27</v>
      </c>
      <c r="U1171" s="26"/>
      <c r="V1171" s="27"/>
    </row>
    <row r="1172" spans="1:22" x14ac:dyDescent="0.25">
      <c r="A1172" s="18" t="s">
        <v>494</v>
      </c>
      <c r="B1172" s="18" t="s">
        <v>946</v>
      </c>
      <c r="C1172" s="18" t="s">
        <v>495</v>
      </c>
      <c r="D1172" s="18" t="s">
        <v>26</v>
      </c>
      <c r="E1172" s="18" t="s">
        <v>521</v>
      </c>
      <c r="F1172" s="18" t="s">
        <v>522</v>
      </c>
      <c r="G1172" s="18" t="s">
        <v>32</v>
      </c>
      <c r="H1172" s="19">
        <v>2007</v>
      </c>
      <c r="I1172" s="18" t="s">
        <v>359</v>
      </c>
      <c r="J1172" s="101" t="s">
        <v>27</v>
      </c>
      <c r="K1172" s="20">
        <v>6.5</v>
      </c>
      <c r="L1172" s="21">
        <v>0.7</v>
      </c>
      <c r="M1172" s="22" t="s">
        <v>30</v>
      </c>
      <c r="N1172" s="23">
        <v>0.7</v>
      </c>
      <c r="O1172" s="24">
        <v>0.10769230769230768</v>
      </c>
      <c r="P1172" s="25" t="str">
        <f>IF(P1173="x","x","")</f>
        <v/>
      </c>
      <c r="Q1172" s="25" t="str">
        <f>IF(Q1173="x","x","")</f>
        <v/>
      </c>
      <c r="R1172" s="25" t="str">
        <f>IF(R1173="x","x","")</f>
        <v/>
      </c>
      <c r="S1172" s="25" t="str">
        <f>IF(S1173="x","x","")</f>
        <v/>
      </c>
      <c r="T1172" s="25" t="s">
        <v>27</v>
      </c>
      <c r="U1172" s="26"/>
      <c r="V1172" s="27"/>
    </row>
    <row r="1173" spans="1:22" ht="16.5" thickBot="1" x14ac:dyDescent="0.3">
      <c r="A1173" s="28" t="str">
        <f>A1172</f>
        <v>Mexico</v>
      </c>
      <c r="B1173" s="28" t="str">
        <f>B1172</f>
        <v>Latin America and Caribbean</v>
      </c>
      <c r="C1173" s="28" t="str">
        <f>C1172</f>
        <v>P065779</v>
      </c>
      <c r="D1173" s="28" t="s">
        <v>26</v>
      </c>
      <c r="E1173" s="28" t="s">
        <v>27</v>
      </c>
      <c r="F1173" s="28" t="str">
        <f>F1172</f>
        <v>P065779C1S24</v>
      </c>
      <c r="G1173" s="28" t="s">
        <v>16</v>
      </c>
      <c r="H1173" s="29" t="str">
        <f>H1171&amp;" / "&amp;H1172</f>
        <v>2000 / 2007</v>
      </c>
      <c r="I1173" s="29" t="str">
        <f>I1172</f>
        <v>Reconstruction</v>
      </c>
      <c r="J1173" s="97" t="str">
        <f>IFERROR(J1172/J1171,"")</f>
        <v/>
      </c>
      <c r="K1173" s="32">
        <f>K1172/K1171</f>
        <v>1</v>
      </c>
      <c r="L1173" s="32">
        <f>L1172/L1171</f>
        <v>0.7142857142857143</v>
      </c>
      <c r="M1173" s="28"/>
      <c r="N1173" s="32">
        <f>N1172/N1171</f>
        <v>0.7142857142857143</v>
      </c>
      <c r="O1173" s="32">
        <f>O1172/O1171</f>
        <v>0.7142857142857143</v>
      </c>
      <c r="P1173" s="33" t="str">
        <f>IF(K1173&lt;50%,"x","")</f>
        <v/>
      </c>
      <c r="Q1173" s="33" t="str">
        <f>IF(K1173&gt;150%,"x","")</f>
        <v/>
      </c>
      <c r="R1173" s="33" t="str">
        <f>IF(O1173&lt;50%,"x","")</f>
        <v/>
      </c>
      <c r="S1173" s="33" t="str">
        <f>IF(O1173&gt;150%,"x","")</f>
        <v/>
      </c>
      <c r="T1173" s="33" t="s">
        <v>27</v>
      </c>
      <c r="U1173" s="34" t="s">
        <v>27</v>
      </c>
      <c r="V1173" s="35" t="s">
        <v>27</v>
      </c>
    </row>
    <row r="1174" spans="1:22" ht="16.5" thickTop="1" x14ac:dyDescent="0.25">
      <c r="A1174" s="18" t="s">
        <v>494</v>
      </c>
      <c r="B1174" s="18" t="s">
        <v>946</v>
      </c>
      <c r="C1174" s="18" t="s">
        <v>495</v>
      </c>
      <c r="D1174" s="18" t="s">
        <v>26</v>
      </c>
      <c r="E1174" s="18" t="s">
        <v>523</v>
      </c>
      <c r="F1174" s="18" t="s">
        <v>524</v>
      </c>
      <c r="G1174" s="18" t="s">
        <v>29</v>
      </c>
      <c r="H1174" s="19">
        <v>2000</v>
      </c>
      <c r="I1174" s="18" t="s">
        <v>68</v>
      </c>
      <c r="J1174" s="101" t="s">
        <v>27</v>
      </c>
      <c r="K1174" s="20">
        <v>15.8</v>
      </c>
      <c r="L1174" s="21">
        <v>0.49</v>
      </c>
      <c r="M1174" s="22" t="s">
        <v>30</v>
      </c>
      <c r="N1174" s="23">
        <v>0.49</v>
      </c>
      <c r="O1174" s="24">
        <v>3.10126582278481E-2</v>
      </c>
      <c r="P1174" s="25" t="str">
        <f>IF(P1176="x","x","")</f>
        <v/>
      </c>
      <c r="Q1174" s="25" t="str">
        <f>IF(Q1176="x","x","")</f>
        <v/>
      </c>
      <c r="R1174" s="25" t="str">
        <f>IF(R1176="x","x","")</f>
        <v/>
      </c>
      <c r="S1174" s="25" t="str">
        <f>IF(S1176="x","x","")</f>
        <v>x</v>
      </c>
      <c r="T1174" s="25" t="s">
        <v>31</v>
      </c>
      <c r="U1174" s="26"/>
      <c r="V1174" s="27"/>
    </row>
    <row r="1175" spans="1:22" x14ac:dyDescent="0.25">
      <c r="A1175" s="18" t="s">
        <v>494</v>
      </c>
      <c r="B1175" s="18" t="s">
        <v>946</v>
      </c>
      <c r="C1175" s="18" t="s">
        <v>495</v>
      </c>
      <c r="D1175" s="18" t="s">
        <v>26</v>
      </c>
      <c r="E1175" s="18" t="s">
        <v>523</v>
      </c>
      <c r="F1175" s="18" t="s">
        <v>524</v>
      </c>
      <c r="G1175" s="18" t="s">
        <v>32</v>
      </c>
      <c r="H1175" s="19">
        <v>2007</v>
      </c>
      <c r="I1175" s="18" t="s">
        <v>68</v>
      </c>
      <c r="J1175" s="101" t="s">
        <v>27</v>
      </c>
      <c r="K1175" s="20">
        <v>15.2</v>
      </c>
      <c r="L1175" s="21">
        <v>0.84</v>
      </c>
      <c r="M1175" s="22" t="s">
        <v>30</v>
      </c>
      <c r="N1175" s="23">
        <v>0.84</v>
      </c>
      <c r="O1175" s="24">
        <v>5.526315789473684E-2</v>
      </c>
      <c r="P1175" s="25" t="str">
        <f>IF(P1176="x","x","")</f>
        <v/>
      </c>
      <c r="Q1175" s="25" t="str">
        <f>IF(Q1176="x","x","")</f>
        <v/>
      </c>
      <c r="R1175" s="25" t="str">
        <f>IF(R1176="x","x","")</f>
        <v/>
      </c>
      <c r="S1175" s="25" t="str">
        <f>IF(S1176="x","x","")</f>
        <v>x</v>
      </c>
      <c r="T1175" s="25" t="s">
        <v>31</v>
      </c>
      <c r="U1175" s="26"/>
      <c r="V1175" s="27"/>
    </row>
    <row r="1176" spans="1:22" ht="63.75" thickBot="1" x14ac:dyDescent="0.3">
      <c r="A1176" s="28" t="str">
        <f>A1175</f>
        <v>Mexico</v>
      </c>
      <c r="B1176" s="28" t="str">
        <f>B1175</f>
        <v>Latin America and Caribbean</v>
      </c>
      <c r="C1176" s="28" t="str">
        <f>C1175</f>
        <v>P065779</v>
      </c>
      <c r="D1176" s="28" t="s">
        <v>26</v>
      </c>
      <c r="E1176" s="28" t="s">
        <v>27</v>
      </c>
      <c r="F1176" s="28" t="str">
        <f>F1175</f>
        <v>P065779C1S25</v>
      </c>
      <c r="G1176" s="28" t="s">
        <v>16</v>
      </c>
      <c r="H1176" s="29" t="str">
        <f>H1174&amp;" / "&amp;H1175</f>
        <v>2000 / 2007</v>
      </c>
      <c r="I1176" s="29" t="str">
        <f>I1175</f>
        <v>Asphalt Mix Resurfacing</v>
      </c>
      <c r="J1176" s="97" t="str">
        <f>IFERROR(J1175/J1174,"")</f>
        <v/>
      </c>
      <c r="K1176" s="32">
        <f>K1175/K1174</f>
        <v>0.96202531645569611</v>
      </c>
      <c r="L1176" s="32">
        <f>L1175/L1174</f>
        <v>1.7142857142857142</v>
      </c>
      <c r="M1176" s="28"/>
      <c r="N1176" s="32">
        <f>N1175/N1174</f>
        <v>1.7142857142857142</v>
      </c>
      <c r="O1176" s="32">
        <f>O1175/O1174</f>
        <v>1.7819548872180451</v>
      </c>
      <c r="P1176" s="33" t="str">
        <f>IF(K1176&lt;50%,"x","")</f>
        <v/>
      </c>
      <c r="Q1176" s="33" t="str">
        <f>IF(K1176&gt;150%,"x","")</f>
        <v/>
      </c>
      <c r="R1176" s="33" t="str">
        <f>IF(O1176&lt;50%,"x","")</f>
        <v/>
      </c>
      <c r="S1176" s="33" t="str">
        <f>IF(O1176&gt;150%,"x","")</f>
        <v>x</v>
      </c>
      <c r="T1176" s="33" t="s">
        <v>31</v>
      </c>
      <c r="U1176" s="34" t="s">
        <v>999</v>
      </c>
      <c r="V1176" s="35" t="s">
        <v>1001</v>
      </c>
    </row>
    <row r="1177" spans="1:22" ht="16.5" thickTop="1" x14ac:dyDescent="0.25">
      <c r="A1177" s="18" t="s">
        <v>494</v>
      </c>
      <c r="B1177" s="18" t="s">
        <v>946</v>
      </c>
      <c r="C1177" s="18" t="s">
        <v>495</v>
      </c>
      <c r="D1177" s="18" t="s">
        <v>26</v>
      </c>
      <c r="E1177" s="18" t="s">
        <v>525</v>
      </c>
      <c r="F1177" s="18" t="s">
        <v>526</v>
      </c>
      <c r="G1177" s="18" t="s">
        <v>29</v>
      </c>
      <c r="H1177" s="19">
        <v>2000</v>
      </c>
      <c r="I1177" s="18" t="s">
        <v>68</v>
      </c>
      <c r="J1177" s="101" t="s">
        <v>27</v>
      </c>
      <c r="K1177" s="20">
        <v>30</v>
      </c>
      <c r="L1177" s="21">
        <v>0.63</v>
      </c>
      <c r="M1177" s="22" t="s">
        <v>30</v>
      </c>
      <c r="N1177" s="23">
        <v>0.63</v>
      </c>
      <c r="O1177" s="24">
        <v>2.1000000000000001E-2</v>
      </c>
      <c r="P1177" s="25" t="str">
        <f>IF(P1179="x","x","")</f>
        <v/>
      </c>
      <c r="Q1177" s="25" t="str">
        <f>IF(Q1179="x","x","")</f>
        <v/>
      </c>
      <c r="R1177" s="25" t="str">
        <f>IF(R1179="x","x","")</f>
        <v/>
      </c>
      <c r="S1177" s="25" t="str">
        <f>IF(S1179="x","x","")</f>
        <v/>
      </c>
      <c r="T1177" s="25" t="s">
        <v>27</v>
      </c>
      <c r="U1177" s="26"/>
      <c r="V1177" s="27"/>
    </row>
    <row r="1178" spans="1:22" x14ac:dyDescent="0.25">
      <c r="A1178" s="18" t="s">
        <v>494</v>
      </c>
      <c r="B1178" s="18" t="s">
        <v>946</v>
      </c>
      <c r="C1178" s="18" t="s">
        <v>495</v>
      </c>
      <c r="D1178" s="18" t="s">
        <v>26</v>
      </c>
      <c r="E1178" s="18" t="s">
        <v>525</v>
      </c>
      <c r="F1178" s="18" t="s">
        <v>526</v>
      </c>
      <c r="G1178" s="18" t="s">
        <v>32</v>
      </c>
      <c r="H1178" s="19">
        <v>2007</v>
      </c>
      <c r="I1178" s="18" t="s">
        <v>68</v>
      </c>
      <c r="J1178" s="101" t="s">
        <v>27</v>
      </c>
      <c r="K1178" s="20">
        <v>30</v>
      </c>
      <c r="L1178" s="21">
        <v>0.8</v>
      </c>
      <c r="M1178" s="22" t="s">
        <v>30</v>
      </c>
      <c r="N1178" s="23">
        <v>0.8</v>
      </c>
      <c r="O1178" s="24">
        <v>2.6666666666666668E-2</v>
      </c>
      <c r="P1178" s="25" t="str">
        <f>IF(P1179="x","x","")</f>
        <v/>
      </c>
      <c r="Q1178" s="25" t="str">
        <f>IF(Q1179="x","x","")</f>
        <v/>
      </c>
      <c r="R1178" s="25" t="str">
        <f>IF(R1179="x","x","")</f>
        <v/>
      </c>
      <c r="S1178" s="25" t="str">
        <f>IF(S1179="x","x","")</f>
        <v/>
      </c>
      <c r="T1178" s="25" t="s">
        <v>27</v>
      </c>
      <c r="U1178" s="26"/>
      <c r="V1178" s="27"/>
    </row>
    <row r="1179" spans="1:22" ht="16.5" thickBot="1" x14ac:dyDescent="0.3">
      <c r="A1179" s="28" t="str">
        <f>A1178</f>
        <v>Mexico</v>
      </c>
      <c r="B1179" s="28" t="str">
        <f>B1178</f>
        <v>Latin America and Caribbean</v>
      </c>
      <c r="C1179" s="28" t="str">
        <f>C1178</f>
        <v>P065779</v>
      </c>
      <c r="D1179" s="28" t="s">
        <v>26</v>
      </c>
      <c r="E1179" s="28" t="s">
        <v>27</v>
      </c>
      <c r="F1179" s="28" t="str">
        <f>F1178</f>
        <v>P065779C1S26</v>
      </c>
      <c r="G1179" s="28" t="s">
        <v>16</v>
      </c>
      <c r="H1179" s="29" t="str">
        <f>H1177&amp;" / "&amp;H1178</f>
        <v>2000 / 2007</v>
      </c>
      <c r="I1179" s="29" t="str">
        <f>I1178</f>
        <v>Asphalt Mix Resurfacing</v>
      </c>
      <c r="J1179" s="97" t="str">
        <f>IFERROR(J1178/J1177,"")</f>
        <v/>
      </c>
      <c r="K1179" s="32">
        <f>K1178/K1177</f>
        <v>1</v>
      </c>
      <c r="L1179" s="32">
        <f>L1178/L1177</f>
        <v>1.26984126984127</v>
      </c>
      <c r="M1179" s="28"/>
      <c r="N1179" s="32">
        <f>N1178/N1177</f>
        <v>1.26984126984127</v>
      </c>
      <c r="O1179" s="32">
        <f>O1178/O1177</f>
        <v>1.2698412698412698</v>
      </c>
      <c r="P1179" s="33" t="str">
        <f>IF(K1179&lt;50%,"x","")</f>
        <v/>
      </c>
      <c r="Q1179" s="33" t="str">
        <f>IF(K1179&gt;150%,"x","")</f>
        <v/>
      </c>
      <c r="R1179" s="33" t="str">
        <f>IF(O1179&lt;50%,"x","")</f>
        <v/>
      </c>
      <c r="S1179" s="33" t="str">
        <f>IF(O1179&gt;150%,"x","")</f>
        <v/>
      </c>
      <c r="T1179" s="33" t="s">
        <v>27</v>
      </c>
      <c r="U1179" s="34" t="s">
        <v>27</v>
      </c>
      <c r="V1179" s="35" t="s">
        <v>27</v>
      </c>
    </row>
    <row r="1180" spans="1:22" ht="16.5" thickTop="1" x14ac:dyDescent="0.25">
      <c r="A1180" s="18" t="s">
        <v>494</v>
      </c>
      <c r="B1180" s="18" t="s">
        <v>946</v>
      </c>
      <c r="C1180" s="18" t="s">
        <v>495</v>
      </c>
      <c r="D1180" s="18" t="s">
        <v>26</v>
      </c>
      <c r="E1180" s="18" t="s">
        <v>527</v>
      </c>
      <c r="F1180" s="18" t="s">
        <v>528</v>
      </c>
      <c r="G1180" s="18" t="s">
        <v>29</v>
      </c>
      <c r="H1180" s="19">
        <v>2000</v>
      </c>
      <c r="I1180" s="18" t="s">
        <v>68</v>
      </c>
      <c r="J1180" s="101" t="s">
        <v>27</v>
      </c>
      <c r="K1180" s="20">
        <v>17</v>
      </c>
      <c r="L1180" s="21">
        <v>0.55000000000000004</v>
      </c>
      <c r="M1180" s="22" t="s">
        <v>30</v>
      </c>
      <c r="N1180" s="23">
        <v>0.55000000000000004</v>
      </c>
      <c r="O1180" s="24">
        <v>3.2352941176470591E-2</v>
      </c>
      <c r="P1180" s="25" t="str">
        <f>IF(P1182="x","x","")</f>
        <v/>
      </c>
      <c r="Q1180" s="25" t="str">
        <f>IF(Q1182="x","x","")</f>
        <v/>
      </c>
      <c r="R1180" s="25" t="str">
        <f>IF(R1182="x","x","")</f>
        <v/>
      </c>
      <c r="S1180" s="25" t="str">
        <f>IF(S1182="x","x","")</f>
        <v/>
      </c>
      <c r="T1180" s="25" t="s">
        <v>27</v>
      </c>
      <c r="U1180" s="26"/>
      <c r="V1180" s="27"/>
    </row>
    <row r="1181" spans="1:22" x14ac:dyDescent="0.25">
      <c r="A1181" s="18" t="s">
        <v>494</v>
      </c>
      <c r="B1181" s="18" t="s">
        <v>946</v>
      </c>
      <c r="C1181" s="18" t="s">
        <v>495</v>
      </c>
      <c r="D1181" s="18" t="s">
        <v>26</v>
      </c>
      <c r="E1181" s="18" t="s">
        <v>527</v>
      </c>
      <c r="F1181" s="18" t="s">
        <v>528</v>
      </c>
      <c r="G1181" s="18" t="s">
        <v>32</v>
      </c>
      <c r="H1181" s="19">
        <v>2007</v>
      </c>
      <c r="I1181" s="18" t="s">
        <v>68</v>
      </c>
      <c r="J1181" s="101" t="s">
        <v>27</v>
      </c>
      <c r="K1181" s="20">
        <v>17</v>
      </c>
      <c r="L1181" s="21">
        <v>0.69</v>
      </c>
      <c r="M1181" s="22" t="s">
        <v>30</v>
      </c>
      <c r="N1181" s="23">
        <v>0.69</v>
      </c>
      <c r="O1181" s="24">
        <v>4.0588235294117647E-2</v>
      </c>
      <c r="P1181" s="25" t="str">
        <f>IF(P1182="x","x","")</f>
        <v/>
      </c>
      <c r="Q1181" s="25" t="str">
        <f>IF(Q1182="x","x","")</f>
        <v/>
      </c>
      <c r="R1181" s="25" t="str">
        <f>IF(R1182="x","x","")</f>
        <v/>
      </c>
      <c r="S1181" s="25" t="str">
        <f>IF(S1182="x","x","")</f>
        <v/>
      </c>
      <c r="T1181" s="25" t="s">
        <v>27</v>
      </c>
      <c r="U1181" s="26"/>
      <c r="V1181" s="27"/>
    </row>
    <row r="1182" spans="1:22" ht="16.5" thickBot="1" x14ac:dyDescent="0.3">
      <c r="A1182" s="28" t="str">
        <f>A1181</f>
        <v>Mexico</v>
      </c>
      <c r="B1182" s="28" t="str">
        <f>B1181</f>
        <v>Latin America and Caribbean</v>
      </c>
      <c r="C1182" s="28" t="str">
        <f>C1181</f>
        <v>P065779</v>
      </c>
      <c r="D1182" s="28" t="s">
        <v>26</v>
      </c>
      <c r="E1182" s="28" t="s">
        <v>27</v>
      </c>
      <c r="F1182" s="28" t="str">
        <f>F1181</f>
        <v>P065779C1S27</v>
      </c>
      <c r="G1182" s="28" t="s">
        <v>16</v>
      </c>
      <c r="H1182" s="29" t="str">
        <f>H1180&amp;" / "&amp;H1181</f>
        <v>2000 / 2007</v>
      </c>
      <c r="I1182" s="29" t="str">
        <f>I1181</f>
        <v>Asphalt Mix Resurfacing</v>
      </c>
      <c r="J1182" s="97" t="str">
        <f>IFERROR(J1181/J1180,"")</f>
        <v/>
      </c>
      <c r="K1182" s="32">
        <f>K1181/K1180</f>
        <v>1</v>
      </c>
      <c r="L1182" s="32">
        <f>L1181/L1180</f>
        <v>1.2545454545454544</v>
      </c>
      <c r="M1182" s="28"/>
      <c r="N1182" s="32">
        <f>N1181/N1180</f>
        <v>1.2545454545454544</v>
      </c>
      <c r="O1182" s="32">
        <f>O1181/O1180</f>
        <v>1.2545454545454544</v>
      </c>
      <c r="P1182" s="33" t="str">
        <f>IF(K1182&lt;50%,"x","")</f>
        <v/>
      </c>
      <c r="Q1182" s="33" t="str">
        <f>IF(K1182&gt;150%,"x","")</f>
        <v/>
      </c>
      <c r="R1182" s="33" t="str">
        <f>IF(O1182&lt;50%,"x","")</f>
        <v/>
      </c>
      <c r="S1182" s="33" t="str">
        <f>IF(O1182&gt;150%,"x","")</f>
        <v/>
      </c>
      <c r="T1182" s="33" t="s">
        <v>27</v>
      </c>
      <c r="U1182" s="34" t="s">
        <v>27</v>
      </c>
      <c r="V1182" s="35" t="s">
        <v>27</v>
      </c>
    </row>
    <row r="1183" spans="1:22" ht="16.5" thickTop="1" x14ac:dyDescent="0.25">
      <c r="A1183" s="18" t="s">
        <v>494</v>
      </c>
      <c r="B1183" s="18" t="s">
        <v>946</v>
      </c>
      <c r="C1183" s="18" t="s">
        <v>495</v>
      </c>
      <c r="D1183" s="18" t="s">
        <v>26</v>
      </c>
      <c r="E1183" s="18" t="s">
        <v>529</v>
      </c>
      <c r="F1183" s="18" t="s">
        <v>530</v>
      </c>
      <c r="G1183" s="18" t="s">
        <v>29</v>
      </c>
      <c r="H1183" s="19">
        <v>2000</v>
      </c>
      <c r="I1183" s="18" t="s">
        <v>68</v>
      </c>
      <c r="J1183" s="101" t="s">
        <v>27</v>
      </c>
      <c r="K1183" s="20">
        <v>17.600000000000001</v>
      </c>
      <c r="L1183" s="21">
        <v>0.49</v>
      </c>
      <c r="M1183" s="22" t="s">
        <v>30</v>
      </c>
      <c r="N1183" s="23">
        <v>0.49</v>
      </c>
      <c r="O1183" s="24">
        <v>2.784090909090909E-2</v>
      </c>
      <c r="P1183" s="25" t="str">
        <f>IF(P1185="x","x","")</f>
        <v/>
      </c>
      <c r="Q1183" s="25" t="str">
        <f>IF(Q1185="x","x","")</f>
        <v/>
      </c>
      <c r="R1183" s="25" t="str">
        <f>IF(R1185="x","x","")</f>
        <v/>
      </c>
      <c r="S1183" s="25" t="str">
        <f>IF(S1185="x","x","")</f>
        <v>x</v>
      </c>
      <c r="T1183" s="25" t="s">
        <v>31</v>
      </c>
      <c r="U1183" s="26"/>
      <c r="V1183" s="27"/>
    </row>
    <row r="1184" spans="1:22" x14ac:dyDescent="0.25">
      <c r="A1184" s="18" t="s">
        <v>494</v>
      </c>
      <c r="B1184" s="18" t="s">
        <v>946</v>
      </c>
      <c r="C1184" s="18" t="s">
        <v>495</v>
      </c>
      <c r="D1184" s="18" t="s">
        <v>26</v>
      </c>
      <c r="E1184" s="18" t="s">
        <v>529</v>
      </c>
      <c r="F1184" s="18" t="s">
        <v>530</v>
      </c>
      <c r="G1184" s="18" t="s">
        <v>32</v>
      </c>
      <c r="H1184" s="19">
        <v>2007</v>
      </c>
      <c r="I1184" s="18" t="s">
        <v>68</v>
      </c>
      <c r="J1184" s="101" t="s">
        <v>27</v>
      </c>
      <c r="K1184" s="20">
        <v>17.600000000000001</v>
      </c>
      <c r="L1184" s="21">
        <v>1.17</v>
      </c>
      <c r="M1184" s="22" t="s">
        <v>30</v>
      </c>
      <c r="N1184" s="23">
        <v>1.17</v>
      </c>
      <c r="O1184" s="24">
        <v>6.6477272727272718E-2</v>
      </c>
      <c r="P1184" s="25" t="str">
        <f>IF(P1185="x","x","")</f>
        <v/>
      </c>
      <c r="Q1184" s="25" t="str">
        <f>IF(Q1185="x","x","")</f>
        <v/>
      </c>
      <c r="R1184" s="25" t="str">
        <f>IF(R1185="x","x","")</f>
        <v/>
      </c>
      <c r="S1184" s="25" t="str">
        <f>IF(S1185="x","x","")</f>
        <v>x</v>
      </c>
      <c r="T1184" s="25" t="s">
        <v>31</v>
      </c>
      <c r="U1184" s="26"/>
      <c r="V1184" s="27"/>
    </row>
    <row r="1185" spans="1:22" ht="63.75" thickBot="1" x14ac:dyDescent="0.3">
      <c r="A1185" s="28" t="str">
        <f>A1184</f>
        <v>Mexico</v>
      </c>
      <c r="B1185" s="28" t="str">
        <f>B1184</f>
        <v>Latin America and Caribbean</v>
      </c>
      <c r="C1185" s="28" t="str">
        <f>C1184</f>
        <v>P065779</v>
      </c>
      <c r="D1185" s="28" t="s">
        <v>26</v>
      </c>
      <c r="E1185" s="28" t="s">
        <v>27</v>
      </c>
      <c r="F1185" s="28" t="str">
        <f>F1184</f>
        <v>P065779C1S28</v>
      </c>
      <c r="G1185" s="28" t="s">
        <v>16</v>
      </c>
      <c r="H1185" s="29" t="str">
        <f>H1183&amp;" / "&amp;H1184</f>
        <v>2000 / 2007</v>
      </c>
      <c r="I1185" s="29" t="str">
        <f>I1184</f>
        <v>Asphalt Mix Resurfacing</v>
      </c>
      <c r="J1185" s="97" t="str">
        <f>IFERROR(J1184/J1183,"")</f>
        <v/>
      </c>
      <c r="K1185" s="32">
        <f>K1184/K1183</f>
        <v>1</v>
      </c>
      <c r="L1185" s="32">
        <f>L1184/L1183</f>
        <v>2.3877551020408161</v>
      </c>
      <c r="M1185" s="28"/>
      <c r="N1185" s="32">
        <f>N1184/N1183</f>
        <v>2.3877551020408161</v>
      </c>
      <c r="O1185" s="32">
        <f>O1184/O1183</f>
        <v>2.3877551020408161</v>
      </c>
      <c r="P1185" s="33" t="str">
        <f>IF(K1185&lt;50%,"x","")</f>
        <v/>
      </c>
      <c r="Q1185" s="33" t="str">
        <f>IF(K1185&gt;150%,"x","")</f>
        <v/>
      </c>
      <c r="R1185" s="33" t="str">
        <f>IF(O1185&lt;50%,"x","")</f>
        <v/>
      </c>
      <c r="S1185" s="33" t="str">
        <f>IF(O1185&gt;150%,"x","")</f>
        <v>x</v>
      </c>
      <c r="T1185" s="33" t="s">
        <v>31</v>
      </c>
      <c r="U1185" s="34" t="s">
        <v>999</v>
      </c>
      <c r="V1185" s="35" t="s">
        <v>1000</v>
      </c>
    </row>
    <row r="1186" spans="1:22" ht="16.5" thickTop="1" x14ac:dyDescent="0.25">
      <c r="A1186" s="18" t="s">
        <v>494</v>
      </c>
      <c r="B1186" s="18" t="s">
        <v>946</v>
      </c>
      <c r="C1186" s="18" t="s">
        <v>495</v>
      </c>
      <c r="D1186" s="18" t="s">
        <v>26</v>
      </c>
      <c r="E1186" s="18" t="s">
        <v>531</v>
      </c>
      <c r="F1186" s="18" t="s">
        <v>532</v>
      </c>
      <c r="G1186" s="18" t="s">
        <v>29</v>
      </c>
      <c r="H1186" s="19">
        <v>2000</v>
      </c>
      <c r="I1186" s="18" t="s">
        <v>68</v>
      </c>
      <c r="J1186" s="101" t="s">
        <v>27</v>
      </c>
      <c r="K1186" s="20">
        <v>4</v>
      </c>
      <c r="L1186" s="21">
        <v>0.17</v>
      </c>
      <c r="M1186" s="22" t="s">
        <v>30</v>
      </c>
      <c r="N1186" s="23">
        <v>0.17</v>
      </c>
      <c r="O1186" s="24">
        <v>4.2500000000000003E-2</v>
      </c>
      <c r="P1186" s="25" t="str">
        <f>IF(P1188="x","x","")</f>
        <v/>
      </c>
      <c r="Q1186" s="25" t="str">
        <f>IF(Q1188="x","x","")</f>
        <v/>
      </c>
      <c r="R1186" s="25" t="str">
        <f>IF(R1188="x","x","")</f>
        <v/>
      </c>
      <c r="S1186" s="25" t="str">
        <f>IF(S1188="x","x","")</f>
        <v>x</v>
      </c>
      <c r="T1186" s="25" t="s">
        <v>31</v>
      </c>
      <c r="U1186" s="26"/>
      <c r="V1186" s="27"/>
    </row>
    <row r="1187" spans="1:22" x14ac:dyDescent="0.25">
      <c r="A1187" s="18" t="s">
        <v>494</v>
      </c>
      <c r="B1187" s="18" t="s">
        <v>946</v>
      </c>
      <c r="C1187" s="18" t="s">
        <v>495</v>
      </c>
      <c r="D1187" s="18" t="s">
        <v>26</v>
      </c>
      <c r="E1187" s="18" t="s">
        <v>531</v>
      </c>
      <c r="F1187" s="18" t="s">
        <v>532</v>
      </c>
      <c r="G1187" s="18" t="s">
        <v>32</v>
      </c>
      <c r="H1187" s="19">
        <v>2007</v>
      </c>
      <c r="I1187" s="18" t="s">
        <v>68</v>
      </c>
      <c r="J1187" s="101" t="s">
        <v>27</v>
      </c>
      <c r="K1187" s="20">
        <v>4</v>
      </c>
      <c r="L1187" s="21">
        <v>0.34</v>
      </c>
      <c r="M1187" s="22" t="s">
        <v>30</v>
      </c>
      <c r="N1187" s="23">
        <v>0.34</v>
      </c>
      <c r="O1187" s="24">
        <v>8.5000000000000006E-2</v>
      </c>
      <c r="P1187" s="25" t="str">
        <f>IF(P1188="x","x","")</f>
        <v/>
      </c>
      <c r="Q1187" s="25" t="str">
        <f>IF(Q1188="x","x","")</f>
        <v/>
      </c>
      <c r="R1187" s="25" t="str">
        <f>IF(R1188="x","x","")</f>
        <v/>
      </c>
      <c r="S1187" s="25" t="str">
        <f>IF(S1188="x","x","")</f>
        <v>x</v>
      </c>
      <c r="T1187" s="25" t="s">
        <v>31</v>
      </c>
      <c r="U1187" s="26"/>
      <c r="V1187" s="27"/>
    </row>
    <row r="1188" spans="1:22" ht="63.75" thickBot="1" x14ac:dyDescent="0.3">
      <c r="A1188" s="28" t="str">
        <f>A1187</f>
        <v>Mexico</v>
      </c>
      <c r="B1188" s="28" t="str">
        <f>B1187</f>
        <v>Latin America and Caribbean</v>
      </c>
      <c r="C1188" s="28" t="str">
        <f>C1187</f>
        <v>P065779</v>
      </c>
      <c r="D1188" s="28" t="s">
        <v>26</v>
      </c>
      <c r="E1188" s="28" t="s">
        <v>27</v>
      </c>
      <c r="F1188" s="28" t="str">
        <f>F1187</f>
        <v>P065779C1S29</v>
      </c>
      <c r="G1188" s="28" t="s">
        <v>16</v>
      </c>
      <c r="H1188" s="29" t="str">
        <f>H1186&amp;" / "&amp;H1187</f>
        <v>2000 / 2007</v>
      </c>
      <c r="I1188" s="29" t="str">
        <f>I1187</f>
        <v>Asphalt Mix Resurfacing</v>
      </c>
      <c r="J1188" s="97" t="str">
        <f>IFERROR(J1187/J1186,"")</f>
        <v/>
      </c>
      <c r="K1188" s="32">
        <f>K1187/K1186</f>
        <v>1</v>
      </c>
      <c r="L1188" s="32">
        <f>L1187/L1186</f>
        <v>2</v>
      </c>
      <c r="M1188" s="28"/>
      <c r="N1188" s="32">
        <f>N1187/N1186</f>
        <v>2</v>
      </c>
      <c r="O1188" s="32">
        <f>O1187/O1186</f>
        <v>2</v>
      </c>
      <c r="P1188" s="33" t="str">
        <f>IF(K1188&lt;50%,"x","")</f>
        <v/>
      </c>
      <c r="Q1188" s="33" t="str">
        <f>IF(K1188&gt;150%,"x","")</f>
        <v/>
      </c>
      <c r="R1188" s="33" t="str">
        <f>IF(O1188&lt;50%,"x","")</f>
        <v/>
      </c>
      <c r="S1188" s="33" t="str">
        <f>IF(O1188&gt;150%,"x","")</f>
        <v>x</v>
      </c>
      <c r="T1188" s="33" t="s">
        <v>31</v>
      </c>
      <c r="U1188" s="34" t="s">
        <v>999</v>
      </c>
      <c r="V1188" s="35" t="s">
        <v>1001</v>
      </c>
    </row>
    <row r="1189" spans="1:22" ht="16.5" thickTop="1" x14ac:dyDescent="0.25">
      <c r="A1189" s="18" t="s">
        <v>494</v>
      </c>
      <c r="B1189" s="18" t="s">
        <v>946</v>
      </c>
      <c r="C1189" s="18" t="s">
        <v>495</v>
      </c>
      <c r="D1189" s="18" t="s">
        <v>26</v>
      </c>
      <c r="E1189" s="18" t="s">
        <v>69</v>
      </c>
      <c r="F1189" s="18" t="s">
        <v>533</v>
      </c>
      <c r="G1189" s="18" t="s">
        <v>29</v>
      </c>
      <c r="H1189" s="19">
        <v>2000</v>
      </c>
      <c r="I1189" s="18" t="s">
        <v>359</v>
      </c>
      <c r="J1189" s="101" t="s">
        <v>27</v>
      </c>
      <c r="K1189" s="20">
        <v>3</v>
      </c>
      <c r="L1189" s="21">
        <v>0.34</v>
      </c>
      <c r="M1189" s="22" t="s">
        <v>30</v>
      </c>
      <c r="N1189" s="23">
        <v>0.34</v>
      </c>
      <c r="O1189" s="24">
        <v>0.11333333333333334</v>
      </c>
      <c r="P1189" s="25" t="str">
        <f>IF(P1191="x","x","")</f>
        <v/>
      </c>
      <c r="Q1189" s="25" t="str">
        <f>IF(Q1191="x","x","")</f>
        <v/>
      </c>
      <c r="R1189" s="25" t="str">
        <f>IF(R1191="x","x","")</f>
        <v/>
      </c>
      <c r="S1189" s="25" t="str">
        <f>IF(S1191="x","x","")</f>
        <v/>
      </c>
      <c r="T1189" s="25" t="s">
        <v>27</v>
      </c>
      <c r="U1189" s="26"/>
      <c r="V1189" s="27"/>
    </row>
    <row r="1190" spans="1:22" x14ac:dyDescent="0.25">
      <c r="A1190" s="18" t="s">
        <v>494</v>
      </c>
      <c r="B1190" s="18" t="s">
        <v>946</v>
      </c>
      <c r="C1190" s="18" t="s">
        <v>495</v>
      </c>
      <c r="D1190" s="18" t="s">
        <v>26</v>
      </c>
      <c r="E1190" s="18" t="s">
        <v>69</v>
      </c>
      <c r="F1190" s="18" t="s">
        <v>533</v>
      </c>
      <c r="G1190" s="18" t="s">
        <v>32</v>
      </c>
      <c r="H1190" s="19">
        <v>2007</v>
      </c>
      <c r="I1190" s="18" t="s">
        <v>359</v>
      </c>
      <c r="J1190" s="101" t="s">
        <v>27</v>
      </c>
      <c r="K1190" s="20">
        <v>3</v>
      </c>
      <c r="L1190" s="21">
        <v>0.17</v>
      </c>
      <c r="M1190" s="22" t="s">
        <v>30</v>
      </c>
      <c r="N1190" s="23">
        <v>0.17</v>
      </c>
      <c r="O1190" s="24">
        <v>5.6666666666666671E-2</v>
      </c>
      <c r="P1190" s="25" t="str">
        <f>IF(P1191="x","x","")</f>
        <v/>
      </c>
      <c r="Q1190" s="25" t="str">
        <f>IF(Q1191="x","x","")</f>
        <v/>
      </c>
      <c r="R1190" s="25" t="str">
        <f>IF(R1191="x","x","")</f>
        <v/>
      </c>
      <c r="S1190" s="25" t="str">
        <f>IF(S1191="x","x","")</f>
        <v/>
      </c>
      <c r="T1190" s="25" t="s">
        <v>27</v>
      </c>
      <c r="U1190" s="26"/>
      <c r="V1190" s="27"/>
    </row>
    <row r="1191" spans="1:22" ht="16.5" thickBot="1" x14ac:dyDescent="0.3">
      <c r="A1191" s="28" t="str">
        <f>A1190</f>
        <v>Mexico</v>
      </c>
      <c r="B1191" s="28" t="str">
        <f>B1190</f>
        <v>Latin America and Caribbean</v>
      </c>
      <c r="C1191" s="28" t="str">
        <f>C1190</f>
        <v>P065779</v>
      </c>
      <c r="D1191" s="28" t="s">
        <v>26</v>
      </c>
      <c r="E1191" s="28" t="s">
        <v>27</v>
      </c>
      <c r="F1191" s="28" t="str">
        <f>F1190</f>
        <v>P065779C1S3</v>
      </c>
      <c r="G1191" s="28" t="s">
        <v>16</v>
      </c>
      <c r="H1191" s="29" t="str">
        <f>H1189&amp;" / "&amp;H1190</f>
        <v>2000 / 2007</v>
      </c>
      <c r="I1191" s="29" t="str">
        <f>I1190</f>
        <v>Reconstruction</v>
      </c>
      <c r="J1191" s="97" t="str">
        <f>IFERROR(J1190/J1189,"")</f>
        <v/>
      </c>
      <c r="K1191" s="32">
        <f>K1190/K1189</f>
        <v>1</v>
      </c>
      <c r="L1191" s="32">
        <f>L1190/L1189</f>
        <v>0.5</v>
      </c>
      <c r="M1191" s="28"/>
      <c r="N1191" s="32">
        <f>N1190/N1189</f>
        <v>0.5</v>
      </c>
      <c r="O1191" s="32">
        <f>O1190/O1189</f>
        <v>0.5</v>
      </c>
      <c r="P1191" s="33" t="str">
        <f>IF(K1191&lt;50%,"x","")</f>
        <v/>
      </c>
      <c r="Q1191" s="33" t="str">
        <f>IF(K1191&gt;150%,"x","")</f>
        <v/>
      </c>
      <c r="R1191" s="33" t="str">
        <f>IF(O1191&lt;50%,"x","")</f>
        <v/>
      </c>
      <c r="S1191" s="33" t="str">
        <f>IF(O1191&gt;150%,"x","")</f>
        <v/>
      </c>
      <c r="T1191" s="33" t="s">
        <v>27</v>
      </c>
      <c r="U1191" s="34" t="s">
        <v>27</v>
      </c>
      <c r="V1191" s="35" t="s">
        <v>27</v>
      </c>
    </row>
    <row r="1192" spans="1:22" ht="16.5" thickTop="1" x14ac:dyDescent="0.25">
      <c r="A1192" s="18" t="s">
        <v>494</v>
      </c>
      <c r="B1192" s="18" t="s">
        <v>946</v>
      </c>
      <c r="C1192" s="18" t="s">
        <v>495</v>
      </c>
      <c r="D1192" s="18" t="s">
        <v>26</v>
      </c>
      <c r="E1192" s="18" t="s">
        <v>534</v>
      </c>
      <c r="F1192" s="18" t="s">
        <v>535</v>
      </c>
      <c r="G1192" s="18" t="s">
        <v>29</v>
      </c>
      <c r="H1192" s="19">
        <v>2000</v>
      </c>
      <c r="I1192" s="18" t="s">
        <v>68</v>
      </c>
      <c r="J1192" s="101" t="s">
        <v>27</v>
      </c>
      <c r="K1192" s="20">
        <v>4.5</v>
      </c>
      <c r="L1192" s="21">
        <v>0.17</v>
      </c>
      <c r="M1192" s="22" t="s">
        <v>30</v>
      </c>
      <c r="N1192" s="23">
        <v>0.17</v>
      </c>
      <c r="O1192" s="24">
        <v>3.7777777777777778E-2</v>
      </c>
      <c r="P1192" s="25" t="str">
        <f>IF(P1194="x","x","")</f>
        <v/>
      </c>
      <c r="Q1192" s="25" t="str">
        <f>IF(Q1194="x","x","")</f>
        <v/>
      </c>
      <c r="R1192" s="25" t="str">
        <f>IF(R1194="x","x","")</f>
        <v/>
      </c>
      <c r="S1192" s="25" t="str">
        <f>IF(S1194="x","x","")</f>
        <v>x</v>
      </c>
      <c r="T1192" s="25" t="s">
        <v>31</v>
      </c>
      <c r="U1192" s="26"/>
      <c r="V1192" s="27"/>
    </row>
    <row r="1193" spans="1:22" x14ac:dyDescent="0.25">
      <c r="A1193" s="18" t="s">
        <v>494</v>
      </c>
      <c r="B1193" s="18" t="s">
        <v>946</v>
      </c>
      <c r="C1193" s="18" t="s">
        <v>495</v>
      </c>
      <c r="D1193" s="18" t="s">
        <v>26</v>
      </c>
      <c r="E1193" s="18" t="s">
        <v>534</v>
      </c>
      <c r="F1193" s="18" t="s">
        <v>535</v>
      </c>
      <c r="G1193" s="18" t="s">
        <v>32</v>
      </c>
      <c r="H1193" s="19">
        <v>2007</v>
      </c>
      <c r="I1193" s="18" t="s">
        <v>68</v>
      </c>
      <c r="J1193" s="101" t="s">
        <v>27</v>
      </c>
      <c r="K1193" s="20">
        <v>4.5</v>
      </c>
      <c r="L1193" s="21">
        <v>0.33</v>
      </c>
      <c r="M1193" s="22" t="s">
        <v>30</v>
      </c>
      <c r="N1193" s="23">
        <v>0.33</v>
      </c>
      <c r="O1193" s="24">
        <v>7.3333333333333334E-2</v>
      </c>
      <c r="P1193" s="25" t="str">
        <f>IF(P1194="x","x","")</f>
        <v/>
      </c>
      <c r="Q1193" s="25" t="str">
        <f>IF(Q1194="x","x","")</f>
        <v/>
      </c>
      <c r="R1193" s="25" t="str">
        <f>IF(R1194="x","x","")</f>
        <v/>
      </c>
      <c r="S1193" s="25" t="str">
        <f>IF(S1194="x","x","")</f>
        <v>x</v>
      </c>
      <c r="T1193" s="25" t="s">
        <v>31</v>
      </c>
      <c r="U1193" s="26"/>
      <c r="V1193" s="27"/>
    </row>
    <row r="1194" spans="1:22" ht="63.75" thickBot="1" x14ac:dyDescent="0.3">
      <c r="A1194" s="28" t="str">
        <f>A1193</f>
        <v>Mexico</v>
      </c>
      <c r="B1194" s="28" t="str">
        <f>B1193</f>
        <v>Latin America and Caribbean</v>
      </c>
      <c r="C1194" s="28" t="str">
        <f>C1193</f>
        <v>P065779</v>
      </c>
      <c r="D1194" s="28" t="s">
        <v>26</v>
      </c>
      <c r="E1194" s="28" t="s">
        <v>27</v>
      </c>
      <c r="F1194" s="28" t="str">
        <f>F1193</f>
        <v>P065779C1S30</v>
      </c>
      <c r="G1194" s="28" t="s">
        <v>16</v>
      </c>
      <c r="H1194" s="29" t="str">
        <f>H1192&amp;" / "&amp;H1193</f>
        <v>2000 / 2007</v>
      </c>
      <c r="I1194" s="29" t="str">
        <f>I1193</f>
        <v>Asphalt Mix Resurfacing</v>
      </c>
      <c r="J1194" s="97" t="str">
        <f>IFERROR(J1193/J1192,"")</f>
        <v/>
      </c>
      <c r="K1194" s="32">
        <f>K1193/K1192</f>
        <v>1</v>
      </c>
      <c r="L1194" s="32">
        <f>L1193/L1192</f>
        <v>1.9411764705882353</v>
      </c>
      <c r="M1194" s="28"/>
      <c r="N1194" s="32">
        <f>N1193/N1192</f>
        <v>1.9411764705882353</v>
      </c>
      <c r="O1194" s="32">
        <f>O1193/O1192</f>
        <v>1.9411764705882353</v>
      </c>
      <c r="P1194" s="33" t="str">
        <f>IF(K1194&lt;50%,"x","")</f>
        <v/>
      </c>
      <c r="Q1194" s="33" t="str">
        <f>IF(K1194&gt;150%,"x","")</f>
        <v/>
      </c>
      <c r="R1194" s="33" t="str">
        <f>IF(O1194&lt;50%,"x","")</f>
        <v/>
      </c>
      <c r="S1194" s="33" t="str">
        <f>IF(O1194&gt;150%,"x","")</f>
        <v>x</v>
      </c>
      <c r="T1194" s="33" t="s">
        <v>31</v>
      </c>
      <c r="U1194" s="34" t="s">
        <v>999</v>
      </c>
      <c r="V1194" s="35" t="s">
        <v>1001</v>
      </c>
    </row>
    <row r="1195" spans="1:22" ht="16.5" thickTop="1" x14ac:dyDescent="0.25">
      <c r="A1195" s="18" t="s">
        <v>494</v>
      </c>
      <c r="B1195" s="18" t="s">
        <v>946</v>
      </c>
      <c r="C1195" s="18" t="s">
        <v>495</v>
      </c>
      <c r="D1195" s="18" t="s">
        <v>26</v>
      </c>
      <c r="E1195" s="18" t="s">
        <v>536</v>
      </c>
      <c r="F1195" s="18" t="s">
        <v>537</v>
      </c>
      <c r="G1195" s="18" t="s">
        <v>29</v>
      </c>
      <c r="H1195" s="19">
        <v>2000</v>
      </c>
      <c r="I1195" s="18" t="s">
        <v>68</v>
      </c>
      <c r="J1195" s="101" t="s">
        <v>27</v>
      </c>
      <c r="K1195" s="20">
        <v>3</v>
      </c>
      <c r="L1195" s="21">
        <v>0.06</v>
      </c>
      <c r="M1195" s="22" t="s">
        <v>30</v>
      </c>
      <c r="N1195" s="23">
        <v>0.06</v>
      </c>
      <c r="O1195" s="24">
        <v>0.02</v>
      </c>
      <c r="P1195" s="25" t="str">
        <f>IF(P1197="x","x","")</f>
        <v/>
      </c>
      <c r="Q1195" s="25" t="str">
        <f>IF(Q1197="x","x","")</f>
        <v/>
      </c>
      <c r="R1195" s="25" t="str">
        <f>IF(R1197="x","x","")</f>
        <v/>
      </c>
      <c r="S1195" s="25" t="str">
        <f>IF(S1197="x","x","")</f>
        <v/>
      </c>
      <c r="T1195" s="25" t="s">
        <v>27</v>
      </c>
      <c r="U1195" s="26"/>
      <c r="V1195" s="27"/>
    </row>
    <row r="1196" spans="1:22" x14ac:dyDescent="0.25">
      <c r="A1196" s="18" t="s">
        <v>494</v>
      </c>
      <c r="B1196" s="18" t="s">
        <v>946</v>
      </c>
      <c r="C1196" s="18" t="s">
        <v>495</v>
      </c>
      <c r="D1196" s="18" t="s">
        <v>26</v>
      </c>
      <c r="E1196" s="18" t="s">
        <v>536</v>
      </c>
      <c r="F1196" s="18" t="s">
        <v>537</v>
      </c>
      <c r="G1196" s="18" t="s">
        <v>32</v>
      </c>
      <c r="H1196" s="19">
        <v>2007</v>
      </c>
      <c r="I1196" s="18" t="s">
        <v>68</v>
      </c>
      <c r="J1196" s="101" t="s">
        <v>27</v>
      </c>
      <c r="K1196" s="20">
        <v>3</v>
      </c>
      <c r="L1196" s="21">
        <v>7.0000000000000007E-2</v>
      </c>
      <c r="M1196" s="22" t="s">
        <v>30</v>
      </c>
      <c r="N1196" s="23">
        <v>7.0000000000000007E-2</v>
      </c>
      <c r="O1196" s="24">
        <v>2.3333333333333334E-2</v>
      </c>
      <c r="P1196" s="25" t="str">
        <f>IF(P1197="x","x","")</f>
        <v/>
      </c>
      <c r="Q1196" s="25" t="str">
        <f>IF(Q1197="x","x","")</f>
        <v/>
      </c>
      <c r="R1196" s="25" t="str">
        <f>IF(R1197="x","x","")</f>
        <v/>
      </c>
      <c r="S1196" s="25" t="str">
        <f>IF(S1197="x","x","")</f>
        <v/>
      </c>
      <c r="T1196" s="25" t="s">
        <v>27</v>
      </c>
      <c r="U1196" s="26"/>
      <c r="V1196" s="27"/>
    </row>
    <row r="1197" spans="1:22" ht="16.5" thickBot="1" x14ac:dyDescent="0.3">
      <c r="A1197" s="28" t="str">
        <f>A1196</f>
        <v>Mexico</v>
      </c>
      <c r="B1197" s="28" t="str">
        <f>B1196</f>
        <v>Latin America and Caribbean</v>
      </c>
      <c r="C1197" s="28" t="str">
        <f>C1196</f>
        <v>P065779</v>
      </c>
      <c r="D1197" s="28" t="s">
        <v>26</v>
      </c>
      <c r="E1197" s="28" t="s">
        <v>27</v>
      </c>
      <c r="F1197" s="28" t="str">
        <f>F1196</f>
        <v>P065779C1S31</v>
      </c>
      <c r="G1197" s="28" t="s">
        <v>16</v>
      </c>
      <c r="H1197" s="29" t="str">
        <f>H1195&amp;" / "&amp;H1196</f>
        <v>2000 / 2007</v>
      </c>
      <c r="I1197" s="29" t="str">
        <f>I1196</f>
        <v>Asphalt Mix Resurfacing</v>
      </c>
      <c r="J1197" s="97" t="str">
        <f>IFERROR(J1196/J1195,"")</f>
        <v/>
      </c>
      <c r="K1197" s="32">
        <f>K1196/K1195</f>
        <v>1</v>
      </c>
      <c r="L1197" s="32">
        <f>L1196/L1195</f>
        <v>1.1666666666666667</v>
      </c>
      <c r="M1197" s="28"/>
      <c r="N1197" s="32">
        <f>N1196/N1195</f>
        <v>1.1666666666666667</v>
      </c>
      <c r="O1197" s="32">
        <f>O1196/O1195</f>
        <v>1.1666666666666667</v>
      </c>
      <c r="P1197" s="33" t="str">
        <f>IF(K1197&lt;50%,"x","")</f>
        <v/>
      </c>
      <c r="Q1197" s="33" t="str">
        <f>IF(K1197&gt;150%,"x","")</f>
        <v/>
      </c>
      <c r="R1197" s="33" t="str">
        <f>IF(O1197&lt;50%,"x","")</f>
        <v/>
      </c>
      <c r="S1197" s="33" t="str">
        <f>IF(O1197&gt;150%,"x","")</f>
        <v/>
      </c>
      <c r="T1197" s="33" t="s">
        <v>27</v>
      </c>
      <c r="U1197" s="34" t="s">
        <v>27</v>
      </c>
      <c r="V1197" s="35" t="s">
        <v>27</v>
      </c>
    </row>
    <row r="1198" spans="1:22" ht="16.5" thickTop="1" x14ac:dyDescent="0.25">
      <c r="A1198" s="18" t="s">
        <v>494</v>
      </c>
      <c r="B1198" s="18" t="s">
        <v>946</v>
      </c>
      <c r="C1198" s="18" t="s">
        <v>495</v>
      </c>
      <c r="D1198" s="18" t="s">
        <v>26</v>
      </c>
      <c r="E1198" s="18" t="s">
        <v>538</v>
      </c>
      <c r="F1198" s="18" t="s">
        <v>539</v>
      </c>
      <c r="G1198" s="18" t="s">
        <v>29</v>
      </c>
      <c r="H1198" s="19">
        <v>2000</v>
      </c>
      <c r="I1198" s="18" t="s">
        <v>68</v>
      </c>
      <c r="J1198" s="101" t="s">
        <v>27</v>
      </c>
      <c r="K1198" s="20">
        <v>30</v>
      </c>
      <c r="L1198" s="21">
        <v>1.08</v>
      </c>
      <c r="M1198" s="22" t="s">
        <v>30</v>
      </c>
      <c r="N1198" s="23">
        <v>1.08</v>
      </c>
      <c r="O1198" s="24">
        <v>3.6000000000000004E-2</v>
      </c>
      <c r="P1198" s="25" t="str">
        <f>IF(P1200="x","x","")</f>
        <v/>
      </c>
      <c r="Q1198" s="25" t="str">
        <f>IF(Q1200="x","x","")</f>
        <v/>
      </c>
      <c r="R1198" s="25" t="str">
        <f>IF(R1200="x","x","")</f>
        <v>x</v>
      </c>
      <c r="S1198" s="25" t="str">
        <f>IF(S1200="x","x","")</f>
        <v/>
      </c>
      <c r="T1198" s="25" t="s">
        <v>31</v>
      </c>
      <c r="U1198" s="26"/>
      <c r="V1198" s="27"/>
    </row>
    <row r="1199" spans="1:22" x14ac:dyDescent="0.25">
      <c r="A1199" s="18" t="s">
        <v>494</v>
      </c>
      <c r="B1199" s="18" t="s">
        <v>946</v>
      </c>
      <c r="C1199" s="18" t="s">
        <v>495</v>
      </c>
      <c r="D1199" s="18" t="s">
        <v>26</v>
      </c>
      <c r="E1199" s="18" t="s">
        <v>538</v>
      </c>
      <c r="F1199" s="18" t="s">
        <v>539</v>
      </c>
      <c r="G1199" s="18" t="s">
        <v>32</v>
      </c>
      <c r="H1199" s="19">
        <v>2007</v>
      </c>
      <c r="I1199" s="18" t="s">
        <v>68</v>
      </c>
      <c r="J1199" s="101" t="s">
        <v>27</v>
      </c>
      <c r="K1199" s="20">
        <v>30</v>
      </c>
      <c r="L1199" s="21">
        <v>0.48</v>
      </c>
      <c r="M1199" s="22" t="s">
        <v>30</v>
      </c>
      <c r="N1199" s="23">
        <v>0.48</v>
      </c>
      <c r="O1199" s="24">
        <v>1.6E-2</v>
      </c>
      <c r="P1199" s="25" t="str">
        <f>IF(P1200="x","x","")</f>
        <v/>
      </c>
      <c r="Q1199" s="25" t="str">
        <f>IF(Q1200="x","x","")</f>
        <v/>
      </c>
      <c r="R1199" s="25" t="str">
        <f>IF(R1200="x","x","")</f>
        <v>x</v>
      </c>
      <c r="S1199" s="25" t="str">
        <f>IF(S1200="x","x","")</f>
        <v/>
      </c>
      <c r="T1199" s="25" t="s">
        <v>31</v>
      </c>
      <c r="U1199" s="26"/>
      <c r="V1199" s="27"/>
    </row>
    <row r="1200" spans="1:22" ht="32.25" thickBot="1" x14ac:dyDescent="0.3">
      <c r="A1200" s="28" t="str">
        <f>A1199</f>
        <v>Mexico</v>
      </c>
      <c r="B1200" s="28" t="str">
        <f>B1199</f>
        <v>Latin America and Caribbean</v>
      </c>
      <c r="C1200" s="28" t="str">
        <f>C1199</f>
        <v>P065779</v>
      </c>
      <c r="D1200" s="28" t="s">
        <v>26</v>
      </c>
      <c r="E1200" s="28" t="s">
        <v>27</v>
      </c>
      <c r="F1200" s="28" t="str">
        <f>F1199</f>
        <v>P065779C1S32</v>
      </c>
      <c r="G1200" s="28" t="s">
        <v>16</v>
      </c>
      <c r="H1200" s="29" t="str">
        <f>H1198&amp;" / "&amp;H1199</f>
        <v>2000 / 2007</v>
      </c>
      <c r="I1200" s="29" t="str">
        <f>I1199</f>
        <v>Asphalt Mix Resurfacing</v>
      </c>
      <c r="J1200" s="97" t="str">
        <f>IFERROR(J1199/J1198,"")</f>
        <v/>
      </c>
      <c r="K1200" s="32">
        <f>K1199/K1198</f>
        <v>1</v>
      </c>
      <c r="L1200" s="32">
        <f>L1199/L1198</f>
        <v>0.44444444444444442</v>
      </c>
      <c r="M1200" s="28"/>
      <c r="N1200" s="32">
        <f>N1199/N1198</f>
        <v>0.44444444444444442</v>
      </c>
      <c r="O1200" s="32">
        <f>O1199/O1198</f>
        <v>0.44444444444444442</v>
      </c>
      <c r="P1200" s="33" t="str">
        <f>IF(K1200&lt;50%,"x","")</f>
        <v/>
      </c>
      <c r="Q1200" s="33" t="str">
        <f>IF(K1200&gt;150%,"x","")</f>
        <v/>
      </c>
      <c r="R1200" s="33" t="str">
        <f>IF(O1200&lt;50%,"x","")</f>
        <v>x</v>
      </c>
      <c r="S1200" s="33" t="str">
        <f>IF(O1200&gt;150%,"x","")</f>
        <v/>
      </c>
      <c r="T1200" s="33" t="s">
        <v>31</v>
      </c>
      <c r="U1200" s="34" t="s">
        <v>988</v>
      </c>
      <c r="V1200" s="35" t="s">
        <v>1004</v>
      </c>
    </row>
    <row r="1201" spans="1:22" ht="16.5" thickTop="1" x14ac:dyDescent="0.25">
      <c r="A1201" s="18" t="s">
        <v>494</v>
      </c>
      <c r="B1201" s="18" t="s">
        <v>946</v>
      </c>
      <c r="C1201" s="18" t="s">
        <v>495</v>
      </c>
      <c r="D1201" s="18" t="s">
        <v>26</v>
      </c>
      <c r="E1201" s="18" t="s">
        <v>540</v>
      </c>
      <c r="F1201" s="18" t="s">
        <v>541</v>
      </c>
      <c r="G1201" s="18" t="s">
        <v>29</v>
      </c>
      <c r="H1201" s="19">
        <v>2000</v>
      </c>
      <c r="I1201" s="18" t="s">
        <v>68</v>
      </c>
      <c r="J1201" s="101" t="s">
        <v>27</v>
      </c>
      <c r="K1201" s="20">
        <v>22</v>
      </c>
      <c r="L1201" s="21">
        <v>0.71</v>
      </c>
      <c r="M1201" s="22" t="s">
        <v>30</v>
      </c>
      <c r="N1201" s="23">
        <v>0.71</v>
      </c>
      <c r="O1201" s="24">
        <v>3.2272727272727272E-2</v>
      </c>
      <c r="P1201" s="25" t="str">
        <f>IF(P1203="x","x","")</f>
        <v/>
      </c>
      <c r="Q1201" s="25" t="str">
        <f>IF(Q1203="x","x","")</f>
        <v/>
      </c>
      <c r="R1201" s="25" t="str">
        <f>IF(R1203="x","x","")</f>
        <v/>
      </c>
      <c r="S1201" s="25" t="str">
        <f>IF(S1203="x","x","")</f>
        <v>x</v>
      </c>
      <c r="T1201" s="25" t="s">
        <v>31</v>
      </c>
      <c r="U1201" s="26"/>
      <c r="V1201" s="27"/>
    </row>
    <row r="1202" spans="1:22" x14ac:dyDescent="0.25">
      <c r="A1202" s="18" t="s">
        <v>494</v>
      </c>
      <c r="B1202" s="18" t="s">
        <v>946</v>
      </c>
      <c r="C1202" s="18" t="s">
        <v>495</v>
      </c>
      <c r="D1202" s="18" t="s">
        <v>26</v>
      </c>
      <c r="E1202" s="18" t="s">
        <v>540</v>
      </c>
      <c r="F1202" s="18" t="s">
        <v>541</v>
      </c>
      <c r="G1202" s="18" t="s">
        <v>32</v>
      </c>
      <c r="H1202" s="19">
        <v>2007</v>
      </c>
      <c r="I1202" s="18" t="s">
        <v>68</v>
      </c>
      <c r="J1202" s="101" t="s">
        <v>27</v>
      </c>
      <c r="K1202" s="20">
        <v>22</v>
      </c>
      <c r="L1202" s="21">
        <v>1.37</v>
      </c>
      <c r="M1202" s="22" t="s">
        <v>30</v>
      </c>
      <c r="N1202" s="23">
        <v>1.37</v>
      </c>
      <c r="O1202" s="24">
        <v>6.2272727272727278E-2</v>
      </c>
      <c r="P1202" s="25" t="str">
        <f>IF(P1203="x","x","")</f>
        <v/>
      </c>
      <c r="Q1202" s="25" t="str">
        <f>IF(Q1203="x","x","")</f>
        <v/>
      </c>
      <c r="R1202" s="25" t="str">
        <f>IF(R1203="x","x","")</f>
        <v/>
      </c>
      <c r="S1202" s="25" t="str">
        <f>IF(S1203="x","x","")</f>
        <v>x</v>
      </c>
      <c r="T1202" s="25" t="s">
        <v>31</v>
      </c>
      <c r="U1202" s="26"/>
      <c r="V1202" s="27"/>
    </row>
    <row r="1203" spans="1:22" ht="95.25" thickBot="1" x14ac:dyDescent="0.3">
      <c r="A1203" s="28" t="str">
        <f>A1202</f>
        <v>Mexico</v>
      </c>
      <c r="B1203" s="28" t="str">
        <f>B1202</f>
        <v>Latin America and Caribbean</v>
      </c>
      <c r="C1203" s="28" t="str">
        <f>C1202</f>
        <v>P065779</v>
      </c>
      <c r="D1203" s="28" t="s">
        <v>26</v>
      </c>
      <c r="E1203" s="28" t="s">
        <v>27</v>
      </c>
      <c r="F1203" s="28" t="str">
        <f>F1202</f>
        <v>P065779C1S33</v>
      </c>
      <c r="G1203" s="28" t="s">
        <v>16</v>
      </c>
      <c r="H1203" s="29" t="str">
        <f>H1201&amp;" / "&amp;H1202</f>
        <v>2000 / 2007</v>
      </c>
      <c r="I1203" s="29" t="str">
        <f>I1202</f>
        <v>Asphalt Mix Resurfacing</v>
      </c>
      <c r="J1203" s="97" t="str">
        <f>IFERROR(J1202/J1201,"")</f>
        <v/>
      </c>
      <c r="K1203" s="32">
        <f>K1202/K1201</f>
        <v>1</v>
      </c>
      <c r="L1203" s="32">
        <f>L1202/L1201</f>
        <v>1.9295774647887327</v>
      </c>
      <c r="M1203" s="28"/>
      <c r="N1203" s="32">
        <f>N1202/N1201</f>
        <v>1.9295774647887327</v>
      </c>
      <c r="O1203" s="32">
        <f>O1202/O1201</f>
        <v>1.9295774647887325</v>
      </c>
      <c r="P1203" s="33" t="str">
        <f>IF(K1203&lt;50%,"x","")</f>
        <v/>
      </c>
      <c r="Q1203" s="33" t="str">
        <f>IF(K1203&gt;150%,"x","")</f>
        <v/>
      </c>
      <c r="R1203" s="33" t="str">
        <f>IF(O1203&lt;50%,"x","")</f>
        <v/>
      </c>
      <c r="S1203" s="33" t="str">
        <f>IF(O1203&gt;150%,"x","")</f>
        <v>x</v>
      </c>
      <c r="T1203" s="33" t="s">
        <v>31</v>
      </c>
      <c r="U1203" s="34" t="s">
        <v>1005</v>
      </c>
      <c r="V1203" s="35" t="s">
        <v>1006</v>
      </c>
    </row>
    <row r="1204" spans="1:22" ht="16.5" thickTop="1" x14ac:dyDescent="0.25">
      <c r="A1204" s="18" t="s">
        <v>494</v>
      </c>
      <c r="B1204" s="18" t="s">
        <v>946</v>
      </c>
      <c r="C1204" s="18" t="s">
        <v>495</v>
      </c>
      <c r="D1204" s="18" t="s">
        <v>26</v>
      </c>
      <c r="E1204" s="18" t="s">
        <v>542</v>
      </c>
      <c r="F1204" s="18" t="s">
        <v>543</v>
      </c>
      <c r="G1204" s="18" t="s">
        <v>29</v>
      </c>
      <c r="H1204" s="19">
        <v>2000</v>
      </c>
      <c r="I1204" s="18" t="s">
        <v>68</v>
      </c>
      <c r="J1204" s="101" t="s">
        <v>27</v>
      </c>
      <c r="K1204" s="20">
        <v>5</v>
      </c>
      <c r="L1204" s="21">
        <v>0.26</v>
      </c>
      <c r="M1204" s="22" t="s">
        <v>30</v>
      </c>
      <c r="N1204" s="23">
        <v>0.26</v>
      </c>
      <c r="O1204" s="24">
        <v>5.2000000000000005E-2</v>
      </c>
      <c r="P1204" s="25" t="str">
        <f>IF(P1206="x","x","")</f>
        <v/>
      </c>
      <c r="Q1204" s="25" t="str">
        <f>IF(Q1206="x","x","")</f>
        <v>x</v>
      </c>
      <c r="R1204" s="25" t="str">
        <f>IF(R1206="x","x","")</f>
        <v/>
      </c>
      <c r="S1204" s="25" t="str">
        <f>IF(S1206="x","x","")</f>
        <v>x</v>
      </c>
      <c r="T1204" s="25" t="s">
        <v>31</v>
      </c>
      <c r="U1204" s="26"/>
      <c r="V1204" s="27"/>
    </row>
    <row r="1205" spans="1:22" x14ac:dyDescent="0.25">
      <c r="A1205" s="18" t="s">
        <v>494</v>
      </c>
      <c r="B1205" s="18" t="s">
        <v>946</v>
      </c>
      <c r="C1205" s="18" t="s">
        <v>495</v>
      </c>
      <c r="D1205" s="18" t="s">
        <v>26</v>
      </c>
      <c r="E1205" s="18" t="s">
        <v>542</v>
      </c>
      <c r="F1205" s="18" t="s">
        <v>543</v>
      </c>
      <c r="G1205" s="18" t="s">
        <v>32</v>
      </c>
      <c r="H1205" s="19">
        <v>2007</v>
      </c>
      <c r="I1205" s="18" t="s">
        <v>68</v>
      </c>
      <c r="J1205" s="101" t="s">
        <v>27</v>
      </c>
      <c r="K1205" s="20">
        <v>8</v>
      </c>
      <c r="L1205" s="21">
        <v>0.84</v>
      </c>
      <c r="M1205" s="22" t="s">
        <v>30</v>
      </c>
      <c r="N1205" s="23">
        <v>0.84</v>
      </c>
      <c r="O1205" s="24">
        <v>0.105</v>
      </c>
      <c r="P1205" s="25" t="str">
        <f>IF(P1206="x","x","")</f>
        <v/>
      </c>
      <c r="Q1205" s="25" t="str">
        <f>IF(Q1206="x","x","")</f>
        <v>x</v>
      </c>
      <c r="R1205" s="25" t="str">
        <f>IF(R1206="x","x","")</f>
        <v/>
      </c>
      <c r="S1205" s="25" t="str">
        <f>IF(S1206="x","x","")</f>
        <v>x</v>
      </c>
      <c r="T1205" s="25" t="s">
        <v>31</v>
      </c>
      <c r="U1205" s="26"/>
      <c r="V1205" s="27"/>
    </row>
    <row r="1206" spans="1:22" ht="95.25" thickBot="1" x14ac:dyDescent="0.3">
      <c r="A1206" s="28" t="str">
        <f>A1205</f>
        <v>Mexico</v>
      </c>
      <c r="B1206" s="28" t="str">
        <f>B1205</f>
        <v>Latin America and Caribbean</v>
      </c>
      <c r="C1206" s="28" t="str">
        <f>C1205</f>
        <v>P065779</v>
      </c>
      <c r="D1206" s="28" t="s">
        <v>26</v>
      </c>
      <c r="E1206" s="28" t="s">
        <v>27</v>
      </c>
      <c r="F1206" s="28" t="str">
        <f>F1205</f>
        <v>P065779C1S34</v>
      </c>
      <c r="G1206" s="28" t="s">
        <v>16</v>
      </c>
      <c r="H1206" s="29" t="str">
        <f>H1204&amp;" / "&amp;H1205</f>
        <v>2000 / 2007</v>
      </c>
      <c r="I1206" s="29" t="str">
        <f>I1205</f>
        <v>Asphalt Mix Resurfacing</v>
      </c>
      <c r="J1206" s="97" t="str">
        <f>IFERROR(J1205/J1204,"")</f>
        <v/>
      </c>
      <c r="K1206" s="32">
        <f>K1205/K1204</f>
        <v>1.6</v>
      </c>
      <c r="L1206" s="32">
        <f>L1205/L1204</f>
        <v>3.2307692307692304</v>
      </c>
      <c r="M1206" s="28"/>
      <c r="N1206" s="32">
        <f>N1205/N1204</f>
        <v>3.2307692307692304</v>
      </c>
      <c r="O1206" s="32">
        <f>O1205/O1204</f>
        <v>2.0192307692307692</v>
      </c>
      <c r="P1206" s="33" t="str">
        <f>IF(K1206&lt;50%,"x","")</f>
        <v/>
      </c>
      <c r="Q1206" s="33" t="str">
        <f>IF(K1206&gt;150%,"x","")</f>
        <v>x</v>
      </c>
      <c r="R1206" s="33" t="str">
        <f>IF(O1206&lt;50%,"x","")</f>
        <v/>
      </c>
      <c r="S1206" s="33" t="str">
        <f>IF(O1206&gt;150%,"x","")</f>
        <v>x</v>
      </c>
      <c r="T1206" s="33" t="s">
        <v>31</v>
      </c>
      <c r="U1206" s="34" t="s">
        <v>1007</v>
      </c>
      <c r="V1206" s="35" t="s">
        <v>1008</v>
      </c>
    </row>
    <row r="1207" spans="1:22" ht="16.5" thickTop="1" x14ac:dyDescent="0.25">
      <c r="A1207" s="18" t="s">
        <v>494</v>
      </c>
      <c r="B1207" s="18" t="s">
        <v>946</v>
      </c>
      <c r="C1207" s="18" t="s">
        <v>495</v>
      </c>
      <c r="D1207" s="18" t="s">
        <v>26</v>
      </c>
      <c r="E1207" s="18" t="s">
        <v>544</v>
      </c>
      <c r="F1207" s="18" t="s">
        <v>545</v>
      </c>
      <c r="G1207" s="18" t="s">
        <v>29</v>
      </c>
      <c r="H1207" s="19">
        <v>2000</v>
      </c>
      <c r="I1207" s="18" t="s">
        <v>68</v>
      </c>
      <c r="J1207" s="101" t="s">
        <v>27</v>
      </c>
      <c r="K1207" s="20">
        <v>9</v>
      </c>
      <c r="L1207" s="21">
        <v>0.47</v>
      </c>
      <c r="M1207" s="22" t="s">
        <v>30</v>
      </c>
      <c r="N1207" s="23">
        <v>0.47</v>
      </c>
      <c r="O1207" s="24">
        <v>5.2222222222222218E-2</v>
      </c>
      <c r="P1207" s="25" t="str">
        <f>IF(P1209="x","x","")</f>
        <v/>
      </c>
      <c r="Q1207" s="25" t="str">
        <f>IF(Q1209="x","x","")</f>
        <v/>
      </c>
      <c r="R1207" s="25" t="str">
        <f>IF(R1209="x","x","")</f>
        <v/>
      </c>
      <c r="S1207" s="25" t="str">
        <f>IF(S1209="x","x","")</f>
        <v>x</v>
      </c>
      <c r="T1207" s="25" t="s">
        <v>31</v>
      </c>
      <c r="U1207" s="26"/>
      <c r="V1207" s="27"/>
    </row>
    <row r="1208" spans="1:22" x14ac:dyDescent="0.25">
      <c r="A1208" s="18" t="s">
        <v>494</v>
      </c>
      <c r="B1208" s="18" t="s">
        <v>946</v>
      </c>
      <c r="C1208" s="18" t="s">
        <v>495</v>
      </c>
      <c r="D1208" s="18" t="s">
        <v>26</v>
      </c>
      <c r="E1208" s="18" t="s">
        <v>544</v>
      </c>
      <c r="F1208" s="18" t="s">
        <v>545</v>
      </c>
      <c r="G1208" s="18" t="s">
        <v>32</v>
      </c>
      <c r="H1208" s="19">
        <v>2007</v>
      </c>
      <c r="I1208" s="18" t="s">
        <v>68</v>
      </c>
      <c r="J1208" s="101" t="s">
        <v>27</v>
      </c>
      <c r="K1208" s="20">
        <v>9</v>
      </c>
      <c r="L1208" s="21">
        <v>1.41</v>
      </c>
      <c r="M1208" s="22" t="s">
        <v>30</v>
      </c>
      <c r="N1208" s="23">
        <v>1.41</v>
      </c>
      <c r="O1208" s="24">
        <v>0.15666666666666665</v>
      </c>
      <c r="P1208" s="25" t="str">
        <f>IF(P1209="x","x","")</f>
        <v/>
      </c>
      <c r="Q1208" s="25" t="str">
        <f>IF(Q1209="x","x","")</f>
        <v/>
      </c>
      <c r="R1208" s="25" t="str">
        <f>IF(R1209="x","x","")</f>
        <v/>
      </c>
      <c r="S1208" s="25" t="str">
        <f>IF(S1209="x","x","")</f>
        <v>x</v>
      </c>
      <c r="T1208" s="25" t="s">
        <v>31</v>
      </c>
      <c r="U1208" s="26"/>
      <c r="V1208" s="27"/>
    </row>
    <row r="1209" spans="1:22" ht="63.75" thickBot="1" x14ac:dyDescent="0.3">
      <c r="A1209" s="28" t="str">
        <f>A1208</f>
        <v>Mexico</v>
      </c>
      <c r="B1209" s="28" t="str">
        <f>B1208</f>
        <v>Latin America and Caribbean</v>
      </c>
      <c r="C1209" s="28" t="str">
        <f>C1208</f>
        <v>P065779</v>
      </c>
      <c r="D1209" s="28" t="s">
        <v>26</v>
      </c>
      <c r="E1209" s="28" t="s">
        <v>27</v>
      </c>
      <c r="F1209" s="28" t="str">
        <f>F1208</f>
        <v>P065779C1S35</v>
      </c>
      <c r="G1209" s="28" t="s">
        <v>16</v>
      </c>
      <c r="H1209" s="29" t="str">
        <f>H1207&amp;" / "&amp;H1208</f>
        <v>2000 / 2007</v>
      </c>
      <c r="I1209" s="29" t="str">
        <f>I1208</f>
        <v>Asphalt Mix Resurfacing</v>
      </c>
      <c r="J1209" s="97" t="str">
        <f>IFERROR(J1208/J1207,"")</f>
        <v/>
      </c>
      <c r="K1209" s="32">
        <f>K1208/K1207</f>
        <v>1</v>
      </c>
      <c r="L1209" s="32">
        <f>L1208/L1207</f>
        <v>3</v>
      </c>
      <c r="M1209" s="28"/>
      <c r="N1209" s="32">
        <f>N1208/N1207</f>
        <v>3</v>
      </c>
      <c r="O1209" s="32">
        <f>O1208/O1207</f>
        <v>3</v>
      </c>
      <c r="P1209" s="33" t="str">
        <f>IF(K1209&lt;50%,"x","")</f>
        <v/>
      </c>
      <c r="Q1209" s="33" t="str">
        <f>IF(K1209&gt;150%,"x","")</f>
        <v/>
      </c>
      <c r="R1209" s="33" t="str">
        <f>IF(O1209&lt;50%,"x","")</f>
        <v/>
      </c>
      <c r="S1209" s="33" t="str">
        <f>IF(O1209&gt;150%,"x","")</f>
        <v>x</v>
      </c>
      <c r="T1209" s="33" t="s">
        <v>31</v>
      </c>
      <c r="U1209" s="34" t="s">
        <v>999</v>
      </c>
      <c r="V1209" s="35" t="s">
        <v>1001</v>
      </c>
    </row>
    <row r="1210" spans="1:22" ht="16.5" thickTop="1" x14ac:dyDescent="0.25">
      <c r="A1210" s="18" t="s">
        <v>494</v>
      </c>
      <c r="B1210" s="18" t="s">
        <v>946</v>
      </c>
      <c r="C1210" s="18" t="s">
        <v>495</v>
      </c>
      <c r="D1210" s="18" t="s">
        <v>26</v>
      </c>
      <c r="E1210" s="18" t="s">
        <v>546</v>
      </c>
      <c r="F1210" s="18" t="s">
        <v>547</v>
      </c>
      <c r="G1210" s="18" t="s">
        <v>29</v>
      </c>
      <c r="H1210" s="19">
        <v>2000</v>
      </c>
      <c r="I1210" s="18" t="s">
        <v>68</v>
      </c>
      <c r="J1210" s="101" t="s">
        <v>27</v>
      </c>
      <c r="K1210" s="20">
        <v>16</v>
      </c>
      <c r="L1210" s="21">
        <v>0.46</v>
      </c>
      <c r="M1210" s="22" t="s">
        <v>30</v>
      </c>
      <c r="N1210" s="23">
        <v>0.46</v>
      </c>
      <c r="O1210" s="24">
        <v>2.8750000000000001E-2</v>
      </c>
      <c r="P1210" s="25" t="str">
        <f>IF(P1212="x","x","")</f>
        <v/>
      </c>
      <c r="Q1210" s="25" t="str">
        <f>IF(Q1212="x","x","")</f>
        <v/>
      </c>
      <c r="R1210" s="25" t="str">
        <f>IF(R1212="x","x","")</f>
        <v/>
      </c>
      <c r="S1210" s="25" t="str">
        <f>IF(S1212="x","x","")</f>
        <v>x</v>
      </c>
      <c r="T1210" s="25" t="s">
        <v>31</v>
      </c>
      <c r="U1210" s="26"/>
      <c r="V1210" s="27"/>
    </row>
    <row r="1211" spans="1:22" x14ac:dyDescent="0.25">
      <c r="A1211" s="18" t="s">
        <v>494</v>
      </c>
      <c r="B1211" s="18" t="s">
        <v>946</v>
      </c>
      <c r="C1211" s="18" t="s">
        <v>495</v>
      </c>
      <c r="D1211" s="18" t="s">
        <v>26</v>
      </c>
      <c r="E1211" s="18" t="s">
        <v>546</v>
      </c>
      <c r="F1211" s="18" t="s">
        <v>547</v>
      </c>
      <c r="G1211" s="18" t="s">
        <v>32</v>
      </c>
      <c r="H1211" s="19">
        <v>2007</v>
      </c>
      <c r="I1211" s="18" t="s">
        <v>68</v>
      </c>
      <c r="J1211" s="101" t="s">
        <v>27</v>
      </c>
      <c r="K1211" s="20">
        <v>17.5</v>
      </c>
      <c r="L1211" s="21">
        <v>1.61</v>
      </c>
      <c r="M1211" s="22" t="s">
        <v>30</v>
      </c>
      <c r="N1211" s="23">
        <v>1.61</v>
      </c>
      <c r="O1211" s="24">
        <v>9.2000000000000012E-2</v>
      </c>
      <c r="P1211" s="25" t="str">
        <f>IF(P1212="x","x","")</f>
        <v/>
      </c>
      <c r="Q1211" s="25" t="str">
        <f>IF(Q1212="x","x","")</f>
        <v/>
      </c>
      <c r="R1211" s="25" t="str">
        <f>IF(R1212="x","x","")</f>
        <v/>
      </c>
      <c r="S1211" s="25" t="str">
        <f>IF(S1212="x","x","")</f>
        <v>x</v>
      </c>
      <c r="T1211" s="25" t="s">
        <v>31</v>
      </c>
      <c r="U1211" s="26"/>
      <c r="V1211" s="27"/>
    </row>
    <row r="1212" spans="1:22" ht="63.75" thickBot="1" x14ac:dyDescent="0.3">
      <c r="A1212" s="28" t="str">
        <f>A1211</f>
        <v>Mexico</v>
      </c>
      <c r="B1212" s="28" t="str">
        <f>B1211</f>
        <v>Latin America and Caribbean</v>
      </c>
      <c r="C1212" s="28" t="str">
        <f>C1211</f>
        <v>P065779</v>
      </c>
      <c r="D1212" s="28" t="s">
        <v>26</v>
      </c>
      <c r="E1212" s="28" t="s">
        <v>27</v>
      </c>
      <c r="F1212" s="28" t="str">
        <f>F1211</f>
        <v>P065779C1S36</v>
      </c>
      <c r="G1212" s="28" t="s">
        <v>16</v>
      </c>
      <c r="H1212" s="29" t="str">
        <f>H1210&amp;" / "&amp;H1211</f>
        <v>2000 / 2007</v>
      </c>
      <c r="I1212" s="29" t="str">
        <f>I1211</f>
        <v>Asphalt Mix Resurfacing</v>
      </c>
      <c r="J1212" s="97" t="str">
        <f>IFERROR(J1211/J1210,"")</f>
        <v/>
      </c>
      <c r="K1212" s="32">
        <f>K1211/K1210</f>
        <v>1.09375</v>
      </c>
      <c r="L1212" s="32">
        <f>L1211/L1210</f>
        <v>3.5</v>
      </c>
      <c r="M1212" s="28"/>
      <c r="N1212" s="32">
        <f>N1211/N1210</f>
        <v>3.5</v>
      </c>
      <c r="O1212" s="32">
        <f>O1211/O1210</f>
        <v>3.2</v>
      </c>
      <c r="P1212" s="33" t="str">
        <f>IF(K1212&lt;50%,"x","")</f>
        <v/>
      </c>
      <c r="Q1212" s="33" t="str">
        <f>IF(K1212&gt;150%,"x","")</f>
        <v/>
      </c>
      <c r="R1212" s="33" t="str">
        <f>IF(O1212&lt;50%,"x","")</f>
        <v/>
      </c>
      <c r="S1212" s="33" t="str">
        <f>IF(O1212&gt;150%,"x","")</f>
        <v>x</v>
      </c>
      <c r="T1212" s="33" t="s">
        <v>31</v>
      </c>
      <c r="U1212" s="34" t="s">
        <v>999</v>
      </c>
      <c r="V1212" s="35" t="s">
        <v>1001</v>
      </c>
    </row>
    <row r="1213" spans="1:22" ht="16.5" thickTop="1" x14ac:dyDescent="0.25">
      <c r="A1213" s="18" t="s">
        <v>494</v>
      </c>
      <c r="B1213" s="18" t="s">
        <v>946</v>
      </c>
      <c r="C1213" s="18" t="s">
        <v>495</v>
      </c>
      <c r="D1213" s="18" t="s">
        <v>26</v>
      </c>
      <c r="E1213" s="18" t="s">
        <v>548</v>
      </c>
      <c r="F1213" s="18" t="s">
        <v>549</v>
      </c>
      <c r="G1213" s="18" t="s">
        <v>29</v>
      </c>
      <c r="H1213" s="19">
        <v>2000</v>
      </c>
      <c r="I1213" s="18" t="s">
        <v>68</v>
      </c>
      <c r="J1213" s="101" t="s">
        <v>27</v>
      </c>
      <c r="K1213" s="20">
        <v>31</v>
      </c>
      <c r="L1213" s="21">
        <v>1.33</v>
      </c>
      <c r="M1213" s="22" t="s">
        <v>30</v>
      </c>
      <c r="N1213" s="23">
        <v>1.33</v>
      </c>
      <c r="O1213" s="24">
        <v>4.2903225806451617E-2</v>
      </c>
      <c r="P1213" s="25" t="str">
        <f>IF(P1215="x","x","")</f>
        <v/>
      </c>
      <c r="Q1213" s="25" t="str">
        <f>IF(Q1215="x","x","")</f>
        <v/>
      </c>
      <c r="R1213" s="25" t="str">
        <f>IF(R1215="x","x","")</f>
        <v/>
      </c>
      <c r="S1213" s="25" t="str">
        <f>IF(S1215="x","x","")</f>
        <v>x</v>
      </c>
      <c r="T1213" s="25" t="s">
        <v>31</v>
      </c>
      <c r="U1213" s="26"/>
      <c r="V1213" s="27"/>
    </row>
    <row r="1214" spans="1:22" x14ac:dyDescent="0.25">
      <c r="A1214" s="18" t="s">
        <v>494</v>
      </c>
      <c r="B1214" s="18" t="s">
        <v>946</v>
      </c>
      <c r="C1214" s="18" t="s">
        <v>495</v>
      </c>
      <c r="D1214" s="18" t="s">
        <v>26</v>
      </c>
      <c r="E1214" s="18" t="s">
        <v>548</v>
      </c>
      <c r="F1214" s="18" t="s">
        <v>549</v>
      </c>
      <c r="G1214" s="18" t="s">
        <v>32</v>
      </c>
      <c r="H1214" s="19">
        <v>2007</v>
      </c>
      <c r="I1214" s="18" t="s">
        <v>68</v>
      </c>
      <c r="J1214" s="101" t="s">
        <v>27</v>
      </c>
      <c r="K1214" s="20">
        <v>31</v>
      </c>
      <c r="L1214" s="21">
        <v>2</v>
      </c>
      <c r="M1214" s="22" t="s">
        <v>30</v>
      </c>
      <c r="N1214" s="23">
        <v>2</v>
      </c>
      <c r="O1214" s="24">
        <v>6.4516129032258063E-2</v>
      </c>
      <c r="P1214" s="25" t="str">
        <f>IF(P1215="x","x","")</f>
        <v/>
      </c>
      <c r="Q1214" s="25" t="str">
        <f>IF(Q1215="x","x","")</f>
        <v/>
      </c>
      <c r="R1214" s="25" t="str">
        <f>IF(R1215="x","x","")</f>
        <v/>
      </c>
      <c r="S1214" s="25" t="str">
        <f>IF(S1215="x","x","")</f>
        <v>x</v>
      </c>
      <c r="T1214" s="25" t="s">
        <v>31</v>
      </c>
      <c r="U1214" s="26"/>
      <c r="V1214" s="27"/>
    </row>
    <row r="1215" spans="1:22" ht="63.75" thickBot="1" x14ac:dyDescent="0.3">
      <c r="A1215" s="28" t="str">
        <f>A1214</f>
        <v>Mexico</v>
      </c>
      <c r="B1215" s="28" t="str">
        <f>B1214</f>
        <v>Latin America and Caribbean</v>
      </c>
      <c r="C1215" s="28" t="str">
        <f>C1214</f>
        <v>P065779</v>
      </c>
      <c r="D1215" s="28" t="s">
        <v>26</v>
      </c>
      <c r="E1215" s="28" t="s">
        <v>27</v>
      </c>
      <c r="F1215" s="28" t="str">
        <f>F1214</f>
        <v>P065779C1S37</v>
      </c>
      <c r="G1215" s="28" t="s">
        <v>16</v>
      </c>
      <c r="H1215" s="29" t="str">
        <f>H1213&amp;" / "&amp;H1214</f>
        <v>2000 / 2007</v>
      </c>
      <c r="I1215" s="29" t="str">
        <f>I1214</f>
        <v>Asphalt Mix Resurfacing</v>
      </c>
      <c r="J1215" s="97" t="str">
        <f>IFERROR(J1214/J1213,"")</f>
        <v/>
      </c>
      <c r="K1215" s="32">
        <f>K1214/K1213</f>
        <v>1</v>
      </c>
      <c r="L1215" s="32">
        <f>L1214/L1213</f>
        <v>1.5037593984962405</v>
      </c>
      <c r="M1215" s="28"/>
      <c r="N1215" s="32">
        <f>N1214/N1213</f>
        <v>1.5037593984962405</v>
      </c>
      <c r="O1215" s="32">
        <f>O1214/O1213</f>
        <v>1.5037593984962405</v>
      </c>
      <c r="P1215" s="33" t="str">
        <f>IF(K1215&lt;50%,"x","")</f>
        <v/>
      </c>
      <c r="Q1215" s="33" t="str">
        <f>IF(K1215&gt;150%,"x","")</f>
        <v/>
      </c>
      <c r="R1215" s="33" t="str">
        <f>IF(O1215&lt;50%,"x","")</f>
        <v/>
      </c>
      <c r="S1215" s="33" t="str">
        <f>IF(O1215&gt;150%,"x","")</f>
        <v>x</v>
      </c>
      <c r="T1215" s="33" t="s">
        <v>31</v>
      </c>
      <c r="U1215" s="34" t="s">
        <v>999</v>
      </c>
      <c r="V1215" s="35" t="s">
        <v>1001</v>
      </c>
    </row>
    <row r="1216" spans="1:22" ht="16.5" thickTop="1" x14ac:dyDescent="0.25">
      <c r="A1216" s="18" t="s">
        <v>494</v>
      </c>
      <c r="B1216" s="18" t="s">
        <v>946</v>
      </c>
      <c r="C1216" s="18" t="s">
        <v>495</v>
      </c>
      <c r="D1216" s="18" t="s">
        <v>26</v>
      </c>
      <c r="E1216" s="18" t="s">
        <v>550</v>
      </c>
      <c r="F1216" s="18" t="s">
        <v>551</v>
      </c>
      <c r="G1216" s="18" t="s">
        <v>29</v>
      </c>
      <c r="H1216" s="19">
        <v>2000</v>
      </c>
      <c r="I1216" s="18" t="s">
        <v>68</v>
      </c>
      <c r="J1216" s="101" t="s">
        <v>27</v>
      </c>
      <c r="K1216" s="20">
        <v>31</v>
      </c>
      <c r="L1216" s="21">
        <v>1.6</v>
      </c>
      <c r="M1216" s="22" t="s">
        <v>30</v>
      </c>
      <c r="N1216" s="23">
        <v>1.6</v>
      </c>
      <c r="O1216" s="24">
        <v>5.1612903225806452E-2</v>
      </c>
      <c r="P1216" s="25" t="str">
        <f>IF(P1218="x","x","")</f>
        <v/>
      </c>
      <c r="Q1216" s="25" t="str">
        <f>IF(Q1218="x","x","")</f>
        <v/>
      </c>
      <c r="R1216" s="25" t="str">
        <f>IF(R1218="x","x","")</f>
        <v/>
      </c>
      <c r="S1216" s="25" t="str">
        <f>IF(S1218="x","x","")</f>
        <v/>
      </c>
      <c r="T1216" s="25" t="s">
        <v>27</v>
      </c>
      <c r="U1216" s="26"/>
      <c r="V1216" s="27"/>
    </row>
    <row r="1217" spans="1:22" x14ac:dyDescent="0.25">
      <c r="A1217" s="18" t="s">
        <v>494</v>
      </c>
      <c r="B1217" s="18" t="s">
        <v>946</v>
      </c>
      <c r="C1217" s="18" t="s">
        <v>495</v>
      </c>
      <c r="D1217" s="18" t="s">
        <v>26</v>
      </c>
      <c r="E1217" s="18" t="s">
        <v>550</v>
      </c>
      <c r="F1217" s="18" t="s">
        <v>551</v>
      </c>
      <c r="G1217" s="18" t="s">
        <v>32</v>
      </c>
      <c r="H1217" s="19">
        <v>2007</v>
      </c>
      <c r="I1217" s="18" t="s">
        <v>68</v>
      </c>
      <c r="J1217" s="101" t="s">
        <v>27</v>
      </c>
      <c r="K1217" s="20">
        <v>30.7</v>
      </c>
      <c r="L1217" s="21">
        <v>1.41</v>
      </c>
      <c r="M1217" s="22" t="s">
        <v>30</v>
      </c>
      <c r="N1217" s="23">
        <v>1.41</v>
      </c>
      <c r="O1217" s="24">
        <v>4.5928338762214985E-2</v>
      </c>
      <c r="P1217" s="25" t="str">
        <f>IF(P1218="x","x","")</f>
        <v/>
      </c>
      <c r="Q1217" s="25" t="str">
        <f>IF(Q1218="x","x","")</f>
        <v/>
      </c>
      <c r="R1217" s="25" t="str">
        <f>IF(R1218="x","x","")</f>
        <v/>
      </c>
      <c r="S1217" s="25" t="str">
        <f>IF(S1218="x","x","")</f>
        <v/>
      </c>
      <c r="T1217" s="25" t="s">
        <v>27</v>
      </c>
      <c r="U1217" s="26"/>
      <c r="V1217" s="27"/>
    </row>
    <row r="1218" spans="1:22" ht="16.5" thickBot="1" x14ac:dyDescent="0.3">
      <c r="A1218" s="28" t="str">
        <f>A1217</f>
        <v>Mexico</v>
      </c>
      <c r="B1218" s="28" t="str">
        <f>B1217</f>
        <v>Latin America and Caribbean</v>
      </c>
      <c r="C1218" s="28" t="str">
        <f>C1217</f>
        <v>P065779</v>
      </c>
      <c r="D1218" s="28" t="s">
        <v>26</v>
      </c>
      <c r="E1218" s="28" t="s">
        <v>27</v>
      </c>
      <c r="F1218" s="28" t="str">
        <f>F1217</f>
        <v>P065779C1S38</v>
      </c>
      <c r="G1218" s="28" t="s">
        <v>16</v>
      </c>
      <c r="H1218" s="29" t="str">
        <f>H1216&amp;" / "&amp;H1217</f>
        <v>2000 / 2007</v>
      </c>
      <c r="I1218" s="29" t="str">
        <f>I1217</f>
        <v>Asphalt Mix Resurfacing</v>
      </c>
      <c r="J1218" s="97" t="str">
        <f>IFERROR(J1217/J1216,"")</f>
        <v/>
      </c>
      <c r="K1218" s="32">
        <f>K1217/K1216</f>
        <v>0.99032258064516132</v>
      </c>
      <c r="L1218" s="32">
        <f>L1217/L1216</f>
        <v>0.88124999999999987</v>
      </c>
      <c r="M1218" s="28"/>
      <c r="N1218" s="32">
        <f>N1217/N1216</f>
        <v>0.88124999999999987</v>
      </c>
      <c r="O1218" s="32">
        <f>O1217/O1216</f>
        <v>0.88986156351791534</v>
      </c>
      <c r="P1218" s="33" t="str">
        <f>IF(K1218&lt;50%,"x","")</f>
        <v/>
      </c>
      <c r="Q1218" s="33" t="str">
        <f>IF(K1218&gt;150%,"x","")</f>
        <v/>
      </c>
      <c r="R1218" s="33" t="str">
        <f>IF(O1218&lt;50%,"x","")</f>
        <v/>
      </c>
      <c r="S1218" s="33" t="str">
        <f>IF(O1218&gt;150%,"x","")</f>
        <v/>
      </c>
      <c r="T1218" s="33" t="s">
        <v>27</v>
      </c>
      <c r="U1218" s="34" t="s">
        <v>27</v>
      </c>
      <c r="V1218" s="35" t="s">
        <v>27</v>
      </c>
    </row>
    <row r="1219" spans="1:22" ht="18.600000000000001" customHeight="1" thickTop="1" x14ac:dyDescent="0.25">
      <c r="A1219" s="18" t="s">
        <v>494</v>
      </c>
      <c r="B1219" s="18" t="s">
        <v>946</v>
      </c>
      <c r="C1219" s="18" t="s">
        <v>495</v>
      </c>
      <c r="D1219" s="18" t="s">
        <v>26</v>
      </c>
      <c r="E1219" s="18" t="s">
        <v>552</v>
      </c>
      <c r="F1219" s="18" t="s">
        <v>553</v>
      </c>
      <c r="G1219" s="18" t="s">
        <v>29</v>
      </c>
      <c r="H1219" s="19">
        <v>2000</v>
      </c>
      <c r="I1219" s="18" t="s">
        <v>68</v>
      </c>
      <c r="J1219" s="101" t="s">
        <v>27</v>
      </c>
      <c r="K1219" s="20">
        <v>7</v>
      </c>
      <c r="L1219" s="21">
        <v>0.3</v>
      </c>
      <c r="M1219" s="22" t="s">
        <v>30</v>
      </c>
      <c r="N1219" s="23">
        <v>0.3</v>
      </c>
      <c r="O1219" s="24">
        <v>4.2857142857142858E-2</v>
      </c>
      <c r="P1219" s="25" t="str">
        <f>IF(P1221="x","x","")</f>
        <v/>
      </c>
      <c r="Q1219" s="25" t="str">
        <f>IF(Q1221="x","x","")</f>
        <v/>
      </c>
      <c r="R1219" s="25" t="str">
        <f>IF(R1221="x","x","")</f>
        <v/>
      </c>
      <c r="S1219" s="25" t="str">
        <f>IF(S1221="x","x","")</f>
        <v>x</v>
      </c>
      <c r="T1219" s="25" t="s">
        <v>31</v>
      </c>
      <c r="U1219" s="26"/>
      <c r="V1219" s="27"/>
    </row>
    <row r="1220" spans="1:22" ht="18.600000000000001" customHeight="1" x14ac:dyDescent="0.25">
      <c r="A1220" s="18" t="s">
        <v>494</v>
      </c>
      <c r="B1220" s="18" t="s">
        <v>946</v>
      </c>
      <c r="C1220" s="18" t="s">
        <v>495</v>
      </c>
      <c r="D1220" s="18" t="s">
        <v>26</v>
      </c>
      <c r="E1220" s="18" t="s">
        <v>552</v>
      </c>
      <c r="F1220" s="18" t="s">
        <v>553</v>
      </c>
      <c r="G1220" s="18" t="s">
        <v>32</v>
      </c>
      <c r="H1220" s="19">
        <v>2007</v>
      </c>
      <c r="I1220" s="18" t="s">
        <v>359</v>
      </c>
      <c r="J1220" s="101" t="s">
        <v>27</v>
      </c>
      <c r="K1220" s="20">
        <v>7</v>
      </c>
      <c r="L1220" s="21">
        <v>2.25</v>
      </c>
      <c r="M1220" s="22" t="s">
        <v>30</v>
      </c>
      <c r="N1220" s="23">
        <v>2.25</v>
      </c>
      <c r="O1220" s="24">
        <v>0.32142857142857145</v>
      </c>
      <c r="P1220" s="25" t="str">
        <f>IF(P1221="x","x","")</f>
        <v/>
      </c>
      <c r="Q1220" s="25" t="str">
        <f>IF(Q1221="x","x","")</f>
        <v/>
      </c>
      <c r="R1220" s="25" t="str">
        <f>IF(R1221="x","x","")</f>
        <v/>
      </c>
      <c r="S1220" s="25" t="str">
        <f>IF(S1221="x","x","")</f>
        <v>x</v>
      </c>
      <c r="T1220" s="25" t="s">
        <v>31</v>
      </c>
      <c r="U1220" s="26"/>
      <c r="V1220" s="27"/>
    </row>
    <row r="1221" spans="1:22" ht="18.600000000000001" customHeight="1" thickBot="1" x14ac:dyDescent="0.3">
      <c r="A1221" s="28" t="str">
        <f>A1220</f>
        <v>Mexico</v>
      </c>
      <c r="B1221" s="28" t="str">
        <f>B1220</f>
        <v>Latin America and Caribbean</v>
      </c>
      <c r="C1221" s="28" t="str">
        <f>C1220</f>
        <v>P065779</v>
      </c>
      <c r="D1221" s="28" t="s">
        <v>26</v>
      </c>
      <c r="E1221" s="28" t="s">
        <v>27</v>
      </c>
      <c r="F1221" s="28" t="str">
        <f>F1220</f>
        <v>P065779C1S39</v>
      </c>
      <c r="G1221" s="28" t="s">
        <v>16</v>
      </c>
      <c r="H1221" s="29" t="str">
        <f>H1219&amp;" / "&amp;H1220</f>
        <v>2000 / 2007</v>
      </c>
      <c r="I1221" s="29" t="str">
        <f>I1220</f>
        <v>Reconstruction</v>
      </c>
      <c r="J1221" s="97" t="str">
        <f>IFERROR(J1220/J1219,"")</f>
        <v/>
      </c>
      <c r="K1221" s="32">
        <f>K1220/K1219</f>
        <v>1</v>
      </c>
      <c r="L1221" s="32">
        <f>L1220/L1219</f>
        <v>7.5</v>
      </c>
      <c r="M1221" s="28"/>
      <c r="N1221" s="32">
        <f>N1220/N1219</f>
        <v>7.5</v>
      </c>
      <c r="O1221" s="32">
        <f>O1220/O1219</f>
        <v>7.5000000000000009</v>
      </c>
      <c r="P1221" s="33" t="str">
        <f>IF(K1221&lt;50%,"x","")</f>
        <v/>
      </c>
      <c r="Q1221" s="33" t="str">
        <f>IF(K1221&gt;150%,"x","")</f>
        <v/>
      </c>
      <c r="R1221" s="33" t="str">
        <f>IF(O1221&lt;50%,"x","")</f>
        <v/>
      </c>
      <c r="S1221" s="33" t="str">
        <f>IF(O1221&gt;150%,"x","")</f>
        <v>x</v>
      </c>
      <c r="T1221" s="33" t="s">
        <v>31</v>
      </c>
      <c r="U1221" s="34" t="s">
        <v>999</v>
      </c>
      <c r="V1221" s="35" t="s">
        <v>1001</v>
      </c>
    </row>
    <row r="1222" spans="1:22" ht="16.5" thickTop="1" x14ac:dyDescent="0.25">
      <c r="A1222" s="18" t="s">
        <v>494</v>
      </c>
      <c r="B1222" s="18" t="s">
        <v>946</v>
      </c>
      <c r="C1222" s="18" t="s">
        <v>495</v>
      </c>
      <c r="D1222" s="18" t="s">
        <v>26</v>
      </c>
      <c r="E1222" s="18" t="s">
        <v>71</v>
      </c>
      <c r="F1222" s="18" t="s">
        <v>554</v>
      </c>
      <c r="G1222" s="18" t="s">
        <v>29</v>
      </c>
      <c r="H1222" s="19">
        <v>2000</v>
      </c>
      <c r="I1222" s="18" t="s">
        <v>359</v>
      </c>
      <c r="J1222" s="101" t="s">
        <v>27</v>
      </c>
      <c r="K1222" s="20">
        <v>9</v>
      </c>
      <c r="L1222" s="21">
        <v>1.01</v>
      </c>
      <c r="M1222" s="22" t="s">
        <v>30</v>
      </c>
      <c r="N1222" s="23">
        <v>1.01</v>
      </c>
      <c r="O1222" s="24">
        <v>0.11222222222222222</v>
      </c>
      <c r="P1222" s="25" t="str">
        <f>IF(P1224="x","x","")</f>
        <v/>
      </c>
      <c r="Q1222" s="25" t="str">
        <f>IF(Q1224="x","x","")</f>
        <v/>
      </c>
      <c r="R1222" s="25" t="str">
        <f>IF(R1224="x","x","")</f>
        <v/>
      </c>
      <c r="S1222" s="25" t="str">
        <f>IF(S1224="x","x","")</f>
        <v/>
      </c>
      <c r="T1222" s="25" t="s">
        <v>27</v>
      </c>
      <c r="U1222" s="26"/>
      <c r="V1222" s="27"/>
    </row>
    <row r="1223" spans="1:22" x14ac:dyDescent="0.25">
      <c r="A1223" s="18" t="s">
        <v>494</v>
      </c>
      <c r="B1223" s="18" t="s">
        <v>946</v>
      </c>
      <c r="C1223" s="18" t="s">
        <v>495</v>
      </c>
      <c r="D1223" s="18" t="s">
        <v>26</v>
      </c>
      <c r="E1223" s="18" t="s">
        <v>71</v>
      </c>
      <c r="F1223" s="18" t="s">
        <v>554</v>
      </c>
      <c r="G1223" s="18" t="s">
        <v>32</v>
      </c>
      <c r="H1223" s="19">
        <v>2007</v>
      </c>
      <c r="I1223" s="18" t="s">
        <v>359</v>
      </c>
      <c r="J1223" s="101" t="s">
        <v>27</v>
      </c>
      <c r="K1223" s="20">
        <v>9</v>
      </c>
      <c r="L1223" s="21">
        <v>0.85</v>
      </c>
      <c r="M1223" s="22" t="s">
        <v>30</v>
      </c>
      <c r="N1223" s="23">
        <v>0.85</v>
      </c>
      <c r="O1223" s="24">
        <v>9.4444444444444442E-2</v>
      </c>
      <c r="P1223" s="25" t="str">
        <f>IF(P1224="x","x","")</f>
        <v/>
      </c>
      <c r="Q1223" s="25" t="str">
        <f>IF(Q1224="x","x","")</f>
        <v/>
      </c>
      <c r="R1223" s="25" t="str">
        <f>IF(R1224="x","x","")</f>
        <v/>
      </c>
      <c r="S1223" s="25" t="str">
        <f>IF(S1224="x","x","")</f>
        <v/>
      </c>
      <c r="T1223" s="25" t="s">
        <v>27</v>
      </c>
      <c r="U1223" s="26"/>
      <c r="V1223" s="27"/>
    </row>
    <row r="1224" spans="1:22" ht="16.5" thickBot="1" x14ac:dyDescent="0.3">
      <c r="A1224" s="28" t="str">
        <f>A1223</f>
        <v>Mexico</v>
      </c>
      <c r="B1224" s="28" t="str">
        <f>B1223</f>
        <v>Latin America and Caribbean</v>
      </c>
      <c r="C1224" s="28" t="str">
        <f>C1223</f>
        <v>P065779</v>
      </c>
      <c r="D1224" s="28" t="s">
        <v>26</v>
      </c>
      <c r="E1224" s="28" t="s">
        <v>27</v>
      </c>
      <c r="F1224" s="28" t="str">
        <f>F1223</f>
        <v>P065779C1S4</v>
      </c>
      <c r="G1224" s="28" t="s">
        <v>16</v>
      </c>
      <c r="H1224" s="29" t="str">
        <f>H1222&amp;" / "&amp;H1223</f>
        <v>2000 / 2007</v>
      </c>
      <c r="I1224" s="29" t="str">
        <f>I1223</f>
        <v>Reconstruction</v>
      </c>
      <c r="J1224" s="97" t="str">
        <f>IFERROR(J1223/J1222,"")</f>
        <v/>
      </c>
      <c r="K1224" s="32">
        <f>K1223/K1222</f>
        <v>1</v>
      </c>
      <c r="L1224" s="32">
        <f>L1223/L1222</f>
        <v>0.84158415841584155</v>
      </c>
      <c r="M1224" s="28"/>
      <c r="N1224" s="32">
        <f>N1223/N1222</f>
        <v>0.84158415841584155</v>
      </c>
      <c r="O1224" s="32">
        <f>O1223/O1222</f>
        <v>0.84158415841584155</v>
      </c>
      <c r="P1224" s="33" t="str">
        <f>IF(K1224&lt;50%,"x","")</f>
        <v/>
      </c>
      <c r="Q1224" s="33" t="str">
        <f>IF(K1224&gt;150%,"x","")</f>
        <v/>
      </c>
      <c r="R1224" s="33" t="str">
        <f>IF(O1224&lt;50%,"x","")</f>
        <v/>
      </c>
      <c r="S1224" s="33" t="str">
        <f>IF(O1224&gt;150%,"x","")</f>
        <v/>
      </c>
      <c r="T1224" s="33" t="s">
        <v>27</v>
      </c>
      <c r="U1224" s="34" t="s">
        <v>27</v>
      </c>
      <c r="V1224" s="35" t="s">
        <v>27</v>
      </c>
    </row>
    <row r="1225" spans="1:22" ht="16.5" thickTop="1" x14ac:dyDescent="0.25">
      <c r="A1225" s="18" t="s">
        <v>494</v>
      </c>
      <c r="B1225" s="18" t="s">
        <v>946</v>
      </c>
      <c r="C1225" s="18" t="s">
        <v>495</v>
      </c>
      <c r="D1225" s="18" t="s">
        <v>26</v>
      </c>
      <c r="E1225" s="18" t="s">
        <v>555</v>
      </c>
      <c r="F1225" s="18" t="s">
        <v>556</v>
      </c>
      <c r="G1225" s="18" t="s">
        <v>29</v>
      </c>
      <c r="H1225" s="19">
        <v>2000</v>
      </c>
      <c r="I1225" s="18" t="s">
        <v>68</v>
      </c>
      <c r="J1225" s="101" t="s">
        <v>27</v>
      </c>
      <c r="K1225" s="20">
        <v>4</v>
      </c>
      <c r="L1225" s="21">
        <v>0.1</v>
      </c>
      <c r="M1225" s="22" t="s">
        <v>30</v>
      </c>
      <c r="N1225" s="23">
        <v>0.1</v>
      </c>
      <c r="O1225" s="24">
        <v>2.5000000000000001E-2</v>
      </c>
      <c r="P1225" s="25" t="str">
        <f>IF(P1227="x","x","")</f>
        <v/>
      </c>
      <c r="Q1225" s="25" t="str">
        <f>IF(Q1227="x","x","")</f>
        <v>x</v>
      </c>
      <c r="R1225" s="25" t="str">
        <f>IF(R1227="x","x","")</f>
        <v/>
      </c>
      <c r="S1225" s="25" t="str">
        <f>IF(S1227="x","x","")</f>
        <v>x</v>
      </c>
      <c r="T1225" s="25" t="s">
        <v>31</v>
      </c>
      <c r="U1225" s="26"/>
      <c r="V1225" s="27"/>
    </row>
    <row r="1226" spans="1:22" x14ac:dyDescent="0.25">
      <c r="A1226" s="18" t="s">
        <v>494</v>
      </c>
      <c r="B1226" s="18" t="s">
        <v>946</v>
      </c>
      <c r="C1226" s="18" t="s">
        <v>495</v>
      </c>
      <c r="D1226" s="18" t="s">
        <v>26</v>
      </c>
      <c r="E1226" s="18" t="s">
        <v>555</v>
      </c>
      <c r="F1226" s="18" t="s">
        <v>556</v>
      </c>
      <c r="G1226" s="18" t="s">
        <v>32</v>
      </c>
      <c r="H1226" s="19">
        <v>2007</v>
      </c>
      <c r="I1226" s="18" t="s">
        <v>68</v>
      </c>
      <c r="J1226" s="101" t="s">
        <v>27</v>
      </c>
      <c r="K1226" s="20">
        <v>16</v>
      </c>
      <c r="L1226" s="21">
        <v>0.66</v>
      </c>
      <c r="M1226" s="22" t="s">
        <v>30</v>
      </c>
      <c r="N1226" s="23">
        <v>0.66</v>
      </c>
      <c r="O1226" s="24">
        <v>4.1250000000000002E-2</v>
      </c>
      <c r="P1226" s="25" t="str">
        <f>IF(P1227="x","x","")</f>
        <v/>
      </c>
      <c r="Q1226" s="25" t="str">
        <f>IF(Q1227="x","x","")</f>
        <v>x</v>
      </c>
      <c r="R1226" s="25" t="str">
        <f>IF(R1227="x","x","")</f>
        <v/>
      </c>
      <c r="S1226" s="25" t="str">
        <f>IF(S1227="x","x","")</f>
        <v>x</v>
      </c>
      <c r="T1226" s="25" t="s">
        <v>31</v>
      </c>
      <c r="U1226" s="26"/>
      <c r="V1226" s="27"/>
    </row>
    <row r="1227" spans="1:22" ht="95.25" thickBot="1" x14ac:dyDescent="0.3">
      <c r="A1227" s="28" t="str">
        <f>A1226</f>
        <v>Mexico</v>
      </c>
      <c r="B1227" s="28" t="str">
        <f>B1226</f>
        <v>Latin America and Caribbean</v>
      </c>
      <c r="C1227" s="28" t="str">
        <f>C1226</f>
        <v>P065779</v>
      </c>
      <c r="D1227" s="28" t="s">
        <v>26</v>
      </c>
      <c r="E1227" s="28" t="s">
        <v>27</v>
      </c>
      <c r="F1227" s="28" t="str">
        <f>F1226</f>
        <v>P065779C1S40</v>
      </c>
      <c r="G1227" s="28" t="s">
        <v>16</v>
      </c>
      <c r="H1227" s="29" t="str">
        <f>H1225&amp;" / "&amp;H1226</f>
        <v>2000 / 2007</v>
      </c>
      <c r="I1227" s="29" t="str">
        <f>I1226</f>
        <v>Asphalt Mix Resurfacing</v>
      </c>
      <c r="J1227" s="97" t="str">
        <f>IFERROR(J1226/J1225,"")</f>
        <v/>
      </c>
      <c r="K1227" s="32">
        <f>K1226/K1225</f>
        <v>4</v>
      </c>
      <c r="L1227" s="32">
        <f>L1226/L1225</f>
        <v>6.6</v>
      </c>
      <c r="M1227" s="28"/>
      <c r="N1227" s="32">
        <f>N1226/N1225</f>
        <v>6.6</v>
      </c>
      <c r="O1227" s="32">
        <f>O1226/O1225</f>
        <v>1.65</v>
      </c>
      <c r="P1227" s="33" t="str">
        <f>IF(K1227&lt;50%,"x","")</f>
        <v/>
      </c>
      <c r="Q1227" s="33" t="str">
        <f>IF(K1227&gt;150%,"x","")</f>
        <v>x</v>
      </c>
      <c r="R1227" s="33" t="str">
        <f>IF(O1227&lt;50%,"x","")</f>
        <v/>
      </c>
      <c r="S1227" s="33" t="str">
        <f>IF(O1227&gt;150%,"x","")</f>
        <v>x</v>
      </c>
      <c r="T1227" s="33" t="s">
        <v>31</v>
      </c>
      <c r="U1227" s="34" t="s">
        <v>1007</v>
      </c>
      <c r="V1227" s="35" t="s">
        <v>1009</v>
      </c>
    </row>
    <row r="1228" spans="1:22" ht="16.5" thickTop="1" x14ac:dyDescent="0.25">
      <c r="A1228" s="18" t="s">
        <v>494</v>
      </c>
      <c r="B1228" s="18" t="s">
        <v>946</v>
      </c>
      <c r="C1228" s="18" t="s">
        <v>495</v>
      </c>
      <c r="D1228" s="18" t="s">
        <v>26</v>
      </c>
      <c r="E1228" s="18" t="s">
        <v>557</v>
      </c>
      <c r="F1228" s="18" t="s">
        <v>558</v>
      </c>
      <c r="G1228" s="18" t="s">
        <v>29</v>
      </c>
      <c r="H1228" s="19">
        <v>2000</v>
      </c>
      <c r="I1228" s="18" t="s">
        <v>68</v>
      </c>
      <c r="J1228" s="101" t="s">
        <v>27</v>
      </c>
      <c r="K1228" s="20">
        <v>30</v>
      </c>
      <c r="L1228" s="21">
        <v>1.29</v>
      </c>
      <c r="M1228" s="22" t="s">
        <v>30</v>
      </c>
      <c r="N1228" s="23">
        <v>1.29</v>
      </c>
      <c r="O1228" s="24">
        <v>4.3000000000000003E-2</v>
      </c>
      <c r="P1228" s="25" t="str">
        <f>IF(P1230="x","x","")</f>
        <v/>
      </c>
      <c r="Q1228" s="25" t="str">
        <f>IF(Q1230="x","x","")</f>
        <v/>
      </c>
      <c r="R1228" s="25" t="str">
        <f>IF(R1230="x","x","")</f>
        <v/>
      </c>
      <c r="S1228" s="25" t="str">
        <f>IF(S1230="x","x","")</f>
        <v>x</v>
      </c>
      <c r="T1228" s="25" t="s">
        <v>31</v>
      </c>
      <c r="U1228" s="26"/>
      <c r="V1228" s="27"/>
    </row>
    <row r="1229" spans="1:22" x14ac:dyDescent="0.25">
      <c r="A1229" s="18" t="s">
        <v>494</v>
      </c>
      <c r="B1229" s="18" t="s">
        <v>946</v>
      </c>
      <c r="C1229" s="18" t="s">
        <v>495</v>
      </c>
      <c r="D1229" s="18" t="s">
        <v>26</v>
      </c>
      <c r="E1229" s="18" t="s">
        <v>557</v>
      </c>
      <c r="F1229" s="18" t="s">
        <v>558</v>
      </c>
      <c r="G1229" s="18" t="s">
        <v>32</v>
      </c>
      <c r="H1229" s="19">
        <v>2007</v>
      </c>
      <c r="I1229" s="18" t="s">
        <v>359</v>
      </c>
      <c r="J1229" s="101" t="s">
        <v>27</v>
      </c>
      <c r="K1229" s="20">
        <v>30</v>
      </c>
      <c r="L1229" s="21">
        <v>2.9</v>
      </c>
      <c r="M1229" s="22" t="s">
        <v>30</v>
      </c>
      <c r="N1229" s="23">
        <v>2.9</v>
      </c>
      <c r="O1229" s="24">
        <v>9.6666666666666665E-2</v>
      </c>
      <c r="P1229" s="25" t="str">
        <f>IF(P1230="x","x","")</f>
        <v/>
      </c>
      <c r="Q1229" s="25" t="str">
        <f>IF(Q1230="x","x","")</f>
        <v/>
      </c>
      <c r="R1229" s="25" t="str">
        <f>IF(R1230="x","x","")</f>
        <v/>
      </c>
      <c r="S1229" s="25" t="str">
        <f>IF(S1230="x","x","")</f>
        <v>x</v>
      </c>
      <c r="T1229" s="25" t="s">
        <v>31</v>
      </c>
      <c r="U1229" s="26"/>
      <c r="V1229" s="27"/>
    </row>
    <row r="1230" spans="1:22" ht="63.75" thickBot="1" x14ac:dyDescent="0.3">
      <c r="A1230" s="28" t="str">
        <f>A1229</f>
        <v>Mexico</v>
      </c>
      <c r="B1230" s="28" t="str">
        <f>B1229</f>
        <v>Latin America and Caribbean</v>
      </c>
      <c r="C1230" s="28" t="str">
        <f>C1229</f>
        <v>P065779</v>
      </c>
      <c r="D1230" s="28" t="s">
        <v>26</v>
      </c>
      <c r="E1230" s="28" t="s">
        <v>27</v>
      </c>
      <c r="F1230" s="28" t="str">
        <f>F1229</f>
        <v>P065779C1S41</v>
      </c>
      <c r="G1230" s="28" t="s">
        <v>16</v>
      </c>
      <c r="H1230" s="29" t="str">
        <f>H1228&amp;" / "&amp;H1229</f>
        <v>2000 / 2007</v>
      </c>
      <c r="I1230" s="29" t="str">
        <f>I1229</f>
        <v>Reconstruction</v>
      </c>
      <c r="J1230" s="97" t="str">
        <f>IFERROR(J1229/J1228,"")</f>
        <v/>
      </c>
      <c r="K1230" s="32">
        <f>K1229/K1228</f>
        <v>1</v>
      </c>
      <c r="L1230" s="32">
        <f>L1229/L1228</f>
        <v>2.248062015503876</v>
      </c>
      <c r="M1230" s="28"/>
      <c r="N1230" s="32">
        <f>N1229/N1228</f>
        <v>2.248062015503876</v>
      </c>
      <c r="O1230" s="32">
        <f>O1229/O1228</f>
        <v>2.2480620155038755</v>
      </c>
      <c r="P1230" s="33" t="str">
        <f>IF(K1230&lt;50%,"x","")</f>
        <v/>
      </c>
      <c r="Q1230" s="33" t="str">
        <f>IF(K1230&gt;150%,"x","")</f>
        <v/>
      </c>
      <c r="R1230" s="33" t="str">
        <f>IF(O1230&lt;50%,"x","")</f>
        <v/>
      </c>
      <c r="S1230" s="33" t="str">
        <f>IF(O1230&gt;150%,"x","")</f>
        <v>x</v>
      </c>
      <c r="T1230" s="33" t="s">
        <v>31</v>
      </c>
      <c r="U1230" s="34" t="s">
        <v>999</v>
      </c>
      <c r="V1230" s="35" t="s">
        <v>1001</v>
      </c>
    </row>
    <row r="1231" spans="1:22" ht="16.5" thickTop="1" x14ac:dyDescent="0.25">
      <c r="A1231" s="18" t="s">
        <v>494</v>
      </c>
      <c r="B1231" s="18" t="s">
        <v>946</v>
      </c>
      <c r="C1231" s="18" t="s">
        <v>495</v>
      </c>
      <c r="D1231" s="18" t="s">
        <v>26</v>
      </c>
      <c r="E1231" s="18" t="s">
        <v>559</v>
      </c>
      <c r="F1231" s="18" t="s">
        <v>560</v>
      </c>
      <c r="G1231" s="18" t="s">
        <v>29</v>
      </c>
      <c r="H1231" s="19">
        <v>2000</v>
      </c>
      <c r="I1231" s="18" t="s">
        <v>68</v>
      </c>
      <c r="J1231" s="101" t="s">
        <v>27</v>
      </c>
      <c r="K1231" s="20">
        <v>7</v>
      </c>
      <c r="L1231" s="21">
        <v>0.23</v>
      </c>
      <c r="M1231" s="22" t="s">
        <v>30</v>
      </c>
      <c r="N1231" s="23">
        <v>0.23</v>
      </c>
      <c r="O1231" s="24">
        <v>3.2857142857142856E-2</v>
      </c>
      <c r="P1231" s="25" t="str">
        <f>IF(P1233="x","x","")</f>
        <v/>
      </c>
      <c r="Q1231" s="25" t="str">
        <f>IF(Q1233="x","x","")</f>
        <v/>
      </c>
      <c r="R1231" s="25" t="str">
        <f>IF(R1233="x","x","")</f>
        <v/>
      </c>
      <c r="S1231" s="25" t="str">
        <f>IF(S1233="x","x","")</f>
        <v>x</v>
      </c>
      <c r="T1231" s="25" t="s">
        <v>31</v>
      </c>
      <c r="U1231" s="26"/>
      <c r="V1231" s="27"/>
    </row>
    <row r="1232" spans="1:22" x14ac:dyDescent="0.25">
      <c r="A1232" s="18" t="s">
        <v>494</v>
      </c>
      <c r="B1232" s="18" t="s">
        <v>946</v>
      </c>
      <c r="C1232" s="18" t="s">
        <v>495</v>
      </c>
      <c r="D1232" s="18" t="s">
        <v>26</v>
      </c>
      <c r="E1232" s="18" t="s">
        <v>559</v>
      </c>
      <c r="F1232" s="18" t="s">
        <v>560</v>
      </c>
      <c r="G1232" s="18" t="s">
        <v>32</v>
      </c>
      <c r="H1232" s="19">
        <v>2007</v>
      </c>
      <c r="I1232" s="18" t="s">
        <v>68</v>
      </c>
      <c r="J1232" s="101" t="s">
        <v>27</v>
      </c>
      <c r="K1232" s="20">
        <v>7</v>
      </c>
      <c r="L1232" s="21">
        <v>0.47</v>
      </c>
      <c r="M1232" s="22" t="s">
        <v>30</v>
      </c>
      <c r="N1232" s="23">
        <v>0.47</v>
      </c>
      <c r="O1232" s="24">
        <v>6.7142857142857143E-2</v>
      </c>
      <c r="P1232" s="25" t="str">
        <f>IF(P1233="x","x","")</f>
        <v/>
      </c>
      <c r="Q1232" s="25" t="str">
        <f>IF(Q1233="x","x","")</f>
        <v/>
      </c>
      <c r="R1232" s="25" t="str">
        <f>IF(R1233="x","x","")</f>
        <v/>
      </c>
      <c r="S1232" s="25" t="str">
        <f>IF(S1233="x","x","")</f>
        <v>x</v>
      </c>
      <c r="T1232" s="25" t="s">
        <v>31</v>
      </c>
      <c r="U1232" s="26"/>
      <c r="V1232" s="27"/>
    </row>
    <row r="1233" spans="1:22" ht="63.75" thickBot="1" x14ac:dyDescent="0.3">
      <c r="A1233" s="28" t="str">
        <f>A1232</f>
        <v>Mexico</v>
      </c>
      <c r="B1233" s="28" t="str">
        <f>B1232</f>
        <v>Latin America and Caribbean</v>
      </c>
      <c r="C1233" s="28" t="str">
        <f>C1232</f>
        <v>P065779</v>
      </c>
      <c r="D1233" s="28" t="s">
        <v>26</v>
      </c>
      <c r="E1233" s="28" t="s">
        <v>27</v>
      </c>
      <c r="F1233" s="28" t="str">
        <f>F1232</f>
        <v>P065779C1S42</v>
      </c>
      <c r="G1233" s="28" t="s">
        <v>16</v>
      </c>
      <c r="H1233" s="29" t="str">
        <f>H1231&amp;" / "&amp;H1232</f>
        <v>2000 / 2007</v>
      </c>
      <c r="I1233" s="29" t="str">
        <f>I1232</f>
        <v>Asphalt Mix Resurfacing</v>
      </c>
      <c r="J1233" s="97" t="str">
        <f>IFERROR(J1232/J1231,"")</f>
        <v/>
      </c>
      <c r="K1233" s="32">
        <f>K1232/K1231</f>
        <v>1</v>
      </c>
      <c r="L1233" s="32">
        <f>L1232/L1231</f>
        <v>2.043478260869565</v>
      </c>
      <c r="M1233" s="28"/>
      <c r="N1233" s="32">
        <f>N1232/N1231</f>
        <v>2.043478260869565</v>
      </c>
      <c r="O1233" s="32">
        <f>O1232/O1231</f>
        <v>2.0434782608695654</v>
      </c>
      <c r="P1233" s="33" t="str">
        <f>IF(K1233&lt;50%,"x","")</f>
        <v/>
      </c>
      <c r="Q1233" s="33" t="str">
        <f>IF(K1233&gt;150%,"x","")</f>
        <v/>
      </c>
      <c r="R1233" s="33" t="str">
        <f>IF(O1233&lt;50%,"x","")</f>
        <v/>
      </c>
      <c r="S1233" s="33" t="str">
        <f>IF(O1233&gt;150%,"x","")</f>
        <v>x</v>
      </c>
      <c r="T1233" s="33" t="s">
        <v>31</v>
      </c>
      <c r="U1233" s="34" t="s">
        <v>999</v>
      </c>
      <c r="V1233" s="35" t="s">
        <v>1001</v>
      </c>
    </row>
    <row r="1234" spans="1:22" ht="16.5" thickTop="1" x14ac:dyDescent="0.25">
      <c r="A1234" s="18" t="s">
        <v>494</v>
      </c>
      <c r="B1234" s="18" t="s">
        <v>946</v>
      </c>
      <c r="C1234" s="18" t="s">
        <v>495</v>
      </c>
      <c r="D1234" s="18" t="s">
        <v>26</v>
      </c>
      <c r="E1234" s="18" t="s">
        <v>561</v>
      </c>
      <c r="F1234" s="18" t="s">
        <v>562</v>
      </c>
      <c r="G1234" s="18" t="s">
        <v>29</v>
      </c>
      <c r="H1234" s="19">
        <v>2000</v>
      </c>
      <c r="I1234" s="18" t="s">
        <v>68</v>
      </c>
      <c r="J1234" s="101" t="s">
        <v>27</v>
      </c>
      <c r="K1234" s="20">
        <v>20</v>
      </c>
      <c r="L1234" s="21">
        <v>1.17</v>
      </c>
      <c r="M1234" s="22" t="s">
        <v>30</v>
      </c>
      <c r="N1234" s="23">
        <v>1.17</v>
      </c>
      <c r="O1234" s="24">
        <v>5.8499999999999996E-2</v>
      </c>
      <c r="P1234" s="25" t="str">
        <f>IF(P1236="x","x","")</f>
        <v/>
      </c>
      <c r="Q1234" s="25" t="str">
        <f>IF(Q1236="x","x","")</f>
        <v/>
      </c>
      <c r="R1234" s="25" t="str">
        <f>IF(R1236="x","x","")</f>
        <v/>
      </c>
      <c r="S1234" s="25" t="str">
        <f>IF(S1236="x","x","")</f>
        <v/>
      </c>
      <c r="T1234" s="25" t="s">
        <v>27</v>
      </c>
      <c r="U1234" s="26"/>
      <c r="V1234" s="27"/>
    </row>
    <row r="1235" spans="1:22" x14ac:dyDescent="0.25">
      <c r="A1235" s="18" t="s">
        <v>494</v>
      </c>
      <c r="B1235" s="18" t="s">
        <v>946</v>
      </c>
      <c r="C1235" s="18" t="s">
        <v>495</v>
      </c>
      <c r="D1235" s="18" t="s">
        <v>26</v>
      </c>
      <c r="E1235" s="18" t="s">
        <v>561</v>
      </c>
      <c r="F1235" s="18" t="s">
        <v>562</v>
      </c>
      <c r="G1235" s="18" t="s">
        <v>32</v>
      </c>
      <c r="H1235" s="19">
        <v>2007</v>
      </c>
      <c r="I1235" s="18" t="s">
        <v>68</v>
      </c>
      <c r="J1235" s="101" t="s">
        <v>27</v>
      </c>
      <c r="K1235" s="20">
        <v>20</v>
      </c>
      <c r="L1235" s="21">
        <v>1.3</v>
      </c>
      <c r="M1235" s="22" t="s">
        <v>30</v>
      </c>
      <c r="N1235" s="23">
        <v>1.3</v>
      </c>
      <c r="O1235" s="24">
        <v>6.5000000000000002E-2</v>
      </c>
      <c r="P1235" s="25" t="str">
        <f>IF(P1236="x","x","")</f>
        <v/>
      </c>
      <c r="Q1235" s="25" t="str">
        <f>IF(Q1236="x","x","")</f>
        <v/>
      </c>
      <c r="R1235" s="25" t="str">
        <f>IF(R1236="x","x","")</f>
        <v/>
      </c>
      <c r="S1235" s="25" t="str">
        <f>IF(S1236="x","x","")</f>
        <v/>
      </c>
      <c r="T1235" s="25" t="s">
        <v>27</v>
      </c>
      <c r="U1235" s="26"/>
      <c r="V1235" s="27"/>
    </row>
    <row r="1236" spans="1:22" ht="16.5" thickBot="1" x14ac:dyDescent="0.3">
      <c r="A1236" s="28" t="str">
        <f>A1235</f>
        <v>Mexico</v>
      </c>
      <c r="B1236" s="28" t="str">
        <f>B1235</f>
        <v>Latin America and Caribbean</v>
      </c>
      <c r="C1236" s="28" t="str">
        <f>C1235</f>
        <v>P065779</v>
      </c>
      <c r="D1236" s="28" t="s">
        <v>26</v>
      </c>
      <c r="E1236" s="28" t="s">
        <v>27</v>
      </c>
      <c r="F1236" s="28" t="str">
        <f>F1235</f>
        <v>P065779C1S43</v>
      </c>
      <c r="G1236" s="28" t="s">
        <v>16</v>
      </c>
      <c r="H1236" s="29" t="str">
        <f>H1234&amp;" / "&amp;H1235</f>
        <v>2000 / 2007</v>
      </c>
      <c r="I1236" s="29" t="str">
        <f>I1235</f>
        <v>Asphalt Mix Resurfacing</v>
      </c>
      <c r="J1236" s="97" t="str">
        <f>IFERROR(J1235/J1234,"")</f>
        <v/>
      </c>
      <c r="K1236" s="32">
        <f>K1235/K1234</f>
        <v>1</v>
      </c>
      <c r="L1236" s="32">
        <f>L1235/L1234</f>
        <v>1.1111111111111112</v>
      </c>
      <c r="M1236" s="28"/>
      <c r="N1236" s="32">
        <f>N1235/N1234</f>
        <v>1.1111111111111112</v>
      </c>
      <c r="O1236" s="32">
        <f>O1235/O1234</f>
        <v>1.1111111111111112</v>
      </c>
      <c r="P1236" s="33" t="str">
        <f>IF(K1236&lt;50%,"x","")</f>
        <v/>
      </c>
      <c r="Q1236" s="33" t="str">
        <f>IF(K1236&gt;150%,"x","")</f>
        <v/>
      </c>
      <c r="R1236" s="33" t="str">
        <f>IF(O1236&lt;50%,"x","")</f>
        <v/>
      </c>
      <c r="S1236" s="33" t="str">
        <f>IF(O1236&gt;150%,"x","")</f>
        <v/>
      </c>
      <c r="T1236" s="33" t="s">
        <v>27</v>
      </c>
      <c r="U1236" s="34" t="s">
        <v>27</v>
      </c>
      <c r="V1236" s="35" t="s">
        <v>27</v>
      </c>
    </row>
    <row r="1237" spans="1:22" ht="16.5" thickTop="1" x14ac:dyDescent="0.25">
      <c r="A1237" s="18" t="s">
        <v>494</v>
      </c>
      <c r="B1237" s="18" t="s">
        <v>946</v>
      </c>
      <c r="C1237" s="18" t="s">
        <v>495</v>
      </c>
      <c r="D1237" s="18" t="s">
        <v>26</v>
      </c>
      <c r="E1237" s="18" t="s">
        <v>563</v>
      </c>
      <c r="F1237" s="18" t="s">
        <v>564</v>
      </c>
      <c r="G1237" s="18" t="s">
        <v>29</v>
      </c>
      <c r="H1237" s="19">
        <v>2000</v>
      </c>
      <c r="I1237" s="18" t="s">
        <v>68</v>
      </c>
      <c r="J1237" s="101" t="s">
        <v>27</v>
      </c>
      <c r="K1237" s="20">
        <v>12</v>
      </c>
      <c r="L1237" s="21">
        <v>0.52</v>
      </c>
      <c r="M1237" s="22" t="s">
        <v>30</v>
      </c>
      <c r="N1237" s="23">
        <v>0.52</v>
      </c>
      <c r="O1237" s="24">
        <v>4.3333333333333335E-2</v>
      </c>
      <c r="P1237" s="25" t="str">
        <f>IF(P1239="x","x","")</f>
        <v/>
      </c>
      <c r="Q1237" s="25" t="str">
        <f>IF(Q1239="x","x","")</f>
        <v/>
      </c>
      <c r="R1237" s="25" t="str">
        <f>IF(R1239="x","x","")</f>
        <v/>
      </c>
      <c r="S1237" s="25" t="str">
        <f>IF(S1239="x","x","")</f>
        <v>x</v>
      </c>
      <c r="T1237" s="25" t="s">
        <v>31</v>
      </c>
      <c r="U1237" s="26"/>
      <c r="V1237" s="27"/>
    </row>
    <row r="1238" spans="1:22" x14ac:dyDescent="0.25">
      <c r="A1238" s="18" t="s">
        <v>494</v>
      </c>
      <c r="B1238" s="18" t="s">
        <v>946</v>
      </c>
      <c r="C1238" s="18" t="s">
        <v>495</v>
      </c>
      <c r="D1238" s="18" t="s">
        <v>26</v>
      </c>
      <c r="E1238" s="18" t="s">
        <v>563</v>
      </c>
      <c r="F1238" s="18" t="s">
        <v>564</v>
      </c>
      <c r="G1238" s="18" t="s">
        <v>32</v>
      </c>
      <c r="H1238" s="19">
        <v>2007</v>
      </c>
      <c r="I1238" s="18" t="s">
        <v>359</v>
      </c>
      <c r="J1238" s="101" t="s">
        <v>27</v>
      </c>
      <c r="K1238" s="20">
        <v>11.5</v>
      </c>
      <c r="L1238" s="21">
        <v>3.6</v>
      </c>
      <c r="M1238" s="22" t="s">
        <v>30</v>
      </c>
      <c r="N1238" s="23">
        <v>3.6</v>
      </c>
      <c r="O1238" s="24">
        <v>0.31304347826086959</v>
      </c>
      <c r="P1238" s="25" t="str">
        <f>IF(P1239="x","x","")</f>
        <v/>
      </c>
      <c r="Q1238" s="25" t="str">
        <f>IF(Q1239="x","x","")</f>
        <v/>
      </c>
      <c r="R1238" s="25" t="str">
        <f>IF(R1239="x","x","")</f>
        <v/>
      </c>
      <c r="S1238" s="25" t="str">
        <f>IF(S1239="x","x","")</f>
        <v>x</v>
      </c>
      <c r="T1238" s="25" t="s">
        <v>31</v>
      </c>
      <c r="U1238" s="26"/>
      <c r="V1238" s="27"/>
    </row>
    <row r="1239" spans="1:22" ht="63.75" thickBot="1" x14ac:dyDescent="0.3">
      <c r="A1239" s="28" t="str">
        <f>A1238</f>
        <v>Mexico</v>
      </c>
      <c r="B1239" s="28" t="str">
        <f>B1238</f>
        <v>Latin America and Caribbean</v>
      </c>
      <c r="C1239" s="28" t="str">
        <f>C1238</f>
        <v>P065779</v>
      </c>
      <c r="D1239" s="28" t="s">
        <v>26</v>
      </c>
      <c r="E1239" s="28" t="s">
        <v>27</v>
      </c>
      <c r="F1239" s="28" t="str">
        <f>F1238</f>
        <v>P065779C1S44</v>
      </c>
      <c r="G1239" s="28" t="s">
        <v>16</v>
      </c>
      <c r="H1239" s="29" t="str">
        <f>H1237&amp;" / "&amp;H1238</f>
        <v>2000 / 2007</v>
      </c>
      <c r="I1239" s="29" t="str">
        <f>I1238</f>
        <v>Reconstruction</v>
      </c>
      <c r="J1239" s="97" t="str">
        <f>IFERROR(J1238/J1237,"")</f>
        <v/>
      </c>
      <c r="K1239" s="32">
        <f>K1238/K1237</f>
        <v>0.95833333333333337</v>
      </c>
      <c r="L1239" s="32">
        <f>L1238/L1237</f>
        <v>6.9230769230769234</v>
      </c>
      <c r="M1239" s="28"/>
      <c r="N1239" s="32">
        <f>N1238/N1237</f>
        <v>6.9230769230769234</v>
      </c>
      <c r="O1239" s="32">
        <f>O1238/O1237</f>
        <v>7.2240802675585289</v>
      </c>
      <c r="P1239" s="33" t="str">
        <f>IF(K1239&lt;50%,"x","")</f>
        <v/>
      </c>
      <c r="Q1239" s="33" t="str">
        <f>IF(K1239&gt;150%,"x","")</f>
        <v/>
      </c>
      <c r="R1239" s="33" t="str">
        <f>IF(O1239&lt;50%,"x","")</f>
        <v/>
      </c>
      <c r="S1239" s="33" t="str">
        <f>IF(O1239&gt;150%,"x","")</f>
        <v>x</v>
      </c>
      <c r="T1239" s="33" t="s">
        <v>31</v>
      </c>
      <c r="U1239" s="34" t="s">
        <v>999</v>
      </c>
      <c r="V1239" s="35" t="s">
        <v>1001</v>
      </c>
    </row>
    <row r="1240" spans="1:22" ht="16.5" thickTop="1" x14ac:dyDescent="0.25">
      <c r="A1240" s="18" t="s">
        <v>494</v>
      </c>
      <c r="B1240" s="18" t="s">
        <v>946</v>
      </c>
      <c r="C1240" s="18" t="s">
        <v>495</v>
      </c>
      <c r="D1240" s="18" t="s">
        <v>26</v>
      </c>
      <c r="E1240" s="18" t="s">
        <v>565</v>
      </c>
      <c r="F1240" s="18" t="s">
        <v>566</v>
      </c>
      <c r="G1240" s="18" t="s">
        <v>29</v>
      </c>
      <c r="H1240" s="19">
        <v>2000</v>
      </c>
      <c r="I1240" s="18" t="s">
        <v>68</v>
      </c>
      <c r="J1240" s="101" t="s">
        <v>27</v>
      </c>
      <c r="K1240" s="20">
        <v>9</v>
      </c>
      <c r="L1240" s="21">
        <v>0.39</v>
      </c>
      <c r="M1240" s="22" t="s">
        <v>30</v>
      </c>
      <c r="N1240" s="23">
        <v>0.39</v>
      </c>
      <c r="O1240" s="24">
        <v>4.3333333333333335E-2</v>
      </c>
      <c r="P1240" s="25" t="str">
        <f>IF(P1242="x","x","")</f>
        <v/>
      </c>
      <c r="Q1240" s="25" t="str">
        <f>IF(Q1242="x","x","")</f>
        <v/>
      </c>
      <c r="R1240" s="25" t="str">
        <f>IF(R1242="x","x","")</f>
        <v/>
      </c>
      <c r="S1240" s="25" t="str">
        <f>IF(S1242="x","x","")</f>
        <v/>
      </c>
      <c r="T1240" s="25" t="s">
        <v>27</v>
      </c>
      <c r="U1240" s="26"/>
      <c r="V1240" s="27"/>
    </row>
    <row r="1241" spans="1:22" x14ac:dyDescent="0.25">
      <c r="A1241" s="18" t="s">
        <v>494</v>
      </c>
      <c r="B1241" s="18" t="s">
        <v>946</v>
      </c>
      <c r="C1241" s="18" t="s">
        <v>495</v>
      </c>
      <c r="D1241" s="18" t="s">
        <v>26</v>
      </c>
      <c r="E1241" s="18" t="s">
        <v>565</v>
      </c>
      <c r="F1241" s="18" t="s">
        <v>566</v>
      </c>
      <c r="G1241" s="18" t="s">
        <v>32</v>
      </c>
      <c r="H1241" s="19">
        <v>2007</v>
      </c>
      <c r="I1241" s="18" t="s">
        <v>68</v>
      </c>
      <c r="J1241" s="101" t="s">
        <v>27</v>
      </c>
      <c r="K1241" s="20">
        <v>9</v>
      </c>
      <c r="L1241" s="21">
        <v>0.35</v>
      </c>
      <c r="M1241" s="22" t="s">
        <v>30</v>
      </c>
      <c r="N1241" s="23">
        <v>0.35</v>
      </c>
      <c r="O1241" s="24">
        <v>3.888888888888889E-2</v>
      </c>
      <c r="P1241" s="25" t="str">
        <f>IF(P1242="x","x","")</f>
        <v/>
      </c>
      <c r="Q1241" s="25" t="str">
        <f>IF(Q1242="x","x","")</f>
        <v/>
      </c>
      <c r="R1241" s="25" t="str">
        <f>IF(R1242="x","x","")</f>
        <v/>
      </c>
      <c r="S1241" s="25" t="str">
        <f>IF(S1242="x","x","")</f>
        <v/>
      </c>
      <c r="T1241" s="25" t="s">
        <v>27</v>
      </c>
      <c r="U1241" s="26"/>
      <c r="V1241" s="27"/>
    </row>
    <row r="1242" spans="1:22" ht="16.5" thickBot="1" x14ac:dyDescent="0.3">
      <c r="A1242" s="28" t="str">
        <f>A1241</f>
        <v>Mexico</v>
      </c>
      <c r="B1242" s="28" t="str">
        <f>B1241</f>
        <v>Latin America and Caribbean</v>
      </c>
      <c r="C1242" s="28" t="str">
        <f>C1241</f>
        <v>P065779</v>
      </c>
      <c r="D1242" s="28" t="s">
        <v>26</v>
      </c>
      <c r="E1242" s="28" t="s">
        <v>27</v>
      </c>
      <c r="F1242" s="28" t="str">
        <f>F1241</f>
        <v>P065779C1S45</v>
      </c>
      <c r="G1242" s="28" t="s">
        <v>16</v>
      </c>
      <c r="H1242" s="29" t="str">
        <f>H1240&amp;" / "&amp;H1241</f>
        <v>2000 / 2007</v>
      </c>
      <c r="I1242" s="29" t="str">
        <f>I1241</f>
        <v>Asphalt Mix Resurfacing</v>
      </c>
      <c r="J1242" s="97" t="str">
        <f>IFERROR(J1241/J1240,"")</f>
        <v/>
      </c>
      <c r="K1242" s="32">
        <f>K1241/K1240</f>
        <v>1</v>
      </c>
      <c r="L1242" s="32">
        <f>L1241/L1240</f>
        <v>0.89743589743589736</v>
      </c>
      <c r="M1242" s="28"/>
      <c r="N1242" s="32">
        <f>N1241/N1240</f>
        <v>0.89743589743589736</v>
      </c>
      <c r="O1242" s="32">
        <f>O1241/O1240</f>
        <v>0.89743589743589747</v>
      </c>
      <c r="P1242" s="33" t="str">
        <f>IF(K1242&lt;50%,"x","")</f>
        <v/>
      </c>
      <c r="Q1242" s="33" t="str">
        <f>IF(K1242&gt;150%,"x","")</f>
        <v/>
      </c>
      <c r="R1242" s="33" t="str">
        <f>IF(O1242&lt;50%,"x","")</f>
        <v/>
      </c>
      <c r="S1242" s="33" t="str">
        <f>IF(O1242&gt;150%,"x","")</f>
        <v/>
      </c>
      <c r="T1242" s="33" t="s">
        <v>27</v>
      </c>
      <c r="U1242" s="34" t="s">
        <v>27</v>
      </c>
      <c r="V1242" s="35" t="s">
        <v>27</v>
      </c>
    </row>
    <row r="1243" spans="1:22" ht="16.5" thickTop="1" x14ac:dyDescent="0.25">
      <c r="A1243" s="18" t="s">
        <v>494</v>
      </c>
      <c r="B1243" s="18" t="s">
        <v>946</v>
      </c>
      <c r="C1243" s="18" t="s">
        <v>495</v>
      </c>
      <c r="D1243" s="18" t="s">
        <v>26</v>
      </c>
      <c r="E1243" s="18" t="s">
        <v>567</v>
      </c>
      <c r="F1243" s="18" t="s">
        <v>568</v>
      </c>
      <c r="G1243" s="18" t="s">
        <v>29</v>
      </c>
      <c r="H1243" s="19">
        <v>2000</v>
      </c>
      <c r="I1243" s="18" t="s">
        <v>68</v>
      </c>
      <c r="J1243" s="101" t="s">
        <v>27</v>
      </c>
      <c r="K1243" s="20">
        <v>9</v>
      </c>
      <c r="L1243" s="21">
        <v>0.28000000000000003</v>
      </c>
      <c r="M1243" s="22" t="s">
        <v>30</v>
      </c>
      <c r="N1243" s="23">
        <v>0.28000000000000003</v>
      </c>
      <c r="O1243" s="24">
        <v>3.1111111111111114E-2</v>
      </c>
      <c r="P1243" s="25" t="str">
        <f>IF(P1245="x","x","")</f>
        <v/>
      </c>
      <c r="Q1243" s="25" t="str">
        <f>IF(Q1245="x","x","")</f>
        <v/>
      </c>
      <c r="R1243" s="25" t="str">
        <f>IF(R1245="x","x","")</f>
        <v/>
      </c>
      <c r="S1243" s="25" t="str">
        <f>IF(S1245="x","x","")</f>
        <v>x</v>
      </c>
      <c r="T1243" s="25" t="s">
        <v>31</v>
      </c>
      <c r="U1243" s="26"/>
      <c r="V1243" s="27"/>
    </row>
    <row r="1244" spans="1:22" x14ac:dyDescent="0.25">
      <c r="A1244" s="18" t="s">
        <v>494</v>
      </c>
      <c r="B1244" s="18" t="s">
        <v>946</v>
      </c>
      <c r="C1244" s="18" t="s">
        <v>495</v>
      </c>
      <c r="D1244" s="18" t="s">
        <v>26</v>
      </c>
      <c r="E1244" s="18" t="s">
        <v>567</v>
      </c>
      <c r="F1244" s="18" t="s">
        <v>568</v>
      </c>
      <c r="G1244" s="18" t="s">
        <v>32</v>
      </c>
      <c r="H1244" s="19">
        <v>2007</v>
      </c>
      <c r="I1244" s="18" t="s">
        <v>68</v>
      </c>
      <c r="J1244" s="101" t="s">
        <v>27</v>
      </c>
      <c r="K1244" s="20">
        <v>9</v>
      </c>
      <c r="L1244" s="21">
        <v>0.45</v>
      </c>
      <c r="M1244" s="22" t="s">
        <v>30</v>
      </c>
      <c r="N1244" s="23">
        <v>0.45</v>
      </c>
      <c r="O1244" s="24">
        <v>0.05</v>
      </c>
      <c r="P1244" s="25" t="str">
        <f>IF(P1245="x","x","")</f>
        <v/>
      </c>
      <c r="Q1244" s="25" t="str">
        <f>IF(Q1245="x","x","")</f>
        <v/>
      </c>
      <c r="R1244" s="25" t="str">
        <f>IF(R1245="x","x","")</f>
        <v/>
      </c>
      <c r="S1244" s="25" t="str">
        <f>IF(S1245="x","x","")</f>
        <v>x</v>
      </c>
      <c r="T1244" s="25" t="s">
        <v>31</v>
      </c>
      <c r="U1244" s="26"/>
      <c r="V1244" s="27"/>
    </row>
    <row r="1245" spans="1:22" ht="63.75" thickBot="1" x14ac:dyDescent="0.3">
      <c r="A1245" s="28" t="str">
        <f>A1244</f>
        <v>Mexico</v>
      </c>
      <c r="B1245" s="28" t="str">
        <f>B1244</f>
        <v>Latin America and Caribbean</v>
      </c>
      <c r="C1245" s="28" t="str">
        <f>C1244</f>
        <v>P065779</v>
      </c>
      <c r="D1245" s="28" t="s">
        <v>26</v>
      </c>
      <c r="E1245" s="28" t="s">
        <v>27</v>
      </c>
      <c r="F1245" s="28" t="str">
        <f>F1244</f>
        <v>P065779C1S46</v>
      </c>
      <c r="G1245" s="28" t="s">
        <v>16</v>
      </c>
      <c r="H1245" s="29" t="str">
        <f>H1243&amp;" / "&amp;H1244</f>
        <v>2000 / 2007</v>
      </c>
      <c r="I1245" s="29" t="str">
        <f>I1244</f>
        <v>Asphalt Mix Resurfacing</v>
      </c>
      <c r="J1245" s="97" t="str">
        <f>IFERROR(J1244/J1243,"")</f>
        <v/>
      </c>
      <c r="K1245" s="32">
        <f>K1244/K1243</f>
        <v>1</v>
      </c>
      <c r="L1245" s="32">
        <f>L1244/L1243</f>
        <v>1.607142857142857</v>
      </c>
      <c r="M1245" s="28"/>
      <c r="N1245" s="32">
        <f>N1244/N1243</f>
        <v>1.607142857142857</v>
      </c>
      <c r="O1245" s="32">
        <f>O1244/O1243</f>
        <v>1.6071428571428572</v>
      </c>
      <c r="P1245" s="33" t="str">
        <f>IF(K1245&lt;50%,"x","")</f>
        <v/>
      </c>
      <c r="Q1245" s="33" t="str">
        <f>IF(K1245&gt;150%,"x","")</f>
        <v/>
      </c>
      <c r="R1245" s="33" t="str">
        <f>IF(O1245&lt;50%,"x","")</f>
        <v/>
      </c>
      <c r="S1245" s="33" t="str">
        <f>IF(O1245&gt;150%,"x","")</f>
        <v>x</v>
      </c>
      <c r="T1245" s="33" t="s">
        <v>31</v>
      </c>
      <c r="U1245" s="34" t="s">
        <v>999</v>
      </c>
      <c r="V1245" s="35" t="s">
        <v>1001</v>
      </c>
    </row>
    <row r="1246" spans="1:22" ht="16.5" thickTop="1" x14ac:dyDescent="0.25">
      <c r="A1246" s="18" t="s">
        <v>494</v>
      </c>
      <c r="B1246" s="18" t="s">
        <v>946</v>
      </c>
      <c r="C1246" s="18" t="s">
        <v>495</v>
      </c>
      <c r="D1246" s="18" t="s">
        <v>26</v>
      </c>
      <c r="E1246" s="18" t="s">
        <v>569</v>
      </c>
      <c r="F1246" s="18" t="s">
        <v>570</v>
      </c>
      <c r="G1246" s="18" t="s">
        <v>29</v>
      </c>
      <c r="H1246" s="19">
        <v>2000</v>
      </c>
      <c r="I1246" s="18" t="s">
        <v>68</v>
      </c>
      <c r="J1246" s="101" t="s">
        <v>27</v>
      </c>
      <c r="K1246" s="20">
        <v>30</v>
      </c>
      <c r="L1246" s="21">
        <v>0.97</v>
      </c>
      <c r="M1246" s="22" t="s">
        <v>30</v>
      </c>
      <c r="N1246" s="23">
        <v>0.97</v>
      </c>
      <c r="O1246" s="24">
        <v>3.2333333333333332E-2</v>
      </c>
      <c r="P1246" s="25" t="str">
        <f>IF(P1248="x","x","")</f>
        <v/>
      </c>
      <c r="Q1246" s="25" t="str">
        <f>IF(Q1248="x","x","")</f>
        <v/>
      </c>
      <c r="R1246" s="25" t="str">
        <f>IF(R1248="x","x","")</f>
        <v/>
      </c>
      <c r="S1246" s="25" t="str">
        <f>IF(S1248="x","x","")</f>
        <v>x</v>
      </c>
      <c r="T1246" s="25" t="s">
        <v>31</v>
      </c>
      <c r="U1246" s="26"/>
      <c r="V1246" s="27"/>
    </row>
    <row r="1247" spans="1:22" x14ac:dyDescent="0.25">
      <c r="A1247" s="18" t="s">
        <v>494</v>
      </c>
      <c r="B1247" s="18" t="s">
        <v>946</v>
      </c>
      <c r="C1247" s="18" t="s">
        <v>495</v>
      </c>
      <c r="D1247" s="18" t="s">
        <v>26</v>
      </c>
      <c r="E1247" s="18" t="s">
        <v>569</v>
      </c>
      <c r="F1247" s="18" t="s">
        <v>570</v>
      </c>
      <c r="G1247" s="18" t="s">
        <v>32</v>
      </c>
      <c r="H1247" s="19">
        <v>2007</v>
      </c>
      <c r="I1247" s="18" t="s">
        <v>68</v>
      </c>
      <c r="J1247" s="101" t="s">
        <v>27</v>
      </c>
      <c r="K1247" s="20">
        <v>23</v>
      </c>
      <c r="L1247" s="21">
        <v>1.1299999999999999</v>
      </c>
      <c r="M1247" s="22" t="s">
        <v>30</v>
      </c>
      <c r="N1247" s="23">
        <v>1.1299999999999999</v>
      </c>
      <c r="O1247" s="24">
        <v>4.9130434782608694E-2</v>
      </c>
      <c r="P1247" s="25" t="str">
        <f>IF(P1248="x","x","")</f>
        <v/>
      </c>
      <c r="Q1247" s="25" t="str">
        <f>IF(Q1248="x","x","")</f>
        <v/>
      </c>
      <c r="R1247" s="25" t="str">
        <f>IF(R1248="x","x","")</f>
        <v/>
      </c>
      <c r="S1247" s="25" t="str">
        <f>IF(S1248="x","x","")</f>
        <v>x</v>
      </c>
      <c r="T1247" s="25" t="s">
        <v>31</v>
      </c>
      <c r="U1247" s="26"/>
      <c r="V1247" s="27"/>
    </row>
    <row r="1248" spans="1:22" ht="63.75" thickBot="1" x14ac:dyDescent="0.3">
      <c r="A1248" s="28" t="str">
        <f>A1247</f>
        <v>Mexico</v>
      </c>
      <c r="B1248" s="28" t="str">
        <f>B1247</f>
        <v>Latin America and Caribbean</v>
      </c>
      <c r="C1248" s="28" t="str">
        <f>C1247</f>
        <v>P065779</v>
      </c>
      <c r="D1248" s="28" t="s">
        <v>26</v>
      </c>
      <c r="E1248" s="28" t="s">
        <v>27</v>
      </c>
      <c r="F1248" s="28" t="str">
        <f>F1247</f>
        <v>P065779C1S47</v>
      </c>
      <c r="G1248" s="28" t="s">
        <v>16</v>
      </c>
      <c r="H1248" s="29" t="str">
        <f>H1246&amp;" / "&amp;H1247</f>
        <v>2000 / 2007</v>
      </c>
      <c r="I1248" s="29" t="str">
        <f>I1247</f>
        <v>Asphalt Mix Resurfacing</v>
      </c>
      <c r="J1248" s="97" t="str">
        <f>IFERROR(J1247/J1246,"")</f>
        <v/>
      </c>
      <c r="K1248" s="32">
        <f>K1247/K1246</f>
        <v>0.76666666666666672</v>
      </c>
      <c r="L1248" s="32">
        <f>L1247/L1246</f>
        <v>1.1649484536082473</v>
      </c>
      <c r="M1248" s="28"/>
      <c r="N1248" s="32">
        <f>N1247/N1246</f>
        <v>1.1649484536082473</v>
      </c>
      <c r="O1248" s="32">
        <f>O1247/O1246</f>
        <v>1.5194979829672792</v>
      </c>
      <c r="P1248" s="33" t="str">
        <f>IF(K1248&lt;50%,"x","")</f>
        <v/>
      </c>
      <c r="Q1248" s="33" t="str">
        <f>IF(K1248&gt;150%,"x","")</f>
        <v/>
      </c>
      <c r="R1248" s="33" t="str">
        <f>IF(O1248&lt;50%,"x","")</f>
        <v/>
      </c>
      <c r="S1248" s="33" t="str">
        <f>IF(O1248&gt;150%,"x","")</f>
        <v>x</v>
      </c>
      <c r="T1248" s="33" t="s">
        <v>31</v>
      </c>
      <c r="U1248" s="34" t="s">
        <v>999</v>
      </c>
      <c r="V1248" s="35" t="s">
        <v>1001</v>
      </c>
    </row>
    <row r="1249" spans="1:22" ht="16.5" thickTop="1" x14ac:dyDescent="0.25">
      <c r="A1249" s="18" t="s">
        <v>494</v>
      </c>
      <c r="B1249" s="18" t="s">
        <v>946</v>
      </c>
      <c r="C1249" s="18" t="s">
        <v>495</v>
      </c>
      <c r="D1249" s="18" t="s">
        <v>26</v>
      </c>
      <c r="E1249" s="18" t="s">
        <v>571</v>
      </c>
      <c r="F1249" s="18" t="s">
        <v>572</v>
      </c>
      <c r="G1249" s="18" t="s">
        <v>29</v>
      </c>
      <c r="H1249" s="19">
        <v>2000</v>
      </c>
      <c r="I1249" s="18" t="s">
        <v>68</v>
      </c>
      <c r="J1249" s="101" t="s">
        <v>27</v>
      </c>
      <c r="K1249" s="20">
        <v>13</v>
      </c>
      <c r="L1249" s="21">
        <v>0.4</v>
      </c>
      <c r="M1249" s="22" t="s">
        <v>30</v>
      </c>
      <c r="N1249" s="23">
        <v>0.4</v>
      </c>
      <c r="O1249" s="24">
        <v>3.0769230769230771E-2</v>
      </c>
      <c r="P1249" s="25" t="str">
        <f>IF(P1251="x","x","")</f>
        <v/>
      </c>
      <c r="Q1249" s="25" t="str">
        <f>IF(Q1251="x","x","")</f>
        <v/>
      </c>
      <c r="R1249" s="25" t="str">
        <f>IF(R1251="x","x","")</f>
        <v/>
      </c>
      <c r="S1249" s="25" t="str">
        <f>IF(S1251="x","x","")</f>
        <v>x</v>
      </c>
      <c r="T1249" s="25" t="s">
        <v>31</v>
      </c>
      <c r="U1249" s="26"/>
      <c r="V1249" s="27"/>
    </row>
    <row r="1250" spans="1:22" x14ac:dyDescent="0.25">
      <c r="A1250" s="18" t="s">
        <v>494</v>
      </c>
      <c r="B1250" s="18" t="s">
        <v>946</v>
      </c>
      <c r="C1250" s="18" t="s">
        <v>495</v>
      </c>
      <c r="D1250" s="18" t="s">
        <v>26</v>
      </c>
      <c r="E1250" s="18" t="s">
        <v>571</v>
      </c>
      <c r="F1250" s="18" t="s">
        <v>572</v>
      </c>
      <c r="G1250" s="18" t="s">
        <v>32</v>
      </c>
      <c r="H1250" s="19">
        <v>2007</v>
      </c>
      <c r="I1250" s="18" t="s">
        <v>68</v>
      </c>
      <c r="J1250" s="101" t="s">
        <v>27</v>
      </c>
      <c r="K1250" s="20">
        <v>13</v>
      </c>
      <c r="L1250" s="21">
        <v>1.2</v>
      </c>
      <c r="M1250" s="22" t="s">
        <v>30</v>
      </c>
      <c r="N1250" s="23">
        <v>1.2</v>
      </c>
      <c r="O1250" s="24">
        <v>9.2307692307692299E-2</v>
      </c>
      <c r="P1250" s="25" t="str">
        <f>IF(P1251="x","x","")</f>
        <v/>
      </c>
      <c r="Q1250" s="25" t="str">
        <f>IF(Q1251="x","x","")</f>
        <v/>
      </c>
      <c r="R1250" s="25" t="str">
        <f>IF(R1251="x","x","")</f>
        <v/>
      </c>
      <c r="S1250" s="25" t="str">
        <f>IF(S1251="x","x","")</f>
        <v>x</v>
      </c>
      <c r="T1250" s="25" t="s">
        <v>31</v>
      </c>
      <c r="U1250" s="26"/>
      <c r="V1250" s="27"/>
    </row>
    <row r="1251" spans="1:22" ht="63.75" thickBot="1" x14ac:dyDescent="0.3">
      <c r="A1251" s="28" t="str">
        <f>A1250</f>
        <v>Mexico</v>
      </c>
      <c r="B1251" s="28" t="str">
        <f>B1250</f>
        <v>Latin America and Caribbean</v>
      </c>
      <c r="C1251" s="28" t="str">
        <f>C1250</f>
        <v>P065779</v>
      </c>
      <c r="D1251" s="28" t="s">
        <v>26</v>
      </c>
      <c r="E1251" s="28" t="s">
        <v>27</v>
      </c>
      <c r="F1251" s="28" t="str">
        <f>F1250</f>
        <v>P065779C1S48</v>
      </c>
      <c r="G1251" s="28" t="s">
        <v>16</v>
      </c>
      <c r="H1251" s="29" t="str">
        <f>H1249&amp;" / "&amp;H1250</f>
        <v>2000 / 2007</v>
      </c>
      <c r="I1251" s="29" t="str">
        <f>I1250</f>
        <v>Asphalt Mix Resurfacing</v>
      </c>
      <c r="J1251" s="97" t="str">
        <f>IFERROR(J1250/J1249,"")</f>
        <v/>
      </c>
      <c r="K1251" s="32">
        <f>K1250/K1249</f>
        <v>1</v>
      </c>
      <c r="L1251" s="32">
        <f>L1250/L1249</f>
        <v>2.9999999999999996</v>
      </c>
      <c r="M1251" s="28"/>
      <c r="N1251" s="32">
        <f>N1250/N1249</f>
        <v>2.9999999999999996</v>
      </c>
      <c r="O1251" s="32">
        <f>O1250/O1249</f>
        <v>2.9999999999999996</v>
      </c>
      <c r="P1251" s="33" t="str">
        <f>IF(K1251&lt;50%,"x","")</f>
        <v/>
      </c>
      <c r="Q1251" s="33" t="str">
        <f>IF(K1251&gt;150%,"x","")</f>
        <v/>
      </c>
      <c r="R1251" s="33" t="str">
        <f>IF(O1251&lt;50%,"x","")</f>
        <v/>
      </c>
      <c r="S1251" s="33" t="str">
        <f>IF(O1251&gt;150%,"x","")</f>
        <v>x</v>
      </c>
      <c r="T1251" s="33" t="s">
        <v>31</v>
      </c>
      <c r="U1251" s="34" t="s">
        <v>999</v>
      </c>
      <c r="V1251" s="35" t="s">
        <v>1001</v>
      </c>
    </row>
    <row r="1252" spans="1:22" ht="16.5" thickTop="1" x14ac:dyDescent="0.25">
      <c r="A1252" s="18" t="s">
        <v>494</v>
      </c>
      <c r="B1252" s="18" t="s">
        <v>946</v>
      </c>
      <c r="C1252" s="18" t="s">
        <v>495</v>
      </c>
      <c r="D1252" s="18" t="s">
        <v>26</v>
      </c>
      <c r="E1252" s="18" t="s">
        <v>573</v>
      </c>
      <c r="F1252" s="18" t="s">
        <v>574</v>
      </c>
      <c r="G1252" s="18" t="s">
        <v>29</v>
      </c>
      <c r="H1252" s="19">
        <v>2000</v>
      </c>
      <c r="I1252" s="18" t="s">
        <v>68</v>
      </c>
      <c r="J1252" s="101" t="s">
        <v>27</v>
      </c>
      <c r="K1252" s="20">
        <v>9</v>
      </c>
      <c r="L1252" s="21">
        <v>0.75</v>
      </c>
      <c r="M1252" s="22" t="s">
        <v>30</v>
      </c>
      <c r="N1252" s="23">
        <v>0.75</v>
      </c>
      <c r="O1252" s="24">
        <v>8.3333333333333329E-2</v>
      </c>
      <c r="P1252" s="25" t="str">
        <f>IF(P1254="x","x","")</f>
        <v/>
      </c>
      <c r="Q1252" s="25" t="str">
        <f>IF(Q1254="x","x","")</f>
        <v/>
      </c>
      <c r="R1252" s="25" t="str">
        <f>IF(R1254="x","x","")</f>
        <v/>
      </c>
      <c r="S1252" s="25" t="str">
        <f>IF(S1254="x","x","")</f>
        <v/>
      </c>
      <c r="T1252" s="25" t="s">
        <v>27</v>
      </c>
      <c r="U1252" s="26"/>
      <c r="V1252" s="27"/>
    </row>
    <row r="1253" spans="1:22" x14ac:dyDescent="0.25">
      <c r="A1253" s="18" t="s">
        <v>494</v>
      </c>
      <c r="B1253" s="18" t="s">
        <v>946</v>
      </c>
      <c r="C1253" s="18" t="s">
        <v>495</v>
      </c>
      <c r="D1253" s="18" t="s">
        <v>26</v>
      </c>
      <c r="E1253" s="18" t="s">
        <v>573</v>
      </c>
      <c r="F1253" s="18" t="s">
        <v>574</v>
      </c>
      <c r="G1253" s="18" t="s">
        <v>32</v>
      </c>
      <c r="H1253" s="19">
        <v>2007</v>
      </c>
      <c r="I1253" s="18" t="s">
        <v>68</v>
      </c>
      <c r="J1253" s="101" t="s">
        <v>27</v>
      </c>
      <c r="K1253" s="20">
        <v>9.5</v>
      </c>
      <c r="L1253" s="21">
        <v>0.89</v>
      </c>
      <c r="M1253" s="22" t="s">
        <v>30</v>
      </c>
      <c r="N1253" s="23">
        <v>0.89</v>
      </c>
      <c r="O1253" s="24">
        <v>9.3684210526315786E-2</v>
      </c>
      <c r="P1253" s="25" t="str">
        <f>IF(P1254="x","x","")</f>
        <v/>
      </c>
      <c r="Q1253" s="25" t="str">
        <f>IF(Q1254="x","x","")</f>
        <v/>
      </c>
      <c r="R1253" s="25" t="str">
        <f>IF(R1254="x","x","")</f>
        <v/>
      </c>
      <c r="S1253" s="25" t="str">
        <f>IF(S1254="x","x","")</f>
        <v/>
      </c>
      <c r="T1253" s="25" t="s">
        <v>27</v>
      </c>
      <c r="U1253" s="26"/>
      <c r="V1253" s="27"/>
    </row>
    <row r="1254" spans="1:22" ht="16.5" thickBot="1" x14ac:dyDescent="0.3">
      <c r="A1254" s="28" t="str">
        <f>A1253</f>
        <v>Mexico</v>
      </c>
      <c r="B1254" s="28" t="str">
        <f>B1253</f>
        <v>Latin America and Caribbean</v>
      </c>
      <c r="C1254" s="28" t="str">
        <f>C1253</f>
        <v>P065779</v>
      </c>
      <c r="D1254" s="28" t="s">
        <v>26</v>
      </c>
      <c r="E1254" s="28" t="s">
        <v>27</v>
      </c>
      <c r="F1254" s="28" t="str">
        <f>F1253</f>
        <v>P065779C1S49</v>
      </c>
      <c r="G1254" s="28" t="s">
        <v>16</v>
      </c>
      <c r="H1254" s="29" t="str">
        <f>H1252&amp;" / "&amp;H1253</f>
        <v>2000 / 2007</v>
      </c>
      <c r="I1254" s="29" t="str">
        <f>I1253</f>
        <v>Asphalt Mix Resurfacing</v>
      </c>
      <c r="J1254" s="97" t="str">
        <f>IFERROR(J1253/J1252,"")</f>
        <v/>
      </c>
      <c r="K1254" s="32">
        <f>K1253/K1252</f>
        <v>1.0555555555555556</v>
      </c>
      <c r="L1254" s="32">
        <f>L1253/L1252</f>
        <v>1.1866666666666668</v>
      </c>
      <c r="M1254" s="28"/>
      <c r="N1254" s="32">
        <f>N1253/N1252</f>
        <v>1.1866666666666668</v>
      </c>
      <c r="O1254" s="32">
        <f>O1253/O1252</f>
        <v>1.1242105263157895</v>
      </c>
      <c r="P1254" s="33" t="str">
        <f>IF(K1254&lt;50%,"x","")</f>
        <v/>
      </c>
      <c r="Q1254" s="33" t="str">
        <f>IF(K1254&gt;150%,"x","")</f>
        <v/>
      </c>
      <c r="R1254" s="33" t="str">
        <f>IF(O1254&lt;50%,"x","")</f>
        <v/>
      </c>
      <c r="S1254" s="33" t="str">
        <f>IF(O1254&gt;150%,"x","")</f>
        <v/>
      </c>
      <c r="T1254" s="33" t="s">
        <v>27</v>
      </c>
      <c r="U1254" s="34" t="s">
        <v>27</v>
      </c>
      <c r="V1254" s="35" t="s">
        <v>27</v>
      </c>
    </row>
    <row r="1255" spans="1:22" ht="16.5" thickTop="1" x14ac:dyDescent="0.25">
      <c r="A1255" s="18" t="s">
        <v>494</v>
      </c>
      <c r="B1255" s="18" t="s">
        <v>946</v>
      </c>
      <c r="C1255" s="18" t="s">
        <v>495</v>
      </c>
      <c r="D1255" s="18" t="s">
        <v>26</v>
      </c>
      <c r="E1255" s="18" t="s">
        <v>141</v>
      </c>
      <c r="F1255" s="18" t="s">
        <v>575</v>
      </c>
      <c r="G1255" s="18" t="s">
        <v>29</v>
      </c>
      <c r="H1255" s="19">
        <v>2000</v>
      </c>
      <c r="I1255" s="18" t="s">
        <v>359</v>
      </c>
      <c r="J1255" s="101" t="s">
        <v>27</v>
      </c>
      <c r="K1255" s="20">
        <v>16</v>
      </c>
      <c r="L1255" s="21">
        <v>1.8</v>
      </c>
      <c r="M1255" s="22" t="s">
        <v>30</v>
      </c>
      <c r="N1255" s="23">
        <v>1.8</v>
      </c>
      <c r="O1255" s="24">
        <v>0.1125</v>
      </c>
      <c r="P1255" s="25" t="str">
        <f>IF(P1257="x","x","")</f>
        <v/>
      </c>
      <c r="Q1255" s="25" t="str">
        <f>IF(Q1257="x","x","")</f>
        <v/>
      </c>
      <c r="R1255" s="25" t="str">
        <f>IF(R1257="x","x","")</f>
        <v/>
      </c>
      <c r="S1255" s="25" t="str">
        <f>IF(S1257="x","x","")</f>
        <v/>
      </c>
      <c r="T1255" s="25" t="s">
        <v>27</v>
      </c>
      <c r="U1255" s="26"/>
      <c r="V1255" s="27"/>
    </row>
    <row r="1256" spans="1:22" x14ac:dyDescent="0.25">
      <c r="A1256" s="18" t="s">
        <v>494</v>
      </c>
      <c r="B1256" s="18" t="s">
        <v>946</v>
      </c>
      <c r="C1256" s="18" t="s">
        <v>495</v>
      </c>
      <c r="D1256" s="18" t="s">
        <v>26</v>
      </c>
      <c r="E1256" s="18" t="s">
        <v>141</v>
      </c>
      <c r="F1256" s="18" t="s">
        <v>575</v>
      </c>
      <c r="G1256" s="18" t="s">
        <v>32</v>
      </c>
      <c r="H1256" s="19">
        <v>2007</v>
      </c>
      <c r="I1256" s="18" t="s">
        <v>359</v>
      </c>
      <c r="J1256" s="101" t="s">
        <v>27</v>
      </c>
      <c r="K1256" s="20">
        <v>11</v>
      </c>
      <c r="L1256" s="21">
        <v>1.04</v>
      </c>
      <c r="M1256" s="22" t="s">
        <v>30</v>
      </c>
      <c r="N1256" s="23">
        <v>1.04</v>
      </c>
      <c r="O1256" s="24">
        <v>9.4545454545454544E-2</v>
      </c>
      <c r="P1256" s="25" t="str">
        <f>IF(P1257="x","x","")</f>
        <v/>
      </c>
      <c r="Q1256" s="25" t="str">
        <f>IF(Q1257="x","x","")</f>
        <v/>
      </c>
      <c r="R1256" s="25" t="str">
        <f>IF(R1257="x","x","")</f>
        <v/>
      </c>
      <c r="S1256" s="25" t="str">
        <f>IF(S1257="x","x","")</f>
        <v/>
      </c>
      <c r="T1256" s="25" t="s">
        <v>27</v>
      </c>
      <c r="U1256" s="26"/>
      <c r="V1256" s="27"/>
    </row>
    <row r="1257" spans="1:22" ht="16.5" thickBot="1" x14ac:dyDescent="0.3">
      <c r="A1257" s="28" t="str">
        <f>A1256</f>
        <v>Mexico</v>
      </c>
      <c r="B1257" s="28" t="str">
        <f>B1256</f>
        <v>Latin America and Caribbean</v>
      </c>
      <c r="C1257" s="28" t="str">
        <f>C1256</f>
        <v>P065779</v>
      </c>
      <c r="D1257" s="28" t="s">
        <v>26</v>
      </c>
      <c r="E1257" s="28" t="s">
        <v>27</v>
      </c>
      <c r="F1257" s="28" t="str">
        <f>F1256</f>
        <v>P065779C1S5</v>
      </c>
      <c r="G1257" s="28" t="s">
        <v>16</v>
      </c>
      <c r="H1257" s="29" t="str">
        <f>H1255&amp;" / "&amp;H1256</f>
        <v>2000 / 2007</v>
      </c>
      <c r="I1257" s="29" t="str">
        <f>I1256</f>
        <v>Reconstruction</v>
      </c>
      <c r="J1257" s="97" t="str">
        <f>IFERROR(J1256/J1255,"")</f>
        <v/>
      </c>
      <c r="K1257" s="32">
        <f>K1256/K1255</f>
        <v>0.6875</v>
      </c>
      <c r="L1257" s="32">
        <f>L1256/L1255</f>
        <v>0.57777777777777783</v>
      </c>
      <c r="M1257" s="28"/>
      <c r="N1257" s="32">
        <f>N1256/N1255</f>
        <v>0.57777777777777783</v>
      </c>
      <c r="O1257" s="32">
        <f>O1256/O1255</f>
        <v>0.84040404040404038</v>
      </c>
      <c r="P1257" s="33" t="str">
        <f>IF(K1257&lt;50%,"x","")</f>
        <v/>
      </c>
      <c r="Q1257" s="33" t="str">
        <f>IF(K1257&gt;150%,"x","")</f>
        <v/>
      </c>
      <c r="R1257" s="33" t="str">
        <f>IF(O1257&lt;50%,"x","")</f>
        <v/>
      </c>
      <c r="S1257" s="33" t="str">
        <f>IF(O1257&gt;150%,"x","")</f>
        <v/>
      </c>
      <c r="T1257" s="33" t="s">
        <v>27</v>
      </c>
      <c r="U1257" s="34" t="s">
        <v>27</v>
      </c>
      <c r="V1257" s="35" t="s">
        <v>27</v>
      </c>
    </row>
    <row r="1258" spans="1:22" ht="16.5" thickTop="1" x14ac:dyDescent="0.25">
      <c r="A1258" s="18" t="s">
        <v>494</v>
      </c>
      <c r="B1258" s="18" t="s">
        <v>946</v>
      </c>
      <c r="C1258" s="18" t="s">
        <v>495</v>
      </c>
      <c r="D1258" s="18" t="s">
        <v>26</v>
      </c>
      <c r="E1258" s="18" t="s">
        <v>576</v>
      </c>
      <c r="F1258" s="18" t="s">
        <v>577</v>
      </c>
      <c r="G1258" s="18" t="s">
        <v>29</v>
      </c>
      <c r="H1258" s="19">
        <v>2000</v>
      </c>
      <c r="I1258" s="18" t="s">
        <v>68</v>
      </c>
      <c r="J1258" s="101" t="s">
        <v>27</v>
      </c>
      <c r="K1258" s="20">
        <v>69</v>
      </c>
      <c r="L1258" s="21">
        <v>2.23</v>
      </c>
      <c r="M1258" s="22" t="s">
        <v>30</v>
      </c>
      <c r="N1258" s="23">
        <v>2.23</v>
      </c>
      <c r="O1258" s="24">
        <v>3.2318840579710142E-2</v>
      </c>
      <c r="P1258" s="25" t="str">
        <f>IF(P1260="x","x","")</f>
        <v/>
      </c>
      <c r="Q1258" s="25" t="str">
        <f>IF(Q1260="x","x","")</f>
        <v/>
      </c>
      <c r="R1258" s="25" t="str">
        <f>IF(R1260="x","x","")</f>
        <v/>
      </c>
      <c r="S1258" s="25" t="str">
        <f>IF(S1260="x","x","")</f>
        <v/>
      </c>
      <c r="T1258" s="25" t="s">
        <v>27</v>
      </c>
      <c r="U1258" s="26"/>
      <c r="V1258" s="27"/>
    </row>
    <row r="1259" spans="1:22" x14ac:dyDescent="0.25">
      <c r="A1259" s="18" t="s">
        <v>494</v>
      </c>
      <c r="B1259" s="18" t="s">
        <v>946</v>
      </c>
      <c r="C1259" s="18" t="s">
        <v>495</v>
      </c>
      <c r="D1259" s="18" t="s">
        <v>26</v>
      </c>
      <c r="E1259" s="18" t="s">
        <v>576</v>
      </c>
      <c r="F1259" s="18" t="s">
        <v>577</v>
      </c>
      <c r="G1259" s="18" t="s">
        <v>32</v>
      </c>
      <c r="H1259" s="19">
        <v>2007</v>
      </c>
      <c r="I1259" s="18" t="s">
        <v>68</v>
      </c>
      <c r="J1259" s="101" t="s">
        <v>27</v>
      </c>
      <c r="K1259" s="20">
        <v>69</v>
      </c>
      <c r="L1259" s="21">
        <v>3.26</v>
      </c>
      <c r="M1259" s="22" t="s">
        <v>30</v>
      </c>
      <c r="N1259" s="23">
        <v>3.26</v>
      </c>
      <c r="O1259" s="24">
        <v>4.7246376811594201E-2</v>
      </c>
      <c r="P1259" s="25" t="str">
        <f>IF(P1260="x","x","")</f>
        <v/>
      </c>
      <c r="Q1259" s="25" t="str">
        <f>IF(Q1260="x","x","")</f>
        <v/>
      </c>
      <c r="R1259" s="25" t="str">
        <f>IF(R1260="x","x","")</f>
        <v/>
      </c>
      <c r="S1259" s="25" t="str">
        <f>IF(S1260="x","x","")</f>
        <v/>
      </c>
      <c r="T1259" s="25" t="s">
        <v>27</v>
      </c>
      <c r="U1259" s="26"/>
      <c r="V1259" s="27"/>
    </row>
    <row r="1260" spans="1:22" ht="16.5" thickBot="1" x14ac:dyDescent="0.3">
      <c r="A1260" s="28" t="str">
        <f>A1259</f>
        <v>Mexico</v>
      </c>
      <c r="B1260" s="28" t="str">
        <f>B1259</f>
        <v>Latin America and Caribbean</v>
      </c>
      <c r="C1260" s="28" t="str">
        <f>C1259</f>
        <v>P065779</v>
      </c>
      <c r="D1260" s="28" t="s">
        <v>26</v>
      </c>
      <c r="E1260" s="28" t="s">
        <v>27</v>
      </c>
      <c r="F1260" s="28" t="str">
        <f>F1259</f>
        <v>P065779C1S50</v>
      </c>
      <c r="G1260" s="28" t="s">
        <v>16</v>
      </c>
      <c r="H1260" s="29" t="str">
        <f>H1258&amp;" / "&amp;H1259</f>
        <v>2000 / 2007</v>
      </c>
      <c r="I1260" s="29" t="str">
        <f>I1259</f>
        <v>Asphalt Mix Resurfacing</v>
      </c>
      <c r="J1260" s="97" t="str">
        <f>IFERROR(J1259/J1258,"")</f>
        <v/>
      </c>
      <c r="K1260" s="32">
        <f>K1259/K1258</f>
        <v>1</v>
      </c>
      <c r="L1260" s="32">
        <f>L1259/L1258</f>
        <v>1.4618834080717489</v>
      </c>
      <c r="M1260" s="28"/>
      <c r="N1260" s="32">
        <f>N1259/N1258</f>
        <v>1.4618834080717489</v>
      </c>
      <c r="O1260" s="32">
        <f>O1259/O1258</f>
        <v>1.4618834080717489</v>
      </c>
      <c r="P1260" s="33" t="str">
        <f>IF(K1260&lt;50%,"x","")</f>
        <v/>
      </c>
      <c r="Q1260" s="33" t="str">
        <f>IF(K1260&gt;150%,"x","")</f>
        <v/>
      </c>
      <c r="R1260" s="33" t="str">
        <f>IF(O1260&lt;50%,"x","")</f>
        <v/>
      </c>
      <c r="S1260" s="33" t="str">
        <f>IF(O1260&gt;150%,"x","")</f>
        <v/>
      </c>
      <c r="T1260" s="33" t="s">
        <v>27</v>
      </c>
      <c r="U1260" s="34" t="s">
        <v>27</v>
      </c>
      <c r="V1260" s="35" t="s">
        <v>27</v>
      </c>
    </row>
    <row r="1261" spans="1:22" ht="16.5" thickTop="1" x14ac:dyDescent="0.25">
      <c r="A1261" s="18" t="s">
        <v>494</v>
      </c>
      <c r="B1261" s="18" t="s">
        <v>946</v>
      </c>
      <c r="C1261" s="18" t="s">
        <v>495</v>
      </c>
      <c r="D1261" s="18" t="s">
        <v>26</v>
      </c>
      <c r="E1261" s="18" t="s">
        <v>578</v>
      </c>
      <c r="F1261" s="18" t="s">
        <v>579</v>
      </c>
      <c r="G1261" s="18" t="s">
        <v>29</v>
      </c>
      <c r="H1261" s="19">
        <v>2000</v>
      </c>
      <c r="I1261" s="18" t="s">
        <v>68</v>
      </c>
      <c r="J1261" s="101" t="s">
        <v>27</v>
      </c>
      <c r="K1261" s="20">
        <v>20</v>
      </c>
      <c r="L1261" s="21">
        <v>1.38</v>
      </c>
      <c r="M1261" s="22" t="s">
        <v>30</v>
      </c>
      <c r="N1261" s="23">
        <v>1.38</v>
      </c>
      <c r="O1261" s="24">
        <v>6.8999999999999992E-2</v>
      </c>
      <c r="P1261" s="25" t="str">
        <f>IF(P1263="x","x","")</f>
        <v/>
      </c>
      <c r="Q1261" s="25" t="str">
        <f>IF(Q1263="x","x","")</f>
        <v/>
      </c>
      <c r="R1261" s="25" t="str">
        <f>IF(R1263="x","x","")</f>
        <v/>
      </c>
      <c r="S1261" s="25" t="str">
        <f>IF(S1263="x","x","")</f>
        <v/>
      </c>
      <c r="T1261" s="25" t="s">
        <v>27</v>
      </c>
      <c r="U1261" s="26"/>
      <c r="V1261" s="27"/>
    </row>
    <row r="1262" spans="1:22" x14ac:dyDescent="0.25">
      <c r="A1262" s="18" t="s">
        <v>494</v>
      </c>
      <c r="B1262" s="18" t="s">
        <v>946</v>
      </c>
      <c r="C1262" s="18" t="s">
        <v>495</v>
      </c>
      <c r="D1262" s="18" t="s">
        <v>26</v>
      </c>
      <c r="E1262" s="18" t="s">
        <v>578</v>
      </c>
      <c r="F1262" s="18" t="s">
        <v>579</v>
      </c>
      <c r="G1262" s="18" t="s">
        <v>32</v>
      </c>
      <c r="H1262" s="19">
        <v>2007</v>
      </c>
      <c r="I1262" s="18" t="s">
        <v>68</v>
      </c>
      <c r="J1262" s="101" t="s">
        <v>27</v>
      </c>
      <c r="K1262" s="20">
        <v>14</v>
      </c>
      <c r="L1262" s="21">
        <v>0.74</v>
      </c>
      <c r="M1262" s="22" t="s">
        <v>30</v>
      </c>
      <c r="N1262" s="23">
        <v>0.74</v>
      </c>
      <c r="O1262" s="24">
        <v>5.2857142857142859E-2</v>
      </c>
      <c r="P1262" s="25" t="str">
        <f>IF(P1263="x","x","")</f>
        <v/>
      </c>
      <c r="Q1262" s="25" t="str">
        <f>IF(Q1263="x","x","")</f>
        <v/>
      </c>
      <c r="R1262" s="25" t="str">
        <f>IF(R1263="x","x","")</f>
        <v/>
      </c>
      <c r="S1262" s="25" t="str">
        <f>IF(S1263="x","x","")</f>
        <v/>
      </c>
      <c r="T1262" s="25" t="s">
        <v>27</v>
      </c>
      <c r="U1262" s="26"/>
      <c r="V1262" s="27"/>
    </row>
    <row r="1263" spans="1:22" ht="16.5" thickBot="1" x14ac:dyDescent="0.3">
      <c r="A1263" s="28" t="str">
        <f>A1262</f>
        <v>Mexico</v>
      </c>
      <c r="B1263" s="28" t="str">
        <f>B1262</f>
        <v>Latin America and Caribbean</v>
      </c>
      <c r="C1263" s="28" t="str">
        <f>C1262</f>
        <v>P065779</v>
      </c>
      <c r="D1263" s="28" t="s">
        <v>26</v>
      </c>
      <c r="E1263" s="28" t="s">
        <v>27</v>
      </c>
      <c r="F1263" s="28" t="str">
        <f>F1262</f>
        <v>P065779C1S51</v>
      </c>
      <c r="G1263" s="28" t="s">
        <v>16</v>
      </c>
      <c r="H1263" s="29" t="str">
        <f>H1261&amp;" / "&amp;H1262</f>
        <v>2000 / 2007</v>
      </c>
      <c r="I1263" s="29" t="str">
        <f>I1262</f>
        <v>Asphalt Mix Resurfacing</v>
      </c>
      <c r="J1263" s="97" t="str">
        <f>IFERROR(J1262/J1261,"")</f>
        <v/>
      </c>
      <c r="K1263" s="32">
        <f>K1262/K1261</f>
        <v>0.7</v>
      </c>
      <c r="L1263" s="32">
        <f>L1262/L1261</f>
        <v>0.53623188405797106</v>
      </c>
      <c r="M1263" s="28"/>
      <c r="N1263" s="32">
        <f>N1262/N1261</f>
        <v>0.53623188405797106</v>
      </c>
      <c r="O1263" s="32">
        <f>O1262/O1261</f>
        <v>0.76604554865424446</v>
      </c>
      <c r="P1263" s="33" t="str">
        <f>IF(K1263&lt;50%,"x","")</f>
        <v/>
      </c>
      <c r="Q1263" s="33" t="str">
        <f>IF(K1263&gt;150%,"x","")</f>
        <v/>
      </c>
      <c r="R1263" s="33" t="str">
        <f>IF(O1263&lt;50%,"x","")</f>
        <v/>
      </c>
      <c r="S1263" s="33" t="str">
        <f>IF(O1263&gt;150%,"x","")</f>
        <v/>
      </c>
      <c r="T1263" s="33" t="s">
        <v>27</v>
      </c>
      <c r="U1263" s="34" t="s">
        <v>27</v>
      </c>
      <c r="V1263" s="35" t="s">
        <v>27</v>
      </c>
    </row>
    <row r="1264" spans="1:22" ht="16.5" thickTop="1" x14ac:dyDescent="0.25">
      <c r="A1264" s="18" t="s">
        <v>494</v>
      </c>
      <c r="B1264" s="18" t="s">
        <v>946</v>
      </c>
      <c r="C1264" s="18" t="s">
        <v>495</v>
      </c>
      <c r="D1264" s="18" t="s">
        <v>26</v>
      </c>
      <c r="E1264" s="18" t="s">
        <v>143</v>
      </c>
      <c r="F1264" s="18" t="s">
        <v>580</v>
      </c>
      <c r="G1264" s="18" t="s">
        <v>29</v>
      </c>
      <c r="H1264" s="19">
        <v>2000</v>
      </c>
      <c r="I1264" s="18" t="s">
        <v>359</v>
      </c>
      <c r="J1264" s="101" t="s">
        <v>27</v>
      </c>
      <c r="K1264" s="20">
        <v>5</v>
      </c>
      <c r="L1264" s="21">
        <v>0.56000000000000005</v>
      </c>
      <c r="M1264" s="22" t="s">
        <v>30</v>
      </c>
      <c r="N1264" s="23">
        <v>0.56000000000000005</v>
      </c>
      <c r="O1264" s="24">
        <v>0.11200000000000002</v>
      </c>
      <c r="P1264" s="25" t="str">
        <f>IF(P1266="x","x","")</f>
        <v/>
      </c>
      <c r="Q1264" s="25" t="str">
        <f>IF(Q1266="x","x","")</f>
        <v>x</v>
      </c>
      <c r="R1264" s="25" t="str">
        <f>IF(R1266="x","x","")</f>
        <v/>
      </c>
      <c r="S1264" s="25" t="str">
        <f>IF(S1266="x","x","")</f>
        <v/>
      </c>
      <c r="T1264" s="25" t="s">
        <v>31</v>
      </c>
      <c r="U1264" s="26"/>
      <c r="V1264" s="27"/>
    </row>
    <row r="1265" spans="1:22" x14ac:dyDescent="0.25">
      <c r="A1265" s="18" t="s">
        <v>494</v>
      </c>
      <c r="B1265" s="18" t="s">
        <v>946</v>
      </c>
      <c r="C1265" s="18" t="s">
        <v>495</v>
      </c>
      <c r="D1265" s="18" t="s">
        <v>26</v>
      </c>
      <c r="E1265" s="18" t="s">
        <v>143</v>
      </c>
      <c r="F1265" s="18" t="s">
        <v>580</v>
      </c>
      <c r="G1265" s="18" t="s">
        <v>32</v>
      </c>
      <c r="H1265" s="19">
        <v>2007</v>
      </c>
      <c r="I1265" s="18" t="s">
        <v>359</v>
      </c>
      <c r="J1265" s="101" t="s">
        <v>27</v>
      </c>
      <c r="K1265" s="20">
        <v>10</v>
      </c>
      <c r="L1265" s="21">
        <v>1.54</v>
      </c>
      <c r="M1265" s="22" t="s">
        <v>30</v>
      </c>
      <c r="N1265" s="23">
        <v>1.54</v>
      </c>
      <c r="O1265" s="24">
        <v>0.154</v>
      </c>
      <c r="P1265" s="25" t="str">
        <f>IF(P1266="x","x","")</f>
        <v/>
      </c>
      <c r="Q1265" s="25" t="str">
        <f>IF(Q1266="x","x","")</f>
        <v>x</v>
      </c>
      <c r="R1265" s="25" t="str">
        <f>IF(R1266="x","x","")</f>
        <v/>
      </c>
      <c r="S1265" s="25" t="str">
        <f>IF(S1266="x","x","")</f>
        <v/>
      </c>
      <c r="T1265" s="25" t="s">
        <v>31</v>
      </c>
      <c r="U1265" s="26"/>
      <c r="V1265" s="27"/>
    </row>
    <row r="1266" spans="1:22" ht="32.25" thickBot="1" x14ac:dyDescent="0.3">
      <c r="A1266" s="28" t="str">
        <f>A1265</f>
        <v>Mexico</v>
      </c>
      <c r="B1266" s="28" t="str">
        <f>B1265</f>
        <v>Latin America and Caribbean</v>
      </c>
      <c r="C1266" s="28" t="str">
        <f>C1265</f>
        <v>P065779</v>
      </c>
      <c r="D1266" s="28" t="s">
        <v>26</v>
      </c>
      <c r="E1266" s="28" t="s">
        <v>27</v>
      </c>
      <c r="F1266" s="28" t="str">
        <f>F1265</f>
        <v>P065779C1S6</v>
      </c>
      <c r="G1266" s="28" t="s">
        <v>16</v>
      </c>
      <c r="H1266" s="29" t="str">
        <f>H1264&amp;" / "&amp;H1265</f>
        <v>2000 / 2007</v>
      </c>
      <c r="I1266" s="29" t="str">
        <f>I1265</f>
        <v>Reconstruction</v>
      </c>
      <c r="J1266" s="97" t="str">
        <f>IFERROR(J1265/J1264,"")</f>
        <v/>
      </c>
      <c r="K1266" s="32">
        <f>K1265/K1264</f>
        <v>2</v>
      </c>
      <c r="L1266" s="32">
        <f>L1265/L1264</f>
        <v>2.75</v>
      </c>
      <c r="M1266" s="28"/>
      <c r="N1266" s="32">
        <f>N1265/N1264</f>
        <v>2.75</v>
      </c>
      <c r="O1266" s="32">
        <f>O1265/O1264</f>
        <v>1.3749999999999998</v>
      </c>
      <c r="P1266" s="33" t="str">
        <f>IF(K1266&lt;50%,"x","")</f>
        <v/>
      </c>
      <c r="Q1266" s="33" t="str">
        <f>IF(K1266&gt;150%,"x","")</f>
        <v>x</v>
      </c>
      <c r="R1266" s="33" t="str">
        <f>IF(O1266&lt;50%,"x","")</f>
        <v/>
      </c>
      <c r="S1266" s="33" t="str">
        <f>IF(O1266&gt;150%,"x","")</f>
        <v/>
      </c>
      <c r="T1266" s="33" t="s">
        <v>31</v>
      </c>
      <c r="U1266" s="34" t="s">
        <v>988</v>
      </c>
      <c r="V1266" s="35" t="s">
        <v>1010</v>
      </c>
    </row>
    <row r="1267" spans="1:22" ht="16.5" thickTop="1" x14ac:dyDescent="0.25">
      <c r="A1267" s="18" t="s">
        <v>494</v>
      </c>
      <c r="B1267" s="18" t="s">
        <v>946</v>
      </c>
      <c r="C1267" s="18" t="s">
        <v>495</v>
      </c>
      <c r="D1267" s="18" t="s">
        <v>26</v>
      </c>
      <c r="E1267" s="18" t="s">
        <v>245</v>
      </c>
      <c r="F1267" s="18" t="s">
        <v>581</v>
      </c>
      <c r="G1267" s="18" t="s">
        <v>29</v>
      </c>
      <c r="H1267" s="19">
        <v>2000</v>
      </c>
      <c r="I1267" s="18" t="s">
        <v>359</v>
      </c>
      <c r="J1267" s="101" t="s">
        <v>27</v>
      </c>
      <c r="K1267" s="20">
        <v>5</v>
      </c>
      <c r="L1267" s="21">
        <v>0.75</v>
      </c>
      <c r="M1267" s="22" t="s">
        <v>30</v>
      </c>
      <c r="N1267" s="23">
        <v>0.75</v>
      </c>
      <c r="O1267" s="24">
        <v>0.15</v>
      </c>
      <c r="P1267" s="25" t="str">
        <f>IF(P1269="x","x","")</f>
        <v/>
      </c>
      <c r="Q1267" s="25" t="str">
        <f>IF(Q1269="x","x","")</f>
        <v/>
      </c>
      <c r="R1267" s="25" t="str">
        <f>IF(R1269="x","x","")</f>
        <v>x</v>
      </c>
      <c r="S1267" s="25" t="str">
        <f>IF(S1269="x","x","")</f>
        <v/>
      </c>
      <c r="T1267" s="25" t="s">
        <v>31</v>
      </c>
      <c r="U1267" s="26"/>
      <c r="V1267" s="27"/>
    </row>
    <row r="1268" spans="1:22" x14ac:dyDescent="0.25">
      <c r="A1268" s="18" t="s">
        <v>494</v>
      </c>
      <c r="B1268" s="18" t="s">
        <v>946</v>
      </c>
      <c r="C1268" s="18" t="s">
        <v>495</v>
      </c>
      <c r="D1268" s="18" t="s">
        <v>26</v>
      </c>
      <c r="E1268" s="18" t="s">
        <v>245</v>
      </c>
      <c r="F1268" s="18" t="s">
        <v>581</v>
      </c>
      <c r="G1268" s="18" t="s">
        <v>32</v>
      </c>
      <c r="H1268" s="19">
        <v>2007</v>
      </c>
      <c r="I1268" s="18" t="s">
        <v>68</v>
      </c>
      <c r="J1268" s="101" t="s">
        <v>27</v>
      </c>
      <c r="K1268" s="20">
        <v>5</v>
      </c>
      <c r="L1268" s="21">
        <v>0.11</v>
      </c>
      <c r="M1268" s="22" t="s">
        <v>30</v>
      </c>
      <c r="N1268" s="23">
        <v>0.11</v>
      </c>
      <c r="O1268" s="24">
        <v>2.1999999999999999E-2</v>
      </c>
      <c r="P1268" s="25" t="str">
        <f>IF(P1269="x","x","")</f>
        <v/>
      </c>
      <c r="Q1268" s="25" t="str">
        <f>IF(Q1269="x","x","")</f>
        <v/>
      </c>
      <c r="R1268" s="25" t="str">
        <f>IF(R1269="x","x","")</f>
        <v>x</v>
      </c>
      <c r="S1268" s="25" t="str">
        <f>IF(S1269="x","x","")</f>
        <v/>
      </c>
      <c r="T1268" s="25" t="s">
        <v>31</v>
      </c>
      <c r="U1268" s="26"/>
      <c r="V1268" s="27"/>
    </row>
    <row r="1269" spans="1:22" ht="32.25" thickBot="1" x14ac:dyDescent="0.3">
      <c r="A1269" s="28" t="str">
        <f>A1268</f>
        <v>Mexico</v>
      </c>
      <c r="B1269" s="28" t="str">
        <f>B1268</f>
        <v>Latin America and Caribbean</v>
      </c>
      <c r="C1269" s="28" t="str">
        <f>C1268</f>
        <v>P065779</v>
      </c>
      <c r="D1269" s="28" t="s">
        <v>26</v>
      </c>
      <c r="E1269" s="28" t="s">
        <v>27</v>
      </c>
      <c r="F1269" s="28" t="str">
        <f>F1268</f>
        <v>P065779C1S7</v>
      </c>
      <c r="G1269" s="28" t="s">
        <v>16</v>
      </c>
      <c r="H1269" s="29" t="str">
        <f>H1267&amp;" / "&amp;H1268</f>
        <v>2000 / 2007</v>
      </c>
      <c r="I1269" s="29" t="str">
        <f>I1268</f>
        <v>Asphalt Mix Resurfacing</v>
      </c>
      <c r="J1269" s="97" t="str">
        <f>IFERROR(J1268/J1267,"")</f>
        <v/>
      </c>
      <c r="K1269" s="32">
        <f>K1268/K1267</f>
        <v>1</v>
      </c>
      <c r="L1269" s="32">
        <f>L1268/L1267</f>
        <v>0.14666666666666667</v>
      </c>
      <c r="M1269" s="28"/>
      <c r="N1269" s="32">
        <f>N1268/N1267</f>
        <v>0.14666666666666667</v>
      </c>
      <c r="O1269" s="32">
        <f>O1268/O1267</f>
        <v>0.14666666666666667</v>
      </c>
      <c r="P1269" s="33" t="str">
        <f>IF(K1269&lt;50%,"x","")</f>
        <v/>
      </c>
      <c r="Q1269" s="33" t="str">
        <f>IF(K1269&gt;150%,"x","")</f>
        <v/>
      </c>
      <c r="R1269" s="33" t="str">
        <f>IF(O1269&lt;50%,"x","")</f>
        <v>x</v>
      </c>
      <c r="S1269" s="33" t="str">
        <f>IF(O1269&gt;150%,"x","")</f>
        <v/>
      </c>
      <c r="T1269" s="33" t="s">
        <v>31</v>
      </c>
      <c r="U1269" s="34" t="s">
        <v>988</v>
      </c>
      <c r="V1269" s="35" t="s">
        <v>1004</v>
      </c>
    </row>
    <row r="1270" spans="1:22" ht="16.5" thickTop="1" x14ac:dyDescent="0.25">
      <c r="A1270" s="18" t="s">
        <v>494</v>
      </c>
      <c r="B1270" s="18" t="s">
        <v>946</v>
      </c>
      <c r="C1270" s="18" t="s">
        <v>495</v>
      </c>
      <c r="D1270" s="18" t="s">
        <v>26</v>
      </c>
      <c r="E1270" s="18" t="s">
        <v>247</v>
      </c>
      <c r="F1270" s="18" t="s">
        <v>582</v>
      </c>
      <c r="G1270" s="18" t="s">
        <v>29</v>
      </c>
      <c r="H1270" s="19">
        <v>2000</v>
      </c>
      <c r="I1270" s="18" t="s">
        <v>359</v>
      </c>
      <c r="J1270" s="101" t="s">
        <v>27</v>
      </c>
      <c r="K1270" s="20">
        <v>17</v>
      </c>
      <c r="L1270" s="21">
        <v>2.5499999999999998</v>
      </c>
      <c r="M1270" s="22" t="s">
        <v>30</v>
      </c>
      <c r="N1270" s="23">
        <v>2.5499999999999998</v>
      </c>
      <c r="O1270" s="24">
        <v>0.15</v>
      </c>
      <c r="P1270" s="25" t="str">
        <f>IF(P1272="x","x","")</f>
        <v/>
      </c>
      <c r="Q1270" s="25" t="str">
        <f>IF(Q1272="x","x","")</f>
        <v/>
      </c>
      <c r="R1270" s="25" t="str">
        <f>IF(R1272="x","x","")</f>
        <v>x</v>
      </c>
      <c r="S1270" s="25" t="str">
        <f>IF(S1272="x","x","")</f>
        <v/>
      </c>
      <c r="T1270" s="25" t="s">
        <v>31</v>
      </c>
      <c r="U1270" s="26"/>
      <c r="V1270" s="27"/>
    </row>
    <row r="1271" spans="1:22" x14ac:dyDescent="0.25">
      <c r="A1271" s="18" t="s">
        <v>494</v>
      </c>
      <c r="B1271" s="18" t="s">
        <v>946</v>
      </c>
      <c r="C1271" s="18" t="s">
        <v>495</v>
      </c>
      <c r="D1271" s="18" t="s">
        <v>26</v>
      </c>
      <c r="E1271" s="18" t="s">
        <v>247</v>
      </c>
      <c r="F1271" s="18" t="s">
        <v>582</v>
      </c>
      <c r="G1271" s="18" t="s">
        <v>32</v>
      </c>
      <c r="H1271" s="19">
        <v>2007</v>
      </c>
      <c r="I1271" s="18" t="s">
        <v>359</v>
      </c>
      <c r="J1271" s="101" t="s">
        <v>27</v>
      </c>
      <c r="K1271" s="20">
        <v>17</v>
      </c>
      <c r="L1271" s="21">
        <v>1.1599999999999999</v>
      </c>
      <c r="M1271" s="22" t="s">
        <v>30</v>
      </c>
      <c r="N1271" s="23">
        <v>1.1599999999999999</v>
      </c>
      <c r="O1271" s="24">
        <v>6.8235294117647061E-2</v>
      </c>
      <c r="P1271" s="25" t="str">
        <f>IF(P1272="x","x","")</f>
        <v/>
      </c>
      <c r="Q1271" s="25" t="str">
        <f>IF(Q1272="x","x","")</f>
        <v/>
      </c>
      <c r="R1271" s="25" t="str">
        <f>IF(R1272="x","x","")</f>
        <v>x</v>
      </c>
      <c r="S1271" s="25" t="str">
        <f>IF(S1272="x","x","")</f>
        <v/>
      </c>
      <c r="T1271" s="25" t="s">
        <v>31</v>
      </c>
      <c r="U1271" s="26"/>
      <c r="V1271" s="27"/>
    </row>
    <row r="1272" spans="1:22" ht="32.25" thickBot="1" x14ac:dyDescent="0.3">
      <c r="A1272" s="28" t="str">
        <f>A1271</f>
        <v>Mexico</v>
      </c>
      <c r="B1272" s="28" t="str">
        <f>B1271</f>
        <v>Latin America and Caribbean</v>
      </c>
      <c r="C1272" s="28" t="str">
        <f>C1271</f>
        <v>P065779</v>
      </c>
      <c r="D1272" s="28" t="s">
        <v>26</v>
      </c>
      <c r="E1272" s="28" t="s">
        <v>27</v>
      </c>
      <c r="F1272" s="28" t="str">
        <f>F1271</f>
        <v>P065779C1S8</v>
      </c>
      <c r="G1272" s="28" t="s">
        <v>16</v>
      </c>
      <c r="H1272" s="29" t="str">
        <f>H1270&amp;" / "&amp;H1271</f>
        <v>2000 / 2007</v>
      </c>
      <c r="I1272" s="29" t="str">
        <f>I1271</f>
        <v>Reconstruction</v>
      </c>
      <c r="J1272" s="97" t="str">
        <f>IFERROR(J1271/J1270,"")</f>
        <v/>
      </c>
      <c r="K1272" s="32">
        <f>K1271/K1270</f>
        <v>1</v>
      </c>
      <c r="L1272" s="32">
        <f>L1271/L1270</f>
        <v>0.45490196078431372</v>
      </c>
      <c r="M1272" s="28"/>
      <c r="N1272" s="32">
        <f>N1271/N1270</f>
        <v>0.45490196078431372</v>
      </c>
      <c r="O1272" s="32">
        <f>O1271/O1270</f>
        <v>0.45490196078431377</v>
      </c>
      <c r="P1272" s="33" t="str">
        <f>IF(K1272&lt;50%,"x","")</f>
        <v/>
      </c>
      <c r="Q1272" s="33" t="str">
        <f>IF(K1272&gt;150%,"x","")</f>
        <v/>
      </c>
      <c r="R1272" s="33" t="str">
        <f>IF(O1272&lt;50%,"x","")</f>
        <v>x</v>
      </c>
      <c r="S1272" s="33" t="str">
        <f>IF(O1272&gt;150%,"x","")</f>
        <v/>
      </c>
      <c r="T1272" s="33" t="s">
        <v>31</v>
      </c>
      <c r="U1272" s="34" t="s">
        <v>988</v>
      </c>
      <c r="V1272" s="35" t="s">
        <v>1004</v>
      </c>
    </row>
    <row r="1273" spans="1:22" ht="16.5" thickTop="1" x14ac:dyDescent="0.25">
      <c r="A1273" s="18" t="s">
        <v>494</v>
      </c>
      <c r="B1273" s="18" t="s">
        <v>946</v>
      </c>
      <c r="C1273" s="18" t="s">
        <v>495</v>
      </c>
      <c r="D1273" s="18" t="s">
        <v>26</v>
      </c>
      <c r="E1273" s="18" t="s">
        <v>249</v>
      </c>
      <c r="F1273" s="18" t="s">
        <v>583</v>
      </c>
      <c r="G1273" s="18" t="s">
        <v>29</v>
      </c>
      <c r="H1273" s="19">
        <v>2000</v>
      </c>
      <c r="I1273" s="18" t="s">
        <v>359</v>
      </c>
      <c r="J1273" s="101" t="s">
        <v>27</v>
      </c>
      <c r="K1273" s="20">
        <v>10</v>
      </c>
      <c r="L1273" s="21">
        <v>1.5</v>
      </c>
      <c r="M1273" s="22" t="s">
        <v>30</v>
      </c>
      <c r="N1273" s="23">
        <v>1.5</v>
      </c>
      <c r="O1273" s="24">
        <v>0.15</v>
      </c>
      <c r="P1273" s="25" t="str">
        <f>IF(P1275="x","x","")</f>
        <v/>
      </c>
      <c r="Q1273" s="25" t="str">
        <f>IF(Q1275="x","x","")</f>
        <v/>
      </c>
      <c r="R1273" s="25" t="str">
        <f>IF(R1275="x","x","")</f>
        <v/>
      </c>
      <c r="S1273" s="25" t="str">
        <f>IF(S1275="x","x","")</f>
        <v>x</v>
      </c>
      <c r="T1273" s="25" t="s">
        <v>31</v>
      </c>
      <c r="U1273" s="26"/>
      <c r="V1273" s="27"/>
    </row>
    <row r="1274" spans="1:22" x14ac:dyDescent="0.25">
      <c r="A1274" s="18" t="s">
        <v>494</v>
      </c>
      <c r="B1274" s="18" t="s">
        <v>946</v>
      </c>
      <c r="C1274" s="18" t="s">
        <v>495</v>
      </c>
      <c r="D1274" s="18" t="s">
        <v>26</v>
      </c>
      <c r="E1274" s="18" t="s">
        <v>249</v>
      </c>
      <c r="F1274" s="18" t="s">
        <v>583</v>
      </c>
      <c r="G1274" s="18" t="s">
        <v>32</v>
      </c>
      <c r="H1274" s="19">
        <v>2007</v>
      </c>
      <c r="I1274" s="18" t="s">
        <v>359</v>
      </c>
      <c r="J1274" s="101" t="s">
        <v>27</v>
      </c>
      <c r="K1274" s="20">
        <v>10</v>
      </c>
      <c r="L1274" s="21">
        <v>3.91</v>
      </c>
      <c r="M1274" s="22" t="s">
        <v>30</v>
      </c>
      <c r="N1274" s="23">
        <v>3.91</v>
      </c>
      <c r="O1274" s="24">
        <v>0.39100000000000001</v>
      </c>
      <c r="P1274" s="25" t="str">
        <f>IF(P1275="x","x","")</f>
        <v/>
      </c>
      <c r="Q1274" s="25" t="str">
        <f>IF(Q1275="x","x","")</f>
        <v/>
      </c>
      <c r="R1274" s="25" t="str">
        <f>IF(R1275="x","x","")</f>
        <v/>
      </c>
      <c r="S1274" s="25" t="str">
        <f>IF(S1275="x","x","")</f>
        <v>x</v>
      </c>
      <c r="T1274" s="25" t="s">
        <v>31</v>
      </c>
      <c r="U1274" s="26"/>
      <c r="V1274" s="27"/>
    </row>
    <row r="1275" spans="1:22" ht="63.75" thickBot="1" x14ac:dyDescent="0.3">
      <c r="A1275" s="28" t="str">
        <f>A1274</f>
        <v>Mexico</v>
      </c>
      <c r="B1275" s="28" t="str">
        <f>B1274</f>
        <v>Latin America and Caribbean</v>
      </c>
      <c r="C1275" s="28" t="str">
        <f>C1274</f>
        <v>P065779</v>
      </c>
      <c r="D1275" s="28" t="s">
        <v>26</v>
      </c>
      <c r="E1275" s="28" t="s">
        <v>27</v>
      </c>
      <c r="F1275" s="28" t="str">
        <f>F1274</f>
        <v>P065779C1S9</v>
      </c>
      <c r="G1275" s="28" t="s">
        <v>16</v>
      </c>
      <c r="H1275" s="29" t="str">
        <f>H1273&amp;" / "&amp;H1274</f>
        <v>2000 / 2007</v>
      </c>
      <c r="I1275" s="29" t="str">
        <f>I1274</f>
        <v>Reconstruction</v>
      </c>
      <c r="J1275" s="97" t="str">
        <f>IFERROR(J1274/J1273,"")</f>
        <v/>
      </c>
      <c r="K1275" s="32">
        <f>K1274/K1273</f>
        <v>1</v>
      </c>
      <c r="L1275" s="32">
        <f>L1274/L1273</f>
        <v>2.6066666666666669</v>
      </c>
      <c r="M1275" s="28"/>
      <c r="N1275" s="32">
        <f>N1274/N1273</f>
        <v>2.6066666666666669</v>
      </c>
      <c r="O1275" s="32">
        <f>O1274/O1273</f>
        <v>2.6066666666666669</v>
      </c>
      <c r="P1275" s="33" t="str">
        <f>IF(K1275&lt;50%,"x","")</f>
        <v/>
      </c>
      <c r="Q1275" s="33" t="str">
        <f>IF(K1275&gt;150%,"x","")</f>
        <v/>
      </c>
      <c r="R1275" s="33" t="str">
        <f>IF(O1275&lt;50%,"x","")</f>
        <v/>
      </c>
      <c r="S1275" s="33" t="str">
        <f>IF(O1275&gt;150%,"x","")</f>
        <v>x</v>
      </c>
      <c r="T1275" s="33" t="s">
        <v>31</v>
      </c>
      <c r="U1275" s="34" t="s">
        <v>999</v>
      </c>
      <c r="V1275" s="35" t="s">
        <v>1011</v>
      </c>
    </row>
    <row r="1276" spans="1:22" ht="16.5" thickTop="1" x14ac:dyDescent="0.25">
      <c r="A1276" s="18" t="s">
        <v>327</v>
      </c>
      <c r="B1276" s="18" t="s">
        <v>947</v>
      </c>
      <c r="C1276" s="18" t="s">
        <v>328</v>
      </c>
      <c r="D1276" s="18" t="s">
        <v>26</v>
      </c>
      <c r="E1276" s="18" t="s">
        <v>27</v>
      </c>
      <c r="F1276" s="18" t="s">
        <v>329</v>
      </c>
      <c r="G1276" s="18" t="s">
        <v>29</v>
      </c>
      <c r="H1276" s="19">
        <v>2005</v>
      </c>
      <c r="I1276" s="18" t="s">
        <v>364</v>
      </c>
      <c r="J1276" s="101" t="s">
        <v>27</v>
      </c>
      <c r="K1276" s="20">
        <v>180</v>
      </c>
      <c r="L1276" s="21">
        <v>44</v>
      </c>
      <c r="M1276" s="22" t="s">
        <v>30</v>
      </c>
      <c r="N1276" s="23">
        <v>44</v>
      </c>
      <c r="O1276" s="24">
        <v>0.24444444444444444</v>
      </c>
      <c r="P1276" s="25" t="str">
        <f>IF(P1278="x","x","")</f>
        <v>x</v>
      </c>
      <c r="Q1276" s="25" t="str">
        <f>IF(Q1278="x","x","")</f>
        <v/>
      </c>
      <c r="R1276" s="25" t="str">
        <f>IF(R1278="x","x","")</f>
        <v/>
      </c>
      <c r="S1276" s="25" t="str">
        <f>IF(S1278="x","x","")</f>
        <v>x</v>
      </c>
      <c r="T1276" s="25" t="s">
        <v>31</v>
      </c>
      <c r="U1276" s="26"/>
      <c r="V1276" s="27"/>
    </row>
    <row r="1277" spans="1:22" x14ac:dyDescent="0.25">
      <c r="A1277" s="18" t="s">
        <v>327</v>
      </c>
      <c r="B1277" s="18" t="s">
        <v>947</v>
      </c>
      <c r="C1277" s="18" t="s">
        <v>328</v>
      </c>
      <c r="D1277" s="18" t="s">
        <v>26</v>
      </c>
      <c r="E1277" s="18" t="s">
        <v>27</v>
      </c>
      <c r="F1277" s="18" t="s">
        <v>329</v>
      </c>
      <c r="G1277" s="18" t="s">
        <v>32</v>
      </c>
      <c r="H1277" s="19">
        <v>2013</v>
      </c>
      <c r="I1277" s="18" t="s">
        <v>364</v>
      </c>
      <c r="J1277" s="101" t="s">
        <v>27</v>
      </c>
      <c r="K1277" s="20">
        <v>87.1</v>
      </c>
      <c r="L1277" s="21">
        <v>67.2</v>
      </c>
      <c r="M1277" s="22" t="s">
        <v>30</v>
      </c>
      <c r="N1277" s="23">
        <v>67.2</v>
      </c>
      <c r="O1277" s="24">
        <v>0.77152698048220447</v>
      </c>
      <c r="P1277" s="25" t="str">
        <f>IF(P1278="x","x","")</f>
        <v>x</v>
      </c>
      <c r="Q1277" s="25" t="str">
        <f>IF(Q1278="x","x","")</f>
        <v/>
      </c>
      <c r="R1277" s="25" t="str">
        <f>IF(R1278="x","x","")</f>
        <v/>
      </c>
      <c r="S1277" s="25" t="str">
        <f>IF(S1278="x","x","")</f>
        <v>x</v>
      </c>
      <c r="T1277" s="25" t="s">
        <v>31</v>
      </c>
      <c r="U1277" s="26"/>
      <c r="V1277" s="27"/>
    </row>
    <row r="1278" spans="1:22" ht="142.5" thickBot="1" x14ac:dyDescent="0.3">
      <c r="A1278" s="28" t="str">
        <f>A1277</f>
        <v>Moldova</v>
      </c>
      <c r="B1278" s="28" t="str">
        <f>B1277</f>
        <v>Europe and Central Asia</v>
      </c>
      <c r="C1278" s="28" t="str">
        <f>C1277</f>
        <v>P100929</v>
      </c>
      <c r="D1278" s="28" t="s">
        <v>26</v>
      </c>
      <c r="E1278" s="28" t="s">
        <v>27</v>
      </c>
      <c r="F1278" s="28" t="str">
        <f>F1277</f>
        <v>P100929C1</v>
      </c>
      <c r="G1278" s="28" t="s">
        <v>16</v>
      </c>
      <c r="H1278" s="29" t="str">
        <f>H1276&amp;" / "&amp;H1277</f>
        <v>2005 / 2013</v>
      </c>
      <c r="I1278" s="29" t="str">
        <f>I1277</f>
        <v>Widening and Reconstruction</v>
      </c>
      <c r="J1278" s="97" t="str">
        <f>IFERROR(J1277/J1276,"")</f>
        <v/>
      </c>
      <c r="K1278" s="32">
        <f>K1277/K1276</f>
        <v>0.48388888888888887</v>
      </c>
      <c r="L1278" s="32">
        <f>L1277/L1276</f>
        <v>1.5272727272727273</v>
      </c>
      <c r="M1278" s="28"/>
      <c r="N1278" s="32">
        <f>N1277/N1276</f>
        <v>1.5272727272727273</v>
      </c>
      <c r="O1278" s="32">
        <f>O1277/O1276</f>
        <v>3.1562467383362911</v>
      </c>
      <c r="P1278" s="33" t="str">
        <f>IF(K1278&lt;50%,"x","")</f>
        <v>x</v>
      </c>
      <c r="Q1278" s="33" t="str">
        <f>IF(K1278&gt;150%,"x","")</f>
        <v/>
      </c>
      <c r="R1278" s="33" t="str">
        <f>IF(O1278&lt;50%,"x","")</f>
        <v/>
      </c>
      <c r="S1278" s="33" t="str">
        <f>IF(O1278&gt;150%,"x","")</f>
        <v>x</v>
      </c>
      <c r="T1278" s="33" t="s">
        <v>31</v>
      </c>
      <c r="U1278" s="34" t="s">
        <v>1192</v>
      </c>
      <c r="V1278" s="35" t="s">
        <v>1193</v>
      </c>
    </row>
    <row r="1279" spans="1:22" ht="16.5" thickTop="1" x14ac:dyDescent="0.25">
      <c r="A1279" s="18" t="s">
        <v>95</v>
      </c>
      <c r="B1279" s="18" t="s">
        <v>945</v>
      </c>
      <c r="C1279" s="18" t="s">
        <v>96</v>
      </c>
      <c r="D1279" s="18" t="s">
        <v>26</v>
      </c>
      <c r="E1279" s="18" t="s">
        <v>27</v>
      </c>
      <c r="F1279" s="18" t="s">
        <v>97</v>
      </c>
      <c r="G1279" s="18" t="s">
        <v>29</v>
      </c>
      <c r="H1279" s="19">
        <v>2001</v>
      </c>
      <c r="I1279" s="18" t="s">
        <v>387</v>
      </c>
      <c r="J1279" s="101" t="s">
        <v>27</v>
      </c>
      <c r="K1279" s="20">
        <v>356</v>
      </c>
      <c r="L1279" s="21">
        <v>38.200000000000003</v>
      </c>
      <c r="M1279" s="22" t="s">
        <v>30</v>
      </c>
      <c r="N1279" s="23">
        <v>38.200000000000003</v>
      </c>
      <c r="O1279" s="24">
        <v>0.10730337078651686</v>
      </c>
      <c r="P1279" s="25" t="str">
        <f>IF(P1281="x","x","")</f>
        <v/>
      </c>
      <c r="Q1279" s="25" t="str">
        <f>IF(Q1281="x","x","")</f>
        <v/>
      </c>
      <c r="R1279" s="25" t="str">
        <f>IF(R1281="x","x","")</f>
        <v/>
      </c>
      <c r="S1279" s="25" t="str">
        <f>IF(S1281="x","x","")</f>
        <v/>
      </c>
      <c r="T1279" s="25" t="s">
        <v>27</v>
      </c>
      <c r="U1279" s="26"/>
      <c r="V1279" s="27"/>
    </row>
    <row r="1280" spans="1:22" x14ac:dyDescent="0.25">
      <c r="A1280" s="18" t="s">
        <v>95</v>
      </c>
      <c r="B1280" s="18" t="s">
        <v>945</v>
      </c>
      <c r="C1280" s="18" t="s">
        <v>96</v>
      </c>
      <c r="D1280" s="18" t="s">
        <v>26</v>
      </c>
      <c r="E1280" s="18" t="s">
        <v>27</v>
      </c>
      <c r="F1280" s="18" t="s">
        <v>97</v>
      </c>
      <c r="G1280" s="18" t="s">
        <v>32</v>
      </c>
      <c r="H1280" s="19">
        <v>2008</v>
      </c>
      <c r="I1280" s="18" t="s">
        <v>387</v>
      </c>
      <c r="J1280" s="101" t="s">
        <v>27</v>
      </c>
      <c r="K1280" s="20">
        <v>433</v>
      </c>
      <c r="L1280" s="21">
        <v>40.83</v>
      </c>
      <c r="M1280" s="22" t="s">
        <v>30</v>
      </c>
      <c r="N1280" s="23">
        <v>40.83</v>
      </c>
      <c r="O1280" s="24">
        <v>9.4295612009237875E-2</v>
      </c>
      <c r="P1280" s="25" t="str">
        <f>IF(P1281="x","x","")</f>
        <v/>
      </c>
      <c r="Q1280" s="25" t="str">
        <f>IF(Q1281="x","x","")</f>
        <v/>
      </c>
      <c r="R1280" s="25" t="str">
        <f>IF(R1281="x","x","")</f>
        <v/>
      </c>
      <c r="S1280" s="25" t="str">
        <f>IF(S1281="x","x","")</f>
        <v/>
      </c>
      <c r="T1280" s="25" t="s">
        <v>27</v>
      </c>
      <c r="U1280" s="26"/>
      <c r="V1280" s="27"/>
    </row>
    <row r="1281" spans="1:22" ht="16.5" thickBot="1" x14ac:dyDescent="0.3">
      <c r="A1281" s="28" t="str">
        <f>A1280</f>
        <v>Mongolia</v>
      </c>
      <c r="B1281" s="28" t="str">
        <f>B1280</f>
        <v>East Asia and Pacific</v>
      </c>
      <c r="C1281" s="28" t="str">
        <f>C1280</f>
        <v>P056200</v>
      </c>
      <c r="D1281" s="28" t="s">
        <v>26</v>
      </c>
      <c r="E1281" s="28" t="s">
        <v>27</v>
      </c>
      <c r="F1281" s="28" t="str">
        <f>F1280</f>
        <v>P056200C1</v>
      </c>
      <c r="G1281" s="28" t="s">
        <v>16</v>
      </c>
      <c r="H1281" s="29" t="str">
        <f>H1279&amp;" / "&amp;H1280</f>
        <v>2001 / 2008</v>
      </c>
      <c r="I1281" s="29" t="str">
        <f>I1280</f>
        <v>Upgrading</v>
      </c>
      <c r="J1281" s="97" t="str">
        <f>IFERROR(J1280/J1279,"")</f>
        <v/>
      </c>
      <c r="K1281" s="32">
        <f>K1280/K1279</f>
        <v>1.2162921348314606</v>
      </c>
      <c r="L1281" s="32">
        <f>L1280/L1279</f>
        <v>1.0688481675392669</v>
      </c>
      <c r="M1281" s="28"/>
      <c r="N1281" s="32">
        <f>N1280/N1279</f>
        <v>1.0688481675392669</v>
      </c>
      <c r="O1281" s="32">
        <f>O1280/O1279</f>
        <v>0.87877586060965129</v>
      </c>
      <c r="P1281" s="33" t="str">
        <f>IF(K1281&lt;50%,"x","")</f>
        <v/>
      </c>
      <c r="Q1281" s="33" t="str">
        <f>IF(K1281&gt;150%,"x","")</f>
        <v/>
      </c>
      <c r="R1281" s="33" t="str">
        <f>IF(O1281&lt;50%,"x","")</f>
        <v/>
      </c>
      <c r="S1281" s="33" t="str">
        <f>IF(O1281&gt;150%,"x","")</f>
        <v/>
      </c>
      <c r="T1281" s="33" t="s">
        <v>27</v>
      </c>
      <c r="U1281" s="34" t="s">
        <v>27</v>
      </c>
      <c r="V1281" s="35" t="s">
        <v>27</v>
      </c>
    </row>
    <row r="1282" spans="1:22" ht="16.5" thickTop="1" x14ac:dyDescent="0.25">
      <c r="A1282" s="18" t="s">
        <v>228</v>
      </c>
      <c r="B1282" s="18" t="s">
        <v>949</v>
      </c>
      <c r="C1282" s="18" t="s">
        <v>229</v>
      </c>
      <c r="D1282" s="18" t="s">
        <v>26</v>
      </c>
      <c r="E1282" s="18" t="s">
        <v>27</v>
      </c>
      <c r="F1282" s="18" t="s">
        <v>230</v>
      </c>
      <c r="G1282" s="18" t="s">
        <v>29</v>
      </c>
      <c r="H1282" s="19">
        <v>2004</v>
      </c>
      <c r="I1282" s="18" t="s">
        <v>359</v>
      </c>
      <c r="J1282" s="101">
        <v>54</v>
      </c>
      <c r="K1282" s="20">
        <v>625</v>
      </c>
      <c r="L1282" s="21">
        <v>379.3</v>
      </c>
      <c r="M1282" s="22" t="s">
        <v>231</v>
      </c>
      <c r="N1282" s="23">
        <v>40.961123110151192</v>
      </c>
      <c r="O1282" s="24">
        <v>6.5537796976241902E-2</v>
      </c>
      <c r="P1282" s="25" t="str">
        <f>IF(P1284="x","x","")</f>
        <v/>
      </c>
      <c r="Q1282" s="25" t="str">
        <f>IF(Q1284="x","x","")</f>
        <v/>
      </c>
      <c r="R1282" s="25" t="str">
        <f>IF(R1284="x","x","")</f>
        <v/>
      </c>
      <c r="S1282" s="25" t="str">
        <f>IF(S1284="x","x","")</f>
        <v>x</v>
      </c>
      <c r="T1282" s="25" t="s">
        <v>31</v>
      </c>
      <c r="U1282" s="26"/>
      <c r="V1282" s="27"/>
    </row>
    <row r="1283" spans="1:22" x14ac:dyDescent="0.25">
      <c r="A1283" s="18" t="s">
        <v>228</v>
      </c>
      <c r="B1283" s="18" t="s">
        <v>949</v>
      </c>
      <c r="C1283" s="18" t="s">
        <v>229</v>
      </c>
      <c r="D1283" s="18" t="s">
        <v>26</v>
      </c>
      <c r="E1283" s="18" t="s">
        <v>27</v>
      </c>
      <c r="F1283" s="18" t="s">
        <v>230</v>
      </c>
      <c r="G1283" s="18" t="s">
        <v>32</v>
      </c>
      <c r="H1283" s="19">
        <v>2011</v>
      </c>
      <c r="I1283" s="18" t="s">
        <v>359</v>
      </c>
      <c r="J1283" s="101">
        <v>69</v>
      </c>
      <c r="K1283" s="20">
        <v>520</v>
      </c>
      <c r="L1283" s="21">
        <v>451.9</v>
      </c>
      <c r="M1283" s="22" t="s">
        <v>231</v>
      </c>
      <c r="N1283" s="23">
        <v>54.18465227817746</v>
      </c>
      <c r="O1283" s="24">
        <v>0.1042012543811105</v>
      </c>
      <c r="P1283" s="25" t="str">
        <f>IF(P1284="x","x","")</f>
        <v/>
      </c>
      <c r="Q1283" s="25" t="str">
        <f>IF(Q1284="x","x","")</f>
        <v/>
      </c>
      <c r="R1283" s="25" t="str">
        <f>IF(R1284="x","x","")</f>
        <v/>
      </c>
      <c r="S1283" s="25" t="str">
        <f>IF(S1284="x","x","")</f>
        <v>x</v>
      </c>
      <c r="T1283" s="25" t="s">
        <v>31</v>
      </c>
      <c r="U1283" s="26"/>
      <c r="V1283" s="27"/>
    </row>
    <row r="1284" spans="1:22" ht="63.75" thickBot="1" x14ac:dyDescent="0.3">
      <c r="A1284" s="28" t="str">
        <f>A1283</f>
        <v>Morocco</v>
      </c>
      <c r="B1284" s="28" t="str">
        <f>B1283</f>
        <v>Middle East and North Africa</v>
      </c>
      <c r="C1284" s="28" t="str">
        <f>C1283</f>
        <v>P082754</v>
      </c>
      <c r="D1284" s="28" t="s">
        <v>26</v>
      </c>
      <c r="E1284" s="28" t="s">
        <v>27</v>
      </c>
      <c r="F1284" s="28" t="str">
        <f>F1283</f>
        <v>P082754C1</v>
      </c>
      <c r="G1284" s="28" t="s">
        <v>16</v>
      </c>
      <c r="H1284" s="29" t="str">
        <f>H1282&amp;" / "&amp;H1283</f>
        <v>2004 / 2011</v>
      </c>
      <c r="I1284" s="29" t="str">
        <f>I1283</f>
        <v>Reconstruction</v>
      </c>
      <c r="J1284" s="97">
        <f>IFERROR(J1283/J1282,"")</f>
        <v>1.2777777777777777</v>
      </c>
      <c r="K1284" s="32">
        <f>K1283/K1282</f>
        <v>0.83199999999999996</v>
      </c>
      <c r="L1284" s="32">
        <f>L1283/L1282</f>
        <v>1.1914052201423675</v>
      </c>
      <c r="M1284" s="28"/>
      <c r="N1284" s="32">
        <f>N1283/N1282</f>
        <v>1.3228312156496789</v>
      </c>
      <c r="O1284" s="32">
        <f>O1283/O1282</f>
        <v>1.5899413649635565</v>
      </c>
      <c r="P1284" s="33" t="str">
        <f>IF(K1284&lt;50%,"x","")</f>
        <v/>
      </c>
      <c r="Q1284" s="33" t="str">
        <f>IF(K1284&gt;150%,"x","")</f>
        <v/>
      </c>
      <c r="R1284" s="33" t="str">
        <f>IF(O1284&lt;50%,"x","")</f>
        <v/>
      </c>
      <c r="S1284" s="33" t="str">
        <f>IF(O1284&gt;150%,"x","")</f>
        <v>x</v>
      </c>
      <c r="T1284" s="33" t="s">
        <v>31</v>
      </c>
      <c r="U1284" s="34" t="s">
        <v>986</v>
      </c>
      <c r="V1284" s="35" t="s">
        <v>1158</v>
      </c>
    </row>
    <row r="1285" spans="1:22" ht="16.5" thickTop="1" x14ac:dyDescent="0.25">
      <c r="A1285" s="18" t="s">
        <v>228</v>
      </c>
      <c r="B1285" s="18" t="s">
        <v>949</v>
      </c>
      <c r="C1285" s="18" t="s">
        <v>229</v>
      </c>
      <c r="D1285" s="18" t="s">
        <v>26</v>
      </c>
      <c r="E1285" s="18" t="s">
        <v>36</v>
      </c>
      <c r="F1285" s="18" t="s">
        <v>233</v>
      </c>
      <c r="G1285" s="18" t="s">
        <v>29</v>
      </c>
      <c r="H1285" s="19">
        <v>2004</v>
      </c>
      <c r="I1285" s="18" t="s">
        <v>359</v>
      </c>
      <c r="J1285" s="101">
        <v>54</v>
      </c>
      <c r="K1285" s="20">
        <v>24</v>
      </c>
      <c r="L1285" s="21">
        <v>14.4</v>
      </c>
      <c r="M1285" s="22" t="s">
        <v>231</v>
      </c>
      <c r="N1285" s="23">
        <v>1.5550755939524838</v>
      </c>
      <c r="O1285" s="24">
        <v>6.4794816414686832E-2</v>
      </c>
      <c r="P1285" s="25" t="str">
        <f>IF(P1287="x","x","")</f>
        <v/>
      </c>
      <c r="Q1285" s="25" t="str">
        <f>IF(Q1287="x","x","")</f>
        <v/>
      </c>
      <c r="R1285" s="25" t="str">
        <f>IF(R1287="x","x","")</f>
        <v/>
      </c>
      <c r="S1285" s="25" t="str">
        <f>IF(S1287="x","x","")</f>
        <v/>
      </c>
      <c r="T1285" s="25" t="s">
        <v>27</v>
      </c>
      <c r="U1285" s="26"/>
      <c r="V1285" s="27"/>
    </row>
    <row r="1286" spans="1:22" x14ac:dyDescent="0.25">
      <c r="A1286" s="18" t="s">
        <v>228</v>
      </c>
      <c r="B1286" s="18" t="s">
        <v>949</v>
      </c>
      <c r="C1286" s="18" t="s">
        <v>229</v>
      </c>
      <c r="D1286" s="18" t="s">
        <v>26</v>
      </c>
      <c r="E1286" s="18" t="s">
        <v>36</v>
      </c>
      <c r="F1286" s="18" t="s">
        <v>233</v>
      </c>
      <c r="G1286" s="18" t="s">
        <v>32</v>
      </c>
      <c r="H1286" s="19">
        <v>2011</v>
      </c>
      <c r="I1286" s="18" t="s">
        <v>359</v>
      </c>
      <c r="J1286" s="101">
        <v>69</v>
      </c>
      <c r="K1286" s="20">
        <v>18.7</v>
      </c>
      <c r="L1286" s="21">
        <v>13.19</v>
      </c>
      <c r="M1286" s="22" t="s">
        <v>231</v>
      </c>
      <c r="N1286" s="23">
        <v>1.5815347721822541</v>
      </c>
      <c r="O1286" s="24">
        <v>8.4574051988355839E-2</v>
      </c>
      <c r="P1286" s="25" t="str">
        <f>IF(P1287="x","x","")</f>
        <v/>
      </c>
      <c r="Q1286" s="25" t="str">
        <f>IF(Q1287="x","x","")</f>
        <v/>
      </c>
      <c r="R1286" s="25" t="str">
        <f>IF(R1287="x","x","")</f>
        <v/>
      </c>
      <c r="S1286" s="25" t="str">
        <f>IF(S1287="x","x","")</f>
        <v/>
      </c>
      <c r="T1286" s="25" t="s">
        <v>27</v>
      </c>
      <c r="U1286" s="26"/>
      <c r="V1286" s="27"/>
    </row>
    <row r="1287" spans="1:22" ht="16.5" thickBot="1" x14ac:dyDescent="0.3">
      <c r="A1287" s="28" t="str">
        <f>A1286</f>
        <v>Morocco</v>
      </c>
      <c r="B1287" s="28" t="str">
        <f>B1286</f>
        <v>Middle East and North Africa</v>
      </c>
      <c r="C1287" s="28" t="str">
        <f>C1286</f>
        <v>P082754</v>
      </c>
      <c r="D1287" s="28" t="s">
        <v>26</v>
      </c>
      <c r="E1287" s="28" t="s">
        <v>27</v>
      </c>
      <c r="F1287" s="28" t="str">
        <f>F1286</f>
        <v>P082754C1S1</v>
      </c>
      <c r="G1287" s="28" t="s">
        <v>16</v>
      </c>
      <c r="H1287" s="29" t="str">
        <f>H1285&amp;" / "&amp;H1286</f>
        <v>2004 / 2011</v>
      </c>
      <c r="I1287" s="29" t="str">
        <f>I1286</f>
        <v>Reconstruction</v>
      </c>
      <c r="J1287" s="97">
        <f>IFERROR(J1286/J1285,"")</f>
        <v>1.2777777777777777</v>
      </c>
      <c r="K1287" s="32">
        <f>K1286/K1285</f>
        <v>0.77916666666666667</v>
      </c>
      <c r="L1287" s="32">
        <f>L1286/L1285</f>
        <v>0.91597222222222219</v>
      </c>
      <c r="M1287" s="28"/>
      <c r="N1287" s="32">
        <f>N1286/N1285</f>
        <v>1.0170147215560883</v>
      </c>
      <c r="O1287" s="32">
        <f>O1286/O1285</f>
        <v>1.3052595356869583</v>
      </c>
      <c r="P1287" s="33" t="str">
        <f>IF(K1287&lt;50%,"x","")</f>
        <v/>
      </c>
      <c r="Q1287" s="33" t="str">
        <f>IF(K1287&gt;150%,"x","")</f>
        <v/>
      </c>
      <c r="R1287" s="33" t="str">
        <f>IF(O1287&lt;50%,"x","")</f>
        <v/>
      </c>
      <c r="S1287" s="33" t="str">
        <f>IF(O1287&gt;150%,"x","")</f>
        <v/>
      </c>
      <c r="T1287" s="33" t="s">
        <v>27</v>
      </c>
      <c r="U1287" s="34" t="s">
        <v>27</v>
      </c>
      <c r="V1287" s="35" t="s">
        <v>27</v>
      </c>
    </row>
    <row r="1288" spans="1:22" ht="16.5" thickTop="1" x14ac:dyDescent="0.25">
      <c r="A1288" s="18" t="s">
        <v>228</v>
      </c>
      <c r="B1288" s="18" t="s">
        <v>949</v>
      </c>
      <c r="C1288" s="18" t="s">
        <v>229</v>
      </c>
      <c r="D1288" s="18" t="s">
        <v>26</v>
      </c>
      <c r="E1288" s="18" t="s">
        <v>234</v>
      </c>
      <c r="F1288" s="18" t="s">
        <v>235</v>
      </c>
      <c r="G1288" s="18" t="s">
        <v>29</v>
      </c>
      <c r="H1288" s="19">
        <v>2004</v>
      </c>
      <c r="I1288" s="18" t="s">
        <v>359</v>
      </c>
      <c r="J1288" s="101">
        <v>54</v>
      </c>
      <c r="K1288" s="20">
        <v>9</v>
      </c>
      <c r="L1288" s="21">
        <v>7.2</v>
      </c>
      <c r="M1288" s="22" t="s">
        <v>231</v>
      </c>
      <c r="N1288" s="23">
        <v>0.77753779697624192</v>
      </c>
      <c r="O1288" s="24">
        <v>8.6393088552915775E-2</v>
      </c>
      <c r="P1288" s="25" t="str">
        <f>IF(P1290="x","x","")</f>
        <v/>
      </c>
      <c r="Q1288" s="25" t="str">
        <f>IF(Q1290="x","x","")</f>
        <v/>
      </c>
      <c r="R1288" s="25" t="str">
        <f>IF(R1290="x","x","")</f>
        <v/>
      </c>
      <c r="S1288" s="25" t="str">
        <f>IF(S1290="x","x","")</f>
        <v>x</v>
      </c>
      <c r="T1288" s="25" t="s">
        <v>31</v>
      </c>
      <c r="U1288" s="26"/>
      <c r="V1288" s="27"/>
    </row>
    <row r="1289" spans="1:22" x14ac:dyDescent="0.25">
      <c r="A1289" s="18" t="s">
        <v>228</v>
      </c>
      <c r="B1289" s="18" t="s">
        <v>949</v>
      </c>
      <c r="C1289" s="18" t="s">
        <v>229</v>
      </c>
      <c r="D1289" s="18" t="s">
        <v>26</v>
      </c>
      <c r="E1289" s="18" t="s">
        <v>234</v>
      </c>
      <c r="F1289" s="18" t="s">
        <v>235</v>
      </c>
      <c r="G1289" s="18" t="s">
        <v>32</v>
      </c>
      <c r="H1289" s="19">
        <v>2011</v>
      </c>
      <c r="I1289" s="18" t="s">
        <v>359</v>
      </c>
      <c r="J1289" s="101">
        <v>69</v>
      </c>
      <c r="K1289" s="20">
        <v>8.8000000000000007</v>
      </c>
      <c r="L1289" s="21">
        <v>12.04</v>
      </c>
      <c r="M1289" s="22" t="s">
        <v>231</v>
      </c>
      <c r="N1289" s="23">
        <v>1.4436450839328536</v>
      </c>
      <c r="O1289" s="24">
        <v>0.16405057771964243</v>
      </c>
      <c r="P1289" s="25" t="str">
        <f>IF(P1290="x","x","")</f>
        <v/>
      </c>
      <c r="Q1289" s="25" t="str">
        <f>IF(Q1290="x","x","")</f>
        <v/>
      </c>
      <c r="R1289" s="25" t="str">
        <f>IF(R1290="x","x","")</f>
        <v/>
      </c>
      <c r="S1289" s="25" t="str">
        <f>IF(S1290="x","x","")</f>
        <v>x</v>
      </c>
      <c r="T1289" s="25" t="s">
        <v>31</v>
      </c>
      <c r="U1289" s="26"/>
      <c r="V1289" s="27"/>
    </row>
    <row r="1290" spans="1:22" ht="63.75" thickBot="1" x14ac:dyDescent="0.3">
      <c r="A1290" s="28" t="str">
        <f>A1289</f>
        <v>Morocco</v>
      </c>
      <c r="B1290" s="28" t="str">
        <f>B1289</f>
        <v>Middle East and North Africa</v>
      </c>
      <c r="C1290" s="28" t="str">
        <f>C1289</f>
        <v>P082754</v>
      </c>
      <c r="D1290" s="28" t="s">
        <v>26</v>
      </c>
      <c r="E1290" s="28" t="s">
        <v>27</v>
      </c>
      <c r="F1290" s="28" t="str">
        <f>F1289</f>
        <v>P082754C1S10</v>
      </c>
      <c r="G1290" s="28" t="s">
        <v>16</v>
      </c>
      <c r="H1290" s="29" t="str">
        <f>H1288&amp;" / "&amp;H1289</f>
        <v>2004 / 2011</v>
      </c>
      <c r="I1290" s="29" t="str">
        <f>I1289</f>
        <v>Reconstruction</v>
      </c>
      <c r="J1290" s="97">
        <f>IFERROR(J1289/J1288,"")</f>
        <v>1.2777777777777777</v>
      </c>
      <c r="K1290" s="32">
        <f>K1289/K1288</f>
        <v>0.97777777777777786</v>
      </c>
      <c r="L1290" s="32">
        <f>L1289/L1288</f>
        <v>1.6722222222222221</v>
      </c>
      <c r="M1290" s="28"/>
      <c r="N1290" s="32">
        <f>N1289/N1288</f>
        <v>1.8566879829469756</v>
      </c>
      <c r="O1290" s="32">
        <f>O1289/O1288</f>
        <v>1.8988854371048609</v>
      </c>
      <c r="P1290" s="33" t="str">
        <f>IF(K1290&lt;50%,"x","")</f>
        <v/>
      </c>
      <c r="Q1290" s="33" t="str">
        <f>IF(K1290&gt;150%,"x","")</f>
        <v/>
      </c>
      <c r="R1290" s="33" t="str">
        <f>IF(O1290&lt;50%,"x","")</f>
        <v/>
      </c>
      <c r="S1290" s="33" t="str">
        <f>IF(O1290&gt;150%,"x","")</f>
        <v>x</v>
      </c>
      <c r="T1290" s="33" t="s">
        <v>31</v>
      </c>
      <c r="U1290" s="34" t="s">
        <v>986</v>
      </c>
      <c r="V1290" s="35" t="s">
        <v>1158</v>
      </c>
    </row>
    <row r="1291" spans="1:22" ht="16.5" thickTop="1" x14ac:dyDescent="0.25">
      <c r="A1291" s="18" t="s">
        <v>228</v>
      </c>
      <c r="B1291" s="18" t="s">
        <v>949</v>
      </c>
      <c r="C1291" s="18" t="s">
        <v>229</v>
      </c>
      <c r="D1291" s="18" t="s">
        <v>26</v>
      </c>
      <c r="E1291" s="18" t="s">
        <v>236</v>
      </c>
      <c r="F1291" s="18" t="s">
        <v>237</v>
      </c>
      <c r="G1291" s="18" t="s">
        <v>29</v>
      </c>
      <c r="H1291" s="19">
        <v>2004</v>
      </c>
      <c r="I1291" s="18" t="s">
        <v>359</v>
      </c>
      <c r="J1291" s="101">
        <v>54</v>
      </c>
      <c r="K1291" s="20">
        <v>10</v>
      </c>
      <c r="L1291" s="21">
        <v>3.4</v>
      </c>
      <c r="M1291" s="22" t="s">
        <v>231</v>
      </c>
      <c r="N1291" s="23">
        <v>0.367170626349892</v>
      </c>
      <c r="O1291" s="24">
        <v>3.6717062634989202E-2</v>
      </c>
      <c r="P1291" s="25" t="str">
        <f>IF(P1293="x","x","")</f>
        <v/>
      </c>
      <c r="Q1291" s="25" t="str">
        <f>IF(Q1293="x","x","")</f>
        <v/>
      </c>
      <c r="R1291" s="25" t="str">
        <f>IF(R1293="x","x","")</f>
        <v/>
      </c>
      <c r="S1291" s="25" t="str">
        <f>IF(S1293="x","x","")</f>
        <v>x</v>
      </c>
      <c r="T1291" s="25" t="s">
        <v>31</v>
      </c>
      <c r="U1291" s="26"/>
      <c r="V1291" s="27"/>
    </row>
    <row r="1292" spans="1:22" x14ac:dyDescent="0.25">
      <c r="A1292" s="18" t="s">
        <v>228</v>
      </c>
      <c r="B1292" s="18" t="s">
        <v>949</v>
      </c>
      <c r="C1292" s="18" t="s">
        <v>229</v>
      </c>
      <c r="D1292" s="18" t="s">
        <v>26</v>
      </c>
      <c r="E1292" s="18" t="s">
        <v>236</v>
      </c>
      <c r="F1292" s="18" t="s">
        <v>237</v>
      </c>
      <c r="G1292" s="18" t="s">
        <v>32</v>
      </c>
      <c r="H1292" s="19">
        <v>2011</v>
      </c>
      <c r="I1292" s="18" t="s">
        <v>359</v>
      </c>
      <c r="J1292" s="101">
        <v>69</v>
      </c>
      <c r="K1292" s="20">
        <v>9.5</v>
      </c>
      <c r="L1292" s="21">
        <v>7.98</v>
      </c>
      <c r="M1292" s="22" t="s">
        <v>231</v>
      </c>
      <c r="N1292" s="23">
        <v>0.95683453237410077</v>
      </c>
      <c r="O1292" s="24">
        <v>0.10071942446043165</v>
      </c>
      <c r="P1292" s="25" t="str">
        <f>IF(P1293="x","x","")</f>
        <v/>
      </c>
      <c r="Q1292" s="25" t="str">
        <f>IF(Q1293="x","x","")</f>
        <v/>
      </c>
      <c r="R1292" s="25" t="str">
        <f>IF(R1293="x","x","")</f>
        <v/>
      </c>
      <c r="S1292" s="25" t="str">
        <f>IF(S1293="x","x","")</f>
        <v>x</v>
      </c>
      <c r="T1292" s="25" t="s">
        <v>31</v>
      </c>
      <c r="U1292" s="26"/>
      <c r="V1292" s="27"/>
    </row>
    <row r="1293" spans="1:22" ht="63.75" thickBot="1" x14ac:dyDescent="0.3">
      <c r="A1293" s="28" t="str">
        <f>A1292</f>
        <v>Morocco</v>
      </c>
      <c r="B1293" s="28" t="str">
        <f>B1292</f>
        <v>Middle East and North Africa</v>
      </c>
      <c r="C1293" s="28" t="str">
        <f>C1292</f>
        <v>P082754</v>
      </c>
      <c r="D1293" s="28" t="s">
        <v>26</v>
      </c>
      <c r="E1293" s="28" t="s">
        <v>27</v>
      </c>
      <c r="F1293" s="28" t="str">
        <f>F1292</f>
        <v>P082754C1S11</v>
      </c>
      <c r="G1293" s="28" t="s">
        <v>16</v>
      </c>
      <c r="H1293" s="29" t="str">
        <f>H1291&amp;" / "&amp;H1292</f>
        <v>2004 / 2011</v>
      </c>
      <c r="I1293" s="29" t="str">
        <f>I1292</f>
        <v>Reconstruction</v>
      </c>
      <c r="J1293" s="97">
        <f>IFERROR(J1292/J1291,"")</f>
        <v>1.2777777777777777</v>
      </c>
      <c r="K1293" s="32">
        <f>K1292/K1291</f>
        <v>0.95</v>
      </c>
      <c r="L1293" s="32">
        <f>L1292/L1291</f>
        <v>2.3470588235294119</v>
      </c>
      <c r="M1293" s="28"/>
      <c r="N1293" s="32">
        <f>N1292/N1291</f>
        <v>2.6059669911129921</v>
      </c>
      <c r="O1293" s="32">
        <f>O1292/O1291</f>
        <v>2.7431231485399916</v>
      </c>
      <c r="P1293" s="33" t="str">
        <f>IF(K1293&lt;50%,"x","")</f>
        <v/>
      </c>
      <c r="Q1293" s="33" t="str">
        <f>IF(K1293&gt;150%,"x","")</f>
        <v/>
      </c>
      <c r="R1293" s="33" t="str">
        <f>IF(O1293&lt;50%,"x","")</f>
        <v/>
      </c>
      <c r="S1293" s="33" t="str">
        <f>IF(O1293&gt;150%,"x","")</f>
        <v>x</v>
      </c>
      <c r="T1293" s="33" t="s">
        <v>31</v>
      </c>
      <c r="U1293" s="34" t="s">
        <v>986</v>
      </c>
      <c r="V1293" s="35" t="s">
        <v>1158</v>
      </c>
    </row>
    <row r="1294" spans="1:22" ht="16.5" thickTop="1" x14ac:dyDescent="0.25">
      <c r="A1294" s="18" t="s">
        <v>228</v>
      </c>
      <c r="B1294" s="18" t="s">
        <v>949</v>
      </c>
      <c r="C1294" s="18" t="s">
        <v>229</v>
      </c>
      <c r="D1294" s="18" t="s">
        <v>26</v>
      </c>
      <c r="E1294" s="18" t="s">
        <v>238</v>
      </c>
      <c r="F1294" s="18" t="s">
        <v>239</v>
      </c>
      <c r="G1294" s="18" t="s">
        <v>29</v>
      </c>
      <c r="H1294" s="19">
        <v>2004</v>
      </c>
      <c r="I1294" s="18" t="s">
        <v>359</v>
      </c>
      <c r="J1294" s="101">
        <v>54</v>
      </c>
      <c r="K1294" s="20">
        <v>28</v>
      </c>
      <c r="L1294" s="21">
        <v>10.56</v>
      </c>
      <c r="M1294" s="22" t="s">
        <v>231</v>
      </c>
      <c r="N1294" s="23">
        <v>1.1403887688984882</v>
      </c>
      <c r="O1294" s="24">
        <v>4.0728170317803146E-2</v>
      </c>
      <c r="P1294" s="25" t="str">
        <f>IF(P1296="x","x","")</f>
        <v/>
      </c>
      <c r="Q1294" s="25" t="str">
        <f>IF(Q1296="x","x","")</f>
        <v/>
      </c>
      <c r="R1294" s="25" t="str">
        <f>IF(R1296="x","x","")</f>
        <v/>
      </c>
      <c r="S1294" s="25" t="str">
        <f>IF(S1296="x","x","")</f>
        <v/>
      </c>
      <c r="T1294" s="25" t="s">
        <v>27</v>
      </c>
      <c r="U1294" s="26"/>
      <c r="V1294" s="27"/>
    </row>
    <row r="1295" spans="1:22" x14ac:dyDescent="0.25">
      <c r="A1295" s="18" t="s">
        <v>228</v>
      </c>
      <c r="B1295" s="18" t="s">
        <v>949</v>
      </c>
      <c r="C1295" s="18" t="s">
        <v>229</v>
      </c>
      <c r="D1295" s="18" t="s">
        <v>26</v>
      </c>
      <c r="E1295" s="18" t="s">
        <v>238</v>
      </c>
      <c r="F1295" s="18" t="s">
        <v>239</v>
      </c>
      <c r="G1295" s="18" t="s">
        <v>32</v>
      </c>
      <c r="H1295" s="19">
        <v>2011</v>
      </c>
      <c r="I1295" s="18" t="s">
        <v>359</v>
      </c>
      <c r="J1295" s="101">
        <v>69</v>
      </c>
      <c r="K1295" s="20">
        <v>28.9</v>
      </c>
      <c r="L1295" s="21">
        <v>10.75</v>
      </c>
      <c r="M1295" s="22" t="s">
        <v>231</v>
      </c>
      <c r="N1295" s="23">
        <v>1.2889688249400479</v>
      </c>
      <c r="O1295" s="24">
        <v>4.4600997402769828E-2</v>
      </c>
      <c r="P1295" s="25" t="str">
        <f>IF(P1296="x","x","")</f>
        <v/>
      </c>
      <c r="Q1295" s="25" t="str">
        <f>IF(Q1296="x","x","")</f>
        <v/>
      </c>
      <c r="R1295" s="25" t="str">
        <f>IF(R1296="x","x","")</f>
        <v/>
      </c>
      <c r="S1295" s="25" t="str">
        <f>IF(S1296="x","x","")</f>
        <v/>
      </c>
      <c r="T1295" s="25" t="s">
        <v>27</v>
      </c>
      <c r="U1295" s="26"/>
      <c r="V1295" s="27"/>
    </row>
    <row r="1296" spans="1:22" ht="16.5" thickBot="1" x14ac:dyDescent="0.3">
      <c r="A1296" s="28" t="str">
        <f>A1295</f>
        <v>Morocco</v>
      </c>
      <c r="B1296" s="28" t="str">
        <f>B1295</f>
        <v>Middle East and North Africa</v>
      </c>
      <c r="C1296" s="28" t="str">
        <f>C1295</f>
        <v>P082754</v>
      </c>
      <c r="D1296" s="28" t="s">
        <v>26</v>
      </c>
      <c r="E1296" s="28" t="s">
        <v>27</v>
      </c>
      <c r="F1296" s="28" t="str">
        <f>F1295</f>
        <v>P082754C1S12</v>
      </c>
      <c r="G1296" s="28" t="s">
        <v>16</v>
      </c>
      <c r="H1296" s="29" t="str">
        <f>H1294&amp;" / "&amp;H1295</f>
        <v>2004 / 2011</v>
      </c>
      <c r="I1296" s="29" t="str">
        <f>I1295</f>
        <v>Reconstruction</v>
      </c>
      <c r="J1296" s="97">
        <f>IFERROR(J1295/J1294,"")</f>
        <v>1.2777777777777777</v>
      </c>
      <c r="K1296" s="32">
        <f>K1295/K1294</f>
        <v>1.032142857142857</v>
      </c>
      <c r="L1296" s="32">
        <f>L1295/L1294</f>
        <v>1.0179924242424241</v>
      </c>
      <c r="M1296" s="28"/>
      <c r="N1296" s="32">
        <f>N1295/N1294</f>
        <v>1.1302889506576557</v>
      </c>
      <c r="O1296" s="32">
        <f>O1295/O1294</f>
        <v>1.0950896407755835</v>
      </c>
      <c r="P1296" s="33" t="str">
        <f>IF(K1296&lt;50%,"x","")</f>
        <v/>
      </c>
      <c r="Q1296" s="33" t="str">
        <f>IF(K1296&gt;150%,"x","")</f>
        <v/>
      </c>
      <c r="R1296" s="33" t="str">
        <f>IF(O1296&lt;50%,"x","")</f>
        <v/>
      </c>
      <c r="S1296" s="33" t="str">
        <f>IF(O1296&gt;150%,"x","")</f>
        <v/>
      </c>
      <c r="T1296" s="33" t="s">
        <v>27</v>
      </c>
      <c r="U1296" s="34" t="s">
        <v>27</v>
      </c>
      <c r="V1296" s="35" t="s">
        <v>27</v>
      </c>
    </row>
    <row r="1297" spans="1:22" ht="16.5" thickTop="1" x14ac:dyDescent="0.25">
      <c r="A1297" s="18" t="s">
        <v>228</v>
      </c>
      <c r="B1297" s="18" t="s">
        <v>949</v>
      </c>
      <c r="C1297" s="18" t="s">
        <v>229</v>
      </c>
      <c r="D1297" s="18" t="s">
        <v>26</v>
      </c>
      <c r="E1297" s="18" t="s">
        <v>40</v>
      </c>
      <c r="F1297" s="18" t="s">
        <v>240</v>
      </c>
      <c r="G1297" s="18" t="s">
        <v>29</v>
      </c>
      <c r="H1297" s="19">
        <v>2004</v>
      </c>
      <c r="I1297" s="18" t="s">
        <v>359</v>
      </c>
      <c r="J1297" s="101">
        <v>54</v>
      </c>
      <c r="K1297" s="20">
        <v>27.5</v>
      </c>
      <c r="L1297" s="21">
        <v>24</v>
      </c>
      <c r="M1297" s="22" t="s">
        <v>231</v>
      </c>
      <c r="N1297" s="23">
        <v>2.5917926565874732</v>
      </c>
      <c r="O1297" s="24">
        <v>9.4247005694089933E-2</v>
      </c>
      <c r="P1297" s="25" t="str">
        <f>IF(P1299="x","x","")</f>
        <v/>
      </c>
      <c r="Q1297" s="25" t="str">
        <f>IF(Q1299="x","x","")</f>
        <v/>
      </c>
      <c r="R1297" s="25" t="str">
        <f>IF(R1299="x","x","")</f>
        <v/>
      </c>
      <c r="S1297" s="25" t="str">
        <f>IF(S1299="x","x","")</f>
        <v/>
      </c>
      <c r="T1297" s="25" t="s">
        <v>27</v>
      </c>
      <c r="U1297" s="26"/>
      <c r="V1297" s="27"/>
    </row>
    <row r="1298" spans="1:22" x14ac:dyDescent="0.25">
      <c r="A1298" s="18" t="s">
        <v>228</v>
      </c>
      <c r="B1298" s="18" t="s">
        <v>949</v>
      </c>
      <c r="C1298" s="18" t="s">
        <v>229</v>
      </c>
      <c r="D1298" s="18" t="s">
        <v>26</v>
      </c>
      <c r="E1298" s="18" t="s">
        <v>40</v>
      </c>
      <c r="F1298" s="18" t="s">
        <v>240</v>
      </c>
      <c r="G1298" s="18" t="s">
        <v>32</v>
      </c>
      <c r="H1298" s="19">
        <v>2011</v>
      </c>
      <c r="I1298" s="18" t="s">
        <v>359</v>
      </c>
      <c r="J1298" s="101">
        <v>69</v>
      </c>
      <c r="K1298" s="20">
        <v>27.6</v>
      </c>
      <c r="L1298" s="21">
        <v>26.22</v>
      </c>
      <c r="M1298" s="22" t="s">
        <v>231</v>
      </c>
      <c r="N1298" s="23">
        <v>3.1438848920863309</v>
      </c>
      <c r="O1298" s="24">
        <v>0.11390887290167866</v>
      </c>
      <c r="P1298" s="25" t="str">
        <f>IF(P1299="x","x","")</f>
        <v/>
      </c>
      <c r="Q1298" s="25" t="str">
        <f>IF(Q1299="x","x","")</f>
        <v/>
      </c>
      <c r="R1298" s="25" t="str">
        <f>IF(R1299="x","x","")</f>
        <v/>
      </c>
      <c r="S1298" s="25" t="str">
        <f>IF(S1299="x","x","")</f>
        <v/>
      </c>
      <c r="T1298" s="25" t="s">
        <v>27</v>
      </c>
      <c r="U1298" s="26"/>
      <c r="V1298" s="27"/>
    </row>
    <row r="1299" spans="1:22" ht="16.5" thickBot="1" x14ac:dyDescent="0.3">
      <c r="A1299" s="28" t="str">
        <f>A1298</f>
        <v>Morocco</v>
      </c>
      <c r="B1299" s="28" t="str">
        <f>B1298</f>
        <v>Middle East and North Africa</v>
      </c>
      <c r="C1299" s="28" t="str">
        <f>C1298</f>
        <v>P082754</v>
      </c>
      <c r="D1299" s="28" t="s">
        <v>26</v>
      </c>
      <c r="E1299" s="28" t="s">
        <v>27</v>
      </c>
      <c r="F1299" s="28" t="str">
        <f>F1298</f>
        <v>P082754C1S2</v>
      </c>
      <c r="G1299" s="28" t="s">
        <v>16</v>
      </c>
      <c r="H1299" s="29" t="str">
        <f>H1297&amp;" / "&amp;H1298</f>
        <v>2004 / 2011</v>
      </c>
      <c r="I1299" s="29" t="str">
        <f>I1298</f>
        <v>Reconstruction</v>
      </c>
      <c r="J1299" s="97">
        <f>IFERROR(J1298/J1297,"")</f>
        <v>1.2777777777777777</v>
      </c>
      <c r="K1299" s="32">
        <f>K1298/K1297</f>
        <v>1.0036363636363637</v>
      </c>
      <c r="L1299" s="32">
        <f>L1298/L1297</f>
        <v>1.0925</v>
      </c>
      <c r="M1299" s="28"/>
      <c r="N1299" s="32">
        <f>N1298/N1297</f>
        <v>1.213015587529976</v>
      </c>
      <c r="O1299" s="32">
        <f>O1298/O1297</f>
        <v>1.2086206035171863</v>
      </c>
      <c r="P1299" s="33" t="str">
        <f>IF(K1299&lt;50%,"x","")</f>
        <v/>
      </c>
      <c r="Q1299" s="33" t="str">
        <f>IF(K1299&gt;150%,"x","")</f>
        <v/>
      </c>
      <c r="R1299" s="33" t="str">
        <f>IF(O1299&lt;50%,"x","")</f>
        <v/>
      </c>
      <c r="S1299" s="33" t="str">
        <f>IF(O1299&gt;150%,"x","")</f>
        <v/>
      </c>
      <c r="T1299" s="33" t="s">
        <v>27</v>
      </c>
      <c r="U1299" s="34" t="s">
        <v>27</v>
      </c>
      <c r="V1299" s="35" t="s">
        <v>27</v>
      </c>
    </row>
    <row r="1300" spans="1:22" ht="16.5" thickTop="1" x14ac:dyDescent="0.25">
      <c r="A1300" s="18" t="s">
        <v>228</v>
      </c>
      <c r="B1300" s="18" t="s">
        <v>949</v>
      </c>
      <c r="C1300" s="18" t="s">
        <v>229</v>
      </c>
      <c r="D1300" s="18" t="s">
        <v>26</v>
      </c>
      <c r="E1300" s="18" t="s">
        <v>69</v>
      </c>
      <c r="F1300" s="18" t="s">
        <v>241</v>
      </c>
      <c r="G1300" s="18" t="s">
        <v>29</v>
      </c>
      <c r="H1300" s="19">
        <v>2004</v>
      </c>
      <c r="I1300" s="18" t="s">
        <v>359</v>
      </c>
      <c r="J1300" s="101">
        <v>54</v>
      </c>
      <c r="K1300" s="20">
        <v>7</v>
      </c>
      <c r="L1300" s="21">
        <v>4.4000000000000004</v>
      </c>
      <c r="M1300" s="22" t="s">
        <v>231</v>
      </c>
      <c r="N1300" s="23">
        <v>0.47516198704103679</v>
      </c>
      <c r="O1300" s="24">
        <v>6.788028386300525E-2</v>
      </c>
      <c r="P1300" s="25" t="str">
        <f>IF(P1302="x","x","")</f>
        <v/>
      </c>
      <c r="Q1300" s="25" t="str">
        <f>IF(Q1302="x","x","")</f>
        <v/>
      </c>
      <c r="R1300" s="25" t="str">
        <f>IF(R1302="x","x","")</f>
        <v/>
      </c>
      <c r="S1300" s="25" t="str">
        <f>IF(S1302="x","x","")</f>
        <v/>
      </c>
      <c r="T1300" s="25" t="s">
        <v>27</v>
      </c>
      <c r="U1300" s="26"/>
      <c r="V1300" s="27"/>
    </row>
    <row r="1301" spans="1:22" x14ac:dyDescent="0.25">
      <c r="A1301" s="18" t="s">
        <v>228</v>
      </c>
      <c r="B1301" s="18" t="s">
        <v>949</v>
      </c>
      <c r="C1301" s="18" t="s">
        <v>229</v>
      </c>
      <c r="D1301" s="18" t="s">
        <v>26</v>
      </c>
      <c r="E1301" s="18" t="s">
        <v>69</v>
      </c>
      <c r="F1301" s="18" t="s">
        <v>241</v>
      </c>
      <c r="G1301" s="18" t="s">
        <v>32</v>
      </c>
      <c r="H1301" s="19">
        <v>2011</v>
      </c>
      <c r="I1301" s="18" t="s">
        <v>359</v>
      </c>
      <c r="J1301" s="101">
        <v>69</v>
      </c>
      <c r="K1301" s="20">
        <v>7.7</v>
      </c>
      <c r="L1301" s="21">
        <v>5.98</v>
      </c>
      <c r="M1301" s="22" t="s">
        <v>231</v>
      </c>
      <c r="N1301" s="23">
        <v>0.71702637889688259</v>
      </c>
      <c r="O1301" s="24">
        <v>9.3120308947647085E-2</v>
      </c>
      <c r="P1301" s="25" t="str">
        <f>IF(P1302="x","x","")</f>
        <v/>
      </c>
      <c r="Q1301" s="25" t="str">
        <f>IF(Q1302="x","x","")</f>
        <v/>
      </c>
      <c r="R1301" s="25" t="str">
        <f>IF(R1302="x","x","")</f>
        <v/>
      </c>
      <c r="S1301" s="25" t="str">
        <f>IF(S1302="x","x","")</f>
        <v/>
      </c>
      <c r="T1301" s="25" t="s">
        <v>27</v>
      </c>
      <c r="U1301" s="26"/>
      <c r="V1301" s="27"/>
    </row>
    <row r="1302" spans="1:22" ht="16.5" thickBot="1" x14ac:dyDescent="0.3">
      <c r="A1302" s="28" t="str">
        <f>A1301</f>
        <v>Morocco</v>
      </c>
      <c r="B1302" s="28" t="str">
        <f>B1301</f>
        <v>Middle East and North Africa</v>
      </c>
      <c r="C1302" s="28" t="str">
        <f>C1301</f>
        <v>P082754</v>
      </c>
      <c r="D1302" s="28" t="s">
        <v>26</v>
      </c>
      <c r="E1302" s="28" t="s">
        <v>27</v>
      </c>
      <c r="F1302" s="28" t="str">
        <f>F1301</f>
        <v>P082754C1S3</v>
      </c>
      <c r="G1302" s="28" t="s">
        <v>16</v>
      </c>
      <c r="H1302" s="29" t="str">
        <f>H1300&amp;" / "&amp;H1301</f>
        <v>2004 / 2011</v>
      </c>
      <c r="I1302" s="29" t="str">
        <f>I1301</f>
        <v>Reconstruction</v>
      </c>
      <c r="J1302" s="97">
        <f>IFERROR(J1301/J1300,"")</f>
        <v>1.2777777777777777</v>
      </c>
      <c r="K1302" s="32">
        <f>K1301/K1300</f>
        <v>1.1000000000000001</v>
      </c>
      <c r="L1302" s="32">
        <f>L1301/L1300</f>
        <v>1.3590909090909091</v>
      </c>
      <c r="M1302" s="28"/>
      <c r="N1302" s="32">
        <f>N1301/N1300</f>
        <v>1.5090146064966208</v>
      </c>
      <c r="O1302" s="32">
        <f>O1301/O1300</f>
        <v>1.3718314604514736</v>
      </c>
      <c r="P1302" s="33" t="str">
        <f>IF(K1302&lt;50%,"x","")</f>
        <v/>
      </c>
      <c r="Q1302" s="33" t="str">
        <f>IF(K1302&gt;150%,"x","")</f>
        <v/>
      </c>
      <c r="R1302" s="33" t="str">
        <f>IF(O1302&lt;50%,"x","")</f>
        <v/>
      </c>
      <c r="S1302" s="33" t="str">
        <f>IF(O1302&gt;150%,"x","")</f>
        <v/>
      </c>
      <c r="T1302" s="33" t="s">
        <v>27</v>
      </c>
      <c r="U1302" s="34" t="s">
        <v>27</v>
      </c>
      <c r="V1302" s="35" t="s">
        <v>27</v>
      </c>
    </row>
    <row r="1303" spans="1:22" ht="16.5" thickTop="1" x14ac:dyDescent="0.25">
      <c r="A1303" s="18" t="s">
        <v>228</v>
      </c>
      <c r="B1303" s="18" t="s">
        <v>949</v>
      </c>
      <c r="C1303" s="18" t="s">
        <v>229</v>
      </c>
      <c r="D1303" s="18" t="s">
        <v>26</v>
      </c>
      <c r="E1303" s="18" t="s">
        <v>71</v>
      </c>
      <c r="F1303" s="18" t="s">
        <v>242</v>
      </c>
      <c r="G1303" s="18" t="s">
        <v>29</v>
      </c>
      <c r="H1303" s="19">
        <v>2004</v>
      </c>
      <c r="I1303" s="18" t="s">
        <v>359</v>
      </c>
      <c r="J1303" s="101">
        <v>54</v>
      </c>
      <c r="K1303" s="20">
        <v>14</v>
      </c>
      <c r="L1303" s="21">
        <v>8.8000000000000007</v>
      </c>
      <c r="M1303" s="22" t="s">
        <v>231</v>
      </c>
      <c r="N1303" s="23">
        <v>0.95032397408207359</v>
      </c>
      <c r="O1303" s="24">
        <v>6.788028386300525E-2</v>
      </c>
      <c r="P1303" s="25" t="str">
        <f>IF(P1305="x","x","")</f>
        <v/>
      </c>
      <c r="Q1303" s="25" t="str">
        <f>IF(Q1305="x","x","")</f>
        <v/>
      </c>
      <c r="R1303" s="25" t="str">
        <f>IF(R1305="x","x","")</f>
        <v/>
      </c>
      <c r="S1303" s="25" t="str">
        <f>IF(S1305="x","x","")</f>
        <v/>
      </c>
      <c r="T1303" s="25" t="s">
        <v>27</v>
      </c>
      <c r="U1303" s="26"/>
      <c r="V1303" s="27"/>
    </row>
    <row r="1304" spans="1:22" x14ac:dyDescent="0.25">
      <c r="A1304" s="18" t="s">
        <v>228</v>
      </c>
      <c r="B1304" s="18" t="s">
        <v>949</v>
      </c>
      <c r="C1304" s="18" t="s">
        <v>229</v>
      </c>
      <c r="D1304" s="18" t="s">
        <v>26</v>
      </c>
      <c r="E1304" s="18" t="s">
        <v>71</v>
      </c>
      <c r="F1304" s="18" t="s">
        <v>242</v>
      </c>
      <c r="G1304" s="18" t="s">
        <v>32</v>
      </c>
      <c r="H1304" s="19">
        <v>2011</v>
      </c>
      <c r="I1304" s="18" t="s">
        <v>359</v>
      </c>
      <c r="J1304" s="101">
        <v>69</v>
      </c>
      <c r="K1304" s="20">
        <v>13.7</v>
      </c>
      <c r="L1304" s="21">
        <v>9.5500000000000007</v>
      </c>
      <c r="M1304" s="22" t="s">
        <v>231</v>
      </c>
      <c r="N1304" s="23">
        <v>1.1450839328537172</v>
      </c>
      <c r="O1304" s="24">
        <v>8.3582768821439224E-2</v>
      </c>
      <c r="P1304" s="25" t="str">
        <f>IF(P1305="x","x","")</f>
        <v/>
      </c>
      <c r="Q1304" s="25" t="str">
        <f>IF(Q1305="x","x","")</f>
        <v/>
      </c>
      <c r="R1304" s="25" t="str">
        <f>IF(R1305="x","x","")</f>
        <v/>
      </c>
      <c r="S1304" s="25" t="str">
        <f>IF(S1305="x","x","")</f>
        <v/>
      </c>
      <c r="T1304" s="25" t="s">
        <v>27</v>
      </c>
      <c r="U1304" s="26"/>
      <c r="V1304" s="27"/>
    </row>
    <row r="1305" spans="1:22" ht="16.5" thickBot="1" x14ac:dyDescent="0.3">
      <c r="A1305" s="28" t="str">
        <f>A1304</f>
        <v>Morocco</v>
      </c>
      <c r="B1305" s="28" t="str">
        <f>B1304</f>
        <v>Middle East and North Africa</v>
      </c>
      <c r="C1305" s="28" t="str">
        <f>C1304</f>
        <v>P082754</v>
      </c>
      <c r="D1305" s="28" t="s">
        <v>26</v>
      </c>
      <c r="E1305" s="28" t="s">
        <v>27</v>
      </c>
      <c r="F1305" s="28" t="str">
        <f>F1304</f>
        <v>P082754C1S4</v>
      </c>
      <c r="G1305" s="28" t="s">
        <v>16</v>
      </c>
      <c r="H1305" s="29" t="str">
        <f>H1303&amp;" / "&amp;H1304</f>
        <v>2004 / 2011</v>
      </c>
      <c r="I1305" s="29" t="str">
        <f>I1304</f>
        <v>Reconstruction</v>
      </c>
      <c r="J1305" s="97">
        <f>IFERROR(J1304/J1303,"")</f>
        <v>1.2777777777777777</v>
      </c>
      <c r="K1305" s="32">
        <f>K1304/K1303</f>
        <v>0.97857142857142854</v>
      </c>
      <c r="L1305" s="32">
        <f>L1304/L1303</f>
        <v>1.0852272727272727</v>
      </c>
      <c r="M1305" s="28"/>
      <c r="N1305" s="32">
        <f>N1304/N1303</f>
        <v>1.2049405929801613</v>
      </c>
      <c r="O1305" s="32">
        <f>O1304/O1303</f>
        <v>1.2313261534103841</v>
      </c>
      <c r="P1305" s="33" t="str">
        <f>IF(K1305&lt;50%,"x","")</f>
        <v/>
      </c>
      <c r="Q1305" s="33" t="str">
        <f>IF(K1305&gt;150%,"x","")</f>
        <v/>
      </c>
      <c r="R1305" s="33" t="str">
        <f>IF(O1305&lt;50%,"x","")</f>
        <v/>
      </c>
      <c r="S1305" s="33" t="str">
        <f>IF(O1305&gt;150%,"x","")</f>
        <v/>
      </c>
      <c r="T1305" s="33" t="s">
        <v>27</v>
      </c>
      <c r="U1305" s="34" t="s">
        <v>27</v>
      </c>
      <c r="V1305" s="35" t="s">
        <v>27</v>
      </c>
    </row>
    <row r="1306" spans="1:22" ht="16.5" thickTop="1" x14ac:dyDescent="0.25">
      <c r="A1306" s="18" t="s">
        <v>228</v>
      </c>
      <c r="B1306" s="18" t="s">
        <v>949</v>
      </c>
      <c r="C1306" s="18" t="s">
        <v>229</v>
      </c>
      <c r="D1306" s="18" t="s">
        <v>26</v>
      </c>
      <c r="E1306" s="18" t="s">
        <v>141</v>
      </c>
      <c r="F1306" s="18" t="s">
        <v>243</v>
      </c>
      <c r="G1306" s="18" t="s">
        <v>29</v>
      </c>
      <c r="H1306" s="19">
        <v>2004</v>
      </c>
      <c r="I1306" s="18" t="s">
        <v>359</v>
      </c>
      <c r="J1306" s="101">
        <v>54</v>
      </c>
      <c r="K1306" s="20">
        <v>10</v>
      </c>
      <c r="L1306" s="21">
        <v>8.32</v>
      </c>
      <c r="M1306" s="22" t="s">
        <v>231</v>
      </c>
      <c r="N1306" s="23">
        <v>0.89848812095032404</v>
      </c>
      <c r="O1306" s="24">
        <v>8.9848812095032399E-2</v>
      </c>
      <c r="P1306" s="25" t="str">
        <f>IF(P1308="x","x","")</f>
        <v/>
      </c>
      <c r="Q1306" s="25" t="str">
        <f>IF(Q1308="x","x","")</f>
        <v/>
      </c>
      <c r="R1306" s="25" t="str">
        <f>IF(R1308="x","x","")</f>
        <v/>
      </c>
      <c r="S1306" s="25" t="str">
        <f>IF(S1308="x","x","")</f>
        <v/>
      </c>
      <c r="T1306" s="25" t="s">
        <v>27</v>
      </c>
      <c r="U1306" s="26"/>
      <c r="V1306" s="27"/>
    </row>
    <row r="1307" spans="1:22" x14ac:dyDescent="0.25">
      <c r="A1307" s="18" t="s">
        <v>228</v>
      </c>
      <c r="B1307" s="18" t="s">
        <v>949</v>
      </c>
      <c r="C1307" s="18" t="s">
        <v>229</v>
      </c>
      <c r="D1307" s="18" t="s">
        <v>26</v>
      </c>
      <c r="E1307" s="18" t="s">
        <v>141</v>
      </c>
      <c r="F1307" s="18" t="s">
        <v>243</v>
      </c>
      <c r="G1307" s="18" t="s">
        <v>32</v>
      </c>
      <c r="H1307" s="19">
        <v>2011</v>
      </c>
      <c r="I1307" s="18" t="s">
        <v>359</v>
      </c>
      <c r="J1307" s="101">
        <v>69</v>
      </c>
      <c r="K1307" s="20">
        <v>10.1</v>
      </c>
      <c r="L1307" s="21">
        <v>7.37</v>
      </c>
      <c r="M1307" s="22" t="s">
        <v>231</v>
      </c>
      <c r="N1307" s="23">
        <v>0.88369304556354922</v>
      </c>
      <c r="O1307" s="24">
        <v>8.7494360946886063E-2</v>
      </c>
      <c r="P1307" s="25" t="str">
        <f>IF(P1308="x","x","")</f>
        <v/>
      </c>
      <c r="Q1307" s="25" t="str">
        <f>IF(Q1308="x","x","")</f>
        <v/>
      </c>
      <c r="R1307" s="25" t="str">
        <f>IF(R1308="x","x","")</f>
        <v/>
      </c>
      <c r="S1307" s="25" t="str">
        <f>IF(S1308="x","x","")</f>
        <v/>
      </c>
      <c r="T1307" s="25" t="s">
        <v>27</v>
      </c>
      <c r="U1307" s="26"/>
      <c r="V1307" s="27"/>
    </row>
    <row r="1308" spans="1:22" ht="16.5" thickBot="1" x14ac:dyDescent="0.3">
      <c r="A1308" s="28" t="str">
        <f>A1307</f>
        <v>Morocco</v>
      </c>
      <c r="B1308" s="28" t="str">
        <f>B1307</f>
        <v>Middle East and North Africa</v>
      </c>
      <c r="C1308" s="28" t="str">
        <f>C1307</f>
        <v>P082754</v>
      </c>
      <c r="D1308" s="28" t="s">
        <v>26</v>
      </c>
      <c r="E1308" s="28" t="s">
        <v>27</v>
      </c>
      <c r="F1308" s="28" t="str">
        <f>F1307</f>
        <v>P082754C1S5</v>
      </c>
      <c r="G1308" s="28" t="s">
        <v>16</v>
      </c>
      <c r="H1308" s="29" t="str">
        <f>H1306&amp;" / "&amp;H1307</f>
        <v>2004 / 2011</v>
      </c>
      <c r="I1308" s="29" t="str">
        <f>I1307</f>
        <v>Reconstruction</v>
      </c>
      <c r="J1308" s="97">
        <f>IFERROR(J1307/J1306,"")</f>
        <v>1.2777777777777777</v>
      </c>
      <c r="K1308" s="32">
        <f>K1307/K1306</f>
        <v>1.01</v>
      </c>
      <c r="L1308" s="32">
        <f>L1307/L1306</f>
        <v>0.88581730769230771</v>
      </c>
      <c r="M1308" s="28"/>
      <c r="N1308" s="32">
        <f>N1307/N1306</f>
        <v>0.98353336561520011</v>
      </c>
      <c r="O1308" s="32">
        <f>O1307/O1306</f>
        <v>0.97379541150019822</v>
      </c>
      <c r="P1308" s="33" t="str">
        <f>IF(K1308&lt;50%,"x","")</f>
        <v/>
      </c>
      <c r="Q1308" s="33" t="str">
        <f>IF(K1308&gt;150%,"x","")</f>
        <v/>
      </c>
      <c r="R1308" s="33" t="str">
        <f>IF(O1308&lt;50%,"x","")</f>
        <v/>
      </c>
      <c r="S1308" s="33" t="str">
        <f>IF(O1308&gt;150%,"x","")</f>
        <v/>
      </c>
      <c r="T1308" s="33" t="s">
        <v>27</v>
      </c>
      <c r="U1308" s="34" t="s">
        <v>27</v>
      </c>
      <c r="V1308" s="35" t="s">
        <v>27</v>
      </c>
    </row>
    <row r="1309" spans="1:22" ht="16.5" thickTop="1" x14ac:dyDescent="0.25">
      <c r="A1309" s="18" t="s">
        <v>228</v>
      </c>
      <c r="B1309" s="18" t="s">
        <v>949</v>
      </c>
      <c r="C1309" s="18" t="s">
        <v>229</v>
      </c>
      <c r="D1309" s="18" t="s">
        <v>26</v>
      </c>
      <c r="E1309" s="18" t="s">
        <v>143</v>
      </c>
      <c r="F1309" s="18" t="s">
        <v>244</v>
      </c>
      <c r="G1309" s="18" t="s">
        <v>29</v>
      </c>
      <c r="H1309" s="19">
        <v>2004</v>
      </c>
      <c r="I1309" s="18" t="s">
        <v>359</v>
      </c>
      <c r="J1309" s="101">
        <v>54</v>
      </c>
      <c r="K1309" s="20">
        <v>20</v>
      </c>
      <c r="L1309" s="21">
        <v>12.32</v>
      </c>
      <c r="M1309" s="22" t="s">
        <v>231</v>
      </c>
      <c r="N1309" s="23">
        <v>1.3304535637149029</v>
      </c>
      <c r="O1309" s="24">
        <v>6.6522678185745143E-2</v>
      </c>
      <c r="P1309" s="25" t="str">
        <f>IF(P1311="x","x","")</f>
        <v/>
      </c>
      <c r="Q1309" s="25" t="str">
        <f>IF(Q1311="x","x","")</f>
        <v/>
      </c>
      <c r="R1309" s="25" t="str">
        <f>IF(R1311="x","x","")</f>
        <v/>
      </c>
      <c r="S1309" s="25" t="str">
        <f>IF(S1311="x","x","")</f>
        <v/>
      </c>
      <c r="T1309" s="25" t="s">
        <v>27</v>
      </c>
      <c r="U1309" s="26"/>
      <c r="V1309" s="27"/>
    </row>
    <row r="1310" spans="1:22" x14ac:dyDescent="0.25">
      <c r="A1310" s="18" t="s">
        <v>228</v>
      </c>
      <c r="B1310" s="18" t="s">
        <v>949</v>
      </c>
      <c r="C1310" s="18" t="s">
        <v>229</v>
      </c>
      <c r="D1310" s="18" t="s">
        <v>26</v>
      </c>
      <c r="E1310" s="18" t="s">
        <v>143</v>
      </c>
      <c r="F1310" s="18" t="s">
        <v>244</v>
      </c>
      <c r="G1310" s="18" t="s">
        <v>32</v>
      </c>
      <c r="H1310" s="19">
        <v>2011</v>
      </c>
      <c r="I1310" s="18" t="s">
        <v>359</v>
      </c>
      <c r="J1310" s="101">
        <v>69</v>
      </c>
      <c r="K1310" s="20">
        <v>18.5</v>
      </c>
      <c r="L1310" s="21">
        <v>15.22</v>
      </c>
      <c r="M1310" s="22" t="s">
        <v>231</v>
      </c>
      <c r="N1310" s="23">
        <v>1.8249400479616309</v>
      </c>
      <c r="O1310" s="24">
        <v>9.8645407997925996E-2</v>
      </c>
      <c r="P1310" s="25" t="str">
        <f>IF(P1311="x","x","")</f>
        <v/>
      </c>
      <c r="Q1310" s="25" t="str">
        <f>IF(Q1311="x","x","")</f>
        <v/>
      </c>
      <c r="R1310" s="25" t="str">
        <f>IF(R1311="x","x","")</f>
        <v/>
      </c>
      <c r="S1310" s="25" t="str">
        <f>IF(S1311="x","x","")</f>
        <v/>
      </c>
      <c r="T1310" s="25" t="s">
        <v>27</v>
      </c>
      <c r="U1310" s="26"/>
      <c r="V1310" s="27"/>
    </row>
    <row r="1311" spans="1:22" ht="16.5" thickBot="1" x14ac:dyDescent="0.3">
      <c r="A1311" s="28" t="str">
        <f>A1310</f>
        <v>Morocco</v>
      </c>
      <c r="B1311" s="28" t="str">
        <f>B1310</f>
        <v>Middle East and North Africa</v>
      </c>
      <c r="C1311" s="28" t="str">
        <f>C1310</f>
        <v>P082754</v>
      </c>
      <c r="D1311" s="28" t="s">
        <v>26</v>
      </c>
      <c r="E1311" s="28" t="s">
        <v>27</v>
      </c>
      <c r="F1311" s="28" t="str">
        <f>F1310</f>
        <v>P082754C1S6</v>
      </c>
      <c r="G1311" s="28" t="s">
        <v>16</v>
      </c>
      <c r="H1311" s="29" t="str">
        <f>H1309&amp;" / "&amp;H1310</f>
        <v>2004 / 2011</v>
      </c>
      <c r="I1311" s="29" t="str">
        <f>I1310</f>
        <v>Reconstruction</v>
      </c>
      <c r="J1311" s="97">
        <f>IFERROR(J1310/J1309,"")</f>
        <v>1.2777777777777777</v>
      </c>
      <c r="K1311" s="32">
        <f>K1310/K1309</f>
        <v>0.92500000000000004</v>
      </c>
      <c r="L1311" s="32">
        <f>L1310/L1309</f>
        <v>1.2353896103896105</v>
      </c>
      <c r="M1311" s="28"/>
      <c r="N1311" s="32">
        <f>N1310/N1309</f>
        <v>1.3716676009841478</v>
      </c>
      <c r="O1311" s="32">
        <f>O1310/O1309</f>
        <v>1.4828838929558354</v>
      </c>
      <c r="P1311" s="33" t="str">
        <f>IF(K1311&lt;50%,"x","")</f>
        <v/>
      </c>
      <c r="Q1311" s="33" t="str">
        <f>IF(K1311&gt;150%,"x","")</f>
        <v/>
      </c>
      <c r="R1311" s="33" t="str">
        <f>IF(O1311&lt;50%,"x","")</f>
        <v/>
      </c>
      <c r="S1311" s="33" t="str">
        <f>IF(O1311&gt;150%,"x","")</f>
        <v/>
      </c>
      <c r="T1311" s="33" t="s">
        <v>27</v>
      </c>
      <c r="U1311" s="34" t="s">
        <v>27</v>
      </c>
      <c r="V1311" s="35" t="s">
        <v>27</v>
      </c>
    </row>
    <row r="1312" spans="1:22" ht="16.5" thickTop="1" x14ac:dyDescent="0.25">
      <c r="A1312" s="18" t="s">
        <v>228</v>
      </c>
      <c r="B1312" s="18" t="s">
        <v>949</v>
      </c>
      <c r="C1312" s="18" t="s">
        <v>229</v>
      </c>
      <c r="D1312" s="18" t="s">
        <v>26</v>
      </c>
      <c r="E1312" s="18" t="s">
        <v>245</v>
      </c>
      <c r="F1312" s="18" t="s">
        <v>246</v>
      </c>
      <c r="G1312" s="18" t="s">
        <v>29</v>
      </c>
      <c r="H1312" s="19">
        <v>2004</v>
      </c>
      <c r="I1312" s="18" t="s">
        <v>359</v>
      </c>
      <c r="J1312" s="101">
        <v>54</v>
      </c>
      <c r="K1312" s="20">
        <v>13</v>
      </c>
      <c r="L1312" s="21">
        <v>8.32</v>
      </c>
      <c r="M1312" s="22" t="s">
        <v>231</v>
      </c>
      <c r="N1312" s="23">
        <v>0.89848812095032404</v>
      </c>
      <c r="O1312" s="24">
        <v>6.9114470842332618E-2</v>
      </c>
      <c r="P1312" s="25" t="str">
        <f>IF(P1314="x","x","")</f>
        <v/>
      </c>
      <c r="Q1312" s="25" t="str">
        <f>IF(Q1314="x","x","")</f>
        <v/>
      </c>
      <c r="R1312" s="25" t="str">
        <f>IF(R1314="x","x","")</f>
        <v/>
      </c>
      <c r="S1312" s="25" t="str">
        <f>IF(S1314="x","x","")</f>
        <v/>
      </c>
      <c r="T1312" s="25" t="s">
        <v>27</v>
      </c>
      <c r="U1312" s="26"/>
      <c r="V1312" s="27"/>
    </row>
    <row r="1313" spans="1:22" x14ac:dyDescent="0.25">
      <c r="A1313" s="18" t="s">
        <v>228</v>
      </c>
      <c r="B1313" s="18" t="s">
        <v>949</v>
      </c>
      <c r="C1313" s="18" t="s">
        <v>229</v>
      </c>
      <c r="D1313" s="18" t="s">
        <v>26</v>
      </c>
      <c r="E1313" s="18" t="s">
        <v>245</v>
      </c>
      <c r="F1313" s="18" t="s">
        <v>246</v>
      </c>
      <c r="G1313" s="18" t="s">
        <v>32</v>
      </c>
      <c r="H1313" s="19">
        <v>2011</v>
      </c>
      <c r="I1313" s="18" t="s">
        <v>359</v>
      </c>
      <c r="J1313" s="101">
        <v>69</v>
      </c>
      <c r="K1313" s="20">
        <v>11.5</v>
      </c>
      <c r="L1313" s="21">
        <v>7.82</v>
      </c>
      <c r="M1313" s="22" t="s">
        <v>231</v>
      </c>
      <c r="N1313" s="23">
        <v>0.93764988009592332</v>
      </c>
      <c r="O1313" s="24">
        <v>8.1534772182254203E-2</v>
      </c>
      <c r="P1313" s="25" t="str">
        <f>IF(P1314="x","x","")</f>
        <v/>
      </c>
      <c r="Q1313" s="25" t="str">
        <f>IF(Q1314="x","x","")</f>
        <v/>
      </c>
      <c r="R1313" s="25" t="str">
        <f>IF(R1314="x","x","")</f>
        <v/>
      </c>
      <c r="S1313" s="25" t="str">
        <f>IF(S1314="x","x","")</f>
        <v/>
      </c>
      <c r="T1313" s="25" t="s">
        <v>27</v>
      </c>
      <c r="U1313" s="26"/>
      <c r="V1313" s="27"/>
    </row>
    <row r="1314" spans="1:22" ht="16.5" thickBot="1" x14ac:dyDescent="0.3">
      <c r="A1314" s="28" t="str">
        <f>A1313</f>
        <v>Morocco</v>
      </c>
      <c r="B1314" s="28" t="str">
        <f>B1313</f>
        <v>Middle East and North Africa</v>
      </c>
      <c r="C1314" s="28" t="str">
        <f>C1313</f>
        <v>P082754</v>
      </c>
      <c r="D1314" s="28" t="s">
        <v>26</v>
      </c>
      <c r="E1314" s="28" t="s">
        <v>27</v>
      </c>
      <c r="F1314" s="28" t="str">
        <f>F1313</f>
        <v>P082754C1S7</v>
      </c>
      <c r="G1314" s="28" t="s">
        <v>16</v>
      </c>
      <c r="H1314" s="29" t="str">
        <f>H1312&amp;" / "&amp;H1313</f>
        <v>2004 / 2011</v>
      </c>
      <c r="I1314" s="29" t="str">
        <f>I1313</f>
        <v>Reconstruction</v>
      </c>
      <c r="J1314" s="97">
        <f>IFERROR(J1313/J1312,"")</f>
        <v>1.2777777777777777</v>
      </c>
      <c r="K1314" s="32">
        <f>K1313/K1312</f>
        <v>0.88461538461538458</v>
      </c>
      <c r="L1314" s="32">
        <f>L1313/L1312</f>
        <v>0.93990384615384615</v>
      </c>
      <c r="M1314" s="28"/>
      <c r="N1314" s="32">
        <f>N1313/N1312</f>
        <v>1.0435862848182993</v>
      </c>
      <c r="O1314" s="32">
        <f>O1313/O1312</f>
        <v>1.1797062350119905</v>
      </c>
      <c r="P1314" s="33" t="str">
        <f>IF(K1314&lt;50%,"x","")</f>
        <v/>
      </c>
      <c r="Q1314" s="33" t="str">
        <f>IF(K1314&gt;150%,"x","")</f>
        <v/>
      </c>
      <c r="R1314" s="33" t="str">
        <f>IF(O1314&lt;50%,"x","")</f>
        <v/>
      </c>
      <c r="S1314" s="33" t="str">
        <f>IF(O1314&gt;150%,"x","")</f>
        <v/>
      </c>
      <c r="T1314" s="33" t="s">
        <v>27</v>
      </c>
      <c r="U1314" s="34" t="s">
        <v>27</v>
      </c>
      <c r="V1314" s="35" t="s">
        <v>27</v>
      </c>
    </row>
    <row r="1315" spans="1:22" ht="16.5" thickTop="1" x14ac:dyDescent="0.25">
      <c r="A1315" s="18" t="s">
        <v>228</v>
      </c>
      <c r="B1315" s="18" t="s">
        <v>949</v>
      </c>
      <c r="C1315" s="18" t="s">
        <v>229</v>
      </c>
      <c r="D1315" s="18" t="s">
        <v>26</v>
      </c>
      <c r="E1315" s="18" t="s">
        <v>247</v>
      </c>
      <c r="F1315" s="18" t="s">
        <v>248</v>
      </c>
      <c r="G1315" s="18" t="s">
        <v>29</v>
      </c>
      <c r="H1315" s="19">
        <v>2004</v>
      </c>
      <c r="I1315" s="18" t="s">
        <v>359</v>
      </c>
      <c r="J1315" s="101">
        <v>54</v>
      </c>
      <c r="K1315" s="20">
        <v>13</v>
      </c>
      <c r="L1315" s="21">
        <v>8.32</v>
      </c>
      <c r="M1315" s="22" t="s">
        <v>231</v>
      </c>
      <c r="N1315" s="23">
        <v>0.89848812095032404</v>
      </c>
      <c r="O1315" s="24">
        <v>6.9114470842332618E-2</v>
      </c>
      <c r="P1315" s="25" t="str">
        <f>IF(P1317="x","x","")</f>
        <v/>
      </c>
      <c r="Q1315" s="25" t="str">
        <f>IF(Q1317="x","x","")</f>
        <v/>
      </c>
      <c r="R1315" s="25" t="str">
        <f>IF(R1317="x","x","")</f>
        <v/>
      </c>
      <c r="S1315" s="25" t="str">
        <f>IF(S1317="x","x","")</f>
        <v/>
      </c>
      <c r="T1315" s="25" t="s">
        <v>27</v>
      </c>
      <c r="U1315" s="26"/>
      <c r="V1315" s="27"/>
    </row>
    <row r="1316" spans="1:22" x14ac:dyDescent="0.25">
      <c r="A1316" s="18" t="s">
        <v>228</v>
      </c>
      <c r="B1316" s="18" t="s">
        <v>949</v>
      </c>
      <c r="C1316" s="18" t="s">
        <v>229</v>
      </c>
      <c r="D1316" s="18" t="s">
        <v>26</v>
      </c>
      <c r="E1316" s="18" t="s">
        <v>247</v>
      </c>
      <c r="F1316" s="18" t="s">
        <v>248</v>
      </c>
      <c r="G1316" s="18" t="s">
        <v>32</v>
      </c>
      <c r="H1316" s="19">
        <v>2011</v>
      </c>
      <c r="I1316" s="18" t="s">
        <v>359</v>
      </c>
      <c r="J1316" s="101">
        <v>69</v>
      </c>
      <c r="K1316" s="20">
        <v>11.2</v>
      </c>
      <c r="L1316" s="21">
        <v>7.82</v>
      </c>
      <c r="M1316" s="22" t="s">
        <v>231</v>
      </c>
      <c r="N1316" s="23">
        <v>0.93764988009592332</v>
      </c>
      <c r="O1316" s="24">
        <v>8.3718739294278879E-2</v>
      </c>
      <c r="P1316" s="25" t="str">
        <f>IF(P1317="x","x","")</f>
        <v/>
      </c>
      <c r="Q1316" s="25" t="str">
        <f>IF(Q1317="x","x","")</f>
        <v/>
      </c>
      <c r="R1316" s="25" t="str">
        <f>IF(R1317="x","x","")</f>
        <v/>
      </c>
      <c r="S1316" s="25" t="str">
        <f>IF(S1317="x","x","")</f>
        <v/>
      </c>
      <c r="T1316" s="25" t="s">
        <v>27</v>
      </c>
      <c r="U1316" s="26"/>
      <c r="V1316" s="27"/>
    </row>
    <row r="1317" spans="1:22" ht="16.5" thickBot="1" x14ac:dyDescent="0.3">
      <c r="A1317" s="28" t="str">
        <f>A1316</f>
        <v>Morocco</v>
      </c>
      <c r="B1317" s="28" t="str">
        <f>B1316</f>
        <v>Middle East and North Africa</v>
      </c>
      <c r="C1317" s="28" t="str">
        <f>C1316</f>
        <v>P082754</v>
      </c>
      <c r="D1317" s="28" t="s">
        <v>26</v>
      </c>
      <c r="E1317" s="28" t="s">
        <v>27</v>
      </c>
      <c r="F1317" s="28" t="str">
        <f>F1316</f>
        <v>P082754C1S8</v>
      </c>
      <c r="G1317" s="28" t="s">
        <v>16</v>
      </c>
      <c r="H1317" s="29" t="str">
        <f>H1315&amp;" / "&amp;H1316</f>
        <v>2004 / 2011</v>
      </c>
      <c r="I1317" s="29" t="str">
        <f>I1316</f>
        <v>Reconstruction</v>
      </c>
      <c r="J1317" s="97">
        <f>IFERROR(J1316/J1315,"")</f>
        <v>1.2777777777777777</v>
      </c>
      <c r="K1317" s="32">
        <f>K1316/K1315</f>
        <v>0.86153846153846148</v>
      </c>
      <c r="L1317" s="32">
        <f>L1316/L1315</f>
        <v>0.93990384615384615</v>
      </c>
      <c r="M1317" s="28"/>
      <c r="N1317" s="32">
        <f>N1316/N1315</f>
        <v>1.0435862848182993</v>
      </c>
      <c r="O1317" s="32">
        <f>O1316/O1315</f>
        <v>1.2113055091640974</v>
      </c>
      <c r="P1317" s="33" t="str">
        <f>IF(K1317&lt;50%,"x","")</f>
        <v/>
      </c>
      <c r="Q1317" s="33" t="str">
        <f>IF(K1317&gt;150%,"x","")</f>
        <v/>
      </c>
      <c r="R1317" s="33" t="str">
        <f>IF(O1317&lt;50%,"x","")</f>
        <v/>
      </c>
      <c r="S1317" s="33" t="str">
        <f>IF(O1317&gt;150%,"x","")</f>
        <v/>
      </c>
      <c r="T1317" s="33" t="s">
        <v>27</v>
      </c>
      <c r="U1317" s="34" t="s">
        <v>27</v>
      </c>
      <c r="V1317" s="35" t="s">
        <v>27</v>
      </c>
    </row>
    <row r="1318" spans="1:22" ht="16.5" thickTop="1" x14ac:dyDescent="0.25">
      <c r="A1318" s="18" t="s">
        <v>228</v>
      </c>
      <c r="B1318" s="18" t="s">
        <v>949</v>
      </c>
      <c r="C1318" s="18" t="s">
        <v>229</v>
      </c>
      <c r="D1318" s="18" t="s">
        <v>26</v>
      </c>
      <c r="E1318" s="18" t="s">
        <v>249</v>
      </c>
      <c r="F1318" s="18" t="s">
        <v>250</v>
      </c>
      <c r="G1318" s="18" t="s">
        <v>29</v>
      </c>
      <c r="H1318" s="19">
        <v>2004</v>
      </c>
      <c r="I1318" s="18" t="s">
        <v>359</v>
      </c>
      <c r="J1318" s="101">
        <v>54</v>
      </c>
      <c r="K1318" s="20">
        <v>9</v>
      </c>
      <c r="L1318" s="21">
        <v>5.76</v>
      </c>
      <c r="M1318" s="22" t="s">
        <v>231</v>
      </c>
      <c r="N1318" s="23">
        <v>0.62203023758099352</v>
      </c>
      <c r="O1318" s="24">
        <v>6.9114470842332618E-2</v>
      </c>
      <c r="P1318" s="25" t="str">
        <f>IF(P1320="x","x","")</f>
        <v/>
      </c>
      <c r="Q1318" s="25" t="str">
        <f>IF(Q1320="x","x","")</f>
        <v/>
      </c>
      <c r="R1318" s="25" t="str">
        <f>IF(R1320="x","x","")</f>
        <v/>
      </c>
      <c r="S1318" s="25" t="str">
        <f>IF(S1320="x","x","")</f>
        <v>x</v>
      </c>
      <c r="T1318" s="25" t="s">
        <v>31</v>
      </c>
      <c r="U1318" s="26"/>
      <c r="V1318" s="27"/>
    </row>
    <row r="1319" spans="1:22" x14ac:dyDescent="0.25">
      <c r="A1319" s="18" t="s">
        <v>228</v>
      </c>
      <c r="B1319" s="18" t="s">
        <v>949</v>
      </c>
      <c r="C1319" s="18" t="s">
        <v>229</v>
      </c>
      <c r="D1319" s="18" t="s">
        <v>26</v>
      </c>
      <c r="E1319" s="18" t="s">
        <v>249</v>
      </c>
      <c r="F1319" s="18" t="s">
        <v>250</v>
      </c>
      <c r="G1319" s="18" t="s">
        <v>32</v>
      </c>
      <c r="H1319" s="19">
        <v>2011</v>
      </c>
      <c r="I1319" s="18" t="s">
        <v>359</v>
      </c>
      <c r="J1319" s="101">
        <v>69</v>
      </c>
      <c r="K1319" s="20">
        <v>13</v>
      </c>
      <c r="L1319" s="21">
        <v>11.79</v>
      </c>
      <c r="M1319" s="22" t="s">
        <v>231</v>
      </c>
      <c r="N1319" s="23">
        <v>1.4136690647482013</v>
      </c>
      <c r="O1319" s="24">
        <v>0.10874377421140011</v>
      </c>
      <c r="P1319" s="25" t="str">
        <f>IF(P1320="x","x","")</f>
        <v/>
      </c>
      <c r="Q1319" s="25" t="str">
        <f>IF(Q1320="x","x","")</f>
        <v/>
      </c>
      <c r="R1319" s="25" t="str">
        <f>IF(R1320="x","x","")</f>
        <v/>
      </c>
      <c r="S1319" s="25" t="str">
        <f>IF(S1320="x","x","")</f>
        <v>x</v>
      </c>
      <c r="T1319" s="25" t="s">
        <v>31</v>
      </c>
      <c r="U1319" s="26"/>
      <c r="V1319" s="27"/>
    </row>
    <row r="1320" spans="1:22" ht="63.75" thickBot="1" x14ac:dyDescent="0.3">
      <c r="A1320" s="28" t="str">
        <f>A1319</f>
        <v>Morocco</v>
      </c>
      <c r="B1320" s="28" t="str">
        <f>B1319</f>
        <v>Middle East and North Africa</v>
      </c>
      <c r="C1320" s="28" t="str">
        <f>C1319</f>
        <v>P082754</v>
      </c>
      <c r="D1320" s="28" t="s">
        <v>26</v>
      </c>
      <c r="E1320" s="28" t="s">
        <v>27</v>
      </c>
      <c r="F1320" s="28" t="str">
        <f>F1319</f>
        <v>P082754C1S9</v>
      </c>
      <c r="G1320" s="28" t="s">
        <v>16</v>
      </c>
      <c r="H1320" s="29" t="str">
        <f>H1318&amp;" / "&amp;H1319</f>
        <v>2004 / 2011</v>
      </c>
      <c r="I1320" s="29" t="str">
        <f>I1319</f>
        <v>Reconstruction</v>
      </c>
      <c r="J1320" s="97">
        <f>IFERROR(J1319/J1318,"")</f>
        <v>1.2777777777777777</v>
      </c>
      <c r="K1320" s="32">
        <f>K1319/K1318</f>
        <v>1.4444444444444444</v>
      </c>
      <c r="L1320" s="32">
        <f>L1319/L1318</f>
        <v>2.046875</v>
      </c>
      <c r="M1320" s="28"/>
      <c r="N1320" s="32">
        <f>N1319/N1318</f>
        <v>2.2726693645083933</v>
      </c>
      <c r="O1320" s="32">
        <f>O1319/O1318</f>
        <v>1.5733864831211952</v>
      </c>
      <c r="P1320" s="33" t="str">
        <f>IF(K1320&lt;50%,"x","")</f>
        <v/>
      </c>
      <c r="Q1320" s="33" t="str">
        <f>IF(K1320&gt;150%,"x","")</f>
        <v/>
      </c>
      <c r="R1320" s="33" t="str">
        <f>IF(O1320&lt;50%,"x","")</f>
        <v/>
      </c>
      <c r="S1320" s="33" t="str">
        <f>IF(O1320&gt;150%,"x","")</f>
        <v>x</v>
      </c>
      <c r="T1320" s="33" t="s">
        <v>31</v>
      </c>
      <c r="U1320" s="34" t="s">
        <v>986</v>
      </c>
      <c r="V1320" s="35" t="s">
        <v>1159</v>
      </c>
    </row>
    <row r="1321" spans="1:22" ht="16.5" thickTop="1" x14ac:dyDescent="0.25">
      <c r="A1321" s="18" t="s">
        <v>228</v>
      </c>
      <c r="B1321" s="18" t="s">
        <v>949</v>
      </c>
      <c r="C1321" s="18" t="s">
        <v>1252</v>
      </c>
      <c r="D1321" s="18" t="s">
        <v>26</v>
      </c>
      <c r="E1321" s="18" t="s">
        <v>27</v>
      </c>
      <c r="F1321" s="18" t="s">
        <v>1280</v>
      </c>
      <c r="G1321" s="18" t="s">
        <v>29</v>
      </c>
      <c r="H1321" s="19">
        <v>1989</v>
      </c>
      <c r="I1321" s="18" t="s">
        <v>38</v>
      </c>
      <c r="J1321" s="101" t="s">
        <v>27</v>
      </c>
      <c r="K1321" s="20">
        <v>865</v>
      </c>
      <c r="L1321" s="21">
        <v>295.75057800000002</v>
      </c>
      <c r="M1321" s="22" t="s">
        <v>231</v>
      </c>
      <c r="N1321" s="23">
        <v>34.843376295947223</v>
      </c>
      <c r="O1321" s="24">
        <v>4.0281359879707775E-2</v>
      </c>
      <c r="P1321" s="25" t="s">
        <v>27</v>
      </c>
      <c r="Q1321" s="25" t="s">
        <v>27</v>
      </c>
      <c r="R1321" s="25" t="s">
        <v>27</v>
      </c>
      <c r="S1321" s="25"/>
      <c r="T1321" s="25"/>
      <c r="U1321" s="26"/>
      <c r="V1321" s="27"/>
    </row>
    <row r="1322" spans="1:22" x14ac:dyDescent="0.25">
      <c r="A1322" s="18" t="s">
        <v>228</v>
      </c>
      <c r="B1322" s="18" t="s">
        <v>949</v>
      </c>
      <c r="C1322" s="18" t="s">
        <v>1252</v>
      </c>
      <c r="D1322" s="18" t="s">
        <v>26</v>
      </c>
      <c r="E1322" s="18" t="s">
        <v>27</v>
      </c>
      <c r="F1322" s="18" t="s">
        <v>1280</v>
      </c>
      <c r="G1322" s="18" t="s">
        <v>32</v>
      </c>
      <c r="H1322" s="19">
        <v>1998</v>
      </c>
      <c r="I1322" s="18" t="s">
        <v>38</v>
      </c>
      <c r="J1322" s="101" t="s">
        <v>27</v>
      </c>
      <c r="K1322" s="20">
        <v>1184.8800000000001</v>
      </c>
      <c r="L1322" s="21">
        <v>287.0172</v>
      </c>
      <c r="M1322" s="22" t="s">
        <v>231</v>
      </c>
      <c r="N1322" s="23">
        <v>29.885172844648068</v>
      </c>
      <c r="O1322" s="24">
        <v>2.5222109280811613E-2</v>
      </c>
      <c r="P1322" s="25" t="s">
        <v>27</v>
      </c>
      <c r="Q1322" s="25" t="s">
        <v>27</v>
      </c>
      <c r="R1322" s="25" t="s">
        <v>27</v>
      </c>
      <c r="S1322" s="25"/>
      <c r="T1322" s="25"/>
      <c r="U1322" s="26"/>
      <c r="V1322" s="27"/>
    </row>
    <row r="1323" spans="1:22" ht="16.5" thickBot="1" x14ac:dyDescent="0.3">
      <c r="A1323" s="28" t="str">
        <f>A1322</f>
        <v>Morocco</v>
      </c>
      <c r="B1323" s="28" t="str">
        <f>B1322</f>
        <v>Middle East and North Africa</v>
      </c>
      <c r="C1323" s="28" t="str">
        <f>C1322</f>
        <v>AfDB loan number B/MRC/RTE/90/35</v>
      </c>
      <c r="D1323" s="28" t="s">
        <v>26</v>
      </c>
      <c r="E1323" s="28" t="s">
        <v>27</v>
      </c>
      <c r="F1323" s="28" t="str">
        <f>F1322</f>
        <v>AfDB loan number B/MRC/RTE/90/35C1</v>
      </c>
      <c r="G1323" s="28" t="s">
        <v>16</v>
      </c>
      <c r="H1323" s="29" t="str">
        <f>H1321&amp;" / "&amp;H1322</f>
        <v>1989 / 1998</v>
      </c>
      <c r="I1323" s="29" t="str">
        <f>I1322</f>
        <v>Strengthening</v>
      </c>
      <c r="J1323" s="97" t="str">
        <f>IFERROR(J1322/J1321,"")</f>
        <v/>
      </c>
      <c r="K1323" s="32">
        <f>K1322/K1321</f>
        <v>1.3698034682080926</v>
      </c>
      <c r="L1323" s="32">
        <f>L1322/L1321</f>
        <v>0.97047046176863261</v>
      </c>
      <c r="M1323" s="28"/>
      <c r="N1323" s="32">
        <f>N1322/N1321</f>
        <v>0.85770025817286066</v>
      </c>
      <c r="O1323" s="32">
        <f>O1322/O1321</f>
        <v>0.62614840601539767</v>
      </c>
      <c r="P1323" s="33" t="s">
        <v>27</v>
      </c>
      <c r="Q1323" s="33" t="s">
        <v>27</v>
      </c>
      <c r="R1323" s="33" t="s">
        <v>27</v>
      </c>
      <c r="S1323" s="33"/>
      <c r="T1323" s="33"/>
      <c r="U1323" s="34" t="s">
        <v>27</v>
      </c>
      <c r="V1323" s="35" t="s">
        <v>27</v>
      </c>
    </row>
    <row r="1324" spans="1:22" ht="16.5" thickTop="1" x14ac:dyDescent="0.25">
      <c r="A1324" s="18" t="s">
        <v>25</v>
      </c>
      <c r="B1324" s="18" t="s">
        <v>950</v>
      </c>
      <c r="C1324" s="18" t="s">
        <v>14</v>
      </c>
      <c r="D1324" s="18" t="s">
        <v>26</v>
      </c>
      <c r="E1324" s="18" t="s">
        <v>27</v>
      </c>
      <c r="F1324" s="18" t="s">
        <v>28</v>
      </c>
      <c r="G1324" s="18" t="s">
        <v>29</v>
      </c>
      <c r="H1324" s="19">
        <v>2001</v>
      </c>
      <c r="I1324" s="18" t="s">
        <v>359</v>
      </c>
      <c r="J1324" s="102">
        <f>N1324/K1324</f>
        <v>9.4240000000000004E-2</v>
      </c>
      <c r="K1324" s="20">
        <v>1250</v>
      </c>
      <c r="L1324" s="21">
        <v>117.8</v>
      </c>
      <c r="M1324" s="22" t="s">
        <v>30</v>
      </c>
      <c r="N1324" s="23">
        <v>117.8</v>
      </c>
      <c r="O1324" s="24">
        <v>9.4240000000000004E-2</v>
      </c>
      <c r="P1324" s="25" t="str">
        <f>IF(P1326="x","x","")</f>
        <v/>
      </c>
      <c r="Q1324" s="25" t="str">
        <f>IF(Q1326="x","x","")</f>
        <v/>
      </c>
      <c r="R1324" s="25" t="str">
        <f>IF(R1326="x","x","")</f>
        <v/>
      </c>
      <c r="S1324" s="25" t="str">
        <f>IF(S1326="x","x","")</f>
        <v>x</v>
      </c>
      <c r="T1324" s="25" t="s">
        <v>31</v>
      </c>
      <c r="U1324" s="26"/>
      <c r="V1324" s="27"/>
    </row>
    <row r="1325" spans="1:22" x14ac:dyDescent="0.25">
      <c r="A1325" s="18" t="s">
        <v>25</v>
      </c>
      <c r="B1325" s="18" t="s">
        <v>950</v>
      </c>
      <c r="C1325" s="18" t="s">
        <v>14</v>
      </c>
      <c r="D1325" s="18" t="s">
        <v>26</v>
      </c>
      <c r="E1325" s="18" t="s">
        <v>27</v>
      </c>
      <c r="F1325" s="18" t="s">
        <v>28</v>
      </c>
      <c r="G1325" s="18" t="s">
        <v>32</v>
      </c>
      <c r="H1325" s="19">
        <v>2007</v>
      </c>
      <c r="I1325" s="18" t="s">
        <v>359</v>
      </c>
      <c r="J1325" s="101" t="s">
        <v>27</v>
      </c>
      <c r="K1325" s="20">
        <v>827</v>
      </c>
      <c r="L1325" s="21">
        <v>161</v>
      </c>
      <c r="M1325" s="22" t="s">
        <v>30</v>
      </c>
      <c r="N1325" s="23">
        <v>161</v>
      </c>
      <c r="O1325" s="24">
        <v>0.19467956469165659</v>
      </c>
      <c r="P1325" s="25" t="str">
        <f>IF(P1326="x","x","")</f>
        <v/>
      </c>
      <c r="Q1325" s="25" t="str">
        <f>IF(Q1326="x","x","")</f>
        <v/>
      </c>
      <c r="R1325" s="25" t="str">
        <f>IF(R1326="x","x","")</f>
        <v/>
      </c>
      <c r="S1325" s="25" t="str">
        <f>IF(S1326="x","x","")</f>
        <v>x</v>
      </c>
      <c r="T1325" s="25" t="s">
        <v>31</v>
      </c>
      <c r="U1325" s="26"/>
      <c r="V1325" s="27"/>
    </row>
    <row r="1326" spans="1:22" ht="95.25" thickBot="1" x14ac:dyDescent="0.3">
      <c r="A1326" s="28" t="str">
        <f>A1325</f>
        <v>Mozambique</v>
      </c>
      <c r="B1326" s="28" t="str">
        <f>B1325</f>
        <v>Sub-Saharan Africa</v>
      </c>
      <c r="C1326" s="28" t="str">
        <f>C1325</f>
        <v>P001785</v>
      </c>
      <c r="D1326" s="28" t="s">
        <v>26</v>
      </c>
      <c r="E1326" s="28" t="s">
        <v>27</v>
      </c>
      <c r="F1326" s="28" t="str">
        <f>F1325</f>
        <v>P001785C1</v>
      </c>
      <c r="G1326" s="28" t="s">
        <v>16</v>
      </c>
      <c r="H1326" s="29" t="str">
        <f>H1324&amp;" / "&amp;H1325</f>
        <v>2001 / 2007</v>
      </c>
      <c r="I1326" s="29" t="str">
        <f>I1325</f>
        <v>Reconstruction</v>
      </c>
      <c r="J1326" s="97" t="str">
        <f>IFERROR(J1325/J1324,"")</f>
        <v/>
      </c>
      <c r="K1326" s="32">
        <f>K1325/K1324</f>
        <v>0.66159999999999997</v>
      </c>
      <c r="L1326" s="32">
        <f>L1325/L1324</f>
        <v>1.3667232597623091</v>
      </c>
      <c r="M1326" s="28"/>
      <c r="N1326" s="32">
        <f>N1325/N1324</f>
        <v>1.3667232597623091</v>
      </c>
      <c r="O1326" s="32">
        <f>O1325/O1324</f>
        <v>2.0657848545379518</v>
      </c>
      <c r="P1326" s="33" t="str">
        <f>IF(K1326&lt;50%,"x","")</f>
        <v/>
      </c>
      <c r="Q1326" s="33" t="str">
        <f>IF(K1326&gt;150%,"x","")</f>
        <v/>
      </c>
      <c r="R1326" s="33" t="str">
        <f>IF(O1326&lt;50%,"x","")</f>
        <v/>
      </c>
      <c r="S1326" s="33" t="str">
        <f>IF(O1326&gt;150%,"x","")</f>
        <v>x</v>
      </c>
      <c r="T1326" s="33" t="s">
        <v>31</v>
      </c>
      <c r="U1326" s="34" t="s">
        <v>1108</v>
      </c>
      <c r="V1326" s="35" t="s">
        <v>1109</v>
      </c>
    </row>
    <row r="1327" spans="1:22" ht="16.5" thickTop="1" x14ac:dyDescent="0.25">
      <c r="A1327" s="18" t="s">
        <v>1253</v>
      </c>
      <c r="B1327" s="18" t="s">
        <v>950</v>
      </c>
      <c r="C1327" s="18" t="s">
        <v>1254</v>
      </c>
      <c r="D1327" s="18" t="s">
        <v>26</v>
      </c>
      <c r="E1327" s="18" t="s">
        <v>27</v>
      </c>
      <c r="F1327" s="18" t="s">
        <v>1281</v>
      </c>
      <c r="G1327" s="18" t="s">
        <v>29</v>
      </c>
      <c r="H1327" s="19">
        <v>1991</v>
      </c>
      <c r="I1327" s="18" t="s">
        <v>387</v>
      </c>
      <c r="J1327" s="101" t="s">
        <v>27</v>
      </c>
      <c r="K1327" s="20">
        <v>75</v>
      </c>
      <c r="L1327" s="21">
        <v>58.480991799999998</v>
      </c>
      <c r="M1327" s="22" t="s">
        <v>1231</v>
      </c>
      <c r="N1327" s="23">
        <v>21.181090836653386</v>
      </c>
      <c r="O1327" s="24">
        <v>0.28241454448871184</v>
      </c>
      <c r="P1327" s="25" t="s">
        <v>27</v>
      </c>
      <c r="Q1327" s="25" t="s">
        <v>27</v>
      </c>
      <c r="R1327" s="25" t="s">
        <v>27</v>
      </c>
      <c r="S1327" s="25"/>
      <c r="T1327" s="25"/>
      <c r="U1327" s="26"/>
      <c r="V1327" s="27"/>
    </row>
    <row r="1328" spans="1:22" x14ac:dyDescent="0.25">
      <c r="A1328" s="18" t="s">
        <v>1253</v>
      </c>
      <c r="B1328" s="18" t="s">
        <v>950</v>
      </c>
      <c r="C1328" s="18" t="s">
        <v>1254</v>
      </c>
      <c r="D1328" s="18" t="s">
        <v>26</v>
      </c>
      <c r="E1328" s="18" t="s">
        <v>27</v>
      </c>
      <c r="F1328" s="18" t="s">
        <v>1281</v>
      </c>
      <c r="G1328" s="18" t="s">
        <v>32</v>
      </c>
      <c r="H1328" s="19">
        <v>1995</v>
      </c>
      <c r="I1328" s="18" t="s">
        <v>387</v>
      </c>
      <c r="J1328" s="101" t="s">
        <v>27</v>
      </c>
      <c r="K1328" s="20">
        <v>75</v>
      </c>
      <c r="L1328" s="21">
        <v>88.034702600000003</v>
      </c>
      <c r="M1328" s="22" t="s">
        <v>1231</v>
      </c>
      <c r="N1328" s="23">
        <v>24.272043727598568</v>
      </c>
      <c r="O1328" s="24">
        <v>0.32362724970131423</v>
      </c>
      <c r="P1328" s="25" t="s">
        <v>27</v>
      </c>
      <c r="Q1328" s="25" t="s">
        <v>27</v>
      </c>
      <c r="R1328" s="25" t="s">
        <v>27</v>
      </c>
      <c r="S1328" s="25"/>
      <c r="T1328" s="25"/>
      <c r="U1328" s="26"/>
      <c r="V1328" s="27"/>
    </row>
    <row r="1329" spans="1:22" ht="16.5" thickBot="1" x14ac:dyDescent="0.3">
      <c r="A1329" s="28" t="str">
        <f>A1328</f>
        <v>Namibia</v>
      </c>
      <c r="B1329" s="28" t="str">
        <f>B1328</f>
        <v>Sub-Saharan Africa</v>
      </c>
      <c r="C1329" s="28" t="str">
        <f>C1328</f>
        <v xml:space="preserve">AfDB loan number: F/NAM/ROD/92/1
</v>
      </c>
      <c r="D1329" s="28" t="s">
        <v>26</v>
      </c>
      <c r="E1329" s="28" t="s">
        <v>27</v>
      </c>
      <c r="F1329" s="28" t="str">
        <f>F1328</f>
        <v>AfDB loan number: F/NAM/ROD/92/1
C1</v>
      </c>
      <c r="G1329" s="28" t="s">
        <v>16</v>
      </c>
      <c r="H1329" s="29" t="str">
        <f>H1327&amp;" / "&amp;H1328</f>
        <v>1991 / 1995</v>
      </c>
      <c r="I1329" s="29" t="str">
        <f>I1328</f>
        <v>Upgrading</v>
      </c>
      <c r="J1329" s="97" t="str">
        <f>IFERROR(J1328/J1327,"")</f>
        <v/>
      </c>
      <c r="K1329" s="32">
        <f>K1328/K1327</f>
        <v>1</v>
      </c>
      <c r="L1329" s="32">
        <f>L1328/L1327</f>
        <v>1.5053558411093844</v>
      </c>
      <c r="M1329" s="28"/>
      <c r="N1329" s="32">
        <f>N1328/N1327</f>
        <v>1.1459298255591426</v>
      </c>
      <c r="O1329" s="32">
        <f>O1328/O1327</f>
        <v>1.1459298255591424</v>
      </c>
      <c r="P1329" s="33" t="s">
        <v>27</v>
      </c>
      <c r="Q1329" s="33" t="s">
        <v>27</v>
      </c>
      <c r="R1329" s="33" t="s">
        <v>27</v>
      </c>
      <c r="S1329" s="33"/>
      <c r="T1329" s="33"/>
      <c r="U1329" s="34" t="s">
        <v>27</v>
      </c>
      <c r="V1329" s="35" t="s">
        <v>27</v>
      </c>
    </row>
    <row r="1330" spans="1:22" ht="16.5" thickTop="1" x14ac:dyDescent="0.25">
      <c r="A1330" s="18" t="s">
        <v>75</v>
      </c>
      <c r="B1330" s="18" t="s">
        <v>948</v>
      </c>
      <c r="C1330" s="18" t="s">
        <v>76</v>
      </c>
      <c r="D1330" s="18" t="s">
        <v>26</v>
      </c>
      <c r="E1330" s="18" t="s">
        <v>27</v>
      </c>
      <c r="F1330" s="18" t="s">
        <v>77</v>
      </c>
      <c r="G1330" s="18" t="s">
        <v>29</v>
      </c>
      <c r="H1330" s="19">
        <v>1999</v>
      </c>
      <c r="I1330" s="18" t="s">
        <v>78</v>
      </c>
      <c r="J1330" s="101" t="s">
        <v>27</v>
      </c>
      <c r="K1330" s="20">
        <v>160</v>
      </c>
      <c r="L1330" s="21">
        <v>6.15</v>
      </c>
      <c r="M1330" s="22" t="s">
        <v>30</v>
      </c>
      <c r="N1330" s="23">
        <v>6.15</v>
      </c>
      <c r="O1330" s="24">
        <v>3.8437499999999999E-2</v>
      </c>
      <c r="P1330" s="25" t="str">
        <f>IF(P1332="x","x","")</f>
        <v/>
      </c>
      <c r="Q1330" s="25" t="str">
        <f>IF(Q1332="x","x","")</f>
        <v>x</v>
      </c>
      <c r="R1330" s="25" t="str">
        <f>IF(R1332="x","x","")</f>
        <v/>
      </c>
      <c r="S1330" s="25" t="str">
        <f>IF(S1332="x","x","")</f>
        <v>x</v>
      </c>
      <c r="T1330" s="25" t="s">
        <v>31</v>
      </c>
      <c r="U1330" s="26"/>
      <c r="V1330" s="27"/>
    </row>
    <row r="1331" spans="1:22" x14ac:dyDescent="0.25">
      <c r="A1331" s="18" t="s">
        <v>75</v>
      </c>
      <c r="B1331" s="18" t="s">
        <v>948</v>
      </c>
      <c r="C1331" s="18" t="s">
        <v>76</v>
      </c>
      <c r="D1331" s="18" t="s">
        <v>26</v>
      </c>
      <c r="E1331" s="18" t="s">
        <v>27</v>
      </c>
      <c r="F1331" s="18" t="s">
        <v>77</v>
      </c>
      <c r="G1331" s="18" t="s">
        <v>32</v>
      </c>
      <c r="H1331" s="19">
        <v>2007</v>
      </c>
      <c r="I1331" s="18" t="s">
        <v>78</v>
      </c>
      <c r="J1331" s="101" t="s">
        <v>27</v>
      </c>
      <c r="K1331" s="20">
        <v>248</v>
      </c>
      <c r="L1331" s="21">
        <v>26.23</v>
      </c>
      <c r="M1331" s="22" t="s">
        <v>30</v>
      </c>
      <c r="N1331" s="23">
        <v>26.23</v>
      </c>
      <c r="O1331" s="24">
        <v>0.10576612903225807</v>
      </c>
      <c r="P1331" s="25" t="str">
        <f>IF(P1332="x","x","")</f>
        <v/>
      </c>
      <c r="Q1331" s="25" t="str">
        <f>IF(Q1332="x","x","")</f>
        <v>x</v>
      </c>
      <c r="R1331" s="25" t="str">
        <f>IF(R1332="x","x","")</f>
        <v/>
      </c>
      <c r="S1331" s="25" t="str">
        <f>IF(S1332="x","x","")</f>
        <v>x</v>
      </c>
      <c r="T1331" s="25" t="s">
        <v>31</v>
      </c>
      <c r="U1331" s="26"/>
      <c r="V1331" s="27"/>
    </row>
    <row r="1332" spans="1:22" ht="95.25" thickBot="1" x14ac:dyDescent="0.3">
      <c r="A1332" s="28" t="str">
        <f>A1331</f>
        <v>Nepal</v>
      </c>
      <c r="B1332" s="28" t="str">
        <f>B1331</f>
        <v>South Asia</v>
      </c>
      <c r="C1332" s="28" t="str">
        <f>C1331</f>
        <v>P045052</v>
      </c>
      <c r="D1332" s="28" t="s">
        <v>26</v>
      </c>
      <c r="E1332" s="28" t="s">
        <v>27</v>
      </c>
      <c r="F1332" s="28" t="str">
        <f>F1331</f>
        <v>P045052C1</v>
      </c>
      <c r="G1332" s="28" t="s">
        <v>16</v>
      </c>
      <c r="H1332" s="29" t="str">
        <f>H1330&amp;" / "&amp;H1331</f>
        <v>1999 / 2007</v>
      </c>
      <c r="I1332" s="29" t="str">
        <f>I1331</f>
        <v>Surface Treatment Resurfacing</v>
      </c>
      <c r="J1332" s="97" t="str">
        <f>IFERROR(J1331/J1330,"")</f>
        <v/>
      </c>
      <c r="K1332" s="32">
        <f>K1331/K1330</f>
        <v>1.55</v>
      </c>
      <c r="L1332" s="32">
        <f>L1331/L1330</f>
        <v>4.2650406504065037</v>
      </c>
      <c r="M1332" s="28"/>
      <c r="N1332" s="32">
        <f>N1331/N1330</f>
        <v>4.2650406504065037</v>
      </c>
      <c r="O1332" s="32">
        <f>O1331/O1330</f>
        <v>2.751639129294519</v>
      </c>
      <c r="P1332" s="33" t="str">
        <f>IF(K1332&lt;50%,"x","")</f>
        <v/>
      </c>
      <c r="Q1332" s="33" t="str">
        <f>IF(K1332&gt;150%,"x","")</f>
        <v>x</v>
      </c>
      <c r="R1332" s="33" t="str">
        <f>IF(O1332&lt;50%,"x","")</f>
        <v/>
      </c>
      <c r="S1332" s="33" t="str">
        <f>IF(O1332&gt;150%,"x","")</f>
        <v>x</v>
      </c>
      <c r="T1332" s="33" t="s">
        <v>31</v>
      </c>
      <c r="U1332" s="34" t="s">
        <v>1117</v>
      </c>
      <c r="V1332" s="35" t="s">
        <v>1118</v>
      </c>
    </row>
    <row r="1333" spans="1:22" ht="16.5" thickTop="1" x14ac:dyDescent="0.25">
      <c r="A1333" s="18" t="s">
        <v>75</v>
      </c>
      <c r="B1333" s="18" t="s">
        <v>948</v>
      </c>
      <c r="C1333" s="18" t="s">
        <v>76</v>
      </c>
      <c r="D1333" s="18" t="s">
        <v>42</v>
      </c>
      <c r="E1333" s="18" t="s">
        <v>27</v>
      </c>
      <c r="F1333" s="18" t="s">
        <v>80</v>
      </c>
      <c r="G1333" s="18" t="s">
        <v>29</v>
      </c>
      <c r="H1333" s="19">
        <v>1999</v>
      </c>
      <c r="I1333" s="18" t="s">
        <v>78</v>
      </c>
      <c r="J1333" s="101" t="s">
        <v>27</v>
      </c>
      <c r="K1333" s="20">
        <v>470</v>
      </c>
      <c r="L1333" s="21">
        <v>5.63</v>
      </c>
      <c r="M1333" s="22" t="s">
        <v>30</v>
      </c>
      <c r="N1333" s="23">
        <v>5.63</v>
      </c>
      <c r="O1333" s="24">
        <v>1.1978723404255319E-2</v>
      </c>
      <c r="P1333" s="25" t="str">
        <f>IF(P1335="x","x","")</f>
        <v/>
      </c>
      <c r="Q1333" s="25" t="str">
        <f>IF(Q1335="x","x","")</f>
        <v/>
      </c>
      <c r="R1333" s="25" t="str">
        <f>IF(R1335="x","x","")</f>
        <v/>
      </c>
      <c r="S1333" s="25" t="str">
        <f>IF(S1335="x","x","")</f>
        <v/>
      </c>
      <c r="T1333" s="25" t="s">
        <v>27</v>
      </c>
      <c r="U1333" s="26"/>
      <c r="V1333" s="27"/>
    </row>
    <row r="1334" spans="1:22" x14ac:dyDescent="0.25">
      <c r="A1334" s="18" t="s">
        <v>75</v>
      </c>
      <c r="B1334" s="18" t="s">
        <v>948</v>
      </c>
      <c r="C1334" s="18" t="s">
        <v>76</v>
      </c>
      <c r="D1334" s="18" t="s">
        <v>42</v>
      </c>
      <c r="E1334" s="18" t="s">
        <v>27</v>
      </c>
      <c r="F1334" s="18" t="s">
        <v>80</v>
      </c>
      <c r="G1334" s="18" t="s">
        <v>32</v>
      </c>
      <c r="H1334" s="19">
        <v>2007</v>
      </c>
      <c r="I1334" s="18" t="s">
        <v>78</v>
      </c>
      <c r="J1334" s="101" t="s">
        <v>27</v>
      </c>
      <c r="K1334" s="20">
        <v>661</v>
      </c>
      <c r="L1334" s="21">
        <v>11.06</v>
      </c>
      <c r="M1334" s="22" t="s">
        <v>30</v>
      </c>
      <c r="N1334" s="23">
        <v>11.06</v>
      </c>
      <c r="O1334" s="24">
        <v>1.6732223903177006E-2</v>
      </c>
      <c r="P1334" s="25" t="str">
        <f>IF(P1335="x","x","")</f>
        <v/>
      </c>
      <c r="Q1334" s="25" t="str">
        <f>IF(Q1335="x","x","")</f>
        <v/>
      </c>
      <c r="R1334" s="25" t="str">
        <f>IF(R1335="x","x","")</f>
        <v/>
      </c>
      <c r="S1334" s="25" t="str">
        <f>IF(S1335="x","x","")</f>
        <v/>
      </c>
      <c r="T1334" s="25" t="s">
        <v>27</v>
      </c>
      <c r="U1334" s="26"/>
      <c r="V1334" s="27"/>
    </row>
    <row r="1335" spans="1:22" ht="16.5" thickBot="1" x14ac:dyDescent="0.3">
      <c r="A1335" s="28" t="str">
        <f>A1334</f>
        <v>Nepal</v>
      </c>
      <c r="B1335" s="28" t="str">
        <f>B1334</f>
        <v>South Asia</v>
      </c>
      <c r="C1335" s="28" t="str">
        <f>C1334</f>
        <v>P045052</v>
      </c>
      <c r="D1335" s="28" t="s">
        <v>26</v>
      </c>
      <c r="E1335" s="28" t="s">
        <v>27</v>
      </c>
      <c r="F1335" s="28" t="str">
        <f>F1334</f>
        <v>P045052C2</v>
      </c>
      <c r="G1335" s="28" t="s">
        <v>16</v>
      </c>
      <c r="H1335" s="29" t="str">
        <f>H1333&amp;" / "&amp;H1334</f>
        <v>1999 / 2007</v>
      </c>
      <c r="I1335" s="29" t="str">
        <f>I1334</f>
        <v>Surface Treatment Resurfacing</v>
      </c>
      <c r="J1335" s="97" t="str">
        <f>IFERROR(J1334/J1333,"")</f>
        <v/>
      </c>
      <c r="K1335" s="32">
        <f>K1334/K1333</f>
        <v>1.4063829787234043</v>
      </c>
      <c r="L1335" s="32">
        <f>L1334/L1333</f>
        <v>1.9644760213143873</v>
      </c>
      <c r="M1335" s="28"/>
      <c r="N1335" s="32">
        <f>N1334/N1333</f>
        <v>1.9644760213143873</v>
      </c>
      <c r="O1335" s="32">
        <f>O1334/O1333</f>
        <v>1.396828638453498</v>
      </c>
      <c r="P1335" s="33" t="str">
        <f>IF(K1335&lt;50%,"x","")</f>
        <v/>
      </c>
      <c r="Q1335" s="33" t="str">
        <f>IF(K1335&gt;150%,"x","")</f>
        <v/>
      </c>
      <c r="R1335" s="33" t="str">
        <f>IF(O1335&lt;50%,"x","")</f>
        <v/>
      </c>
      <c r="S1335" s="33" t="str">
        <f>IF(O1335&gt;150%,"x","")</f>
        <v/>
      </c>
      <c r="T1335" s="33" t="s">
        <v>27</v>
      </c>
      <c r="U1335" s="34" t="s">
        <v>27</v>
      </c>
      <c r="V1335" s="35" t="s">
        <v>27</v>
      </c>
    </row>
    <row r="1336" spans="1:22" ht="16.5" thickTop="1" x14ac:dyDescent="0.25">
      <c r="A1336" s="18" t="s">
        <v>75</v>
      </c>
      <c r="B1336" s="18" t="s">
        <v>948</v>
      </c>
      <c r="C1336" s="18" t="s">
        <v>266</v>
      </c>
      <c r="D1336" s="18" t="s">
        <v>26</v>
      </c>
      <c r="E1336" s="18" t="s">
        <v>36</v>
      </c>
      <c r="F1336" s="18" t="s">
        <v>267</v>
      </c>
      <c r="G1336" s="18" t="s">
        <v>29</v>
      </c>
      <c r="H1336" s="19">
        <v>2005</v>
      </c>
      <c r="I1336" s="18" t="s">
        <v>387</v>
      </c>
      <c r="J1336" s="101">
        <v>17</v>
      </c>
      <c r="K1336" s="20">
        <v>800</v>
      </c>
      <c r="L1336" s="21">
        <v>16.8</v>
      </c>
      <c r="M1336" s="22" t="s">
        <v>30</v>
      </c>
      <c r="N1336" s="23">
        <v>16.8</v>
      </c>
      <c r="O1336" s="24">
        <v>2.1000000000000001E-2</v>
      </c>
      <c r="P1336" s="25" t="str">
        <f>IF(P1338="x","x","")</f>
        <v/>
      </c>
      <c r="Q1336" s="25" t="str">
        <f>IF(Q1338="x","x","")</f>
        <v>x</v>
      </c>
      <c r="R1336" s="25" t="str">
        <f>IF(R1338="x","x","")</f>
        <v/>
      </c>
      <c r="S1336" s="25" t="str">
        <f>IF(S1338="x","x","")</f>
        <v/>
      </c>
      <c r="T1336" s="25" t="s">
        <v>31</v>
      </c>
      <c r="U1336" s="26"/>
      <c r="V1336" s="27"/>
    </row>
    <row r="1337" spans="1:22" x14ac:dyDescent="0.25">
      <c r="A1337" s="18" t="s">
        <v>75</v>
      </c>
      <c r="B1337" s="18" t="s">
        <v>948</v>
      </c>
      <c r="C1337" s="18" t="s">
        <v>266</v>
      </c>
      <c r="D1337" s="18" t="s">
        <v>26</v>
      </c>
      <c r="E1337" s="18" t="s">
        <v>36</v>
      </c>
      <c r="F1337" s="18" t="s">
        <v>267</v>
      </c>
      <c r="G1337" s="18" t="s">
        <v>32</v>
      </c>
      <c r="H1337" s="19">
        <v>2014</v>
      </c>
      <c r="I1337" s="18" t="s">
        <v>387</v>
      </c>
      <c r="J1337" s="101" t="s">
        <v>27</v>
      </c>
      <c r="K1337" s="20">
        <v>1741</v>
      </c>
      <c r="L1337" s="21">
        <v>45.62</v>
      </c>
      <c r="M1337" s="22" t="s">
        <v>30</v>
      </c>
      <c r="N1337" s="23">
        <v>45.62</v>
      </c>
      <c r="O1337" s="24">
        <v>2.6203331418724871E-2</v>
      </c>
      <c r="P1337" s="25" t="str">
        <f>IF(P1338="x","x","")</f>
        <v/>
      </c>
      <c r="Q1337" s="25" t="str">
        <f>IF(Q1338="x","x","")</f>
        <v>x</v>
      </c>
      <c r="R1337" s="25" t="str">
        <f>IF(R1338="x","x","")</f>
        <v/>
      </c>
      <c r="S1337" s="25" t="str">
        <f>IF(S1338="x","x","")</f>
        <v/>
      </c>
      <c r="T1337" s="25" t="s">
        <v>31</v>
      </c>
      <c r="U1337" s="26"/>
      <c r="V1337" s="27"/>
    </row>
    <row r="1338" spans="1:22" ht="95.25" thickBot="1" x14ac:dyDescent="0.3">
      <c r="A1338" s="28" t="str">
        <f>A1337</f>
        <v>Nepal</v>
      </c>
      <c r="B1338" s="28" t="str">
        <f>B1337</f>
        <v>South Asia</v>
      </c>
      <c r="C1338" s="28" t="str">
        <f>C1337</f>
        <v>P083923</v>
      </c>
      <c r="D1338" s="28" t="s">
        <v>26</v>
      </c>
      <c r="E1338" s="28" t="s">
        <v>27</v>
      </c>
      <c r="F1338" s="28" t="str">
        <f>F1337</f>
        <v>P083923C1S1</v>
      </c>
      <c r="G1338" s="28" t="s">
        <v>16</v>
      </c>
      <c r="H1338" s="29" t="str">
        <f>H1336&amp;" / "&amp;H1337</f>
        <v>2005 / 2014</v>
      </c>
      <c r="I1338" s="29" t="str">
        <f>I1337</f>
        <v>Upgrading</v>
      </c>
      <c r="J1338" s="97" t="str">
        <f>IFERROR(J1337/J1336,"")</f>
        <v/>
      </c>
      <c r="K1338" s="32">
        <f>K1337/K1336</f>
        <v>2.17625</v>
      </c>
      <c r="L1338" s="32">
        <f>L1337/L1336</f>
        <v>2.7154761904761902</v>
      </c>
      <c r="M1338" s="28"/>
      <c r="N1338" s="32">
        <f>N1337/N1336</f>
        <v>2.7154761904761902</v>
      </c>
      <c r="O1338" s="32">
        <f>O1337/O1336</f>
        <v>1.2477776866059462</v>
      </c>
      <c r="P1338" s="33" t="str">
        <f>IF(K1338&lt;50%,"x","")</f>
        <v/>
      </c>
      <c r="Q1338" s="33" t="str">
        <f>IF(K1338&gt;150%,"x","")</f>
        <v>x</v>
      </c>
      <c r="R1338" s="33" t="str">
        <f>IF(O1338&lt;50%,"x","")</f>
        <v/>
      </c>
      <c r="S1338" s="33" t="str">
        <f>IF(O1338&gt;150%,"x","")</f>
        <v/>
      </c>
      <c r="T1338" s="33" t="s">
        <v>31</v>
      </c>
      <c r="U1338" s="34" t="s">
        <v>1169</v>
      </c>
      <c r="V1338" s="35" t="s">
        <v>1170</v>
      </c>
    </row>
    <row r="1339" spans="1:22" ht="16.5" thickTop="1" x14ac:dyDescent="0.25">
      <c r="A1339" s="18" t="s">
        <v>75</v>
      </c>
      <c r="B1339" s="18" t="s">
        <v>948</v>
      </c>
      <c r="C1339" s="18" t="s">
        <v>266</v>
      </c>
      <c r="D1339" s="18" t="s">
        <v>26</v>
      </c>
      <c r="E1339" s="18" t="s">
        <v>40</v>
      </c>
      <c r="F1339" s="18" t="s">
        <v>268</v>
      </c>
      <c r="G1339" s="18" t="s">
        <v>29</v>
      </c>
      <c r="H1339" s="19">
        <v>2005</v>
      </c>
      <c r="I1339" s="18" t="s">
        <v>387</v>
      </c>
      <c r="J1339" s="101">
        <v>17</v>
      </c>
      <c r="K1339" s="20">
        <v>200</v>
      </c>
      <c r="L1339" s="21">
        <v>7</v>
      </c>
      <c r="M1339" s="22" t="s">
        <v>30</v>
      </c>
      <c r="N1339" s="23">
        <v>7</v>
      </c>
      <c r="O1339" s="24">
        <v>3.5000000000000003E-2</v>
      </c>
      <c r="P1339" s="25" t="str">
        <f>IF(P1341="x","x","")</f>
        <v/>
      </c>
      <c r="Q1339" s="25" t="str">
        <f>IF(Q1341="x","x","")</f>
        <v/>
      </c>
      <c r="R1339" s="25" t="str">
        <f>IF(R1341="x","x","")</f>
        <v/>
      </c>
      <c r="S1339" s="25" t="str">
        <f>IF(S1341="x","x","")</f>
        <v/>
      </c>
      <c r="T1339" s="25" t="s">
        <v>27</v>
      </c>
      <c r="U1339" s="26"/>
      <c r="V1339" s="27"/>
    </row>
    <row r="1340" spans="1:22" x14ac:dyDescent="0.25">
      <c r="A1340" s="18" t="s">
        <v>75</v>
      </c>
      <c r="B1340" s="18" t="s">
        <v>948</v>
      </c>
      <c r="C1340" s="18" t="s">
        <v>266</v>
      </c>
      <c r="D1340" s="18" t="s">
        <v>26</v>
      </c>
      <c r="E1340" s="18" t="s">
        <v>40</v>
      </c>
      <c r="F1340" s="18" t="s">
        <v>268</v>
      </c>
      <c r="G1340" s="18" t="s">
        <v>32</v>
      </c>
      <c r="H1340" s="19">
        <v>2014</v>
      </c>
      <c r="I1340" s="18" t="s">
        <v>387</v>
      </c>
      <c r="J1340" s="101" t="s">
        <v>27</v>
      </c>
      <c r="K1340" s="20">
        <v>140</v>
      </c>
      <c r="L1340" s="21">
        <v>5.32</v>
      </c>
      <c r="M1340" s="22" t="s">
        <v>30</v>
      </c>
      <c r="N1340" s="23">
        <v>5.32</v>
      </c>
      <c r="O1340" s="24">
        <v>3.7999999999999999E-2</v>
      </c>
      <c r="P1340" s="25" t="str">
        <f>IF(P1341="x","x","")</f>
        <v/>
      </c>
      <c r="Q1340" s="25" t="str">
        <f>IF(Q1341="x","x","")</f>
        <v/>
      </c>
      <c r="R1340" s="25" t="str">
        <f>IF(R1341="x","x","")</f>
        <v/>
      </c>
      <c r="S1340" s="25" t="str">
        <f>IF(S1341="x","x","")</f>
        <v/>
      </c>
      <c r="T1340" s="25" t="s">
        <v>27</v>
      </c>
      <c r="U1340" s="26"/>
      <c r="V1340" s="27"/>
    </row>
    <row r="1341" spans="1:22" ht="16.5" thickBot="1" x14ac:dyDescent="0.3">
      <c r="A1341" s="28" t="str">
        <f>A1340</f>
        <v>Nepal</v>
      </c>
      <c r="B1341" s="28" t="str">
        <f>B1340</f>
        <v>South Asia</v>
      </c>
      <c r="C1341" s="28" t="str">
        <f>C1340</f>
        <v>P083923</v>
      </c>
      <c r="D1341" s="28" t="s">
        <v>26</v>
      </c>
      <c r="E1341" s="28" t="s">
        <v>27</v>
      </c>
      <c r="F1341" s="28" t="str">
        <f>F1340</f>
        <v>P083923C1S2</v>
      </c>
      <c r="G1341" s="28" t="s">
        <v>16</v>
      </c>
      <c r="H1341" s="29" t="str">
        <f>H1339&amp;" / "&amp;H1340</f>
        <v>2005 / 2014</v>
      </c>
      <c r="I1341" s="29" t="str">
        <f>I1340</f>
        <v>Upgrading</v>
      </c>
      <c r="J1341" s="97" t="str">
        <f>IFERROR(J1340/J1339,"")</f>
        <v/>
      </c>
      <c r="K1341" s="32">
        <f>K1340/K1339</f>
        <v>0.7</v>
      </c>
      <c r="L1341" s="32">
        <f>L1340/L1339</f>
        <v>0.76</v>
      </c>
      <c r="M1341" s="28"/>
      <c r="N1341" s="32">
        <f>N1340/N1339</f>
        <v>0.76</v>
      </c>
      <c r="O1341" s="32">
        <f>O1340/O1339</f>
        <v>1.0857142857142856</v>
      </c>
      <c r="P1341" s="33" t="str">
        <f>IF(K1341&lt;50%,"x","")</f>
        <v/>
      </c>
      <c r="Q1341" s="33" t="str">
        <f>IF(K1341&gt;150%,"x","")</f>
        <v/>
      </c>
      <c r="R1341" s="33" t="str">
        <f>IF(O1341&lt;50%,"x","")</f>
        <v/>
      </c>
      <c r="S1341" s="33" t="str">
        <f>IF(O1341&gt;150%,"x","")</f>
        <v/>
      </c>
      <c r="T1341" s="33" t="s">
        <v>27</v>
      </c>
      <c r="U1341" s="34" t="s">
        <v>27</v>
      </c>
      <c r="V1341" s="35" t="s">
        <v>27</v>
      </c>
    </row>
    <row r="1342" spans="1:22" ht="16.5" thickTop="1" x14ac:dyDescent="0.25">
      <c r="A1342" s="18" t="s">
        <v>75</v>
      </c>
      <c r="B1342" s="18" t="s">
        <v>948</v>
      </c>
      <c r="C1342" s="18" t="s">
        <v>266</v>
      </c>
      <c r="D1342" s="18" t="s">
        <v>26</v>
      </c>
      <c r="E1342" s="18" t="s">
        <v>69</v>
      </c>
      <c r="F1342" s="18" t="s">
        <v>269</v>
      </c>
      <c r="G1342" s="18" t="s">
        <v>29</v>
      </c>
      <c r="H1342" s="19">
        <v>2005</v>
      </c>
      <c r="I1342" s="18" t="s">
        <v>44</v>
      </c>
      <c r="J1342" s="101" t="s">
        <v>27</v>
      </c>
      <c r="K1342" s="20">
        <v>3500</v>
      </c>
      <c r="L1342" s="21">
        <v>2.63</v>
      </c>
      <c r="M1342" s="22" t="s">
        <v>30</v>
      </c>
      <c r="N1342" s="23">
        <v>2.63</v>
      </c>
      <c r="O1342" s="24">
        <v>7.514285714285714E-4</v>
      </c>
      <c r="P1342" s="25" t="str">
        <f>IF(P1344="x","x","")</f>
        <v/>
      </c>
      <c r="Q1342" s="25" t="str">
        <f>IF(Q1344="x","x","")</f>
        <v/>
      </c>
      <c r="R1342" s="25" t="str">
        <f>IF(R1344="x","x","")</f>
        <v/>
      </c>
      <c r="S1342" s="25" t="str">
        <f>IF(S1344="x","x","")</f>
        <v>x</v>
      </c>
      <c r="T1342" s="25" t="s">
        <v>31</v>
      </c>
      <c r="U1342" s="26"/>
      <c r="V1342" s="27"/>
    </row>
    <row r="1343" spans="1:22" x14ac:dyDescent="0.25">
      <c r="A1343" s="18" t="s">
        <v>75</v>
      </c>
      <c r="B1343" s="18" t="s">
        <v>948</v>
      </c>
      <c r="C1343" s="18" t="s">
        <v>266</v>
      </c>
      <c r="D1343" s="18" t="s">
        <v>26</v>
      </c>
      <c r="E1343" s="18" t="s">
        <v>69</v>
      </c>
      <c r="F1343" s="18" t="s">
        <v>269</v>
      </c>
      <c r="G1343" s="18" t="s">
        <v>32</v>
      </c>
      <c r="H1343" s="19">
        <v>2014</v>
      </c>
      <c r="I1343" s="18" t="s">
        <v>44</v>
      </c>
      <c r="J1343" s="101" t="s">
        <v>27</v>
      </c>
      <c r="K1343" s="20">
        <v>4600</v>
      </c>
      <c r="L1343" s="21">
        <v>5.3</v>
      </c>
      <c r="M1343" s="22" t="s">
        <v>30</v>
      </c>
      <c r="N1343" s="23">
        <v>5.3</v>
      </c>
      <c r="O1343" s="24">
        <v>1.1521739130434783E-3</v>
      </c>
      <c r="P1343" s="25" t="str">
        <f>IF(P1344="x","x","")</f>
        <v/>
      </c>
      <c r="Q1343" s="25" t="str">
        <f>IF(Q1344="x","x","")</f>
        <v/>
      </c>
      <c r="R1343" s="25" t="str">
        <f>IF(R1344="x","x","")</f>
        <v/>
      </c>
      <c r="S1343" s="25" t="str">
        <f>IF(S1344="x","x","")</f>
        <v>x</v>
      </c>
      <c r="T1343" s="25" t="s">
        <v>31</v>
      </c>
      <c r="U1343" s="26"/>
      <c r="V1343" s="27"/>
    </row>
    <row r="1344" spans="1:22" ht="63.75" thickBot="1" x14ac:dyDescent="0.3">
      <c r="A1344" s="28" t="str">
        <f>A1343</f>
        <v>Nepal</v>
      </c>
      <c r="B1344" s="28" t="str">
        <f>B1343</f>
        <v>South Asia</v>
      </c>
      <c r="C1344" s="28" t="str">
        <f>C1343</f>
        <v>P083923</v>
      </c>
      <c r="D1344" s="28" t="s">
        <v>26</v>
      </c>
      <c r="E1344" s="28" t="s">
        <v>27</v>
      </c>
      <c r="F1344" s="28" t="str">
        <f>F1343</f>
        <v>P083923C1S3</v>
      </c>
      <c r="G1344" s="28" t="s">
        <v>16</v>
      </c>
      <c r="H1344" s="29" t="str">
        <f>H1342&amp;" / "&amp;H1343</f>
        <v>2005 / 2014</v>
      </c>
      <c r="I1344" s="29" t="str">
        <f>I1343</f>
        <v>Routine Maintenance</v>
      </c>
      <c r="J1344" s="97" t="str">
        <f>IFERROR(J1343/J1342,"")</f>
        <v/>
      </c>
      <c r="K1344" s="32">
        <f>K1343/K1342</f>
        <v>1.3142857142857143</v>
      </c>
      <c r="L1344" s="32">
        <f>L1343/L1342</f>
        <v>2.0152091254752853</v>
      </c>
      <c r="M1344" s="28"/>
      <c r="N1344" s="32">
        <f>N1343/N1342</f>
        <v>2.0152091254752853</v>
      </c>
      <c r="O1344" s="32">
        <f>O1343/O1342</f>
        <v>1.5333112911224998</v>
      </c>
      <c r="P1344" s="33" t="str">
        <f>IF(K1344&lt;50%,"x","")</f>
        <v/>
      </c>
      <c r="Q1344" s="33" t="str">
        <f>IF(K1344&gt;150%,"x","")</f>
        <v/>
      </c>
      <c r="R1344" s="33" t="str">
        <f>IF(O1344&lt;50%,"x","")</f>
        <v/>
      </c>
      <c r="S1344" s="33" t="str">
        <f>IF(O1344&gt;150%,"x","")</f>
        <v>x</v>
      </c>
      <c r="T1344" s="33" t="s">
        <v>31</v>
      </c>
      <c r="U1344" s="34" t="s">
        <v>1171</v>
      </c>
      <c r="V1344" s="35" t="s">
        <v>1172</v>
      </c>
    </row>
    <row r="1345" spans="1:22" ht="16.5" thickTop="1" x14ac:dyDescent="0.25">
      <c r="A1345" s="18" t="s">
        <v>128</v>
      </c>
      <c r="B1345" s="18" t="s">
        <v>946</v>
      </c>
      <c r="C1345" s="18" t="s">
        <v>129</v>
      </c>
      <c r="D1345" s="18" t="s">
        <v>26</v>
      </c>
      <c r="E1345" s="18" t="s">
        <v>27</v>
      </c>
      <c r="F1345" s="18" t="s">
        <v>130</v>
      </c>
      <c r="G1345" s="18" t="s">
        <v>29</v>
      </c>
      <c r="H1345" s="19">
        <v>2000</v>
      </c>
      <c r="I1345" s="18" t="s">
        <v>131</v>
      </c>
      <c r="J1345" s="101" t="s">
        <v>27</v>
      </c>
      <c r="K1345" s="20">
        <v>155</v>
      </c>
      <c r="L1345" s="21">
        <v>36.4</v>
      </c>
      <c r="M1345" s="22" t="s">
        <v>30</v>
      </c>
      <c r="N1345" s="23">
        <v>36.4</v>
      </c>
      <c r="O1345" s="24">
        <v>0.23483870967741935</v>
      </c>
      <c r="P1345" s="25" t="str">
        <f>IF(P1347="x","x","")</f>
        <v/>
      </c>
      <c r="Q1345" s="25" t="str">
        <f>IF(Q1347="x","x","")</f>
        <v/>
      </c>
      <c r="R1345" s="25" t="str">
        <f>IF(R1347="x","x","")</f>
        <v/>
      </c>
      <c r="S1345" s="25" t="str">
        <f>IF(S1347="x","x","")</f>
        <v/>
      </c>
      <c r="T1345" s="25" t="s">
        <v>27</v>
      </c>
      <c r="U1345" s="26"/>
      <c r="V1345" s="27"/>
    </row>
    <row r="1346" spans="1:22" x14ac:dyDescent="0.25">
      <c r="A1346" s="18" t="s">
        <v>128</v>
      </c>
      <c r="B1346" s="18" t="s">
        <v>946</v>
      </c>
      <c r="C1346" s="18" t="s">
        <v>129</v>
      </c>
      <c r="D1346" s="18" t="s">
        <v>26</v>
      </c>
      <c r="E1346" s="18" t="s">
        <v>27</v>
      </c>
      <c r="F1346" s="18" t="s">
        <v>130</v>
      </c>
      <c r="G1346" s="18" t="s">
        <v>32</v>
      </c>
      <c r="H1346" s="19">
        <v>2007</v>
      </c>
      <c r="I1346" s="18" t="s">
        <v>131</v>
      </c>
      <c r="J1346" s="101" t="s">
        <v>27</v>
      </c>
      <c r="K1346" s="20">
        <v>152.9</v>
      </c>
      <c r="L1346" s="21">
        <v>39.700000000000003</v>
      </c>
      <c r="M1346" s="22" t="s">
        <v>30</v>
      </c>
      <c r="N1346" s="23">
        <v>39.700000000000003</v>
      </c>
      <c r="O1346" s="24">
        <v>0.25964682799215172</v>
      </c>
      <c r="P1346" s="25" t="str">
        <f>IF(P1347="x","x","")</f>
        <v/>
      </c>
      <c r="Q1346" s="25" t="str">
        <f>IF(Q1347="x","x","")</f>
        <v/>
      </c>
      <c r="R1346" s="25" t="str">
        <f>IF(R1347="x","x","")</f>
        <v/>
      </c>
      <c r="S1346" s="25" t="str">
        <f>IF(S1347="x","x","")</f>
        <v/>
      </c>
      <c r="T1346" s="25" t="s">
        <v>27</v>
      </c>
      <c r="U1346" s="26"/>
      <c r="V1346" s="27"/>
    </row>
    <row r="1347" spans="1:22" ht="16.5" thickBot="1" x14ac:dyDescent="0.3">
      <c r="A1347" s="28" t="str">
        <f>A1346</f>
        <v>Nicaragua</v>
      </c>
      <c r="B1347" s="28" t="str">
        <f>B1346</f>
        <v>Latin America and Caribbean</v>
      </c>
      <c r="C1347" s="28" t="str">
        <f>C1346</f>
        <v>P068673</v>
      </c>
      <c r="D1347" s="28" t="s">
        <v>26</v>
      </c>
      <c r="E1347" s="28" t="s">
        <v>27</v>
      </c>
      <c r="F1347" s="28" t="str">
        <f>F1346</f>
        <v>P068673C1</v>
      </c>
      <c r="G1347" s="28" t="s">
        <v>16</v>
      </c>
      <c r="H1347" s="29" t="str">
        <f>H1345&amp;" / "&amp;H1346</f>
        <v>2000 / 2007</v>
      </c>
      <c r="I1347" s="29" t="str">
        <f>I1346</f>
        <v>Partial Widening and Reconstruction</v>
      </c>
      <c r="J1347" s="97" t="str">
        <f>IFERROR(J1346/J1345,"")</f>
        <v/>
      </c>
      <c r="K1347" s="32">
        <f>K1346/K1345</f>
        <v>0.98645161290322581</v>
      </c>
      <c r="L1347" s="32">
        <f>L1346/L1345</f>
        <v>1.0906593406593408</v>
      </c>
      <c r="M1347" s="28"/>
      <c r="N1347" s="32">
        <f>N1346/N1345</f>
        <v>1.0906593406593408</v>
      </c>
      <c r="O1347" s="32">
        <f>O1346/O1345</f>
        <v>1.1056389653511955</v>
      </c>
      <c r="P1347" s="33" t="str">
        <f>IF(K1347&lt;50%,"x","")</f>
        <v/>
      </c>
      <c r="Q1347" s="33" t="str">
        <f>IF(K1347&gt;150%,"x","")</f>
        <v/>
      </c>
      <c r="R1347" s="33" t="str">
        <f>IF(O1347&lt;50%,"x","")</f>
        <v/>
      </c>
      <c r="S1347" s="33" t="str">
        <f>IF(O1347&gt;150%,"x","")</f>
        <v/>
      </c>
      <c r="T1347" s="33" t="s">
        <v>27</v>
      </c>
      <c r="U1347" s="34" t="s">
        <v>27</v>
      </c>
      <c r="V1347" s="35" t="s">
        <v>27</v>
      </c>
    </row>
    <row r="1348" spans="1:22" ht="16.5" thickTop="1" x14ac:dyDescent="0.25">
      <c r="A1348" s="18" t="s">
        <v>128</v>
      </c>
      <c r="B1348" s="18" t="s">
        <v>946</v>
      </c>
      <c r="C1348" s="18" t="s">
        <v>129</v>
      </c>
      <c r="D1348" s="18" t="s">
        <v>42</v>
      </c>
      <c r="E1348" s="18" t="s">
        <v>27</v>
      </c>
      <c r="F1348" s="18" t="s">
        <v>132</v>
      </c>
      <c r="G1348" s="18" t="s">
        <v>29</v>
      </c>
      <c r="H1348" s="19">
        <v>2000</v>
      </c>
      <c r="I1348" s="18" t="s">
        <v>387</v>
      </c>
      <c r="J1348" s="101" t="s">
        <v>27</v>
      </c>
      <c r="K1348" s="20">
        <v>300</v>
      </c>
      <c r="L1348" s="21">
        <v>24.9</v>
      </c>
      <c r="M1348" s="22" t="s">
        <v>30</v>
      </c>
      <c r="N1348" s="23">
        <v>24.9</v>
      </c>
      <c r="O1348" s="24">
        <v>8.299999999999999E-2</v>
      </c>
      <c r="P1348" s="25" t="str">
        <f>IF(P1350="x","x","")</f>
        <v/>
      </c>
      <c r="Q1348" s="25" t="str">
        <f>IF(Q1350="x","x","")</f>
        <v/>
      </c>
      <c r="R1348" s="25" t="str">
        <f>IF(R1350="x","x","")</f>
        <v/>
      </c>
      <c r="S1348" s="25" t="str">
        <f>IF(S1350="x","x","")</f>
        <v/>
      </c>
      <c r="T1348" s="25" t="s">
        <v>27</v>
      </c>
      <c r="U1348" s="26"/>
      <c r="V1348" s="27"/>
    </row>
    <row r="1349" spans="1:22" x14ac:dyDescent="0.25">
      <c r="A1349" s="18" t="s">
        <v>128</v>
      </c>
      <c r="B1349" s="18" t="s">
        <v>946</v>
      </c>
      <c r="C1349" s="18" t="s">
        <v>129</v>
      </c>
      <c r="D1349" s="18" t="s">
        <v>42</v>
      </c>
      <c r="E1349" s="18" t="s">
        <v>27</v>
      </c>
      <c r="F1349" s="18" t="s">
        <v>132</v>
      </c>
      <c r="G1349" s="18" t="s">
        <v>32</v>
      </c>
      <c r="H1349" s="19">
        <v>2007</v>
      </c>
      <c r="I1349" s="18" t="s">
        <v>387</v>
      </c>
      <c r="J1349" s="101" t="s">
        <v>27</v>
      </c>
      <c r="K1349" s="20">
        <v>287</v>
      </c>
      <c r="L1349" s="21">
        <v>28.3</v>
      </c>
      <c r="M1349" s="22" t="s">
        <v>30</v>
      </c>
      <c r="N1349" s="23">
        <v>28.3</v>
      </c>
      <c r="O1349" s="24">
        <v>9.8606271777003485E-2</v>
      </c>
      <c r="P1349" s="25" t="str">
        <f>IF(P1350="x","x","")</f>
        <v/>
      </c>
      <c r="Q1349" s="25" t="str">
        <f>IF(Q1350="x","x","")</f>
        <v/>
      </c>
      <c r="R1349" s="25" t="str">
        <f>IF(R1350="x","x","")</f>
        <v/>
      </c>
      <c r="S1349" s="25" t="str">
        <f>IF(S1350="x","x","")</f>
        <v/>
      </c>
      <c r="T1349" s="25" t="s">
        <v>27</v>
      </c>
      <c r="U1349" s="26"/>
      <c r="V1349" s="27"/>
    </row>
    <row r="1350" spans="1:22" ht="16.5" thickBot="1" x14ac:dyDescent="0.3">
      <c r="A1350" s="28" t="str">
        <f>A1349</f>
        <v>Nicaragua</v>
      </c>
      <c r="B1350" s="28" t="str">
        <f>B1349</f>
        <v>Latin America and Caribbean</v>
      </c>
      <c r="C1350" s="28" t="str">
        <f>C1349</f>
        <v>P068673</v>
      </c>
      <c r="D1350" s="28" t="s">
        <v>26</v>
      </c>
      <c r="E1350" s="28" t="s">
        <v>27</v>
      </c>
      <c r="F1350" s="28" t="str">
        <f>F1349</f>
        <v>P068673C2</v>
      </c>
      <c r="G1350" s="28" t="s">
        <v>16</v>
      </c>
      <c r="H1350" s="29" t="str">
        <f>H1348&amp;" / "&amp;H1349</f>
        <v>2000 / 2007</v>
      </c>
      <c r="I1350" s="29" t="str">
        <f>I1349</f>
        <v>Upgrading</v>
      </c>
      <c r="J1350" s="97" t="str">
        <f>IFERROR(J1349/J1348,"")</f>
        <v/>
      </c>
      <c r="K1350" s="32">
        <f>K1349/K1348</f>
        <v>0.95666666666666667</v>
      </c>
      <c r="L1350" s="32">
        <f>L1349/L1348</f>
        <v>1.136546184738956</v>
      </c>
      <c r="M1350" s="28"/>
      <c r="N1350" s="32">
        <f>N1349/N1348</f>
        <v>1.136546184738956</v>
      </c>
      <c r="O1350" s="32">
        <f>O1349/O1348</f>
        <v>1.1880273708072711</v>
      </c>
      <c r="P1350" s="33" t="str">
        <f>IF(K1350&lt;50%,"x","")</f>
        <v/>
      </c>
      <c r="Q1350" s="33" t="str">
        <f>IF(K1350&gt;150%,"x","")</f>
        <v/>
      </c>
      <c r="R1350" s="33" t="str">
        <f>IF(O1350&lt;50%,"x","")</f>
        <v/>
      </c>
      <c r="S1350" s="33" t="str">
        <f>IF(O1350&gt;150%,"x","")</f>
        <v/>
      </c>
      <c r="T1350" s="33" t="s">
        <v>27</v>
      </c>
      <c r="U1350" s="34" t="s">
        <v>27</v>
      </c>
      <c r="V1350" s="35" t="s">
        <v>27</v>
      </c>
    </row>
    <row r="1351" spans="1:22" ht="16.5" thickTop="1" x14ac:dyDescent="0.25">
      <c r="A1351" s="18" t="s">
        <v>128</v>
      </c>
      <c r="B1351" s="18" t="s">
        <v>946</v>
      </c>
      <c r="C1351" s="18" t="s">
        <v>270</v>
      </c>
      <c r="D1351" s="18" t="s">
        <v>26</v>
      </c>
      <c r="E1351" s="18" t="s">
        <v>27</v>
      </c>
      <c r="F1351" s="18" t="s">
        <v>271</v>
      </c>
      <c r="G1351" s="18" t="s">
        <v>29</v>
      </c>
      <c r="H1351" s="19">
        <v>2006</v>
      </c>
      <c r="I1351" s="18" t="s">
        <v>38</v>
      </c>
      <c r="J1351" s="101">
        <v>36</v>
      </c>
      <c r="K1351" s="20">
        <v>51</v>
      </c>
      <c r="L1351" s="21">
        <v>10.130000000000001</v>
      </c>
      <c r="M1351" s="22" t="s">
        <v>30</v>
      </c>
      <c r="N1351" s="23">
        <v>10.130000000000001</v>
      </c>
      <c r="O1351" s="24">
        <v>0.19862745098039217</v>
      </c>
      <c r="P1351" s="25" t="str">
        <f>IF(P1353="x","x","")</f>
        <v/>
      </c>
      <c r="Q1351" s="25" t="str">
        <f>IF(Q1353="x","x","")</f>
        <v/>
      </c>
      <c r="R1351" s="25" t="str">
        <f>IF(R1353="x","x","")</f>
        <v/>
      </c>
      <c r="S1351" s="25" t="str">
        <f>IF(S1353="x","x","")</f>
        <v/>
      </c>
      <c r="T1351" s="25" t="s">
        <v>27</v>
      </c>
      <c r="U1351" s="26"/>
      <c r="V1351" s="27"/>
    </row>
    <row r="1352" spans="1:22" x14ac:dyDescent="0.25">
      <c r="A1352" s="18" t="s">
        <v>128</v>
      </c>
      <c r="B1352" s="18" t="s">
        <v>946</v>
      </c>
      <c r="C1352" s="18" t="s">
        <v>270</v>
      </c>
      <c r="D1352" s="18" t="s">
        <v>26</v>
      </c>
      <c r="E1352" s="18" t="s">
        <v>27</v>
      </c>
      <c r="F1352" s="18" t="s">
        <v>271</v>
      </c>
      <c r="G1352" s="18" t="s">
        <v>32</v>
      </c>
      <c r="H1352" s="19">
        <v>2015</v>
      </c>
      <c r="I1352" s="18" t="s">
        <v>38</v>
      </c>
      <c r="J1352" s="101" t="s">
        <v>27</v>
      </c>
      <c r="K1352" s="20">
        <v>51.57</v>
      </c>
      <c r="L1352" s="21">
        <v>13.69</v>
      </c>
      <c r="M1352" s="22" t="s">
        <v>30</v>
      </c>
      <c r="N1352" s="23">
        <v>13.69</v>
      </c>
      <c r="O1352" s="24">
        <v>0.26546441729687803</v>
      </c>
      <c r="P1352" s="25" t="str">
        <f>IF(P1353="x","x","")</f>
        <v/>
      </c>
      <c r="Q1352" s="25" t="str">
        <f>IF(Q1353="x","x","")</f>
        <v/>
      </c>
      <c r="R1352" s="25" t="str">
        <f>IF(R1353="x","x","")</f>
        <v/>
      </c>
      <c r="S1352" s="25" t="str">
        <f>IF(S1353="x","x","")</f>
        <v/>
      </c>
      <c r="T1352" s="25" t="s">
        <v>27</v>
      </c>
      <c r="U1352" s="26"/>
      <c r="V1352" s="27"/>
    </row>
    <row r="1353" spans="1:22" ht="16.5" thickBot="1" x14ac:dyDescent="0.3">
      <c r="A1353" s="28" t="str">
        <f>A1352</f>
        <v>Nicaragua</v>
      </c>
      <c r="B1353" s="28" t="str">
        <f>B1352</f>
        <v>Latin America and Caribbean</v>
      </c>
      <c r="C1353" s="28" t="str">
        <f>C1352</f>
        <v>P083952</v>
      </c>
      <c r="D1353" s="28" t="s">
        <v>26</v>
      </c>
      <c r="E1353" s="28" t="s">
        <v>27</v>
      </c>
      <c r="F1353" s="28" t="str">
        <f>F1352</f>
        <v>P083952C1</v>
      </c>
      <c r="G1353" s="28" t="s">
        <v>16</v>
      </c>
      <c r="H1353" s="29" t="str">
        <f>H1351&amp;" / "&amp;H1352</f>
        <v>2006 / 2015</v>
      </c>
      <c r="I1353" s="29" t="str">
        <f>I1352</f>
        <v>Strengthening</v>
      </c>
      <c r="J1353" s="97" t="str">
        <f>IFERROR(J1352/J1351,"")</f>
        <v/>
      </c>
      <c r="K1353" s="32">
        <f>K1352/K1351</f>
        <v>1.0111764705882353</v>
      </c>
      <c r="L1353" s="32">
        <f>L1352/L1351</f>
        <v>1.3514313919052319</v>
      </c>
      <c r="M1353" s="28"/>
      <c r="N1353" s="32">
        <f>N1352/N1351</f>
        <v>1.3514313919052319</v>
      </c>
      <c r="O1353" s="32">
        <f>O1352/O1351</f>
        <v>1.3364941048510146</v>
      </c>
      <c r="P1353" s="33" t="str">
        <f>IF(K1353&lt;50%,"x","")</f>
        <v/>
      </c>
      <c r="Q1353" s="33" t="str">
        <f>IF(K1353&gt;150%,"x","")</f>
        <v/>
      </c>
      <c r="R1353" s="33" t="str">
        <f>IF(O1353&lt;50%,"x","")</f>
        <v/>
      </c>
      <c r="S1353" s="33" t="str">
        <f>IF(O1353&gt;150%,"x","")</f>
        <v/>
      </c>
      <c r="T1353" s="33" t="s">
        <v>27</v>
      </c>
      <c r="U1353" s="34" t="s">
        <v>27</v>
      </c>
      <c r="V1353" s="35" t="s">
        <v>27</v>
      </c>
    </row>
    <row r="1354" spans="1:22" ht="16.5" thickTop="1" x14ac:dyDescent="0.25">
      <c r="A1354" s="18" t="s">
        <v>128</v>
      </c>
      <c r="B1354" s="18" t="s">
        <v>946</v>
      </c>
      <c r="C1354" s="18" t="s">
        <v>270</v>
      </c>
      <c r="D1354" s="18" t="s">
        <v>42</v>
      </c>
      <c r="E1354" s="18" t="s">
        <v>27</v>
      </c>
      <c r="F1354" s="18" t="s">
        <v>272</v>
      </c>
      <c r="G1354" s="18" t="s">
        <v>29</v>
      </c>
      <c r="H1354" s="19">
        <v>2006</v>
      </c>
      <c r="I1354" s="18" t="s">
        <v>359</v>
      </c>
      <c r="J1354" s="101">
        <v>48</v>
      </c>
      <c r="K1354" s="20">
        <v>320</v>
      </c>
      <c r="L1354" s="21">
        <v>41.87</v>
      </c>
      <c r="M1354" s="22" t="s">
        <v>30</v>
      </c>
      <c r="N1354" s="23">
        <v>41.87</v>
      </c>
      <c r="O1354" s="24">
        <v>0.13084374999999998</v>
      </c>
      <c r="P1354" s="25" t="str">
        <f>IF(P1356="x","x","")</f>
        <v/>
      </c>
      <c r="Q1354" s="25" t="str">
        <f>IF(Q1356="x","x","")</f>
        <v/>
      </c>
      <c r="R1354" s="25" t="str">
        <f>IF(R1356="x","x","")</f>
        <v/>
      </c>
      <c r="S1354" s="25" t="str">
        <f>IF(S1356="x","x","")</f>
        <v>x</v>
      </c>
      <c r="T1354" s="25" t="s">
        <v>31</v>
      </c>
      <c r="U1354" s="26"/>
      <c r="V1354" s="27"/>
    </row>
    <row r="1355" spans="1:22" x14ac:dyDescent="0.25">
      <c r="A1355" s="18" t="s">
        <v>128</v>
      </c>
      <c r="B1355" s="18" t="s">
        <v>946</v>
      </c>
      <c r="C1355" s="18" t="s">
        <v>270</v>
      </c>
      <c r="D1355" s="18" t="s">
        <v>42</v>
      </c>
      <c r="E1355" s="18" t="s">
        <v>27</v>
      </c>
      <c r="F1355" s="18" t="s">
        <v>272</v>
      </c>
      <c r="G1355" s="18" t="s">
        <v>32</v>
      </c>
      <c r="H1355" s="19">
        <v>2015</v>
      </c>
      <c r="I1355" s="18" t="s">
        <v>359</v>
      </c>
      <c r="J1355" s="101" t="s">
        <v>27</v>
      </c>
      <c r="K1355" s="20">
        <v>361</v>
      </c>
      <c r="L1355" s="21">
        <v>86.73</v>
      </c>
      <c r="M1355" s="22" t="s">
        <v>30</v>
      </c>
      <c r="N1355" s="23">
        <v>86.73</v>
      </c>
      <c r="O1355" s="24">
        <v>0.24024930747922438</v>
      </c>
      <c r="P1355" s="25" t="str">
        <f>IF(P1356="x","x","")</f>
        <v/>
      </c>
      <c r="Q1355" s="25" t="str">
        <f>IF(Q1356="x","x","")</f>
        <v/>
      </c>
      <c r="R1355" s="25" t="str">
        <f>IF(R1356="x","x","")</f>
        <v/>
      </c>
      <c r="S1355" s="25" t="str">
        <f>IF(S1356="x","x","")</f>
        <v>x</v>
      </c>
      <c r="T1355" s="25" t="s">
        <v>31</v>
      </c>
      <c r="U1355" s="26"/>
      <c r="V1355" s="27"/>
    </row>
    <row r="1356" spans="1:22" ht="63.75" thickBot="1" x14ac:dyDescent="0.3">
      <c r="A1356" s="28" t="str">
        <f>A1355</f>
        <v>Nicaragua</v>
      </c>
      <c r="B1356" s="28" t="str">
        <f>B1355</f>
        <v>Latin America and Caribbean</v>
      </c>
      <c r="C1356" s="28" t="str">
        <f>C1355</f>
        <v>P083952</v>
      </c>
      <c r="D1356" s="28" t="s">
        <v>26</v>
      </c>
      <c r="E1356" s="28" t="s">
        <v>27</v>
      </c>
      <c r="F1356" s="28" t="str">
        <f>F1355</f>
        <v>P083952C2</v>
      </c>
      <c r="G1356" s="28" t="s">
        <v>16</v>
      </c>
      <c r="H1356" s="29" t="str">
        <f>H1354&amp;" / "&amp;H1355</f>
        <v>2006 / 2015</v>
      </c>
      <c r="I1356" s="29" t="str">
        <f>I1355</f>
        <v>Reconstruction</v>
      </c>
      <c r="J1356" s="97" t="str">
        <f>IFERROR(J1355/J1354,"")</f>
        <v/>
      </c>
      <c r="K1356" s="32">
        <f>K1355/K1354</f>
        <v>1.128125</v>
      </c>
      <c r="L1356" s="32">
        <f>L1355/L1354</f>
        <v>2.0714115118223075</v>
      </c>
      <c r="M1356" s="28"/>
      <c r="N1356" s="32">
        <f>N1355/N1354</f>
        <v>2.0714115118223075</v>
      </c>
      <c r="O1356" s="32">
        <f>O1355/O1354</f>
        <v>1.8361542487067546</v>
      </c>
      <c r="P1356" s="33" t="str">
        <f>IF(K1356&lt;50%,"x","")</f>
        <v/>
      </c>
      <c r="Q1356" s="33" t="str">
        <f>IF(K1356&gt;150%,"x","")</f>
        <v/>
      </c>
      <c r="R1356" s="33" t="str">
        <f>IF(O1356&lt;50%,"x","")</f>
        <v/>
      </c>
      <c r="S1356" s="33" t="str">
        <f>IF(O1356&gt;150%,"x","")</f>
        <v>x</v>
      </c>
      <c r="T1356" s="33" t="s">
        <v>31</v>
      </c>
      <c r="U1356" s="34" t="s">
        <v>1074</v>
      </c>
      <c r="V1356" s="35" t="s">
        <v>1173</v>
      </c>
    </row>
    <row r="1357" spans="1:22" ht="16.5" thickTop="1" x14ac:dyDescent="0.25">
      <c r="A1357" s="18" t="s">
        <v>128</v>
      </c>
      <c r="B1357" s="18" t="s">
        <v>946</v>
      </c>
      <c r="C1357" s="18" t="s">
        <v>270</v>
      </c>
      <c r="D1357" s="18" t="s">
        <v>60</v>
      </c>
      <c r="E1357" s="18" t="s">
        <v>27</v>
      </c>
      <c r="F1357" s="18" t="s">
        <v>273</v>
      </c>
      <c r="G1357" s="18" t="s">
        <v>29</v>
      </c>
      <c r="H1357" s="19">
        <v>2006</v>
      </c>
      <c r="I1357" s="18" t="s">
        <v>44</v>
      </c>
      <c r="J1357" s="101" t="s">
        <v>27</v>
      </c>
      <c r="K1357" s="20">
        <v>2480</v>
      </c>
      <c r="L1357" s="21">
        <v>7.64</v>
      </c>
      <c r="M1357" s="22" t="s">
        <v>30</v>
      </c>
      <c r="N1357" s="23">
        <v>7.64</v>
      </c>
      <c r="O1357" s="24">
        <v>3.0806451612903226E-3</v>
      </c>
      <c r="P1357" s="25" t="str">
        <f>IF(P1359="x","x","")</f>
        <v/>
      </c>
      <c r="Q1357" s="25" t="str">
        <f>IF(Q1359="x","x","")</f>
        <v/>
      </c>
      <c r="R1357" s="25" t="str">
        <f>IF(R1359="x","x","")</f>
        <v/>
      </c>
      <c r="S1357" s="25" t="str">
        <f>IF(S1359="x","x","")</f>
        <v/>
      </c>
      <c r="T1357" s="25" t="s">
        <v>27</v>
      </c>
      <c r="U1357" s="26"/>
      <c r="V1357" s="27"/>
    </row>
    <row r="1358" spans="1:22" x14ac:dyDescent="0.25">
      <c r="A1358" s="18" t="s">
        <v>128</v>
      </c>
      <c r="B1358" s="18" t="s">
        <v>946</v>
      </c>
      <c r="C1358" s="18" t="s">
        <v>270</v>
      </c>
      <c r="D1358" s="18" t="s">
        <v>60</v>
      </c>
      <c r="E1358" s="18" t="s">
        <v>27</v>
      </c>
      <c r="F1358" s="18" t="s">
        <v>273</v>
      </c>
      <c r="G1358" s="18" t="s">
        <v>32</v>
      </c>
      <c r="H1358" s="19">
        <v>2015</v>
      </c>
      <c r="I1358" s="18" t="s">
        <v>44</v>
      </c>
      <c r="J1358" s="101" t="s">
        <v>27</v>
      </c>
      <c r="K1358" s="20">
        <v>3200</v>
      </c>
      <c r="L1358" s="21">
        <v>12.26</v>
      </c>
      <c r="M1358" s="22" t="s">
        <v>30</v>
      </c>
      <c r="N1358" s="23">
        <v>12.26</v>
      </c>
      <c r="O1358" s="24">
        <v>3.83125E-3</v>
      </c>
      <c r="P1358" s="25" t="str">
        <f>IF(P1359="x","x","")</f>
        <v/>
      </c>
      <c r="Q1358" s="25" t="str">
        <f>IF(Q1359="x","x","")</f>
        <v/>
      </c>
      <c r="R1358" s="25" t="str">
        <f>IF(R1359="x","x","")</f>
        <v/>
      </c>
      <c r="S1358" s="25" t="str">
        <f>IF(S1359="x","x","")</f>
        <v/>
      </c>
      <c r="T1358" s="25" t="s">
        <v>27</v>
      </c>
      <c r="U1358" s="26"/>
      <c r="V1358" s="27"/>
    </row>
    <row r="1359" spans="1:22" ht="16.5" thickBot="1" x14ac:dyDescent="0.3">
      <c r="A1359" s="28" t="str">
        <f>A1358</f>
        <v>Nicaragua</v>
      </c>
      <c r="B1359" s="28" t="str">
        <f>B1358</f>
        <v>Latin America and Caribbean</v>
      </c>
      <c r="C1359" s="28" t="str">
        <f>C1358</f>
        <v>P083952</v>
      </c>
      <c r="D1359" s="28" t="s">
        <v>26</v>
      </c>
      <c r="E1359" s="28" t="s">
        <v>27</v>
      </c>
      <c r="F1359" s="28" t="str">
        <f>F1358</f>
        <v>P083952C3</v>
      </c>
      <c r="G1359" s="28" t="s">
        <v>16</v>
      </c>
      <c r="H1359" s="29" t="str">
        <f>H1357&amp;" / "&amp;H1358</f>
        <v>2006 / 2015</v>
      </c>
      <c r="I1359" s="29" t="str">
        <f>I1358</f>
        <v>Routine Maintenance</v>
      </c>
      <c r="J1359" s="97" t="str">
        <f>IFERROR(J1358/J1357,"")</f>
        <v/>
      </c>
      <c r="K1359" s="32">
        <f>K1358/K1357</f>
        <v>1.2903225806451613</v>
      </c>
      <c r="L1359" s="32">
        <f>L1358/L1357</f>
        <v>1.6047120418848169</v>
      </c>
      <c r="M1359" s="28"/>
      <c r="N1359" s="32">
        <f>N1358/N1357</f>
        <v>1.6047120418848169</v>
      </c>
      <c r="O1359" s="32">
        <f>O1358/O1357</f>
        <v>1.2436518324607331</v>
      </c>
      <c r="P1359" s="33" t="str">
        <f>IF(K1359&lt;50%,"x","")</f>
        <v/>
      </c>
      <c r="Q1359" s="33" t="str">
        <f>IF(K1359&gt;150%,"x","")</f>
        <v/>
      </c>
      <c r="R1359" s="33" t="str">
        <f>IF(O1359&lt;50%,"x","")</f>
        <v/>
      </c>
      <c r="S1359" s="33" t="str">
        <f>IF(O1359&gt;150%,"x","")</f>
        <v/>
      </c>
      <c r="T1359" s="33" t="s">
        <v>27</v>
      </c>
      <c r="U1359" s="34" t="s">
        <v>27</v>
      </c>
      <c r="V1359" s="35" t="s">
        <v>27</v>
      </c>
    </row>
    <row r="1360" spans="1:22" ht="16.5" thickTop="1" x14ac:dyDescent="0.25">
      <c r="A1360" s="18" t="s">
        <v>1242</v>
      </c>
      <c r="B1360" s="18" t="s">
        <v>950</v>
      </c>
      <c r="C1360" s="18">
        <v>0</v>
      </c>
      <c r="D1360" s="18" t="s">
        <v>26</v>
      </c>
      <c r="E1360" s="18" t="s">
        <v>27</v>
      </c>
      <c r="F1360" s="18" t="s">
        <v>1271</v>
      </c>
      <c r="G1360" s="18" t="s">
        <v>29</v>
      </c>
      <c r="H1360" s="19">
        <v>1989</v>
      </c>
      <c r="I1360" s="18" t="s">
        <v>78</v>
      </c>
      <c r="J1360" s="101" t="s">
        <v>27</v>
      </c>
      <c r="K1360" s="20">
        <v>147.89999999999998</v>
      </c>
      <c r="L1360" s="21">
        <v>3502.5858000000007</v>
      </c>
      <c r="M1360" s="22" t="s">
        <v>1257</v>
      </c>
      <c r="N1360" s="23">
        <v>10.979892789968654</v>
      </c>
      <c r="O1360" s="24">
        <v>7.4238626030890167E-2</v>
      </c>
      <c r="P1360" s="25" t="s">
        <v>27</v>
      </c>
      <c r="Q1360" s="25" t="s">
        <v>27</v>
      </c>
      <c r="R1360" s="25" t="s">
        <v>27</v>
      </c>
      <c r="S1360" s="25"/>
      <c r="T1360" s="25"/>
      <c r="U1360" s="26"/>
      <c r="V1360" s="27"/>
    </row>
    <row r="1361" spans="1:22" x14ac:dyDescent="0.25">
      <c r="A1361" s="18" t="s">
        <v>1242</v>
      </c>
      <c r="B1361" s="18" t="s">
        <v>950</v>
      </c>
      <c r="C1361" s="18">
        <v>0</v>
      </c>
      <c r="D1361" s="18" t="s">
        <v>26</v>
      </c>
      <c r="E1361" s="18" t="s">
        <v>27</v>
      </c>
      <c r="F1361" s="18" t="s">
        <v>1271</v>
      </c>
      <c r="G1361" s="18" t="s">
        <v>32</v>
      </c>
      <c r="H1361" s="19">
        <v>1999</v>
      </c>
      <c r="I1361" s="18" t="s">
        <v>78</v>
      </c>
      <c r="J1361" s="101" t="s">
        <v>27</v>
      </c>
      <c r="K1361" s="20">
        <v>131.80000000000001</v>
      </c>
      <c r="L1361" s="21">
        <v>7898.2903600000009</v>
      </c>
      <c r="M1361" s="22" t="s">
        <v>1257</v>
      </c>
      <c r="N1361" s="23">
        <v>12.828355763452388</v>
      </c>
      <c r="O1361" s="24">
        <v>9.7331986065647844E-2</v>
      </c>
      <c r="P1361" s="25" t="s">
        <v>27</v>
      </c>
      <c r="Q1361" s="25" t="s">
        <v>27</v>
      </c>
      <c r="R1361" s="25" t="s">
        <v>27</v>
      </c>
      <c r="S1361" s="25"/>
      <c r="T1361" s="25"/>
      <c r="U1361" s="26"/>
      <c r="V1361" s="27"/>
    </row>
    <row r="1362" spans="1:22" ht="16.5" thickBot="1" x14ac:dyDescent="0.3">
      <c r="A1362" s="28" t="str">
        <f>A1361</f>
        <v>Niger</v>
      </c>
      <c r="B1362" s="28" t="str">
        <f>B1361</f>
        <v>Sub-Saharan Africa</v>
      </c>
      <c r="C1362" s="28">
        <f>C1361</f>
        <v>0</v>
      </c>
      <c r="D1362" s="28" t="s">
        <v>26</v>
      </c>
      <c r="E1362" s="28" t="s">
        <v>27</v>
      </c>
      <c r="F1362" s="28" t="str">
        <f>F1361</f>
        <v>0C1</v>
      </c>
      <c r="G1362" s="28" t="s">
        <v>16</v>
      </c>
      <c r="H1362" s="29" t="str">
        <f>H1360&amp;" / "&amp;H1361</f>
        <v>1989 / 1999</v>
      </c>
      <c r="I1362" s="29" t="str">
        <f>I1361</f>
        <v>Surface Treatment Resurfacing</v>
      </c>
      <c r="J1362" s="97" t="str">
        <f>IFERROR(J1361/J1360,"")</f>
        <v/>
      </c>
      <c r="K1362" s="32">
        <f>K1361/K1360</f>
        <v>0.89114266396213682</v>
      </c>
      <c r="L1362" s="32">
        <f>L1361/L1360</f>
        <v>2.2549884031391891</v>
      </c>
      <c r="M1362" s="28"/>
      <c r="N1362" s="32">
        <f>N1361/N1360</f>
        <v>1.1683498198791622</v>
      </c>
      <c r="O1362" s="32">
        <f>O1361/O1360</f>
        <v>1.3110693350540821</v>
      </c>
      <c r="P1362" s="33" t="s">
        <v>27</v>
      </c>
      <c r="Q1362" s="33" t="s">
        <v>27</v>
      </c>
      <c r="R1362" s="33" t="s">
        <v>27</v>
      </c>
      <c r="S1362" s="33"/>
      <c r="T1362" s="33"/>
      <c r="U1362" s="34" t="s">
        <v>27</v>
      </c>
      <c r="V1362" s="35" t="s">
        <v>27</v>
      </c>
    </row>
    <row r="1363" spans="1:22" ht="16.5" thickTop="1" x14ac:dyDescent="0.25">
      <c r="A1363" s="18" t="s">
        <v>665</v>
      </c>
      <c r="B1363" s="18" t="s">
        <v>950</v>
      </c>
      <c r="C1363" s="18" t="s">
        <v>666</v>
      </c>
      <c r="D1363" s="18" t="s">
        <v>26</v>
      </c>
      <c r="E1363" s="18" t="s">
        <v>27</v>
      </c>
      <c r="F1363" s="18" t="s">
        <v>667</v>
      </c>
      <c r="G1363" s="18" t="s">
        <v>29</v>
      </c>
      <c r="H1363" s="19">
        <v>2002</v>
      </c>
      <c r="I1363" s="18" t="s">
        <v>38</v>
      </c>
      <c r="J1363" s="101" t="s">
        <v>27</v>
      </c>
      <c r="K1363" s="20">
        <v>660</v>
      </c>
      <c r="L1363" s="21">
        <v>98.5</v>
      </c>
      <c r="M1363" s="22" t="s">
        <v>30</v>
      </c>
      <c r="N1363" s="23">
        <v>98.5</v>
      </c>
      <c r="O1363" s="24">
        <v>0.14924242424242423</v>
      </c>
      <c r="P1363" s="25" t="str">
        <f>IF(P1365="x","x","")</f>
        <v/>
      </c>
      <c r="Q1363" s="25" t="str">
        <f>IF(Q1365="x","x","")</f>
        <v/>
      </c>
      <c r="R1363" s="25" t="str">
        <f>IF(R1365="x","x","")</f>
        <v/>
      </c>
      <c r="S1363" s="25" t="str">
        <f>IF(S1365="x","x","")</f>
        <v>x</v>
      </c>
      <c r="T1363" s="25" t="s">
        <v>31</v>
      </c>
      <c r="U1363" s="26"/>
      <c r="V1363" s="27"/>
    </row>
    <row r="1364" spans="1:22" x14ac:dyDescent="0.25">
      <c r="A1364" s="18" t="s">
        <v>665</v>
      </c>
      <c r="B1364" s="18" t="s">
        <v>950</v>
      </c>
      <c r="C1364" s="18" t="s">
        <v>666</v>
      </c>
      <c r="D1364" s="18" t="s">
        <v>26</v>
      </c>
      <c r="E1364" s="18" t="s">
        <v>27</v>
      </c>
      <c r="F1364" s="18" t="s">
        <v>667</v>
      </c>
      <c r="G1364" s="18" t="s">
        <v>32</v>
      </c>
      <c r="H1364" s="19">
        <v>2011</v>
      </c>
      <c r="I1364" s="18" t="s">
        <v>38</v>
      </c>
      <c r="J1364" s="101" t="s">
        <v>27</v>
      </c>
      <c r="K1364" s="20">
        <v>690.8</v>
      </c>
      <c r="L1364" s="21">
        <v>158.80000000000001</v>
      </c>
      <c r="M1364" s="22" t="s">
        <v>30</v>
      </c>
      <c r="N1364" s="23">
        <v>158.80000000000001</v>
      </c>
      <c r="O1364" s="24">
        <v>0.22987840185292419</v>
      </c>
      <c r="P1364" s="25" t="str">
        <f>IF(P1365="x","x","")</f>
        <v/>
      </c>
      <c r="Q1364" s="25" t="str">
        <f>IF(Q1365="x","x","")</f>
        <v/>
      </c>
      <c r="R1364" s="25" t="str">
        <f>IF(R1365="x","x","")</f>
        <v/>
      </c>
      <c r="S1364" s="25" t="str">
        <f>IF(S1365="x","x","")</f>
        <v>x</v>
      </c>
      <c r="T1364" s="25" t="s">
        <v>31</v>
      </c>
      <c r="U1364" s="26"/>
      <c r="V1364" s="27"/>
    </row>
    <row r="1365" spans="1:22" ht="32.25" thickBot="1" x14ac:dyDescent="0.3">
      <c r="A1365" s="28" t="str">
        <f>A1364</f>
        <v>Nigeria</v>
      </c>
      <c r="B1365" s="28" t="str">
        <f>B1364</f>
        <v>Sub-Saharan Africa</v>
      </c>
      <c r="C1365" s="28" t="str">
        <f>C1364</f>
        <v>P074963</v>
      </c>
      <c r="D1365" s="28" t="s">
        <v>26</v>
      </c>
      <c r="E1365" s="28" t="s">
        <v>27</v>
      </c>
      <c r="F1365" s="28" t="str">
        <f>F1364</f>
        <v>P074963C1</v>
      </c>
      <c r="G1365" s="28" t="s">
        <v>16</v>
      </c>
      <c r="H1365" s="29" t="str">
        <f>H1363&amp;" / "&amp;H1364</f>
        <v>2002 / 2011</v>
      </c>
      <c r="I1365" s="29" t="str">
        <f>I1364</f>
        <v>Strengthening</v>
      </c>
      <c r="J1365" s="97" t="str">
        <f>IFERROR(J1364/J1363,"")</f>
        <v/>
      </c>
      <c r="K1365" s="32">
        <f>K1364/K1363</f>
        <v>1.0466666666666666</v>
      </c>
      <c r="L1365" s="32">
        <f>L1364/L1363</f>
        <v>1.6121827411167513</v>
      </c>
      <c r="M1365" s="28"/>
      <c r="N1365" s="32">
        <f>N1364/N1363</f>
        <v>1.6121827411167513</v>
      </c>
      <c r="O1365" s="32">
        <f>O1364/O1363</f>
        <v>1.5403019819586798</v>
      </c>
      <c r="P1365" s="33" t="str">
        <f>IF(K1365&lt;50%,"x","")</f>
        <v/>
      </c>
      <c r="Q1365" s="33" t="str">
        <f>IF(K1365&gt;150%,"x","")</f>
        <v/>
      </c>
      <c r="R1365" s="33" t="str">
        <f>IF(O1365&lt;50%,"x","")</f>
        <v/>
      </c>
      <c r="S1365" s="33" t="str">
        <f>IF(O1365&gt;150%,"x","")</f>
        <v>x</v>
      </c>
      <c r="T1365" s="33" t="s">
        <v>31</v>
      </c>
      <c r="U1365" s="34" t="s">
        <v>1041</v>
      </c>
      <c r="V1365" s="35" t="s">
        <v>1042</v>
      </c>
    </row>
    <row r="1366" spans="1:22" ht="16.5" thickTop="1" x14ac:dyDescent="0.25">
      <c r="A1366" s="18" t="s">
        <v>665</v>
      </c>
      <c r="B1366" s="18" t="s">
        <v>950</v>
      </c>
      <c r="C1366" s="18" t="s">
        <v>666</v>
      </c>
      <c r="D1366" s="18" t="s">
        <v>26</v>
      </c>
      <c r="E1366" s="18" t="s">
        <v>36</v>
      </c>
      <c r="F1366" s="18" t="s">
        <v>668</v>
      </c>
      <c r="G1366" s="18" t="s">
        <v>29</v>
      </c>
      <c r="H1366" s="19">
        <v>2002</v>
      </c>
      <c r="I1366" s="18" t="s">
        <v>68</v>
      </c>
      <c r="J1366" s="101" t="s">
        <v>27</v>
      </c>
      <c r="K1366" s="20">
        <v>567</v>
      </c>
      <c r="L1366" s="21">
        <v>45.53</v>
      </c>
      <c r="M1366" s="22" t="s">
        <v>30</v>
      </c>
      <c r="N1366" s="23">
        <v>45.53</v>
      </c>
      <c r="O1366" s="24">
        <v>8.0299823633156964E-2</v>
      </c>
      <c r="P1366" s="25" t="str">
        <f>IF(P1368="x","x","")</f>
        <v/>
      </c>
      <c r="Q1366" s="25" t="str">
        <f>IF(Q1368="x","x","")</f>
        <v/>
      </c>
      <c r="R1366" s="25" t="str">
        <f>IF(R1368="x","x","")</f>
        <v/>
      </c>
      <c r="S1366" s="25" t="str">
        <f>IF(S1368="x","x","")</f>
        <v/>
      </c>
      <c r="T1366" s="25" t="s">
        <v>27</v>
      </c>
      <c r="U1366" s="26"/>
      <c r="V1366" s="27"/>
    </row>
    <row r="1367" spans="1:22" x14ac:dyDescent="0.25">
      <c r="A1367" s="18" t="s">
        <v>665</v>
      </c>
      <c r="B1367" s="18" t="s">
        <v>950</v>
      </c>
      <c r="C1367" s="18" t="s">
        <v>666</v>
      </c>
      <c r="D1367" s="18" t="s">
        <v>26</v>
      </c>
      <c r="E1367" s="18" t="s">
        <v>36</v>
      </c>
      <c r="F1367" s="18" t="s">
        <v>668</v>
      </c>
      <c r="G1367" s="18" t="s">
        <v>32</v>
      </c>
      <c r="H1367" s="19">
        <v>2011</v>
      </c>
      <c r="I1367" s="18" t="s">
        <v>68</v>
      </c>
      <c r="J1367" s="101" t="s">
        <v>27</v>
      </c>
      <c r="K1367" s="20">
        <v>567</v>
      </c>
      <c r="L1367" s="21">
        <v>47</v>
      </c>
      <c r="M1367" s="22" t="s">
        <v>30</v>
      </c>
      <c r="N1367" s="23">
        <v>47</v>
      </c>
      <c r="O1367" s="24">
        <v>8.2892416225749554E-2</v>
      </c>
      <c r="P1367" s="25" t="str">
        <f>IF(P1368="x","x","")</f>
        <v/>
      </c>
      <c r="Q1367" s="25" t="str">
        <f>IF(Q1368="x","x","")</f>
        <v/>
      </c>
      <c r="R1367" s="25" t="str">
        <f>IF(R1368="x","x","")</f>
        <v/>
      </c>
      <c r="S1367" s="25" t="str">
        <f>IF(S1368="x","x","")</f>
        <v/>
      </c>
      <c r="T1367" s="25" t="s">
        <v>27</v>
      </c>
      <c r="U1367" s="26"/>
      <c r="V1367" s="27"/>
    </row>
    <row r="1368" spans="1:22" ht="16.5" thickBot="1" x14ac:dyDescent="0.3">
      <c r="A1368" s="28" t="str">
        <f>A1367</f>
        <v>Nigeria</v>
      </c>
      <c r="B1368" s="28" t="str">
        <f>B1367</f>
        <v>Sub-Saharan Africa</v>
      </c>
      <c r="C1368" s="28" t="str">
        <f>C1367</f>
        <v>P074963</v>
      </c>
      <c r="D1368" s="28" t="s">
        <v>26</v>
      </c>
      <c r="E1368" s="28" t="s">
        <v>27</v>
      </c>
      <c r="F1368" s="28" t="str">
        <f>F1367</f>
        <v>P074963C1S1</v>
      </c>
      <c r="G1368" s="28" t="s">
        <v>16</v>
      </c>
      <c r="H1368" s="29" t="str">
        <f>H1366&amp;" / "&amp;H1367</f>
        <v>2002 / 2011</v>
      </c>
      <c r="I1368" s="29" t="str">
        <f>I1367</f>
        <v>Asphalt Mix Resurfacing</v>
      </c>
      <c r="J1368" s="97" t="str">
        <f>IFERROR(J1367/J1366,"")</f>
        <v/>
      </c>
      <c r="K1368" s="32">
        <f>K1367/K1366</f>
        <v>1</v>
      </c>
      <c r="L1368" s="32">
        <f>L1367/L1366</f>
        <v>1.0322864045684164</v>
      </c>
      <c r="M1368" s="28"/>
      <c r="N1368" s="32">
        <f>N1367/N1366</f>
        <v>1.0322864045684164</v>
      </c>
      <c r="O1368" s="32">
        <f>O1367/O1366</f>
        <v>1.0322864045684164</v>
      </c>
      <c r="P1368" s="33" t="str">
        <f>IF(K1368&lt;50%,"x","")</f>
        <v/>
      </c>
      <c r="Q1368" s="33" t="str">
        <f>IF(K1368&gt;150%,"x","")</f>
        <v/>
      </c>
      <c r="R1368" s="33" t="str">
        <f>IF(O1368&lt;50%,"x","")</f>
        <v/>
      </c>
      <c r="S1368" s="33" t="str">
        <f>IF(O1368&gt;150%,"x","")</f>
        <v/>
      </c>
      <c r="T1368" s="33" t="s">
        <v>27</v>
      </c>
      <c r="U1368" s="34" t="s">
        <v>27</v>
      </c>
      <c r="V1368" s="35" t="s">
        <v>27</v>
      </c>
    </row>
    <row r="1369" spans="1:22" ht="16.5" thickTop="1" x14ac:dyDescent="0.25">
      <c r="A1369" s="18" t="s">
        <v>665</v>
      </c>
      <c r="B1369" s="18" t="s">
        <v>950</v>
      </c>
      <c r="C1369" s="18" t="s">
        <v>666</v>
      </c>
      <c r="D1369" s="18" t="s">
        <v>26</v>
      </c>
      <c r="E1369" s="18" t="s">
        <v>40</v>
      </c>
      <c r="F1369" s="18" t="s">
        <v>669</v>
      </c>
      <c r="G1369" s="18" t="s">
        <v>29</v>
      </c>
      <c r="H1369" s="19">
        <v>2002</v>
      </c>
      <c r="I1369" s="18" t="s">
        <v>68</v>
      </c>
      <c r="J1369" s="101" t="s">
        <v>27</v>
      </c>
      <c r="K1369" s="20">
        <v>93</v>
      </c>
      <c r="L1369" s="21">
        <v>46.17</v>
      </c>
      <c r="M1369" s="22" t="s">
        <v>30</v>
      </c>
      <c r="N1369" s="23">
        <v>46.17</v>
      </c>
      <c r="O1369" s="24">
        <v>0.49645161290322581</v>
      </c>
      <c r="P1369" s="25" t="str">
        <f>IF(P1371="x","x","")</f>
        <v/>
      </c>
      <c r="Q1369" s="25" t="str">
        <f>IF(Q1371="x","x","")</f>
        <v/>
      </c>
      <c r="R1369" s="25" t="str">
        <f>IF(R1371="x","x","")</f>
        <v/>
      </c>
      <c r="S1369" s="25" t="str">
        <f>IF(S1371="x","x","")</f>
        <v/>
      </c>
      <c r="T1369" s="25" t="s">
        <v>27</v>
      </c>
      <c r="U1369" s="26"/>
      <c r="V1369" s="27"/>
    </row>
    <row r="1370" spans="1:22" x14ac:dyDescent="0.25">
      <c r="A1370" s="18" t="s">
        <v>665</v>
      </c>
      <c r="B1370" s="18" t="s">
        <v>950</v>
      </c>
      <c r="C1370" s="18" t="s">
        <v>666</v>
      </c>
      <c r="D1370" s="18" t="s">
        <v>26</v>
      </c>
      <c r="E1370" s="18" t="s">
        <v>40</v>
      </c>
      <c r="F1370" s="18" t="s">
        <v>669</v>
      </c>
      <c r="G1370" s="18" t="s">
        <v>32</v>
      </c>
      <c r="H1370" s="19">
        <v>2011</v>
      </c>
      <c r="I1370" s="18" t="s">
        <v>68</v>
      </c>
      <c r="J1370" s="101" t="s">
        <v>27</v>
      </c>
      <c r="K1370" s="20">
        <v>123.8</v>
      </c>
      <c r="L1370" s="21">
        <v>59.3</v>
      </c>
      <c r="M1370" s="22" t="s">
        <v>30</v>
      </c>
      <c r="N1370" s="23">
        <v>59.3</v>
      </c>
      <c r="O1370" s="24">
        <v>0.4789983844911147</v>
      </c>
      <c r="P1370" s="25" t="str">
        <f>IF(P1371="x","x","")</f>
        <v/>
      </c>
      <c r="Q1370" s="25" t="str">
        <f>IF(Q1371="x","x","")</f>
        <v/>
      </c>
      <c r="R1370" s="25" t="str">
        <f>IF(R1371="x","x","")</f>
        <v/>
      </c>
      <c r="S1370" s="25" t="str">
        <f>IF(S1371="x","x","")</f>
        <v/>
      </c>
      <c r="T1370" s="25" t="s">
        <v>27</v>
      </c>
      <c r="U1370" s="26"/>
      <c r="V1370" s="27"/>
    </row>
    <row r="1371" spans="1:22" ht="16.5" thickBot="1" x14ac:dyDescent="0.3">
      <c r="A1371" s="28" t="str">
        <f>A1370</f>
        <v>Nigeria</v>
      </c>
      <c r="B1371" s="28" t="str">
        <f>B1370</f>
        <v>Sub-Saharan Africa</v>
      </c>
      <c r="C1371" s="28" t="str">
        <f>C1370</f>
        <v>P074963</v>
      </c>
      <c r="D1371" s="28" t="s">
        <v>26</v>
      </c>
      <c r="E1371" s="28" t="s">
        <v>27</v>
      </c>
      <c r="F1371" s="28" t="str">
        <f>F1370</f>
        <v>P074963C1S2</v>
      </c>
      <c r="G1371" s="28" t="s">
        <v>16</v>
      </c>
      <c r="H1371" s="29" t="str">
        <f>H1369&amp;" / "&amp;H1370</f>
        <v>2002 / 2011</v>
      </c>
      <c r="I1371" s="29" t="str">
        <f>I1370</f>
        <v>Asphalt Mix Resurfacing</v>
      </c>
      <c r="J1371" s="97" t="str">
        <f>IFERROR(J1370/J1369,"")</f>
        <v/>
      </c>
      <c r="K1371" s="32">
        <f>K1370/K1369</f>
        <v>1.3311827956989246</v>
      </c>
      <c r="L1371" s="32">
        <f>L1370/L1369</f>
        <v>1.2843837990036819</v>
      </c>
      <c r="M1371" s="28"/>
      <c r="N1371" s="32">
        <f>N1370/N1369</f>
        <v>1.2843837990036819</v>
      </c>
      <c r="O1371" s="32">
        <f>O1370/O1369</f>
        <v>0.96484404933232981</v>
      </c>
      <c r="P1371" s="33" t="str">
        <f>IF(K1371&lt;50%,"x","")</f>
        <v/>
      </c>
      <c r="Q1371" s="33" t="str">
        <f>IF(K1371&gt;150%,"x","")</f>
        <v/>
      </c>
      <c r="R1371" s="33" t="str">
        <f>IF(O1371&lt;50%,"x","")</f>
        <v/>
      </c>
      <c r="S1371" s="33" t="str">
        <f>IF(O1371&gt;150%,"x","")</f>
        <v/>
      </c>
      <c r="T1371" s="33" t="s">
        <v>27</v>
      </c>
      <c r="U1371" s="34" t="s">
        <v>27</v>
      </c>
      <c r="V1371" s="35" t="s">
        <v>27</v>
      </c>
    </row>
    <row r="1372" spans="1:22" ht="16.5" thickTop="1" x14ac:dyDescent="0.25">
      <c r="A1372" s="18" t="s">
        <v>372</v>
      </c>
      <c r="B1372" s="18" t="s">
        <v>948</v>
      </c>
      <c r="C1372" s="18" t="s">
        <v>373</v>
      </c>
      <c r="D1372" s="18" t="s">
        <v>26</v>
      </c>
      <c r="E1372" s="18" t="s">
        <v>234</v>
      </c>
      <c r="F1372" s="18" t="s">
        <v>374</v>
      </c>
      <c r="G1372" s="18" t="s">
        <v>29</v>
      </c>
      <c r="H1372" s="19">
        <v>2003</v>
      </c>
      <c r="I1372" s="18" t="s">
        <v>136</v>
      </c>
      <c r="J1372" s="101">
        <v>32</v>
      </c>
      <c r="K1372" s="20">
        <v>72</v>
      </c>
      <c r="L1372" s="21">
        <v>636</v>
      </c>
      <c r="M1372" s="22" t="s">
        <v>375</v>
      </c>
      <c r="N1372" s="23">
        <v>11.041666666666666</v>
      </c>
      <c r="O1372" s="24">
        <v>0.15335648148148148</v>
      </c>
      <c r="P1372" s="25" t="str">
        <f>IF(P1374="x","x","")</f>
        <v/>
      </c>
      <c r="Q1372" s="25" t="str">
        <f>IF(Q1374="x","x","")</f>
        <v>x</v>
      </c>
      <c r="R1372" s="25" t="str">
        <f>IF(R1374="x","x","")</f>
        <v/>
      </c>
      <c r="S1372" s="25" t="str">
        <f>IF(S1374="x","x","")</f>
        <v/>
      </c>
      <c r="T1372" s="25" t="s">
        <v>31</v>
      </c>
      <c r="U1372" s="26"/>
      <c r="V1372" s="27"/>
    </row>
    <row r="1373" spans="1:22" x14ac:dyDescent="0.25">
      <c r="A1373" s="18" t="s">
        <v>372</v>
      </c>
      <c r="B1373" s="18" t="s">
        <v>948</v>
      </c>
      <c r="C1373" s="18" t="s">
        <v>373</v>
      </c>
      <c r="D1373" s="18" t="s">
        <v>26</v>
      </c>
      <c r="E1373" s="18" t="s">
        <v>234</v>
      </c>
      <c r="F1373" s="18" t="s">
        <v>374</v>
      </c>
      <c r="G1373" s="18" t="s">
        <v>32</v>
      </c>
      <c r="H1373" s="19">
        <v>2013</v>
      </c>
      <c r="I1373" s="18" t="s">
        <v>136</v>
      </c>
      <c r="J1373" s="101" t="s">
        <v>27</v>
      </c>
      <c r="K1373" s="20">
        <v>123</v>
      </c>
      <c r="L1373" s="21">
        <v>2235</v>
      </c>
      <c r="M1373" s="22" t="s">
        <v>375</v>
      </c>
      <c r="N1373" s="23">
        <v>20.83139155559698</v>
      </c>
      <c r="O1373" s="24">
        <v>0.169360906956073</v>
      </c>
      <c r="P1373" s="25" t="str">
        <f>IF(P1374="x","x","")</f>
        <v/>
      </c>
      <c r="Q1373" s="25" t="str">
        <f>IF(Q1374="x","x","")</f>
        <v>x</v>
      </c>
      <c r="R1373" s="25" t="str">
        <f>IF(R1374="x","x","")</f>
        <v/>
      </c>
      <c r="S1373" s="25" t="str">
        <f>IF(S1374="x","x","")</f>
        <v/>
      </c>
      <c r="T1373" s="25" t="s">
        <v>31</v>
      </c>
      <c r="U1373" s="26"/>
      <c r="V1373" s="27"/>
    </row>
    <row r="1374" spans="1:22" ht="48" thickBot="1" x14ac:dyDescent="0.3">
      <c r="A1374" s="28" t="str">
        <f>A1373</f>
        <v>Pakistan</v>
      </c>
      <c r="B1374" s="28" t="str">
        <f>B1373</f>
        <v>South Asia</v>
      </c>
      <c r="C1374" s="28" t="str">
        <f>C1373</f>
        <v>P010556</v>
      </c>
      <c r="D1374" s="28" t="s">
        <v>26</v>
      </c>
      <c r="E1374" s="28" t="s">
        <v>27</v>
      </c>
      <c r="F1374" s="28" t="str">
        <f>F1373</f>
        <v>P010556C1S10</v>
      </c>
      <c r="G1374" s="28" t="s">
        <v>16</v>
      </c>
      <c r="H1374" s="29" t="str">
        <f>H1372&amp;" / "&amp;H1373</f>
        <v>2003 / 2013</v>
      </c>
      <c r="I1374" s="29" t="str">
        <f>I1373</f>
        <v>Bituminous Pavement Preventive Treatment</v>
      </c>
      <c r="J1374" s="97" t="str">
        <f>IFERROR(J1373/J1372,"")</f>
        <v/>
      </c>
      <c r="K1374" s="32">
        <f>K1373/K1372</f>
        <v>1.7083333333333333</v>
      </c>
      <c r="L1374" s="32">
        <f>L1373/L1372</f>
        <v>3.5141509433962264</v>
      </c>
      <c r="M1374" s="28"/>
      <c r="N1374" s="32">
        <f>N1373/N1372</f>
        <v>1.8866165937144437</v>
      </c>
      <c r="O1374" s="32">
        <f>O1373/O1372</f>
        <v>1.1043609329060156</v>
      </c>
      <c r="P1374" s="33" t="str">
        <f>IF(K1374&lt;50%,"x","")</f>
        <v/>
      </c>
      <c r="Q1374" s="33" t="str">
        <f>IF(K1374&gt;150%,"x","")</f>
        <v>x</v>
      </c>
      <c r="R1374" s="33" t="str">
        <f>IF(O1374&lt;50%,"x","")</f>
        <v/>
      </c>
      <c r="S1374" s="33" t="str">
        <f>IF(O1374&gt;150%,"x","")</f>
        <v/>
      </c>
      <c r="T1374" s="33" t="s">
        <v>31</v>
      </c>
      <c r="U1374" s="34" t="s">
        <v>969</v>
      </c>
      <c r="V1374" s="35" t="s">
        <v>970</v>
      </c>
    </row>
    <row r="1375" spans="1:22" ht="16.5" thickTop="1" x14ac:dyDescent="0.25">
      <c r="A1375" s="18" t="s">
        <v>372</v>
      </c>
      <c r="B1375" s="18" t="s">
        <v>948</v>
      </c>
      <c r="C1375" s="18" t="s">
        <v>373</v>
      </c>
      <c r="D1375" s="18" t="s">
        <v>26</v>
      </c>
      <c r="E1375" s="18" t="s">
        <v>376</v>
      </c>
      <c r="F1375" s="18" t="s">
        <v>377</v>
      </c>
      <c r="G1375" s="18" t="s">
        <v>29</v>
      </c>
      <c r="H1375" s="19">
        <v>2003</v>
      </c>
      <c r="I1375" s="18" t="s">
        <v>136</v>
      </c>
      <c r="J1375" s="101">
        <v>32</v>
      </c>
      <c r="K1375" s="20">
        <v>62</v>
      </c>
      <c r="L1375" s="21">
        <v>376</v>
      </c>
      <c r="M1375" s="22" t="s">
        <v>375</v>
      </c>
      <c r="N1375" s="23">
        <v>6.5277777777777777</v>
      </c>
      <c r="O1375" s="24">
        <v>0.10528673835125447</v>
      </c>
      <c r="P1375" s="25" t="str">
        <f>IF(P1377="x","x","")</f>
        <v/>
      </c>
      <c r="Q1375" s="25" t="str">
        <f>IF(Q1377="x","x","")</f>
        <v>x</v>
      </c>
      <c r="R1375" s="25" t="str">
        <f>IF(R1377="x","x","")</f>
        <v/>
      </c>
      <c r="S1375" s="25" t="str">
        <f>IF(S1377="x","x","")</f>
        <v/>
      </c>
      <c r="T1375" s="25" t="s">
        <v>31</v>
      </c>
      <c r="U1375" s="26"/>
      <c r="V1375" s="27"/>
    </row>
    <row r="1376" spans="1:22" x14ac:dyDescent="0.25">
      <c r="A1376" s="18" t="s">
        <v>372</v>
      </c>
      <c r="B1376" s="18" t="s">
        <v>948</v>
      </c>
      <c r="C1376" s="18" t="s">
        <v>373</v>
      </c>
      <c r="D1376" s="18" t="s">
        <v>26</v>
      </c>
      <c r="E1376" s="18" t="s">
        <v>376</v>
      </c>
      <c r="F1376" s="18" t="s">
        <v>377</v>
      </c>
      <c r="G1376" s="18" t="s">
        <v>32</v>
      </c>
      <c r="H1376" s="19">
        <v>2013</v>
      </c>
      <c r="I1376" s="18" t="s">
        <v>136</v>
      </c>
      <c r="J1376" s="101" t="s">
        <v>27</v>
      </c>
      <c r="K1376" s="20">
        <v>111</v>
      </c>
      <c r="L1376" s="21">
        <v>1518</v>
      </c>
      <c r="M1376" s="22" t="s">
        <v>375</v>
      </c>
      <c r="N1376" s="23">
        <v>14.148569298163855</v>
      </c>
      <c r="O1376" s="24">
        <v>0.12746458827174645</v>
      </c>
      <c r="P1376" s="25" t="str">
        <f>IF(P1377="x","x","")</f>
        <v/>
      </c>
      <c r="Q1376" s="25" t="str">
        <f>IF(Q1377="x","x","")</f>
        <v>x</v>
      </c>
      <c r="R1376" s="25" t="str">
        <f>IF(R1377="x","x","")</f>
        <v/>
      </c>
      <c r="S1376" s="25" t="str">
        <f>IF(S1377="x","x","")</f>
        <v/>
      </c>
      <c r="T1376" s="25" t="s">
        <v>31</v>
      </c>
      <c r="U1376" s="26"/>
      <c r="V1376" s="27"/>
    </row>
    <row r="1377" spans="1:22" ht="48" thickBot="1" x14ac:dyDescent="0.3">
      <c r="A1377" s="28" t="str">
        <f>A1376</f>
        <v>Pakistan</v>
      </c>
      <c r="B1377" s="28" t="str">
        <f>B1376</f>
        <v>South Asia</v>
      </c>
      <c r="C1377" s="28" t="str">
        <f>C1376</f>
        <v>P010556</v>
      </c>
      <c r="D1377" s="28" t="s">
        <v>26</v>
      </c>
      <c r="E1377" s="28" t="s">
        <v>27</v>
      </c>
      <c r="F1377" s="28" t="str">
        <f>F1376</f>
        <v>P010556C1S14</v>
      </c>
      <c r="G1377" s="28" t="s">
        <v>16</v>
      </c>
      <c r="H1377" s="29" t="str">
        <f>H1375&amp;" / "&amp;H1376</f>
        <v>2003 / 2013</v>
      </c>
      <c r="I1377" s="29" t="str">
        <f>I1376</f>
        <v>Bituminous Pavement Preventive Treatment</v>
      </c>
      <c r="J1377" s="97" t="str">
        <f>IFERROR(J1376/J1375,"")</f>
        <v/>
      </c>
      <c r="K1377" s="32">
        <f>K1376/K1375</f>
        <v>1.7903225806451613</v>
      </c>
      <c r="L1377" s="32">
        <f>L1376/L1375</f>
        <v>4.0372340425531918</v>
      </c>
      <c r="M1377" s="28"/>
      <c r="N1377" s="32">
        <f>N1376/N1375</f>
        <v>2.1674404031229737</v>
      </c>
      <c r="O1377" s="32">
        <f>O1376/O1375</f>
        <v>1.2106423873299492</v>
      </c>
      <c r="P1377" s="33" t="str">
        <f>IF(K1377&lt;50%,"x","")</f>
        <v/>
      </c>
      <c r="Q1377" s="33" t="str">
        <f>IF(K1377&gt;150%,"x","")</f>
        <v>x</v>
      </c>
      <c r="R1377" s="33" t="str">
        <f>IF(O1377&lt;50%,"x","")</f>
        <v/>
      </c>
      <c r="S1377" s="33" t="str">
        <f>IF(O1377&gt;150%,"x","")</f>
        <v/>
      </c>
      <c r="T1377" s="33" t="s">
        <v>31</v>
      </c>
      <c r="U1377" s="34" t="s">
        <v>969</v>
      </c>
      <c r="V1377" s="35" t="s">
        <v>970</v>
      </c>
    </row>
    <row r="1378" spans="1:22" ht="16.5" thickTop="1" x14ac:dyDescent="0.25">
      <c r="A1378" s="18" t="s">
        <v>372</v>
      </c>
      <c r="B1378" s="18" t="s">
        <v>948</v>
      </c>
      <c r="C1378" s="18" t="s">
        <v>373</v>
      </c>
      <c r="D1378" s="18" t="s">
        <v>26</v>
      </c>
      <c r="E1378" s="18" t="s">
        <v>378</v>
      </c>
      <c r="F1378" s="18" t="s">
        <v>379</v>
      </c>
      <c r="G1378" s="18" t="s">
        <v>29</v>
      </c>
      <c r="H1378" s="19">
        <v>2003</v>
      </c>
      <c r="I1378" s="18" t="s">
        <v>359</v>
      </c>
      <c r="J1378" s="101">
        <v>48</v>
      </c>
      <c r="K1378" s="20">
        <v>68</v>
      </c>
      <c r="L1378" s="21">
        <v>604</v>
      </c>
      <c r="M1378" s="22" t="s">
        <v>375</v>
      </c>
      <c r="N1378" s="23">
        <v>10.486111111111111</v>
      </c>
      <c r="O1378" s="24">
        <v>0.15420751633986929</v>
      </c>
      <c r="P1378" s="25" t="str">
        <f>IF(P1380="x","x","")</f>
        <v/>
      </c>
      <c r="Q1378" s="25" t="str">
        <f>IF(Q1380="x","x","")</f>
        <v/>
      </c>
      <c r="R1378" s="25" t="str">
        <f>IF(R1380="x","x","")</f>
        <v/>
      </c>
      <c r="S1378" s="25" t="str">
        <f>IF(S1380="x","x","")</f>
        <v/>
      </c>
      <c r="T1378" s="25" t="s">
        <v>27</v>
      </c>
      <c r="U1378" s="26"/>
      <c r="V1378" s="27"/>
    </row>
    <row r="1379" spans="1:22" x14ac:dyDescent="0.25">
      <c r="A1379" s="18" t="s">
        <v>372</v>
      </c>
      <c r="B1379" s="18" t="s">
        <v>948</v>
      </c>
      <c r="C1379" s="18" t="s">
        <v>373</v>
      </c>
      <c r="D1379" s="18" t="s">
        <v>26</v>
      </c>
      <c r="E1379" s="18" t="s">
        <v>378</v>
      </c>
      <c r="F1379" s="18" t="s">
        <v>379</v>
      </c>
      <c r="G1379" s="18" t="s">
        <v>32</v>
      </c>
      <c r="H1379" s="19">
        <v>2013</v>
      </c>
      <c r="I1379" s="18" t="s">
        <v>359</v>
      </c>
      <c r="J1379" s="101" t="s">
        <v>27</v>
      </c>
      <c r="K1379" s="20">
        <v>68</v>
      </c>
      <c r="L1379" s="21">
        <v>1532</v>
      </c>
      <c r="M1379" s="22" t="s">
        <v>375</v>
      </c>
      <c r="N1379" s="23">
        <v>14.279056762046789</v>
      </c>
      <c r="O1379" s="24">
        <v>0.20998612885362924</v>
      </c>
      <c r="P1379" s="25" t="str">
        <f>IF(P1380="x","x","")</f>
        <v/>
      </c>
      <c r="Q1379" s="25" t="str">
        <f>IF(Q1380="x","x","")</f>
        <v/>
      </c>
      <c r="R1379" s="25" t="str">
        <f>IF(R1380="x","x","")</f>
        <v/>
      </c>
      <c r="S1379" s="25" t="str">
        <f>IF(S1380="x","x","")</f>
        <v/>
      </c>
      <c r="T1379" s="25" t="s">
        <v>27</v>
      </c>
      <c r="U1379" s="26"/>
      <c r="V1379" s="27"/>
    </row>
    <row r="1380" spans="1:22" ht="16.5" thickBot="1" x14ac:dyDescent="0.3">
      <c r="A1380" s="28" t="str">
        <f>A1379</f>
        <v>Pakistan</v>
      </c>
      <c r="B1380" s="28" t="str">
        <f>B1379</f>
        <v>South Asia</v>
      </c>
      <c r="C1380" s="28" t="str">
        <f>C1379</f>
        <v>P010556</v>
      </c>
      <c r="D1380" s="28" t="s">
        <v>26</v>
      </c>
      <c r="E1380" s="28" t="s">
        <v>27</v>
      </c>
      <c r="F1380" s="28" t="str">
        <f>F1379</f>
        <v>P010556C1S15</v>
      </c>
      <c r="G1380" s="28" t="s">
        <v>16</v>
      </c>
      <c r="H1380" s="29" t="str">
        <f>H1378&amp;" / "&amp;H1379</f>
        <v>2003 / 2013</v>
      </c>
      <c r="I1380" s="29" t="str">
        <f>I1379</f>
        <v>Reconstruction</v>
      </c>
      <c r="J1380" s="97" t="str">
        <f>IFERROR(J1379/J1378,"")</f>
        <v/>
      </c>
      <c r="K1380" s="32">
        <f>K1379/K1378</f>
        <v>1</v>
      </c>
      <c r="L1380" s="32">
        <f>L1379/L1378</f>
        <v>2.5364238410596025</v>
      </c>
      <c r="M1380" s="28"/>
      <c r="N1380" s="32">
        <f>N1379/N1378</f>
        <v>1.3617113733342634</v>
      </c>
      <c r="O1380" s="32">
        <f>O1379/O1378</f>
        <v>1.3617113733342632</v>
      </c>
      <c r="P1380" s="33" t="str">
        <f>IF(K1380&lt;50%,"x","")</f>
        <v/>
      </c>
      <c r="Q1380" s="33" t="str">
        <f>IF(K1380&gt;150%,"x","")</f>
        <v/>
      </c>
      <c r="R1380" s="33" t="str">
        <f>IF(O1380&lt;50%,"x","")</f>
        <v/>
      </c>
      <c r="S1380" s="33" t="str">
        <f>IF(O1380&gt;150%,"x","")</f>
        <v/>
      </c>
      <c r="T1380" s="33" t="s">
        <v>27</v>
      </c>
      <c r="U1380" s="34" t="s">
        <v>27</v>
      </c>
      <c r="V1380" s="35" t="s">
        <v>27</v>
      </c>
    </row>
    <row r="1381" spans="1:22" ht="16.5" thickTop="1" x14ac:dyDescent="0.25">
      <c r="A1381" s="18" t="s">
        <v>372</v>
      </c>
      <c r="B1381" s="18" t="s">
        <v>948</v>
      </c>
      <c r="C1381" s="18" t="s">
        <v>373</v>
      </c>
      <c r="D1381" s="18" t="s">
        <v>26</v>
      </c>
      <c r="E1381" s="18" t="s">
        <v>71</v>
      </c>
      <c r="F1381" s="18" t="s">
        <v>380</v>
      </c>
      <c r="G1381" s="18" t="s">
        <v>29</v>
      </c>
      <c r="H1381" s="19">
        <v>2003</v>
      </c>
      <c r="I1381" s="18" t="s">
        <v>359</v>
      </c>
      <c r="J1381" s="101">
        <v>48</v>
      </c>
      <c r="K1381" s="20">
        <v>89</v>
      </c>
      <c r="L1381" s="21">
        <v>1310</v>
      </c>
      <c r="M1381" s="22" t="s">
        <v>375</v>
      </c>
      <c r="N1381" s="23">
        <v>22.743055555555554</v>
      </c>
      <c r="O1381" s="24">
        <v>0.25553995006242197</v>
      </c>
      <c r="P1381" s="25" t="str">
        <f>IF(P1383="x","x","")</f>
        <v/>
      </c>
      <c r="Q1381" s="25" t="str">
        <f>IF(Q1383="x","x","")</f>
        <v/>
      </c>
      <c r="R1381" s="25" t="str">
        <f>IF(R1383="x","x","")</f>
        <v/>
      </c>
      <c r="S1381" s="25" t="str">
        <f>IF(S1383="x","x","")</f>
        <v/>
      </c>
      <c r="T1381" s="25" t="s">
        <v>27</v>
      </c>
      <c r="U1381" s="26"/>
      <c r="V1381" s="27"/>
    </row>
    <row r="1382" spans="1:22" x14ac:dyDescent="0.25">
      <c r="A1382" s="18" t="s">
        <v>372</v>
      </c>
      <c r="B1382" s="18" t="s">
        <v>948</v>
      </c>
      <c r="C1382" s="18" t="s">
        <v>373</v>
      </c>
      <c r="D1382" s="18" t="s">
        <v>26</v>
      </c>
      <c r="E1382" s="18" t="s">
        <v>71</v>
      </c>
      <c r="F1382" s="18" t="s">
        <v>380</v>
      </c>
      <c r="G1382" s="18" t="s">
        <v>32</v>
      </c>
      <c r="H1382" s="19">
        <v>2013</v>
      </c>
      <c r="I1382" s="18" t="s">
        <v>359</v>
      </c>
      <c r="J1382" s="101" t="s">
        <v>27</v>
      </c>
      <c r="K1382" s="20">
        <v>86</v>
      </c>
      <c r="L1382" s="21">
        <v>1757</v>
      </c>
      <c r="M1382" s="22" t="s">
        <v>375</v>
      </c>
      <c r="N1382" s="23">
        <v>16.37617671730823</v>
      </c>
      <c r="O1382" s="24">
        <v>0.19042065950358406</v>
      </c>
      <c r="P1382" s="25" t="str">
        <f>IF(P1383="x","x","")</f>
        <v/>
      </c>
      <c r="Q1382" s="25" t="str">
        <f>IF(Q1383="x","x","")</f>
        <v/>
      </c>
      <c r="R1382" s="25" t="str">
        <f>IF(R1383="x","x","")</f>
        <v/>
      </c>
      <c r="S1382" s="25" t="str">
        <f>IF(S1383="x","x","")</f>
        <v/>
      </c>
      <c r="T1382" s="25" t="s">
        <v>27</v>
      </c>
      <c r="U1382" s="26"/>
      <c r="V1382" s="27"/>
    </row>
    <row r="1383" spans="1:22" ht="16.5" thickBot="1" x14ac:dyDescent="0.3">
      <c r="A1383" s="28" t="str">
        <f>A1382</f>
        <v>Pakistan</v>
      </c>
      <c r="B1383" s="28" t="str">
        <f>B1382</f>
        <v>South Asia</v>
      </c>
      <c r="C1383" s="28" t="str">
        <f>C1382</f>
        <v>P010556</v>
      </c>
      <c r="D1383" s="28" t="s">
        <v>26</v>
      </c>
      <c r="E1383" s="28" t="s">
        <v>27</v>
      </c>
      <c r="F1383" s="28" t="str">
        <f>F1382</f>
        <v>P010556C1S4</v>
      </c>
      <c r="G1383" s="28" t="s">
        <v>16</v>
      </c>
      <c r="H1383" s="29" t="str">
        <f>H1381&amp;" / "&amp;H1382</f>
        <v>2003 / 2013</v>
      </c>
      <c r="I1383" s="29" t="str">
        <f>I1382</f>
        <v>Reconstruction</v>
      </c>
      <c r="J1383" s="97" t="str">
        <f>IFERROR(J1382/J1381,"")</f>
        <v/>
      </c>
      <c r="K1383" s="32">
        <f>K1382/K1381</f>
        <v>0.9662921348314607</v>
      </c>
      <c r="L1383" s="32">
        <f>L1382/L1381</f>
        <v>1.3412213740458014</v>
      </c>
      <c r="M1383" s="28"/>
      <c r="N1383" s="32">
        <f>N1382/N1381</f>
        <v>0.72005173963126268</v>
      </c>
      <c r="O1383" s="32">
        <f>O1382/O1381</f>
        <v>0.74516982357188799</v>
      </c>
      <c r="P1383" s="33" t="str">
        <f>IF(K1383&lt;50%,"x","")</f>
        <v/>
      </c>
      <c r="Q1383" s="33" t="str">
        <f>IF(K1383&gt;150%,"x","")</f>
        <v/>
      </c>
      <c r="R1383" s="33" t="str">
        <f>IF(O1383&lt;50%,"x","")</f>
        <v/>
      </c>
      <c r="S1383" s="33" t="str">
        <f>IF(O1383&gt;150%,"x","")</f>
        <v/>
      </c>
      <c r="T1383" s="33" t="s">
        <v>27</v>
      </c>
      <c r="U1383" s="34" t="s">
        <v>27</v>
      </c>
      <c r="V1383" s="35" t="s">
        <v>27</v>
      </c>
    </row>
    <row r="1384" spans="1:22" ht="16.5" thickTop="1" x14ac:dyDescent="0.25">
      <c r="A1384" s="18" t="s">
        <v>372</v>
      </c>
      <c r="B1384" s="18" t="s">
        <v>948</v>
      </c>
      <c r="C1384" s="18" t="s">
        <v>373</v>
      </c>
      <c r="D1384" s="18" t="s">
        <v>26</v>
      </c>
      <c r="E1384" s="18" t="s">
        <v>141</v>
      </c>
      <c r="F1384" s="18" t="s">
        <v>381</v>
      </c>
      <c r="G1384" s="18" t="s">
        <v>29</v>
      </c>
      <c r="H1384" s="19">
        <v>2003</v>
      </c>
      <c r="I1384" s="18" t="s">
        <v>359</v>
      </c>
      <c r="J1384" s="101">
        <v>48</v>
      </c>
      <c r="K1384" s="20">
        <v>53.7</v>
      </c>
      <c r="L1384" s="21">
        <v>951</v>
      </c>
      <c r="M1384" s="22" t="s">
        <v>375</v>
      </c>
      <c r="N1384" s="23">
        <v>16.510416666666668</v>
      </c>
      <c r="O1384" s="24">
        <v>0.30745654872749845</v>
      </c>
      <c r="P1384" s="25" t="str">
        <f>IF(P1386="x","x","")</f>
        <v/>
      </c>
      <c r="Q1384" s="25" t="str">
        <f>IF(Q1386="x","x","")</f>
        <v/>
      </c>
      <c r="R1384" s="25" t="str">
        <f>IF(R1386="x","x","")</f>
        <v/>
      </c>
      <c r="S1384" s="25" t="str">
        <f>IF(S1386="x","x","")</f>
        <v/>
      </c>
      <c r="T1384" s="25" t="s">
        <v>27</v>
      </c>
      <c r="U1384" s="26"/>
      <c r="V1384" s="27"/>
    </row>
    <row r="1385" spans="1:22" x14ac:dyDescent="0.25">
      <c r="A1385" s="18" t="s">
        <v>372</v>
      </c>
      <c r="B1385" s="18" t="s">
        <v>948</v>
      </c>
      <c r="C1385" s="18" t="s">
        <v>373</v>
      </c>
      <c r="D1385" s="18" t="s">
        <v>26</v>
      </c>
      <c r="E1385" s="18" t="s">
        <v>141</v>
      </c>
      <c r="F1385" s="18" t="s">
        <v>381</v>
      </c>
      <c r="G1385" s="18" t="s">
        <v>32</v>
      </c>
      <c r="H1385" s="19">
        <v>2013</v>
      </c>
      <c r="I1385" s="18" t="s">
        <v>359</v>
      </c>
      <c r="J1385" s="101" t="s">
        <v>27</v>
      </c>
      <c r="K1385" s="20">
        <v>50</v>
      </c>
      <c r="L1385" s="21">
        <v>1557</v>
      </c>
      <c r="M1385" s="22" t="s">
        <v>375</v>
      </c>
      <c r="N1385" s="23">
        <v>14.512070090409171</v>
      </c>
      <c r="O1385" s="24">
        <v>0.29024140180818342</v>
      </c>
      <c r="P1385" s="25" t="str">
        <f>IF(P1386="x","x","")</f>
        <v/>
      </c>
      <c r="Q1385" s="25" t="str">
        <f>IF(Q1386="x","x","")</f>
        <v/>
      </c>
      <c r="R1385" s="25" t="str">
        <f>IF(R1386="x","x","")</f>
        <v/>
      </c>
      <c r="S1385" s="25" t="str">
        <f>IF(S1386="x","x","")</f>
        <v/>
      </c>
      <c r="T1385" s="25" t="s">
        <v>27</v>
      </c>
      <c r="U1385" s="26"/>
      <c r="V1385" s="27"/>
    </row>
    <row r="1386" spans="1:22" ht="16.5" thickBot="1" x14ac:dyDescent="0.3">
      <c r="A1386" s="28" t="str">
        <f>A1385</f>
        <v>Pakistan</v>
      </c>
      <c r="B1386" s="28" t="str">
        <f>B1385</f>
        <v>South Asia</v>
      </c>
      <c r="C1386" s="28" t="str">
        <f>C1385</f>
        <v>P010556</v>
      </c>
      <c r="D1386" s="28" t="s">
        <v>26</v>
      </c>
      <c r="E1386" s="28" t="s">
        <v>27</v>
      </c>
      <c r="F1386" s="28" t="str">
        <f>F1385</f>
        <v>P010556C1S5</v>
      </c>
      <c r="G1386" s="28" t="s">
        <v>16</v>
      </c>
      <c r="H1386" s="29" t="str">
        <f>H1384&amp;" / "&amp;H1385</f>
        <v>2003 / 2013</v>
      </c>
      <c r="I1386" s="29" t="str">
        <f>I1385</f>
        <v>Reconstruction</v>
      </c>
      <c r="J1386" s="97" t="str">
        <f>IFERROR(J1385/J1384,"")</f>
        <v/>
      </c>
      <c r="K1386" s="32">
        <f>K1385/K1384</f>
        <v>0.93109869646182486</v>
      </c>
      <c r="L1386" s="32">
        <f>L1385/L1384</f>
        <v>1.637223974763407</v>
      </c>
      <c r="M1386" s="28"/>
      <c r="N1386" s="32">
        <f>N1385/N1384</f>
        <v>0.87896449758945128</v>
      </c>
      <c r="O1386" s="32">
        <f>O1385/O1384</f>
        <v>0.94400787041107082</v>
      </c>
      <c r="P1386" s="33" t="str">
        <f>IF(K1386&lt;50%,"x","")</f>
        <v/>
      </c>
      <c r="Q1386" s="33" t="str">
        <f>IF(K1386&gt;150%,"x","")</f>
        <v/>
      </c>
      <c r="R1386" s="33" t="str">
        <f>IF(O1386&lt;50%,"x","")</f>
        <v/>
      </c>
      <c r="S1386" s="33" t="str">
        <f>IF(O1386&gt;150%,"x","")</f>
        <v/>
      </c>
      <c r="T1386" s="33" t="s">
        <v>27</v>
      </c>
      <c r="U1386" s="34" t="s">
        <v>27</v>
      </c>
      <c r="V1386" s="35" t="s">
        <v>27</v>
      </c>
    </row>
    <row r="1387" spans="1:22" ht="16.5" thickTop="1" x14ac:dyDescent="0.25">
      <c r="A1387" s="18" t="s">
        <v>372</v>
      </c>
      <c r="B1387" s="18" t="s">
        <v>948</v>
      </c>
      <c r="C1387" s="18" t="s">
        <v>373</v>
      </c>
      <c r="D1387" s="18" t="s">
        <v>26</v>
      </c>
      <c r="E1387" s="18" t="s">
        <v>143</v>
      </c>
      <c r="F1387" s="18" t="s">
        <v>382</v>
      </c>
      <c r="G1387" s="18" t="s">
        <v>29</v>
      </c>
      <c r="H1387" s="19">
        <v>2003</v>
      </c>
      <c r="I1387" s="18" t="s">
        <v>359</v>
      </c>
      <c r="J1387" s="101">
        <v>48</v>
      </c>
      <c r="K1387" s="20">
        <v>46</v>
      </c>
      <c r="L1387" s="21">
        <v>750</v>
      </c>
      <c r="M1387" s="22" t="s">
        <v>375</v>
      </c>
      <c r="N1387" s="23">
        <v>13.020833333333332</v>
      </c>
      <c r="O1387" s="24">
        <v>0.2830615942028985</v>
      </c>
      <c r="P1387" s="25" t="str">
        <f>IF(P1389="x","x","")</f>
        <v/>
      </c>
      <c r="Q1387" s="25" t="str">
        <f>IF(Q1389="x","x","")</f>
        <v/>
      </c>
      <c r="R1387" s="25" t="str">
        <f>IF(R1389="x","x","")</f>
        <v/>
      </c>
      <c r="S1387" s="25" t="str">
        <f>IF(S1389="x","x","")</f>
        <v/>
      </c>
      <c r="T1387" s="25" t="s">
        <v>27</v>
      </c>
      <c r="U1387" s="26"/>
      <c r="V1387" s="27"/>
    </row>
    <row r="1388" spans="1:22" x14ac:dyDescent="0.25">
      <c r="A1388" s="18" t="s">
        <v>372</v>
      </c>
      <c r="B1388" s="18" t="s">
        <v>948</v>
      </c>
      <c r="C1388" s="18" t="s">
        <v>373</v>
      </c>
      <c r="D1388" s="18" t="s">
        <v>26</v>
      </c>
      <c r="E1388" s="18" t="s">
        <v>143</v>
      </c>
      <c r="F1388" s="18" t="s">
        <v>382</v>
      </c>
      <c r="G1388" s="18" t="s">
        <v>32</v>
      </c>
      <c r="H1388" s="19">
        <v>2013</v>
      </c>
      <c r="I1388" s="18" t="s">
        <v>359</v>
      </c>
      <c r="J1388" s="101" t="s">
        <v>27</v>
      </c>
      <c r="K1388" s="20">
        <v>47</v>
      </c>
      <c r="L1388" s="21">
        <v>1195</v>
      </c>
      <c r="M1388" s="22" t="s">
        <v>375</v>
      </c>
      <c r="N1388" s="23">
        <v>11.138037095721876</v>
      </c>
      <c r="O1388" s="24">
        <v>0.23697951267493353</v>
      </c>
      <c r="P1388" s="25" t="str">
        <f>IF(P1389="x","x","")</f>
        <v/>
      </c>
      <c r="Q1388" s="25" t="str">
        <f>IF(Q1389="x","x","")</f>
        <v/>
      </c>
      <c r="R1388" s="25" t="str">
        <f>IF(R1389="x","x","")</f>
        <v/>
      </c>
      <c r="S1388" s="25" t="str">
        <f>IF(S1389="x","x","")</f>
        <v/>
      </c>
      <c r="T1388" s="25" t="s">
        <v>27</v>
      </c>
      <c r="U1388" s="26"/>
      <c r="V1388" s="27"/>
    </row>
    <row r="1389" spans="1:22" ht="16.5" thickBot="1" x14ac:dyDescent="0.3">
      <c r="A1389" s="28" t="str">
        <f>A1388</f>
        <v>Pakistan</v>
      </c>
      <c r="B1389" s="28" t="str">
        <f>B1388</f>
        <v>South Asia</v>
      </c>
      <c r="C1389" s="28" t="str">
        <f>C1388</f>
        <v>P010556</v>
      </c>
      <c r="D1389" s="28" t="s">
        <v>26</v>
      </c>
      <c r="E1389" s="28" t="s">
        <v>27</v>
      </c>
      <c r="F1389" s="28" t="str">
        <f>F1388</f>
        <v>P010556C1S6</v>
      </c>
      <c r="G1389" s="28" t="s">
        <v>16</v>
      </c>
      <c r="H1389" s="29" t="str">
        <f>H1387&amp;" / "&amp;H1388</f>
        <v>2003 / 2013</v>
      </c>
      <c r="I1389" s="29" t="str">
        <f>I1388</f>
        <v>Reconstruction</v>
      </c>
      <c r="J1389" s="97" t="str">
        <f>IFERROR(J1388/J1387,"")</f>
        <v/>
      </c>
      <c r="K1389" s="32">
        <f>K1388/K1387</f>
        <v>1.0217391304347827</v>
      </c>
      <c r="L1389" s="32">
        <f>L1388/L1387</f>
        <v>1.5933333333333333</v>
      </c>
      <c r="M1389" s="28"/>
      <c r="N1389" s="32">
        <f>N1388/N1387</f>
        <v>0.8554012489514401</v>
      </c>
      <c r="O1389" s="32">
        <f>O1388/O1387</f>
        <v>0.83720122237800532</v>
      </c>
      <c r="P1389" s="33" t="str">
        <f>IF(K1389&lt;50%,"x","")</f>
        <v/>
      </c>
      <c r="Q1389" s="33" t="str">
        <f>IF(K1389&gt;150%,"x","")</f>
        <v/>
      </c>
      <c r="R1389" s="33" t="str">
        <f>IF(O1389&lt;50%,"x","")</f>
        <v/>
      </c>
      <c r="S1389" s="33" t="str">
        <f>IF(O1389&gt;150%,"x","")</f>
        <v/>
      </c>
      <c r="T1389" s="33" t="s">
        <v>27</v>
      </c>
      <c r="U1389" s="34" t="s">
        <v>27</v>
      </c>
      <c r="V1389" s="35" t="s">
        <v>27</v>
      </c>
    </row>
    <row r="1390" spans="1:22" ht="16.5" thickTop="1" x14ac:dyDescent="0.25">
      <c r="A1390" s="18" t="s">
        <v>372</v>
      </c>
      <c r="B1390" s="18" t="s">
        <v>948</v>
      </c>
      <c r="C1390" s="18" t="s">
        <v>373</v>
      </c>
      <c r="D1390" s="18" t="s">
        <v>26</v>
      </c>
      <c r="E1390" s="18" t="s">
        <v>245</v>
      </c>
      <c r="F1390" s="18" t="s">
        <v>383</v>
      </c>
      <c r="G1390" s="18" t="s">
        <v>29</v>
      </c>
      <c r="H1390" s="19">
        <v>2003</v>
      </c>
      <c r="I1390" s="18" t="s">
        <v>364</v>
      </c>
      <c r="J1390" s="101">
        <v>48</v>
      </c>
      <c r="K1390" s="20">
        <v>100</v>
      </c>
      <c r="L1390" s="21">
        <v>4509</v>
      </c>
      <c r="M1390" s="22" t="s">
        <v>375</v>
      </c>
      <c r="N1390" s="23">
        <v>78.28125</v>
      </c>
      <c r="O1390" s="24">
        <v>0.78281250000000002</v>
      </c>
      <c r="P1390" s="25" t="str">
        <f>IF(P1392="x","x","")</f>
        <v/>
      </c>
      <c r="Q1390" s="25" t="str">
        <f>IF(Q1392="x","x","")</f>
        <v/>
      </c>
      <c r="R1390" s="25" t="str">
        <f>IF(R1392="x","x","")</f>
        <v/>
      </c>
      <c r="S1390" s="25" t="str">
        <f>IF(S1392="x","x","")</f>
        <v/>
      </c>
      <c r="T1390" s="25" t="s">
        <v>27</v>
      </c>
      <c r="U1390" s="26"/>
      <c r="V1390" s="27"/>
    </row>
    <row r="1391" spans="1:22" x14ac:dyDescent="0.25">
      <c r="A1391" s="18" t="s">
        <v>372</v>
      </c>
      <c r="B1391" s="18" t="s">
        <v>948</v>
      </c>
      <c r="C1391" s="18" t="s">
        <v>373</v>
      </c>
      <c r="D1391" s="18" t="s">
        <v>26</v>
      </c>
      <c r="E1391" s="18" t="s">
        <v>245</v>
      </c>
      <c r="F1391" s="18" t="s">
        <v>383</v>
      </c>
      <c r="G1391" s="18" t="s">
        <v>32</v>
      </c>
      <c r="H1391" s="19">
        <v>2013</v>
      </c>
      <c r="I1391" s="18" t="s">
        <v>364</v>
      </c>
      <c r="J1391" s="101" t="s">
        <v>27</v>
      </c>
      <c r="K1391" s="20">
        <v>100</v>
      </c>
      <c r="L1391" s="21">
        <v>7657</v>
      </c>
      <c r="M1391" s="22" t="s">
        <v>375</v>
      </c>
      <c r="N1391" s="23">
        <v>71.367322210830451</v>
      </c>
      <c r="O1391" s="24">
        <v>0.71367322210830453</v>
      </c>
      <c r="P1391" s="25" t="str">
        <f>IF(P1392="x","x","")</f>
        <v/>
      </c>
      <c r="Q1391" s="25" t="str">
        <f>IF(Q1392="x","x","")</f>
        <v/>
      </c>
      <c r="R1391" s="25" t="str">
        <f>IF(R1392="x","x","")</f>
        <v/>
      </c>
      <c r="S1391" s="25" t="str">
        <f>IF(S1392="x","x","")</f>
        <v/>
      </c>
      <c r="T1391" s="25" t="s">
        <v>27</v>
      </c>
      <c r="U1391" s="26"/>
      <c r="V1391" s="27"/>
    </row>
    <row r="1392" spans="1:22" ht="16.5" thickBot="1" x14ac:dyDescent="0.3">
      <c r="A1392" s="28" t="str">
        <f>A1391</f>
        <v>Pakistan</v>
      </c>
      <c r="B1392" s="28" t="str">
        <f>B1391</f>
        <v>South Asia</v>
      </c>
      <c r="C1392" s="28" t="str">
        <f>C1391</f>
        <v>P010556</v>
      </c>
      <c r="D1392" s="28" t="s">
        <v>26</v>
      </c>
      <c r="E1392" s="28" t="s">
        <v>27</v>
      </c>
      <c r="F1392" s="28" t="str">
        <f>F1391</f>
        <v>P010556C1S7</v>
      </c>
      <c r="G1392" s="28" t="s">
        <v>16</v>
      </c>
      <c r="H1392" s="29" t="str">
        <f>H1390&amp;" / "&amp;H1391</f>
        <v>2003 / 2013</v>
      </c>
      <c r="I1392" s="29" t="str">
        <f>I1391</f>
        <v>Widening and Reconstruction</v>
      </c>
      <c r="J1392" s="97" t="str">
        <f>IFERROR(J1391/J1390,"")</f>
        <v/>
      </c>
      <c r="K1392" s="32">
        <f>K1391/K1390</f>
        <v>1</v>
      </c>
      <c r="L1392" s="32">
        <f>L1391/L1390</f>
        <v>1.6981592370813927</v>
      </c>
      <c r="M1392" s="28"/>
      <c r="N1392" s="32">
        <f>N1391/N1390</f>
        <v>0.91167836756350273</v>
      </c>
      <c r="O1392" s="32">
        <f>O1391/O1390</f>
        <v>0.91167836756350273</v>
      </c>
      <c r="P1392" s="33" t="str">
        <f>IF(K1392&lt;50%,"x","")</f>
        <v/>
      </c>
      <c r="Q1392" s="33" t="str">
        <f>IF(K1392&gt;150%,"x","")</f>
        <v/>
      </c>
      <c r="R1392" s="33" t="str">
        <f>IF(O1392&lt;50%,"x","")</f>
        <v/>
      </c>
      <c r="S1392" s="33" t="str">
        <f>IF(O1392&gt;150%,"x","")</f>
        <v/>
      </c>
      <c r="T1392" s="33" t="s">
        <v>27</v>
      </c>
      <c r="U1392" s="34" t="s">
        <v>27</v>
      </c>
      <c r="V1392" s="35" t="s">
        <v>27</v>
      </c>
    </row>
    <row r="1393" spans="1:22" ht="16.5" thickTop="1" x14ac:dyDescent="0.25">
      <c r="A1393" s="18" t="s">
        <v>372</v>
      </c>
      <c r="B1393" s="18" t="s">
        <v>948</v>
      </c>
      <c r="C1393" s="18" t="s">
        <v>929</v>
      </c>
      <c r="D1393" s="18" t="s">
        <v>26</v>
      </c>
      <c r="E1393" s="18" t="s">
        <v>36</v>
      </c>
      <c r="F1393" s="18" t="s">
        <v>930</v>
      </c>
      <c r="G1393" s="18" t="s">
        <v>29</v>
      </c>
      <c r="H1393" s="19">
        <v>2011</v>
      </c>
      <c r="I1393" s="18" t="s">
        <v>131</v>
      </c>
      <c r="J1393" s="101">
        <v>24</v>
      </c>
      <c r="K1393" s="20">
        <v>10.5</v>
      </c>
      <c r="L1393" s="21">
        <v>5.14</v>
      </c>
      <c r="M1393" s="22" t="s">
        <v>30</v>
      </c>
      <c r="N1393" s="23">
        <v>5.14</v>
      </c>
      <c r="O1393" s="24">
        <v>0.48952380952380947</v>
      </c>
      <c r="P1393" s="25" t="str">
        <f>IF(P1395="x","x","")</f>
        <v/>
      </c>
      <c r="Q1393" s="25" t="str">
        <f>IF(Q1395="x","x","")</f>
        <v/>
      </c>
      <c r="R1393" s="25" t="str">
        <f>IF(R1395="x","x","")</f>
        <v/>
      </c>
      <c r="S1393" s="25" t="str">
        <f>IF(S1395="x","x","")</f>
        <v/>
      </c>
      <c r="T1393" s="25" t="s">
        <v>27</v>
      </c>
      <c r="U1393" s="26"/>
      <c r="V1393" s="27"/>
    </row>
    <row r="1394" spans="1:22" x14ac:dyDescent="0.25">
      <c r="A1394" s="18" t="s">
        <v>372</v>
      </c>
      <c r="B1394" s="18" t="s">
        <v>948</v>
      </c>
      <c r="C1394" s="18" t="s">
        <v>929</v>
      </c>
      <c r="D1394" s="18" t="s">
        <v>26</v>
      </c>
      <c r="E1394" s="18" t="s">
        <v>36</v>
      </c>
      <c r="F1394" s="18" t="s">
        <v>930</v>
      </c>
      <c r="G1394" s="18" t="s">
        <v>32</v>
      </c>
      <c r="H1394" s="19">
        <v>2016</v>
      </c>
      <c r="I1394" s="18" t="s">
        <v>131</v>
      </c>
      <c r="J1394" s="101">
        <v>24</v>
      </c>
      <c r="K1394" s="20">
        <v>15.5</v>
      </c>
      <c r="L1394" s="21">
        <v>7.4</v>
      </c>
      <c r="M1394" s="22" t="s">
        <v>30</v>
      </c>
      <c r="N1394" s="23">
        <v>7.4</v>
      </c>
      <c r="O1394" s="24">
        <v>0.47741935483870968</v>
      </c>
      <c r="P1394" s="25" t="str">
        <f>IF(P1395="x","x","")</f>
        <v/>
      </c>
      <c r="Q1394" s="25" t="str">
        <f>IF(Q1395="x","x","")</f>
        <v/>
      </c>
      <c r="R1394" s="25" t="str">
        <f>IF(R1395="x","x","")</f>
        <v/>
      </c>
      <c r="S1394" s="25" t="str">
        <f>IF(S1395="x","x","")</f>
        <v/>
      </c>
      <c r="T1394" s="25" t="s">
        <v>27</v>
      </c>
      <c r="U1394" s="26"/>
      <c r="V1394" s="27"/>
    </row>
    <row r="1395" spans="1:22" ht="16.5" thickBot="1" x14ac:dyDescent="0.3">
      <c r="A1395" s="28" t="str">
        <f>A1394</f>
        <v>Pakistan</v>
      </c>
      <c r="B1395" s="28" t="str">
        <f>B1394</f>
        <v>South Asia</v>
      </c>
      <c r="C1395" s="28" t="str">
        <f>C1394</f>
        <v>P125584</v>
      </c>
      <c r="D1395" s="28" t="s">
        <v>26</v>
      </c>
      <c r="E1395" s="28" t="s">
        <v>27</v>
      </c>
      <c r="F1395" s="28" t="str">
        <f>F1394</f>
        <v>P125584C1S1</v>
      </c>
      <c r="G1395" s="28" t="s">
        <v>16</v>
      </c>
      <c r="H1395" s="29" t="str">
        <f>H1393&amp;" / "&amp;H1394</f>
        <v>2011 / 2016</v>
      </c>
      <c r="I1395" s="29" t="str">
        <f>I1394</f>
        <v>Partial Widening and Reconstruction</v>
      </c>
      <c r="J1395" s="97">
        <f>IFERROR(J1394/J1393,"")</f>
        <v>1</v>
      </c>
      <c r="K1395" s="32">
        <f>K1394/K1393</f>
        <v>1.4761904761904763</v>
      </c>
      <c r="L1395" s="32">
        <f>L1394/L1393</f>
        <v>1.4396887159533076</v>
      </c>
      <c r="M1395" s="28"/>
      <c r="N1395" s="32">
        <f>N1394/N1393</f>
        <v>1.4396887159533076</v>
      </c>
      <c r="O1395" s="32">
        <f>O1394/O1393</f>
        <v>0.97527300112965998</v>
      </c>
      <c r="P1395" s="33" t="str">
        <f>IF(K1395&lt;50%,"x","")</f>
        <v/>
      </c>
      <c r="Q1395" s="33" t="str">
        <f>IF(K1395&gt;150%,"x","")</f>
        <v/>
      </c>
      <c r="R1395" s="33" t="str">
        <f>IF(O1395&lt;50%,"x","")</f>
        <v/>
      </c>
      <c r="S1395" s="33" t="str">
        <f>IF(O1395&gt;150%,"x","")</f>
        <v/>
      </c>
      <c r="T1395" s="33" t="s">
        <v>27</v>
      </c>
      <c r="U1395" s="34" t="s">
        <v>27</v>
      </c>
      <c r="V1395" s="35" t="s">
        <v>27</v>
      </c>
    </row>
    <row r="1396" spans="1:22" ht="16.5" thickTop="1" x14ac:dyDescent="0.25">
      <c r="A1396" s="18" t="s">
        <v>372</v>
      </c>
      <c r="B1396" s="18" t="s">
        <v>948</v>
      </c>
      <c r="C1396" s="18" t="s">
        <v>932</v>
      </c>
      <c r="D1396" s="18" t="s">
        <v>26</v>
      </c>
      <c r="E1396" s="18" t="s">
        <v>27</v>
      </c>
      <c r="F1396" s="18" t="s">
        <v>933</v>
      </c>
      <c r="G1396" s="18" t="s">
        <v>29</v>
      </c>
      <c r="H1396" s="19">
        <v>2012</v>
      </c>
      <c r="I1396" s="18" t="s">
        <v>387</v>
      </c>
      <c r="J1396" s="101" t="s">
        <v>27</v>
      </c>
      <c r="K1396" s="20">
        <v>50</v>
      </c>
      <c r="L1396" s="21">
        <v>13.5</v>
      </c>
      <c r="M1396" s="22" t="s">
        <v>30</v>
      </c>
      <c r="N1396" s="23">
        <v>13.5</v>
      </c>
      <c r="O1396" s="24">
        <v>0.27</v>
      </c>
      <c r="P1396" s="25" t="str">
        <f>IF(P1398="x","x","")</f>
        <v/>
      </c>
      <c r="Q1396" s="25" t="str">
        <f>IF(Q1398="x","x","")</f>
        <v/>
      </c>
      <c r="R1396" s="25" t="str">
        <f>IF(R1398="x","x","")</f>
        <v/>
      </c>
      <c r="S1396" s="25" t="str">
        <f>IF(S1398="x","x","")</f>
        <v/>
      </c>
      <c r="T1396" s="25" t="s">
        <v>27</v>
      </c>
      <c r="U1396" s="26"/>
      <c r="V1396" s="27"/>
    </row>
    <row r="1397" spans="1:22" x14ac:dyDescent="0.25">
      <c r="A1397" s="18" t="s">
        <v>372</v>
      </c>
      <c r="B1397" s="18" t="s">
        <v>948</v>
      </c>
      <c r="C1397" s="18" t="s">
        <v>932</v>
      </c>
      <c r="D1397" s="18" t="s">
        <v>26</v>
      </c>
      <c r="E1397" s="18" t="s">
        <v>27</v>
      </c>
      <c r="F1397" s="18" t="s">
        <v>933</v>
      </c>
      <c r="G1397" s="18" t="s">
        <v>32</v>
      </c>
      <c r="H1397" s="19">
        <v>2016</v>
      </c>
      <c r="I1397" s="18" t="s">
        <v>387</v>
      </c>
      <c r="J1397" s="101">
        <v>31</v>
      </c>
      <c r="K1397" s="20">
        <v>50</v>
      </c>
      <c r="L1397" s="21">
        <v>13.44</v>
      </c>
      <c r="M1397" s="22" t="s">
        <v>30</v>
      </c>
      <c r="N1397" s="23">
        <v>13.44</v>
      </c>
      <c r="O1397" s="24">
        <v>0.26879999999999998</v>
      </c>
      <c r="P1397" s="25" t="str">
        <f>IF(P1398="x","x","")</f>
        <v/>
      </c>
      <c r="Q1397" s="25" t="str">
        <f>IF(Q1398="x","x","")</f>
        <v/>
      </c>
      <c r="R1397" s="25" t="str">
        <f>IF(R1398="x","x","")</f>
        <v/>
      </c>
      <c r="S1397" s="25" t="str">
        <f>IF(S1398="x","x","")</f>
        <v/>
      </c>
      <c r="T1397" s="25" t="s">
        <v>27</v>
      </c>
      <c r="U1397" s="26"/>
      <c r="V1397" s="27"/>
    </row>
    <row r="1398" spans="1:22" ht="16.5" thickBot="1" x14ac:dyDescent="0.3">
      <c r="A1398" s="28" t="str">
        <f>A1397</f>
        <v>Pakistan</v>
      </c>
      <c r="B1398" s="28" t="str">
        <f>B1397</f>
        <v>South Asia</v>
      </c>
      <c r="C1398" s="28" t="str">
        <f>C1397</f>
        <v>P128966</v>
      </c>
      <c r="D1398" s="28" t="s">
        <v>26</v>
      </c>
      <c r="E1398" s="28" t="s">
        <v>27</v>
      </c>
      <c r="F1398" s="28" t="str">
        <f>F1397</f>
        <v>P128966C1</v>
      </c>
      <c r="G1398" s="28" t="s">
        <v>16</v>
      </c>
      <c r="H1398" s="29" t="str">
        <f>H1396&amp;" / "&amp;H1397</f>
        <v>2012 / 2016</v>
      </c>
      <c r="I1398" s="29" t="str">
        <f>I1397</f>
        <v>Upgrading</v>
      </c>
      <c r="J1398" s="97" t="str">
        <f>IFERROR(J1397/J1396,"")</f>
        <v/>
      </c>
      <c r="K1398" s="32">
        <f>K1397/K1396</f>
        <v>1</v>
      </c>
      <c r="L1398" s="32">
        <f>L1397/L1396</f>
        <v>0.99555555555555553</v>
      </c>
      <c r="M1398" s="28"/>
      <c r="N1398" s="32">
        <f>N1397/N1396</f>
        <v>0.99555555555555553</v>
      </c>
      <c r="O1398" s="32">
        <f>O1397/O1396</f>
        <v>0.99555555555555542</v>
      </c>
      <c r="P1398" s="33" t="str">
        <f>IF(K1398&lt;50%,"x","")</f>
        <v/>
      </c>
      <c r="Q1398" s="33" t="str">
        <f>IF(K1398&gt;150%,"x","")</f>
        <v/>
      </c>
      <c r="R1398" s="33" t="str">
        <f>IF(O1398&lt;50%,"x","")</f>
        <v/>
      </c>
      <c r="S1398" s="33" t="str">
        <f>IF(O1398&gt;150%,"x","")</f>
        <v/>
      </c>
      <c r="T1398" s="33" t="s">
        <v>27</v>
      </c>
      <c r="U1398" s="34" t="s">
        <v>27</v>
      </c>
      <c r="V1398" s="35" t="s">
        <v>27</v>
      </c>
    </row>
    <row r="1399" spans="1:22" ht="16.5" thickTop="1" x14ac:dyDescent="0.25">
      <c r="A1399" s="18" t="s">
        <v>86</v>
      </c>
      <c r="B1399" s="18" t="s">
        <v>945</v>
      </c>
      <c r="C1399" s="18" t="s">
        <v>87</v>
      </c>
      <c r="D1399" s="18" t="s">
        <v>26</v>
      </c>
      <c r="E1399" s="18" t="s">
        <v>27</v>
      </c>
      <c r="F1399" s="18" t="s">
        <v>88</v>
      </c>
      <c r="G1399" s="18" t="s">
        <v>29</v>
      </c>
      <c r="H1399" s="19">
        <v>1999</v>
      </c>
      <c r="I1399" s="18" t="s">
        <v>359</v>
      </c>
      <c r="J1399" s="101">
        <v>48</v>
      </c>
      <c r="K1399" s="20">
        <v>21</v>
      </c>
      <c r="L1399" s="21">
        <v>8.19</v>
      </c>
      <c r="M1399" s="22" t="s">
        <v>30</v>
      </c>
      <c r="N1399" s="23">
        <v>8.19</v>
      </c>
      <c r="O1399" s="24">
        <v>0.38999999999999996</v>
      </c>
      <c r="P1399" s="25" t="str">
        <f>IF(P1401="x","x","")</f>
        <v/>
      </c>
      <c r="Q1399" s="25" t="str">
        <f>IF(Q1401="x","x","")</f>
        <v/>
      </c>
      <c r="R1399" s="25" t="str">
        <f>IF(R1401="x","x","")</f>
        <v/>
      </c>
      <c r="S1399" s="25" t="str">
        <f>IF(S1401="x","x","")</f>
        <v>x</v>
      </c>
      <c r="T1399" s="25" t="s">
        <v>31</v>
      </c>
      <c r="U1399" s="26"/>
      <c r="V1399" s="27"/>
    </row>
    <row r="1400" spans="1:22" x14ac:dyDescent="0.25">
      <c r="A1400" s="18" t="s">
        <v>86</v>
      </c>
      <c r="B1400" s="18" t="s">
        <v>945</v>
      </c>
      <c r="C1400" s="18" t="s">
        <v>87</v>
      </c>
      <c r="D1400" s="18" t="s">
        <v>26</v>
      </c>
      <c r="E1400" s="18" t="s">
        <v>27</v>
      </c>
      <c r="F1400" s="18" t="s">
        <v>88</v>
      </c>
      <c r="G1400" s="18" t="s">
        <v>32</v>
      </c>
      <c r="H1400" s="19">
        <v>2008</v>
      </c>
      <c r="I1400" s="18" t="s">
        <v>359</v>
      </c>
      <c r="J1400" s="101">
        <v>91.333333333333329</v>
      </c>
      <c r="K1400" s="20">
        <v>21</v>
      </c>
      <c r="L1400" s="21">
        <v>23.09</v>
      </c>
      <c r="M1400" s="22" t="s">
        <v>30</v>
      </c>
      <c r="N1400" s="23">
        <v>23.09</v>
      </c>
      <c r="O1400" s="24">
        <v>1.0995238095238096</v>
      </c>
      <c r="P1400" s="25" t="str">
        <f>IF(P1401="x","x","")</f>
        <v/>
      </c>
      <c r="Q1400" s="25" t="str">
        <f>IF(Q1401="x","x","")</f>
        <v/>
      </c>
      <c r="R1400" s="25" t="str">
        <f>IF(R1401="x","x","")</f>
        <v/>
      </c>
      <c r="S1400" s="25" t="str">
        <f>IF(S1401="x","x","")</f>
        <v>x</v>
      </c>
      <c r="T1400" s="25" t="s">
        <v>31</v>
      </c>
      <c r="U1400" s="26"/>
      <c r="V1400" s="27"/>
    </row>
    <row r="1401" spans="1:22" ht="79.5" thickBot="1" x14ac:dyDescent="0.3">
      <c r="A1401" s="28" t="str">
        <f>A1400</f>
        <v>Papua New Guinea</v>
      </c>
      <c r="B1401" s="28" t="str">
        <f>B1400</f>
        <v>East Asia and Pacific</v>
      </c>
      <c r="C1401" s="28" t="str">
        <f>C1400</f>
        <v>P054238</v>
      </c>
      <c r="D1401" s="28" t="s">
        <v>26</v>
      </c>
      <c r="E1401" s="28" t="s">
        <v>27</v>
      </c>
      <c r="F1401" s="28" t="str">
        <f>F1400</f>
        <v>P054238C1</v>
      </c>
      <c r="G1401" s="28" t="s">
        <v>16</v>
      </c>
      <c r="H1401" s="29" t="str">
        <f>H1399&amp;" / "&amp;H1400</f>
        <v>1999 / 2008</v>
      </c>
      <c r="I1401" s="29" t="str">
        <f>I1400</f>
        <v>Reconstruction</v>
      </c>
      <c r="J1401" s="97">
        <f>IFERROR(J1400/J1399,"")</f>
        <v>1.9027777777777777</v>
      </c>
      <c r="K1401" s="32">
        <f>K1400/K1399</f>
        <v>1</v>
      </c>
      <c r="L1401" s="32">
        <f>L1400/L1399</f>
        <v>2.8192918192918195</v>
      </c>
      <c r="M1401" s="28"/>
      <c r="N1401" s="32">
        <f>N1400/N1399</f>
        <v>2.8192918192918195</v>
      </c>
      <c r="O1401" s="32">
        <f>O1400/O1399</f>
        <v>2.8192918192918199</v>
      </c>
      <c r="P1401" s="33" t="str">
        <f>IF(K1401&lt;50%,"x","")</f>
        <v/>
      </c>
      <c r="Q1401" s="33" t="str">
        <f>IF(K1401&gt;150%,"x","")</f>
        <v/>
      </c>
      <c r="R1401" s="33" t="str">
        <f>IF(O1401&lt;50%,"x","")</f>
        <v/>
      </c>
      <c r="S1401" s="33" t="str">
        <f>IF(O1401&gt;150%,"x","")</f>
        <v>x</v>
      </c>
      <c r="T1401" s="33" t="s">
        <v>31</v>
      </c>
      <c r="U1401" s="34" t="s">
        <v>1119</v>
      </c>
      <c r="V1401" s="35" t="s">
        <v>1120</v>
      </c>
    </row>
    <row r="1402" spans="1:22" ht="16.5" thickTop="1" x14ac:dyDescent="0.25">
      <c r="A1402" s="18" t="s">
        <v>86</v>
      </c>
      <c r="B1402" s="18" t="s">
        <v>945</v>
      </c>
      <c r="C1402" s="18" t="s">
        <v>354</v>
      </c>
      <c r="D1402" s="18" t="s">
        <v>26</v>
      </c>
      <c r="E1402" s="18" t="s">
        <v>36</v>
      </c>
      <c r="F1402" s="18" t="s">
        <v>355</v>
      </c>
      <c r="G1402" s="18" t="s">
        <v>29</v>
      </c>
      <c r="H1402" s="19">
        <v>2002</v>
      </c>
      <c r="I1402" s="18" t="s">
        <v>44</v>
      </c>
      <c r="J1402" s="101">
        <v>12</v>
      </c>
      <c r="K1402" s="20">
        <v>2200</v>
      </c>
      <c r="L1402" s="21">
        <v>5.8599999999999994</v>
      </c>
      <c r="M1402" s="22" t="s">
        <v>30</v>
      </c>
      <c r="N1402" s="23">
        <v>5.8599999999999994</v>
      </c>
      <c r="O1402" s="24">
        <v>2.6636363636363633E-3</v>
      </c>
      <c r="P1402" s="25" t="str">
        <f>IF(P1404="x","x","")</f>
        <v/>
      </c>
      <c r="Q1402" s="25" t="str">
        <f>IF(Q1404="x","x","")</f>
        <v/>
      </c>
      <c r="R1402" s="25" t="str">
        <f>IF(R1404="x","x","")</f>
        <v/>
      </c>
      <c r="S1402" s="25" t="str">
        <f>IF(S1404="x","x","")</f>
        <v>x</v>
      </c>
      <c r="T1402" s="25" t="s">
        <v>31</v>
      </c>
      <c r="U1402" s="26"/>
      <c r="V1402" s="27"/>
    </row>
    <row r="1403" spans="1:22" x14ac:dyDescent="0.25">
      <c r="A1403" s="18" t="s">
        <v>86</v>
      </c>
      <c r="B1403" s="18" t="s">
        <v>945</v>
      </c>
      <c r="C1403" s="18" t="s">
        <v>354</v>
      </c>
      <c r="D1403" s="18" t="s">
        <v>26</v>
      </c>
      <c r="E1403" s="18" t="s">
        <v>36</v>
      </c>
      <c r="F1403" s="18" t="s">
        <v>355</v>
      </c>
      <c r="G1403" s="18" t="s">
        <v>32</v>
      </c>
      <c r="H1403" s="19">
        <v>2012</v>
      </c>
      <c r="I1403" s="18" t="s">
        <v>44</v>
      </c>
      <c r="J1403" s="101">
        <v>48</v>
      </c>
      <c r="K1403" s="20">
        <v>1788</v>
      </c>
      <c r="L1403" s="21">
        <v>23.7</v>
      </c>
      <c r="M1403" s="22" t="s">
        <v>356</v>
      </c>
      <c r="N1403" s="23">
        <v>11.504854368932039</v>
      </c>
      <c r="O1403" s="24">
        <v>6.4344823092461062E-3</v>
      </c>
      <c r="P1403" s="25" t="str">
        <f>IF(P1404="x","x","")</f>
        <v/>
      </c>
      <c r="Q1403" s="25" t="str">
        <f>IF(Q1404="x","x","")</f>
        <v/>
      </c>
      <c r="R1403" s="25" t="str">
        <f>IF(R1404="x","x","")</f>
        <v/>
      </c>
      <c r="S1403" s="25" t="str">
        <f>IF(S1404="x","x","")</f>
        <v>x</v>
      </c>
      <c r="T1403" s="25" t="s">
        <v>31</v>
      </c>
      <c r="U1403" s="26"/>
      <c r="V1403" s="27"/>
    </row>
    <row r="1404" spans="1:22" ht="48" thickBot="1" x14ac:dyDescent="0.3">
      <c r="A1404" s="28" t="str">
        <f>A1403</f>
        <v>Papua New Guinea</v>
      </c>
      <c r="B1404" s="28" t="str">
        <f>B1403</f>
        <v>East Asia and Pacific</v>
      </c>
      <c r="C1404" s="28" t="str">
        <f>C1403</f>
        <v>P004397</v>
      </c>
      <c r="D1404" s="28" t="s">
        <v>26</v>
      </c>
      <c r="E1404" s="28" t="s">
        <v>27</v>
      </c>
      <c r="F1404" s="28" t="str">
        <f>F1403</f>
        <v>P004397C1S1</v>
      </c>
      <c r="G1404" s="28" t="s">
        <v>16</v>
      </c>
      <c r="H1404" s="29" t="str">
        <f>H1402&amp;" / "&amp;H1403</f>
        <v>2002 / 2012</v>
      </c>
      <c r="I1404" s="29" t="str">
        <f>I1403</f>
        <v>Routine Maintenance</v>
      </c>
      <c r="J1404" s="97">
        <f>IFERROR(J1403/J1402,"")</f>
        <v>4</v>
      </c>
      <c r="K1404" s="32">
        <f>K1403/K1402</f>
        <v>0.81272727272727274</v>
      </c>
      <c r="L1404" s="32">
        <f>L1403/L1402</f>
        <v>4.0443686006825939</v>
      </c>
      <c r="M1404" s="28"/>
      <c r="N1404" s="32">
        <f>N1403/N1402</f>
        <v>1.9632857284866962</v>
      </c>
      <c r="O1404" s="32">
        <f>O1403/O1402</f>
        <v>2.4156759522766955</v>
      </c>
      <c r="P1404" s="33" t="str">
        <f>IF(K1404&lt;50%,"x","")</f>
        <v/>
      </c>
      <c r="Q1404" s="33" t="str">
        <f>IF(K1404&gt;150%,"x","")</f>
        <v/>
      </c>
      <c r="R1404" s="33" t="str">
        <f>IF(O1404&lt;50%,"x","")</f>
        <v/>
      </c>
      <c r="S1404" s="33" t="str">
        <f>IF(O1404&gt;150%,"x","")</f>
        <v>x</v>
      </c>
      <c r="T1404" s="33" t="s">
        <v>31</v>
      </c>
      <c r="U1404" s="34" t="s">
        <v>966</v>
      </c>
      <c r="V1404" s="35" t="s">
        <v>967</v>
      </c>
    </row>
    <row r="1405" spans="1:22" ht="16.5" thickTop="1" x14ac:dyDescent="0.25">
      <c r="A1405" s="18" t="s">
        <v>86</v>
      </c>
      <c r="B1405" s="18" t="s">
        <v>945</v>
      </c>
      <c r="C1405" s="18" t="s">
        <v>354</v>
      </c>
      <c r="D1405" s="18" t="s">
        <v>26</v>
      </c>
      <c r="E1405" s="18" t="s">
        <v>40</v>
      </c>
      <c r="F1405" s="18" t="s">
        <v>358</v>
      </c>
      <c r="G1405" s="18" t="s">
        <v>29</v>
      </c>
      <c r="H1405" s="19">
        <v>2002</v>
      </c>
      <c r="I1405" s="18" t="s">
        <v>359</v>
      </c>
      <c r="J1405" s="101" t="s">
        <v>27</v>
      </c>
      <c r="K1405" s="20">
        <v>440</v>
      </c>
      <c r="L1405" s="21">
        <v>16.66</v>
      </c>
      <c r="M1405" s="22" t="s">
        <v>30</v>
      </c>
      <c r="N1405" s="23">
        <v>16.66</v>
      </c>
      <c r="O1405" s="24">
        <v>3.7863636363636363E-2</v>
      </c>
      <c r="P1405" s="25" t="str">
        <f>IF(P1407="x","x","")</f>
        <v/>
      </c>
      <c r="Q1405" s="25" t="str">
        <f>IF(Q1407="x","x","")</f>
        <v/>
      </c>
      <c r="R1405" s="25" t="str">
        <f>IF(R1407="x","x","")</f>
        <v/>
      </c>
      <c r="S1405" s="25" t="str">
        <f>IF(S1407="x","x","")</f>
        <v>x</v>
      </c>
      <c r="T1405" s="25" t="s">
        <v>31</v>
      </c>
      <c r="U1405" s="26"/>
      <c r="V1405" s="27"/>
    </row>
    <row r="1406" spans="1:22" x14ac:dyDescent="0.25">
      <c r="A1406" s="18" t="s">
        <v>86</v>
      </c>
      <c r="B1406" s="18" t="s">
        <v>945</v>
      </c>
      <c r="C1406" s="18" t="s">
        <v>354</v>
      </c>
      <c r="D1406" s="18" t="s">
        <v>26</v>
      </c>
      <c r="E1406" s="18" t="s">
        <v>40</v>
      </c>
      <c r="F1406" s="18" t="s">
        <v>358</v>
      </c>
      <c r="G1406" s="18" t="s">
        <v>32</v>
      </c>
      <c r="H1406" s="19">
        <v>2012</v>
      </c>
      <c r="I1406" s="18" t="s">
        <v>359</v>
      </c>
      <c r="J1406" s="101">
        <v>48</v>
      </c>
      <c r="K1406" s="20">
        <v>622.4</v>
      </c>
      <c r="L1406" s="21">
        <v>187.36</v>
      </c>
      <c r="M1406" s="22" t="s">
        <v>356</v>
      </c>
      <c r="N1406" s="23">
        <v>90.951456310679617</v>
      </c>
      <c r="O1406" s="24">
        <v>0.14613023186163179</v>
      </c>
      <c r="P1406" s="25" t="str">
        <f>IF(P1407="x","x","")</f>
        <v/>
      </c>
      <c r="Q1406" s="25" t="str">
        <f>IF(Q1407="x","x","")</f>
        <v/>
      </c>
      <c r="R1406" s="25" t="str">
        <f>IF(R1407="x","x","")</f>
        <v/>
      </c>
      <c r="S1406" s="25" t="str">
        <f>IF(S1407="x","x","")</f>
        <v>x</v>
      </c>
      <c r="T1406" s="25" t="s">
        <v>31</v>
      </c>
      <c r="U1406" s="26"/>
      <c r="V1406" s="27"/>
    </row>
    <row r="1407" spans="1:22" ht="48" thickBot="1" x14ac:dyDescent="0.3">
      <c r="A1407" s="28" t="str">
        <f>A1406</f>
        <v>Papua New Guinea</v>
      </c>
      <c r="B1407" s="28" t="str">
        <f>B1406</f>
        <v>East Asia and Pacific</v>
      </c>
      <c r="C1407" s="28" t="str">
        <f>C1406</f>
        <v>P004397</v>
      </c>
      <c r="D1407" s="28" t="s">
        <v>26</v>
      </c>
      <c r="E1407" s="28" t="s">
        <v>27</v>
      </c>
      <c r="F1407" s="28" t="str">
        <f>F1406</f>
        <v>P004397C1S2</v>
      </c>
      <c r="G1407" s="28" t="s">
        <v>16</v>
      </c>
      <c r="H1407" s="29" t="str">
        <f>H1405&amp;" / "&amp;H1406</f>
        <v>2002 / 2012</v>
      </c>
      <c r="I1407" s="29" t="str">
        <f>I1406</f>
        <v>Reconstruction</v>
      </c>
      <c r="J1407" s="97" t="str">
        <f>IFERROR(J1406/J1405,"")</f>
        <v/>
      </c>
      <c r="K1407" s="32">
        <f>K1406/K1405</f>
        <v>1.4145454545454546</v>
      </c>
      <c r="L1407" s="32">
        <f>L1406/L1405</f>
        <v>11.246098439375752</v>
      </c>
      <c r="M1407" s="28"/>
      <c r="N1407" s="32">
        <f>N1406/N1405</f>
        <v>5.4592710870756074</v>
      </c>
      <c r="O1407" s="32">
        <f>O1406/O1405</f>
        <v>3.8593818738966381</v>
      </c>
      <c r="P1407" s="33" t="str">
        <f>IF(K1407&lt;50%,"x","")</f>
        <v/>
      </c>
      <c r="Q1407" s="33" t="str">
        <f>IF(K1407&gt;150%,"x","")</f>
        <v/>
      </c>
      <c r="R1407" s="33" t="str">
        <f>IF(O1407&lt;50%,"x","")</f>
        <v/>
      </c>
      <c r="S1407" s="33" t="str">
        <f>IF(O1407&gt;150%,"x","")</f>
        <v>x</v>
      </c>
      <c r="T1407" s="33" t="s">
        <v>31</v>
      </c>
      <c r="U1407" s="34" t="s">
        <v>966</v>
      </c>
      <c r="V1407" s="35" t="s">
        <v>967</v>
      </c>
    </row>
    <row r="1408" spans="1:22" ht="16.5" thickTop="1" x14ac:dyDescent="0.25">
      <c r="A1408" s="18" t="s">
        <v>86</v>
      </c>
      <c r="B1408" s="18" t="s">
        <v>945</v>
      </c>
      <c r="C1408" s="18" t="s">
        <v>354</v>
      </c>
      <c r="D1408" s="18" t="s">
        <v>42</v>
      </c>
      <c r="E1408" s="18" t="s">
        <v>36</v>
      </c>
      <c r="F1408" s="18" t="s">
        <v>360</v>
      </c>
      <c r="G1408" s="18" t="s">
        <v>29</v>
      </c>
      <c r="H1408" s="19">
        <v>2002</v>
      </c>
      <c r="I1408" s="18" t="s">
        <v>44</v>
      </c>
      <c r="J1408" s="101">
        <v>12</v>
      </c>
      <c r="K1408" s="20">
        <v>900</v>
      </c>
      <c r="L1408" s="21">
        <v>2.97</v>
      </c>
      <c r="M1408" s="22" t="s">
        <v>30</v>
      </c>
      <c r="N1408" s="23">
        <v>2.97</v>
      </c>
      <c r="O1408" s="24">
        <v>3.3000000000000004E-3</v>
      </c>
      <c r="P1408" s="25" t="str">
        <f>IF(P1410="x","x","")</f>
        <v/>
      </c>
      <c r="Q1408" s="25" t="str">
        <f>IF(Q1410="x","x","")</f>
        <v/>
      </c>
      <c r="R1408" s="25" t="str">
        <f>IF(R1410="x","x","")</f>
        <v/>
      </c>
      <c r="S1408" s="25" t="str">
        <f>IF(S1410="x","x","")</f>
        <v/>
      </c>
      <c r="T1408" s="25" t="s">
        <v>27</v>
      </c>
      <c r="U1408" s="26"/>
      <c r="V1408" s="27"/>
    </row>
    <row r="1409" spans="1:22" x14ac:dyDescent="0.25">
      <c r="A1409" s="18" t="s">
        <v>86</v>
      </c>
      <c r="B1409" s="18" t="s">
        <v>945</v>
      </c>
      <c r="C1409" s="18" t="s">
        <v>354</v>
      </c>
      <c r="D1409" s="18" t="s">
        <v>42</v>
      </c>
      <c r="E1409" s="18" t="s">
        <v>36</v>
      </c>
      <c r="F1409" s="18" t="s">
        <v>360</v>
      </c>
      <c r="G1409" s="18" t="s">
        <v>32</v>
      </c>
      <c r="H1409" s="19">
        <v>2012</v>
      </c>
      <c r="I1409" s="18" t="s">
        <v>44</v>
      </c>
      <c r="J1409" s="101">
        <v>48</v>
      </c>
      <c r="K1409" s="20">
        <v>664</v>
      </c>
      <c r="L1409" s="21">
        <v>3.8</v>
      </c>
      <c r="M1409" s="22" t="s">
        <v>356</v>
      </c>
      <c r="N1409" s="23">
        <v>1.8446601941747571</v>
      </c>
      <c r="O1409" s="24">
        <v>2.7781027020704172E-3</v>
      </c>
      <c r="P1409" s="25" t="str">
        <f>IF(P1410="x","x","")</f>
        <v/>
      </c>
      <c r="Q1409" s="25" t="str">
        <f>IF(Q1410="x","x","")</f>
        <v/>
      </c>
      <c r="R1409" s="25" t="str">
        <f>IF(R1410="x","x","")</f>
        <v/>
      </c>
      <c r="S1409" s="25" t="str">
        <f>IF(S1410="x","x","")</f>
        <v/>
      </c>
      <c r="T1409" s="25" t="s">
        <v>27</v>
      </c>
      <c r="U1409" s="26"/>
      <c r="V1409" s="27"/>
    </row>
    <row r="1410" spans="1:22" ht="16.5" thickBot="1" x14ac:dyDescent="0.3">
      <c r="A1410" s="28" t="str">
        <f>A1409</f>
        <v>Papua New Guinea</v>
      </c>
      <c r="B1410" s="28" t="str">
        <f>B1409</f>
        <v>East Asia and Pacific</v>
      </c>
      <c r="C1410" s="28" t="str">
        <f>C1409</f>
        <v>P004397</v>
      </c>
      <c r="D1410" s="28" t="s">
        <v>26</v>
      </c>
      <c r="E1410" s="28" t="s">
        <v>27</v>
      </c>
      <c r="F1410" s="28" t="str">
        <f>F1409</f>
        <v>P004397C2S1</v>
      </c>
      <c r="G1410" s="28" t="s">
        <v>16</v>
      </c>
      <c r="H1410" s="29" t="str">
        <f>H1408&amp;" / "&amp;H1409</f>
        <v>2002 / 2012</v>
      </c>
      <c r="I1410" s="29" t="str">
        <f>I1409</f>
        <v>Routine Maintenance</v>
      </c>
      <c r="J1410" s="97">
        <f>IFERROR(J1409/J1408,"")</f>
        <v>4</v>
      </c>
      <c r="K1410" s="32">
        <f>K1409/K1408</f>
        <v>0.73777777777777775</v>
      </c>
      <c r="L1410" s="32">
        <f>L1409/L1408</f>
        <v>1.2794612794612794</v>
      </c>
      <c r="M1410" s="28"/>
      <c r="N1410" s="32">
        <f>N1409/N1408</f>
        <v>0.62109770847634915</v>
      </c>
      <c r="O1410" s="32">
        <f>O1409/O1408</f>
        <v>0.84184930365770205</v>
      </c>
      <c r="P1410" s="33" t="str">
        <f>IF(K1410&lt;50%,"x","")</f>
        <v/>
      </c>
      <c r="Q1410" s="33" t="str">
        <f>IF(K1410&gt;150%,"x","")</f>
        <v/>
      </c>
      <c r="R1410" s="33" t="str">
        <f>IF(O1410&lt;50%,"x","")</f>
        <v/>
      </c>
      <c r="S1410" s="33" t="str">
        <f>IF(O1410&gt;150%,"x","")</f>
        <v/>
      </c>
      <c r="T1410" s="33" t="s">
        <v>27</v>
      </c>
      <c r="U1410" s="34" t="s">
        <v>27</v>
      </c>
      <c r="V1410" s="35" t="s">
        <v>27</v>
      </c>
    </row>
    <row r="1411" spans="1:22" ht="16.5" thickTop="1" x14ac:dyDescent="0.25">
      <c r="A1411" s="18" t="s">
        <v>86</v>
      </c>
      <c r="B1411" s="18" t="s">
        <v>945</v>
      </c>
      <c r="C1411" s="18" t="s">
        <v>354</v>
      </c>
      <c r="D1411" s="18" t="s">
        <v>42</v>
      </c>
      <c r="E1411" s="18" t="s">
        <v>40</v>
      </c>
      <c r="F1411" s="18" t="s">
        <v>361</v>
      </c>
      <c r="G1411" s="18" t="s">
        <v>29</v>
      </c>
      <c r="H1411" s="19">
        <v>2002</v>
      </c>
      <c r="I1411" s="18" t="s">
        <v>359</v>
      </c>
      <c r="J1411" s="101" t="s">
        <v>27</v>
      </c>
      <c r="K1411" s="20">
        <v>200</v>
      </c>
      <c r="L1411" s="21">
        <v>3.4</v>
      </c>
      <c r="M1411" s="22" t="s">
        <v>30</v>
      </c>
      <c r="N1411" s="23">
        <v>3.4</v>
      </c>
      <c r="O1411" s="24">
        <v>1.7000000000000001E-2</v>
      </c>
      <c r="P1411" s="25" t="str">
        <f>IF(P1413="x","x","")</f>
        <v/>
      </c>
      <c r="Q1411" s="25" t="str">
        <f>IF(Q1413="x","x","")</f>
        <v/>
      </c>
      <c r="R1411" s="25" t="str">
        <f>IF(R1413="x","x","")</f>
        <v/>
      </c>
      <c r="S1411" s="25" t="str">
        <f>IF(S1413="x","x","")</f>
        <v>x</v>
      </c>
      <c r="T1411" s="25" t="s">
        <v>31</v>
      </c>
      <c r="U1411" s="26"/>
      <c r="V1411" s="27"/>
    </row>
    <row r="1412" spans="1:22" x14ac:dyDescent="0.25">
      <c r="A1412" s="18" t="s">
        <v>86</v>
      </c>
      <c r="B1412" s="18" t="s">
        <v>945</v>
      </c>
      <c r="C1412" s="18" t="s">
        <v>354</v>
      </c>
      <c r="D1412" s="18" t="s">
        <v>42</v>
      </c>
      <c r="E1412" s="18" t="s">
        <v>40</v>
      </c>
      <c r="F1412" s="18" t="s">
        <v>361</v>
      </c>
      <c r="G1412" s="18" t="s">
        <v>32</v>
      </c>
      <c r="H1412" s="19">
        <v>2012</v>
      </c>
      <c r="I1412" s="18" t="s">
        <v>359</v>
      </c>
      <c r="J1412" s="101">
        <v>48</v>
      </c>
      <c r="K1412" s="20">
        <v>156</v>
      </c>
      <c r="L1412" s="21">
        <v>32.200000000000003</v>
      </c>
      <c r="M1412" s="22" t="s">
        <v>356</v>
      </c>
      <c r="N1412" s="23">
        <v>15.63106796116505</v>
      </c>
      <c r="O1412" s="24">
        <v>0.10019915359721186</v>
      </c>
      <c r="P1412" s="25" t="str">
        <f>IF(P1413="x","x","")</f>
        <v/>
      </c>
      <c r="Q1412" s="25" t="str">
        <f>IF(Q1413="x","x","")</f>
        <v/>
      </c>
      <c r="R1412" s="25" t="str">
        <f>IF(R1413="x","x","")</f>
        <v/>
      </c>
      <c r="S1412" s="25" t="str">
        <f>IF(S1413="x","x","")</f>
        <v>x</v>
      </c>
      <c r="T1412" s="25" t="s">
        <v>31</v>
      </c>
      <c r="U1412" s="26"/>
      <c r="V1412" s="27"/>
    </row>
    <row r="1413" spans="1:22" ht="48" thickBot="1" x14ac:dyDescent="0.3">
      <c r="A1413" s="28" t="str">
        <f>A1412</f>
        <v>Papua New Guinea</v>
      </c>
      <c r="B1413" s="28" t="str">
        <f>B1412</f>
        <v>East Asia and Pacific</v>
      </c>
      <c r="C1413" s="28" t="str">
        <f>C1412</f>
        <v>P004397</v>
      </c>
      <c r="D1413" s="28" t="s">
        <v>26</v>
      </c>
      <c r="E1413" s="28" t="s">
        <v>27</v>
      </c>
      <c r="F1413" s="28" t="str">
        <f>F1412</f>
        <v>P004397C2S2</v>
      </c>
      <c r="G1413" s="28" t="s">
        <v>16</v>
      </c>
      <c r="H1413" s="29" t="str">
        <f>H1411&amp;" / "&amp;H1412</f>
        <v>2002 / 2012</v>
      </c>
      <c r="I1413" s="29" t="str">
        <f>I1412</f>
        <v>Reconstruction</v>
      </c>
      <c r="J1413" s="97" t="str">
        <f>IFERROR(J1412/J1411,"")</f>
        <v/>
      </c>
      <c r="K1413" s="32">
        <f>K1412/K1411</f>
        <v>0.78</v>
      </c>
      <c r="L1413" s="32">
        <f>L1412/L1411</f>
        <v>9.4705882352941195</v>
      </c>
      <c r="M1413" s="28"/>
      <c r="N1413" s="32">
        <f>N1412/N1411</f>
        <v>4.5973729297544264</v>
      </c>
      <c r="O1413" s="32">
        <f>O1412/O1411</f>
        <v>5.894067858659521</v>
      </c>
      <c r="P1413" s="33" t="str">
        <f>IF(K1413&lt;50%,"x","")</f>
        <v/>
      </c>
      <c r="Q1413" s="33" t="str">
        <f>IF(K1413&gt;150%,"x","")</f>
        <v/>
      </c>
      <c r="R1413" s="33" t="str">
        <f>IF(O1413&lt;50%,"x","")</f>
        <v/>
      </c>
      <c r="S1413" s="33" t="str">
        <f>IF(O1413&gt;150%,"x","")</f>
        <v>x</v>
      </c>
      <c r="T1413" s="33" t="s">
        <v>31</v>
      </c>
      <c r="U1413" s="34" t="s">
        <v>968</v>
      </c>
      <c r="V1413" s="35" t="s">
        <v>967</v>
      </c>
    </row>
    <row r="1414" spans="1:22" ht="16.5" thickTop="1" x14ac:dyDescent="0.25">
      <c r="A1414" s="18" t="s">
        <v>721</v>
      </c>
      <c r="B1414" s="18" t="s">
        <v>946</v>
      </c>
      <c r="C1414" s="18" t="s">
        <v>722</v>
      </c>
      <c r="D1414" s="18" t="s">
        <v>26</v>
      </c>
      <c r="E1414" s="18" t="s">
        <v>27</v>
      </c>
      <c r="F1414" s="18" t="s">
        <v>723</v>
      </c>
      <c r="G1414" s="18" t="s">
        <v>29</v>
      </c>
      <c r="H1414" s="19">
        <v>2006</v>
      </c>
      <c r="I1414" s="18" t="s">
        <v>38</v>
      </c>
      <c r="J1414" s="101" t="s">
        <v>27</v>
      </c>
      <c r="K1414" s="20">
        <v>968</v>
      </c>
      <c r="L1414" s="21">
        <v>43.45</v>
      </c>
      <c r="M1414" s="22" t="s">
        <v>30</v>
      </c>
      <c r="N1414" s="23">
        <v>43.45</v>
      </c>
      <c r="O1414" s="24">
        <v>4.4886363636363641E-2</v>
      </c>
      <c r="P1414" s="25" t="str">
        <f>IF(P1416="x","x","")</f>
        <v/>
      </c>
      <c r="Q1414" s="25" t="str">
        <f>IF(Q1416="x","x","")</f>
        <v/>
      </c>
      <c r="R1414" s="25" t="str">
        <f>IF(R1416="x","x","")</f>
        <v/>
      </c>
      <c r="S1414" s="25" t="str">
        <f>IF(S1416="x","x","")</f>
        <v>x</v>
      </c>
      <c r="T1414" s="25" t="s">
        <v>31</v>
      </c>
      <c r="U1414" s="26"/>
      <c r="V1414" s="27"/>
    </row>
    <row r="1415" spans="1:22" x14ac:dyDescent="0.25">
      <c r="A1415" s="18" t="s">
        <v>721</v>
      </c>
      <c r="B1415" s="18" t="s">
        <v>946</v>
      </c>
      <c r="C1415" s="18" t="s">
        <v>722</v>
      </c>
      <c r="D1415" s="18" t="s">
        <v>26</v>
      </c>
      <c r="E1415" s="18" t="s">
        <v>27</v>
      </c>
      <c r="F1415" s="18" t="s">
        <v>723</v>
      </c>
      <c r="G1415" s="18" t="s">
        <v>32</v>
      </c>
      <c r="H1415" s="19">
        <v>2016</v>
      </c>
      <c r="I1415" s="18" t="s">
        <v>38</v>
      </c>
      <c r="J1415" s="101" t="s">
        <v>27</v>
      </c>
      <c r="K1415" s="20">
        <v>623</v>
      </c>
      <c r="L1415" s="21">
        <v>73.47</v>
      </c>
      <c r="M1415" s="22" t="s">
        <v>30</v>
      </c>
      <c r="N1415" s="23">
        <v>73.47</v>
      </c>
      <c r="O1415" s="24">
        <v>0.11792937399678972</v>
      </c>
      <c r="P1415" s="25" t="str">
        <f>IF(P1416="x","x","")</f>
        <v/>
      </c>
      <c r="Q1415" s="25" t="str">
        <f>IF(Q1416="x","x","")</f>
        <v/>
      </c>
      <c r="R1415" s="25" t="str">
        <f>IF(R1416="x","x","")</f>
        <v/>
      </c>
      <c r="S1415" s="25" t="str">
        <f>IF(S1416="x","x","")</f>
        <v>x</v>
      </c>
      <c r="T1415" s="25" t="s">
        <v>31</v>
      </c>
      <c r="U1415" s="26"/>
      <c r="V1415" s="27"/>
    </row>
    <row r="1416" spans="1:22" ht="32.25" thickBot="1" x14ac:dyDescent="0.3">
      <c r="A1416" s="28" t="str">
        <f>A1415</f>
        <v>Paraguay</v>
      </c>
      <c r="B1416" s="28" t="str">
        <f>B1415</f>
        <v>Latin America and Caribbean</v>
      </c>
      <c r="C1416" s="28" t="str">
        <f>C1415</f>
        <v>P082026</v>
      </c>
      <c r="D1416" s="28" t="s">
        <v>26</v>
      </c>
      <c r="E1416" s="28" t="s">
        <v>27</v>
      </c>
      <c r="F1416" s="28" t="str">
        <f>F1415</f>
        <v>P082026C1</v>
      </c>
      <c r="G1416" s="28" t="s">
        <v>16</v>
      </c>
      <c r="H1416" s="29" t="str">
        <f>H1414&amp;" / "&amp;H1415</f>
        <v>2006 / 2016</v>
      </c>
      <c r="I1416" s="29" t="str">
        <f>I1415</f>
        <v>Strengthening</v>
      </c>
      <c r="J1416" s="97" t="str">
        <f>IFERROR(J1415/J1414,"")</f>
        <v/>
      </c>
      <c r="K1416" s="32">
        <f>K1415/K1414</f>
        <v>0.64359504132231404</v>
      </c>
      <c r="L1416" s="32">
        <f>L1415/L1414</f>
        <v>1.6909090909090907</v>
      </c>
      <c r="M1416" s="28"/>
      <c r="N1416" s="32">
        <f>N1415/N1414</f>
        <v>1.6909090909090907</v>
      </c>
      <c r="O1416" s="32">
        <f>O1415/O1414</f>
        <v>2.6272873194221504</v>
      </c>
      <c r="P1416" s="33" t="str">
        <f>IF(K1416&lt;50%,"x","")</f>
        <v/>
      </c>
      <c r="Q1416" s="33" t="str">
        <f>IF(K1416&gt;150%,"x","")</f>
        <v/>
      </c>
      <c r="R1416" s="33" t="str">
        <f>IF(O1416&lt;50%,"x","")</f>
        <v/>
      </c>
      <c r="S1416" s="33" t="str">
        <f>IF(O1416&gt;150%,"x","")</f>
        <v>x</v>
      </c>
      <c r="T1416" s="33" t="s">
        <v>31</v>
      </c>
      <c r="U1416" s="34" t="s">
        <v>982</v>
      </c>
      <c r="V1416" s="35" t="s">
        <v>1056</v>
      </c>
    </row>
    <row r="1417" spans="1:22" ht="16.5" thickTop="1" x14ac:dyDescent="0.25">
      <c r="A1417" s="18" t="s">
        <v>721</v>
      </c>
      <c r="B1417" s="18" t="s">
        <v>946</v>
      </c>
      <c r="C1417" s="18" t="s">
        <v>722</v>
      </c>
      <c r="D1417" s="18" t="s">
        <v>26</v>
      </c>
      <c r="E1417" s="18" t="s">
        <v>36</v>
      </c>
      <c r="F1417" s="18" t="s">
        <v>725</v>
      </c>
      <c r="G1417" s="18" t="s">
        <v>29</v>
      </c>
      <c r="H1417" s="19">
        <v>2006</v>
      </c>
      <c r="I1417" s="18" t="s">
        <v>38</v>
      </c>
      <c r="J1417" s="101">
        <v>48</v>
      </c>
      <c r="K1417" s="20">
        <v>108</v>
      </c>
      <c r="L1417" s="21">
        <v>4.5999999999999996</v>
      </c>
      <c r="M1417" s="22" t="s">
        <v>30</v>
      </c>
      <c r="N1417" s="23">
        <v>4.5999999999999996</v>
      </c>
      <c r="O1417" s="24">
        <v>4.2592592592592592E-2</v>
      </c>
      <c r="P1417" s="25" t="str">
        <f>IF(P1419="x","x","")</f>
        <v/>
      </c>
      <c r="Q1417" s="25" t="str">
        <f>IF(Q1419="x","x","")</f>
        <v/>
      </c>
      <c r="R1417" s="25" t="str">
        <f>IF(R1419="x","x","")</f>
        <v/>
      </c>
      <c r="S1417" s="25" t="str">
        <f>IF(S1419="x","x","")</f>
        <v/>
      </c>
      <c r="T1417" s="25" t="s">
        <v>27</v>
      </c>
      <c r="U1417" s="26"/>
      <c r="V1417" s="27"/>
    </row>
    <row r="1418" spans="1:22" x14ac:dyDescent="0.25">
      <c r="A1418" s="18" t="s">
        <v>721</v>
      </c>
      <c r="B1418" s="18" t="s">
        <v>946</v>
      </c>
      <c r="C1418" s="18" t="s">
        <v>722</v>
      </c>
      <c r="D1418" s="18" t="s">
        <v>26</v>
      </c>
      <c r="E1418" s="18" t="s">
        <v>36</v>
      </c>
      <c r="F1418" s="18" t="s">
        <v>725</v>
      </c>
      <c r="G1418" s="18" t="s">
        <v>32</v>
      </c>
      <c r="H1418" s="19">
        <v>2016</v>
      </c>
      <c r="I1418" s="18" t="s">
        <v>38</v>
      </c>
      <c r="J1418" s="101">
        <v>48</v>
      </c>
      <c r="K1418" s="20">
        <v>108</v>
      </c>
      <c r="L1418" s="21">
        <v>5.47</v>
      </c>
      <c r="M1418" s="22" t="s">
        <v>30</v>
      </c>
      <c r="N1418" s="23">
        <v>5.47</v>
      </c>
      <c r="O1418" s="24">
        <v>5.0648148148148144E-2</v>
      </c>
      <c r="P1418" s="25" t="str">
        <f>IF(P1419="x","x","")</f>
        <v/>
      </c>
      <c r="Q1418" s="25" t="str">
        <f>IF(Q1419="x","x","")</f>
        <v/>
      </c>
      <c r="R1418" s="25" t="str">
        <f>IF(R1419="x","x","")</f>
        <v/>
      </c>
      <c r="S1418" s="25" t="str">
        <f>IF(S1419="x","x","")</f>
        <v/>
      </c>
      <c r="T1418" s="25" t="s">
        <v>27</v>
      </c>
      <c r="U1418" s="26"/>
      <c r="V1418" s="27"/>
    </row>
    <row r="1419" spans="1:22" ht="16.5" thickBot="1" x14ac:dyDescent="0.3">
      <c r="A1419" s="28" t="str">
        <f>A1418</f>
        <v>Paraguay</v>
      </c>
      <c r="B1419" s="28" t="str">
        <f>B1418</f>
        <v>Latin America and Caribbean</v>
      </c>
      <c r="C1419" s="28" t="str">
        <f>C1418</f>
        <v>P082026</v>
      </c>
      <c r="D1419" s="28" t="s">
        <v>26</v>
      </c>
      <c r="E1419" s="28" t="s">
        <v>27</v>
      </c>
      <c r="F1419" s="28" t="str">
        <f>F1418</f>
        <v>P082026C1S1</v>
      </c>
      <c r="G1419" s="28" t="s">
        <v>16</v>
      </c>
      <c r="H1419" s="29" t="str">
        <f>H1417&amp;" / "&amp;H1418</f>
        <v>2006 / 2016</v>
      </c>
      <c r="I1419" s="29" t="str">
        <f>I1418</f>
        <v>Strengthening</v>
      </c>
      <c r="J1419" s="97">
        <f>IFERROR(J1418/J1417,"")</f>
        <v>1</v>
      </c>
      <c r="K1419" s="32">
        <f>K1418/K1417</f>
        <v>1</v>
      </c>
      <c r="L1419" s="32">
        <f>L1418/L1417</f>
        <v>1.1891304347826088</v>
      </c>
      <c r="M1419" s="28"/>
      <c r="N1419" s="32">
        <f>N1418/N1417</f>
        <v>1.1891304347826088</v>
      </c>
      <c r="O1419" s="32">
        <f>O1418/O1417</f>
        <v>1.1891304347826086</v>
      </c>
      <c r="P1419" s="33" t="str">
        <f>IF(K1419&lt;50%,"x","")</f>
        <v/>
      </c>
      <c r="Q1419" s="33" t="str">
        <f>IF(K1419&gt;150%,"x","")</f>
        <v/>
      </c>
      <c r="R1419" s="33" t="str">
        <f>IF(O1419&lt;50%,"x","")</f>
        <v/>
      </c>
      <c r="S1419" s="33" t="str">
        <f>IF(O1419&gt;150%,"x","")</f>
        <v/>
      </c>
      <c r="T1419" s="33" t="s">
        <v>27</v>
      </c>
      <c r="U1419" s="34" t="s">
        <v>27</v>
      </c>
      <c r="V1419" s="35" t="s">
        <v>27</v>
      </c>
    </row>
    <row r="1420" spans="1:22" ht="16.5" thickTop="1" x14ac:dyDescent="0.25">
      <c r="A1420" s="18" t="s">
        <v>721</v>
      </c>
      <c r="B1420" s="18" t="s">
        <v>946</v>
      </c>
      <c r="C1420" s="18" t="s">
        <v>722</v>
      </c>
      <c r="D1420" s="18" t="s">
        <v>26</v>
      </c>
      <c r="E1420" s="18" t="s">
        <v>40</v>
      </c>
      <c r="F1420" s="18" t="s">
        <v>726</v>
      </c>
      <c r="G1420" s="18" t="s">
        <v>29</v>
      </c>
      <c r="H1420" s="19">
        <v>2006</v>
      </c>
      <c r="I1420" s="18" t="s">
        <v>38</v>
      </c>
      <c r="J1420" s="101">
        <v>48</v>
      </c>
      <c r="K1420" s="20">
        <v>381</v>
      </c>
      <c r="L1420" s="21">
        <v>10.3</v>
      </c>
      <c r="M1420" s="22" t="s">
        <v>30</v>
      </c>
      <c r="N1420" s="23">
        <v>10.3</v>
      </c>
      <c r="O1420" s="24">
        <v>2.703412073490814E-2</v>
      </c>
      <c r="P1420" s="25" t="str">
        <f>IF(P1422="x","x","")</f>
        <v/>
      </c>
      <c r="Q1420" s="25" t="str">
        <f>IF(Q1422="x","x","")</f>
        <v/>
      </c>
      <c r="R1420" s="25" t="str">
        <f>IF(R1422="x","x","")</f>
        <v/>
      </c>
      <c r="S1420" s="25" t="str">
        <f>IF(S1422="x","x","")</f>
        <v>x</v>
      </c>
      <c r="T1420" s="25" t="s">
        <v>31</v>
      </c>
      <c r="U1420" s="26"/>
      <c r="V1420" s="27"/>
    </row>
    <row r="1421" spans="1:22" x14ac:dyDescent="0.25">
      <c r="A1421" s="18" t="s">
        <v>721</v>
      </c>
      <c r="B1421" s="18" t="s">
        <v>946</v>
      </c>
      <c r="C1421" s="18" t="s">
        <v>722</v>
      </c>
      <c r="D1421" s="18" t="s">
        <v>26</v>
      </c>
      <c r="E1421" s="18" t="s">
        <v>40</v>
      </c>
      <c r="F1421" s="18" t="s">
        <v>726</v>
      </c>
      <c r="G1421" s="18" t="s">
        <v>32</v>
      </c>
      <c r="H1421" s="19">
        <v>2016</v>
      </c>
      <c r="I1421" s="18" t="s">
        <v>38</v>
      </c>
      <c r="J1421" s="101">
        <v>48</v>
      </c>
      <c r="K1421" s="20">
        <v>381</v>
      </c>
      <c r="L1421" s="21">
        <v>17.97</v>
      </c>
      <c r="M1421" s="22" t="s">
        <v>30</v>
      </c>
      <c r="N1421" s="23">
        <v>17.97</v>
      </c>
      <c r="O1421" s="24">
        <v>4.7165354330708661E-2</v>
      </c>
      <c r="P1421" s="25" t="str">
        <f>IF(P1422="x","x","")</f>
        <v/>
      </c>
      <c r="Q1421" s="25" t="str">
        <f>IF(Q1422="x","x","")</f>
        <v/>
      </c>
      <c r="R1421" s="25" t="str">
        <f>IF(R1422="x","x","")</f>
        <v/>
      </c>
      <c r="S1421" s="25" t="str">
        <f>IF(S1422="x","x","")</f>
        <v>x</v>
      </c>
      <c r="T1421" s="25" t="s">
        <v>31</v>
      </c>
      <c r="U1421" s="26"/>
      <c r="V1421" s="27"/>
    </row>
    <row r="1422" spans="1:22" ht="32.25" thickBot="1" x14ac:dyDescent="0.3">
      <c r="A1422" s="28" t="str">
        <f>A1421</f>
        <v>Paraguay</v>
      </c>
      <c r="B1422" s="28" t="str">
        <f>B1421</f>
        <v>Latin America and Caribbean</v>
      </c>
      <c r="C1422" s="28" t="str">
        <f>C1421</f>
        <v>P082026</v>
      </c>
      <c r="D1422" s="28" t="s">
        <v>26</v>
      </c>
      <c r="E1422" s="28" t="s">
        <v>27</v>
      </c>
      <c r="F1422" s="28" t="str">
        <f>F1421</f>
        <v>P082026C1S2</v>
      </c>
      <c r="G1422" s="28" t="s">
        <v>16</v>
      </c>
      <c r="H1422" s="29" t="str">
        <f>H1420&amp;" / "&amp;H1421</f>
        <v>2006 / 2016</v>
      </c>
      <c r="I1422" s="29" t="str">
        <f>I1421</f>
        <v>Strengthening</v>
      </c>
      <c r="J1422" s="97">
        <f>IFERROR(J1421/J1420,"")</f>
        <v>1</v>
      </c>
      <c r="K1422" s="32">
        <f>K1421/K1420</f>
        <v>1</v>
      </c>
      <c r="L1422" s="32">
        <f>L1421/L1420</f>
        <v>1.744660194174757</v>
      </c>
      <c r="M1422" s="28"/>
      <c r="N1422" s="32">
        <f>N1421/N1420</f>
        <v>1.744660194174757</v>
      </c>
      <c r="O1422" s="32">
        <f>O1421/O1420</f>
        <v>1.744660194174757</v>
      </c>
      <c r="P1422" s="33" t="str">
        <f>IF(K1422&lt;50%,"x","")</f>
        <v/>
      </c>
      <c r="Q1422" s="33" t="str">
        <f>IF(K1422&gt;150%,"x","")</f>
        <v/>
      </c>
      <c r="R1422" s="33" t="str">
        <f>IF(O1422&lt;50%,"x","")</f>
        <v/>
      </c>
      <c r="S1422" s="33" t="str">
        <f>IF(O1422&gt;150%,"x","")</f>
        <v>x</v>
      </c>
      <c r="T1422" s="33" t="s">
        <v>31</v>
      </c>
      <c r="U1422" s="34" t="s">
        <v>982</v>
      </c>
      <c r="V1422" s="35" t="s">
        <v>1056</v>
      </c>
    </row>
    <row r="1423" spans="1:22" ht="16.5" thickTop="1" x14ac:dyDescent="0.25">
      <c r="A1423" s="18" t="s">
        <v>721</v>
      </c>
      <c r="B1423" s="18" t="s">
        <v>946</v>
      </c>
      <c r="C1423" s="18" t="s">
        <v>722</v>
      </c>
      <c r="D1423" s="18" t="s">
        <v>26</v>
      </c>
      <c r="E1423" s="18" t="s">
        <v>69</v>
      </c>
      <c r="F1423" s="18" t="s">
        <v>727</v>
      </c>
      <c r="G1423" s="18" t="s">
        <v>29</v>
      </c>
      <c r="H1423" s="19">
        <v>2006</v>
      </c>
      <c r="I1423" s="18" t="s">
        <v>38</v>
      </c>
      <c r="J1423" s="101">
        <v>20.924855491329481</v>
      </c>
      <c r="K1423" s="20">
        <v>142</v>
      </c>
      <c r="L1423" s="21">
        <v>10.7</v>
      </c>
      <c r="M1423" s="22" t="s">
        <v>30</v>
      </c>
      <c r="N1423" s="23">
        <v>10.7</v>
      </c>
      <c r="O1423" s="24">
        <v>7.5352112676056335E-2</v>
      </c>
      <c r="P1423" s="25" t="str">
        <f>IF(P1425="x","x","")</f>
        <v/>
      </c>
      <c r="Q1423" s="25" t="str">
        <f>IF(Q1425="x","x","")</f>
        <v/>
      </c>
      <c r="R1423" s="25" t="str">
        <f>IF(R1425="x","x","")</f>
        <v/>
      </c>
      <c r="S1423" s="25" t="str">
        <f>IF(S1425="x","x","")</f>
        <v>x</v>
      </c>
      <c r="T1423" s="25" t="s">
        <v>31</v>
      </c>
      <c r="U1423" s="26"/>
      <c r="V1423" s="27"/>
    </row>
    <row r="1424" spans="1:22" x14ac:dyDescent="0.25">
      <c r="A1424" s="18" t="s">
        <v>721</v>
      </c>
      <c r="B1424" s="18" t="s">
        <v>946</v>
      </c>
      <c r="C1424" s="18" t="s">
        <v>722</v>
      </c>
      <c r="D1424" s="18" t="s">
        <v>26</v>
      </c>
      <c r="E1424" s="18" t="s">
        <v>69</v>
      </c>
      <c r="F1424" s="18" t="s">
        <v>727</v>
      </c>
      <c r="G1424" s="18" t="s">
        <v>32</v>
      </c>
      <c r="H1424" s="19">
        <v>2016</v>
      </c>
      <c r="I1424" s="18" t="s">
        <v>38</v>
      </c>
      <c r="J1424" s="101">
        <v>36.166666666666664</v>
      </c>
      <c r="K1424" s="20">
        <v>142</v>
      </c>
      <c r="L1424" s="21">
        <v>42.221699999999998</v>
      </c>
      <c r="M1424" s="22" t="s">
        <v>30</v>
      </c>
      <c r="N1424" s="23">
        <v>42.221699999999998</v>
      </c>
      <c r="O1424" s="24">
        <v>0.29733591549295774</v>
      </c>
      <c r="P1424" s="25" t="str">
        <f>IF(P1425="x","x","")</f>
        <v/>
      </c>
      <c r="Q1424" s="25" t="str">
        <f>IF(Q1425="x","x","")</f>
        <v/>
      </c>
      <c r="R1424" s="25" t="str">
        <f>IF(R1425="x","x","")</f>
        <v/>
      </c>
      <c r="S1424" s="25" t="str">
        <f>IF(S1425="x","x","")</f>
        <v>x</v>
      </c>
      <c r="T1424" s="25" t="s">
        <v>31</v>
      </c>
      <c r="U1424" s="26"/>
      <c r="V1424" s="27"/>
    </row>
    <row r="1425" spans="1:22" ht="32.25" thickBot="1" x14ac:dyDescent="0.3">
      <c r="A1425" s="28" t="str">
        <f>A1424</f>
        <v>Paraguay</v>
      </c>
      <c r="B1425" s="28" t="str">
        <f>B1424</f>
        <v>Latin America and Caribbean</v>
      </c>
      <c r="C1425" s="28" t="str">
        <f>C1424</f>
        <v>P082026</v>
      </c>
      <c r="D1425" s="28" t="s">
        <v>26</v>
      </c>
      <c r="E1425" s="28" t="s">
        <v>27</v>
      </c>
      <c r="F1425" s="28" t="str">
        <f>F1424</f>
        <v>P082026C1S3</v>
      </c>
      <c r="G1425" s="28" t="s">
        <v>16</v>
      </c>
      <c r="H1425" s="29" t="str">
        <f>H1423&amp;" / "&amp;H1424</f>
        <v>2006 / 2016</v>
      </c>
      <c r="I1425" s="29" t="str">
        <f>I1424</f>
        <v>Strengthening</v>
      </c>
      <c r="J1425" s="97">
        <f>IFERROR(J1424/J1423,"")</f>
        <v>1.7284069981583792</v>
      </c>
      <c r="K1425" s="32">
        <f>K1424/K1423</f>
        <v>1</v>
      </c>
      <c r="L1425" s="32">
        <f>L1424/L1423</f>
        <v>3.9459532710280376</v>
      </c>
      <c r="M1425" s="28"/>
      <c r="N1425" s="32">
        <f>N1424/N1423</f>
        <v>3.9459532710280376</v>
      </c>
      <c r="O1425" s="32">
        <f>O1424/O1423</f>
        <v>3.9459532710280376</v>
      </c>
      <c r="P1425" s="33" t="str">
        <f>IF(K1425&lt;50%,"x","")</f>
        <v/>
      </c>
      <c r="Q1425" s="33" t="str">
        <f>IF(K1425&gt;150%,"x","")</f>
        <v/>
      </c>
      <c r="R1425" s="33" t="str">
        <f>IF(O1425&lt;50%,"x","")</f>
        <v/>
      </c>
      <c r="S1425" s="33" t="str">
        <f>IF(O1425&gt;150%,"x","")</f>
        <v>x</v>
      </c>
      <c r="T1425" s="33" t="s">
        <v>31</v>
      </c>
      <c r="U1425" s="34" t="s">
        <v>982</v>
      </c>
      <c r="V1425" s="35" t="s">
        <v>1056</v>
      </c>
    </row>
    <row r="1426" spans="1:22" ht="16.5" thickTop="1" x14ac:dyDescent="0.25">
      <c r="A1426" s="18" t="s">
        <v>721</v>
      </c>
      <c r="B1426" s="18" t="s">
        <v>946</v>
      </c>
      <c r="C1426" s="18" t="s">
        <v>722</v>
      </c>
      <c r="D1426" s="18" t="s">
        <v>42</v>
      </c>
      <c r="E1426" s="18" t="s">
        <v>27</v>
      </c>
      <c r="F1426" s="18" t="s">
        <v>728</v>
      </c>
      <c r="G1426" s="18" t="s">
        <v>29</v>
      </c>
      <c r="H1426" s="19">
        <v>2006</v>
      </c>
      <c r="I1426" s="18" t="s">
        <v>359</v>
      </c>
      <c r="J1426" s="101" t="s">
        <v>27</v>
      </c>
      <c r="K1426" s="20">
        <v>337.9</v>
      </c>
      <c r="L1426" s="21">
        <v>42.9</v>
      </c>
      <c r="M1426" s="22" t="s">
        <v>30</v>
      </c>
      <c r="N1426" s="23">
        <v>42.9</v>
      </c>
      <c r="O1426" s="24">
        <v>0.12696063924237941</v>
      </c>
      <c r="P1426" s="25" t="str">
        <f>IF(P1428="x","x","")</f>
        <v>x</v>
      </c>
      <c r="Q1426" s="25" t="str">
        <f>IF(Q1428="x","x","")</f>
        <v/>
      </c>
      <c r="R1426" s="25" t="str">
        <f>IF(R1428="x","x","")</f>
        <v/>
      </c>
      <c r="S1426" s="25" t="str">
        <f>IF(S1428="x","x","")</f>
        <v/>
      </c>
      <c r="T1426" s="25" t="s">
        <v>31</v>
      </c>
      <c r="U1426" s="26"/>
      <c r="V1426" s="27"/>
    </row>
    <row r="1427" spans="1:22" x14ac:dyDescent="0.25">
      <c r="A1427" s="18" t="s">
        <v>721</v>
      </c>
      <c r="B1427" s="18" t="s">
        <v>946</v>
      </c>
      <c r="C1427" s="18" t="s">
        <v>722</v>
      </c>
      <c r="D1427" s="18" t="s">
        <v>42</v>
      </c>
      <c r="E1427" s="18" t="s">
        <v>27</v>
      </c>
      <c r="F1427" s="18" t="s">
        <v>728</v>
      </c>
      <c r="G1427" s="18" t="s">
        <v>32</v>
      </c>
      <c r="H1427" s="19">
        <v>2016</v>
      </c>
      <c r="I1427" s="18" t="s">
        <v>359</v>
      </c>
      <c r="J1427" s="101" t="s">
        <v>27</v>
      </c>
      <c r="K1427" s="20">
        <v>143</v>
      </c>
      <c r="L1427" s="21">
        <v>26.34</v>
      </c>
      <c r="M1427" s="22" t="s">
        <v>30</v>
      </c>
      <c r="N1427" s="23">
        <v>26.34</v>
      </c>
      <c r="O1427" s="24">
        <v>0.1841958041958042</v>
      </c>
      <c r="P1427" s="25" t="str">
        <f>IF(P1428="x","x","")</f>
        <v>x</v>
      </c>
      <c r="Q1427" s="25" t="str">
        <f>IF(Q1428="x","x","")</f>
        <v/>
      </c>
      <c r="R1427" s="25" t="str">
        <f>IF(R1428="x","x","")</f>
        <v/>
      </c>
      <c r="S1427" s="25" t="str">
        <f>IF(S1428="x","x","")</f>
        <v/>
      </c>
      <c r="T1427" s="25" t="s">
        <v>31</v>
      </c>
      <c r="U1427" s="26"/>
      <c r="V1427" s="27"/>
    </row>
    <row r="1428" spans="1:22" ht="32.25" thickBot="1" x14ac:dyDescent="0.3">
      <c r="A1428" s="28" t="str">
        <f>A1427</f>
        <v>Paraguay</v>
      </c>
      <c r="B1428" s="28" t="str">
        <f>B1427</f>
        <v>Latin America and Caribbean</v>
      </c>
      <c r="C1428" s="28" t="str">
        <f>C1427</f>
        <v>P082026</v>
      </c>
      <c r="D1428" s="28" t="s">
        <v>26</v>
      </c>
      <c r="E1428" s="28" t="s">
        <v>27</v>
      </c>
      <c r="F1428" s="28" t="str">
        <f>F1427</f>
        <v>P082026C2</v>
      </c>
      <c r="G1428" s="28" t="s">
        <v>16</v>
      </c>
      <c r="H1428" s="29" t="str">
        <f>H1426&amp;" / "&amp;H1427</f>
        <v>2006 / 2016</v>
      </c>
      <c r="I1428" s="29" t="str">
        <f>I1427</f>
        <v>Reconstruction</v>
      </c>
      <c r="J1428" s="97" t="str">
        <f>IFERROR(J1427/J1426,"")</f>
        <v/>
      </c>
      <c r="K1428" s="32">
        <f>K1427/K1426</f>
        <v>0.42320213080793134</v>
      </c>
      <c r="L1428" s="32">
        <f>L1427/L1426</f>
        <v>0.61398601398601405</v>
      </c>
      <c r="M1428" s="28"/>
      <c r="N1428" s="32">
        <f>N1427/N1426</f>
        <v>0.61398601398601405</v>
      </c>
      <c r="O1428" s="32">
        <f>O1427/O1426</f>
        <v>1.4508103085725463</v>
      </c>
      <c r="P1428" s="33" t="str">
        <f>IF(K1428&lt;50%,"x","")</f>
        <v>x</v>
      </c>
      <c r="Q1428" s="33" t="str">
        <f>IF(K1428&gt;150%,"x","")</f>
        <v/>
      </c>
      <c r="R1428" s="33" t="str">
        <f>IF(O1428&lt;50%,"x","")</f>
        <v/>
      </c>
      <c r="S1428" s="33" t="str">
        <f>IF(O1428&gt;150%,"x","")</f>
        <v/>
      </c>
      <c r="T1428" s="33" t="s">
        <v>31</v>
      </c>
      <c r="U1428" s="34" t="s">
        <v>988</v>
      </c>
      <c r="V1428" s="35" t="s">
        <v>1057</v>
      </c>
    </row>
    <row r="1429" spans="1:22" ht="16.5" thickTop="1" x14ac:dyDescent="0.25">
      <c r="A1429" s="18" t="s">
        <v>721</v>
      </c>
      <c r="B1429" s="18" t="s">
        <v>946</v>
      </c>
      <c r="C1429" s="18" t="s">
        <v>722</v>
      </c>
      <c r="D1429" s="18" t="s">
        <v>42</v>
      </c>
      <c r="E1429" s="18" t="s">
        <v>36</v>
      </c>
      <c r="F1429" s="18" t="s">
        <v>729</v>
      </c>
      <c r="G1429" s="18" t="s">
        <v>29</v>
      </c>
      <c r="H1429" s="19">
        <v>2006</v>
      </c>
      <c r="I1429" s="18" t="s">
        <v>359</v>
      </c>
      <c r="J1429" s="101">
        <v>15.040000000000001</v>
      </c>
      <c r="K1429" s="20">
        <v>121.6</v>
      </c>
      <c r="L1429" s="21">
        <v>4.9000000000000004</v>
      </c>
      <c r="M1429" s="22" t="s">
        <v>30</v>
      </c>
      <c r="N1429" s="23">
        <v>4.9000000000000004</v>
      </c>
      <c r="O1429" s="24">
        <v>4.0296052631578955E-2</v>
      </c>
      <c r="P1429" s="25" t="str">
        <f>IF(P1431="x","x","")</f>
        <v>x</v>
      </c>
      <c r="Q1429" s="25" t="str">
        <f>IF(Q1431="x","x","")</f>
        <v/>
      </c>
      <c r="R1429" s="25" t="str">
        <f>IF(R1431="x","x","")</f>
        <v/>
      </c>
      <c r="S1429" s="25" t="str">
        <f>IF(S1431="x","x","")</f>
        <v>x</v>
      </c>
      <c r="T1429" s="25" t="s">
        <v>31</v>
      </c>
      <c r="U1429" s="26"/>
      <c r="V1429" s="27"/>
    </row>
    <row r="1430" spans="1:22" x14ac:dyDescent="0.25">
      <c r="A1430" s="18" t="s">
        <v>721</v>
      </c>
      <c r="B1430" s="18" t="s">
        <v>946</v>
      </c>
      <c r="C1430" s="18" t="s">
        <v>722</v>
      </c>
      <c r="D1430" s="18" t="s">
        <v>42</v>
      </c>
      <c r="E1430" s="18" t="s">
        <v>36</v>
      </c>
      <c r="F1430" s="18" t="s">
        <v>729</v>
      </c>
      <c r="G1430" s="18" t="s">
        <v>32</v>
      </c>
      <c r="H1430" s="19">
        <v>2016</v>
      </c>
      <c r="I1430" s="18" t="s">
        <v>359</v>
      </c>
      <c r="J1430" s="101">
        <v>18.8</v>
      </c>
      <c r="K1430" s="20">
        <v>35.700000000000003</v>
      </c>
      <c r="L1430" s="21">
        <v>6.87</v>
      </c>
      <c r="M1430" s="22" t="s">
        <v>30</v>
      </c>
      <c r="N1430" s="23">
        <v>6.87</v>
      </c>
      <c r="O1430" s="24">
        <v>0.19243697478991595</v>
      </c>
      <c r="P1430" s="25" t="str">
        <f>IF(P1431="x","x","")</f>
        <v>x</v>
      </c>
      <c r="Q1430" s="25" t="str">
        <f>IF(Q1431="x","x","")</f>
        <v/>
      </c>
      <c r="R1430" s="25" t="str">
        <f>IF(R1431="x","x","")</f>
        <v/>
      </c>
      <c r="S1430" s="25" t="str">
        <f>IF(S1431="x","x","")</f>
        <v>x</v>
      </c>
      <c r="T1430" s="25" t="s">
        <v>31</v>
      </c>
      <c r="U1430" s="26"/>
      <c r="V1430" s="27"/>
    </row>
    <row r="1431" spans="1:22" ht="63.75" thickBot="1" x14ac:dyDescent="0.3">
      <c r="A1431" s="28" t="str">
        <f>A1430</f>
        <v>Paraguay</v>
      </c>
      <c r="B1431" s="28" t="str">
        <f>B1430</f>
        <v>Latin America and Caribbean</v>
      </c>
      <c r="C1431" s="28" t="str">
        <f>C1430</f>
        <v>P082026</v>
      </c>
      <c r="D1431" s="28" t="s">
        <v>26</v>
      </c>
      <c r="E1431" s="28" t="s">
        <v>27</v>
      </c>
      <c r="F1431" s="28" t="str">
        <f>F1430</f>
        <v>P082026C2S1</v>
      </c>
      <c r="G1431" s="28" t="s">
        <v>16</v>
      </c>
      <c r="H1431" s="29" t="str">
        <f>H1429&amp;" / "&amp;H1430</f>
        <v>2006 / 2016</v>
      </c>
      <c r="I1431" s="29" t="str">
        <f>I1430</f>
        <v>Reconstruction</v>
      </c>
      <c r="J1431" s="97">
        <f>IFERROR(J1430/J1429,"")</f>
        <v>1.25</v>
      </c>
      <c r="K1431" s="32">
        <f>K1430/K1429</f>
        <v>0.29358552631578949</v>
      </c>
      <c r="L1431" s="32">
        <f>L1430/L1429</f>
        <v>1.4020408163265305</v>
      </c>
      <c r="M1431" s="28"/>
      <c r="N1431" s="32">
        <f>N1430/N1429</f>
        <v>1.4020408163265305</v>
      </c>
      <c r="O1431" s="32">
        <f>O1430/O1429</f>
        <v>4.7755788029497497</v>
      </c>
      <c r="P1431" s="33" t="str">
        <f>IF(K1431&lt;50%,"x","")</f>
        <v>x</v>
      </c>
      <c r="Q1431" s="33" t="str">
        <f>IF(K1431&gt;150%,"x","")</f>
        <v/>
      </c>
      <c r="R1431" s="33" t="str">
        <f>IF(O1431&lt;50%,"x","")</f>
        <v/>
      </c>
      <c r="S1431" s="33" t="str">
        <f>IF(O1431&gt;150%,"x","")</f>
        <v>x</v>
      </c>
      <c r="T1431" s="33" t="s">
        <v>31</v>
      </c>
      <c r="U1431" s="34" t="s">
        <v>984</v>
      </c>
      <c r="V1431" s="35" t="s">
        <v>1058</v>
      </c>
    </row>
    <row r="1432" spans="1:22" ht="16.5" thickTop="1" x14ac:dyDescent="0.25">
      <c r="A1432" s="18" t="s">
        <v>721</v>
      </c>
      <c r="B1432" s="18" t="s">
        <v>946</v>
      </c>
      <c r="C1432" s="18" t="s">
        <v>722</v>
      </c>
      <c r="D1432" s="18" t="s">
        <v>42</v>
      </c>
      <c r="E1432" s="18" t="s">
        <v>40</v>
      </c>
      <c r="F1432" s="18" t="s">
        <v>730</v>
      </c>
      <c r="G1432" s="18" t="s">
        <v>29</v>
      </c>
      <c r="H1432" s="19">
        <v>2006</v>
      </c>
      <c r="I1432" s="18" t="s">
        <v>359</v>
      </c>
      <c r="J1432" s="101">
        <v>20</v>
      </c>
      <c r="K1432" s="20">
        <v>113.4</v>
      </c>
      <c r="L1432" s="21">
        <v>4.2</v>
      </c>
      <c r="M1432" s="22" t="s">
        <v>30</v>
      </c>
      <c r="N1432" s="23">
        <v>4.2</v>
      </c>
      <c r="O1432" s="24">
        <v>3.7037037037037035E-2</v>
      </c>
      <c r="P1432" s="25" t="str">
        <f>IF(P1434="x","x","")</f>
        <v>x</v>
      </c>
      <c r="Q1432" s="25" t="str">
        <f>IF(Q1434="x","x","")</f>
        <v/>
      </c>
      <c r="R1432" s="25" t="str">
        <f>IF(R1434="x","x","")</f>
        <v/>
      </c>
      <c r="S1432" s="25" t="str">
        <f>IF(S1434="x","x","")</f>
        <v>x</v>
      </c>
      <c r="T1432" s="25" t="s">
        <v>31</v>
      </c>
      <c r="U1432" s="26"/>
      <c r="V1432" s="27"/>
    </row>
    <row r="1433" spans="1:22" x14ac:dyDescent="0.25">
      <c r="A1433" s="18" t="s">
        <v>721</v>
      </c>
      <c r="B1433" s="18" t="s">
        <v>946</v>
      </c>
      <c r="C1433" s="18" t="s">
        <v>722</v>
      </c>
      <c r="D1433" s="18" t="s">
        <v>42</v>
      </c>
      <c r="E1433" s="18" t="s">
        <v>40</v>
      </c>
      <c r="F1433" s="18" t="s">
        <v>730</v>
      </c>
      <c r="G1433" s="18" t="s">
        <v>32</v>
      </c>
      <c r="H1433" s="19">
        <v>2016</v>
      </c>
      <c r="I1433" s="18" t="s">
        <v>359</v>
      </c>
      <c r="J1433" s="101">
        <v>21.333333333333332</v>
      </c>
      <c r="K1433" s="20">
        <v>35.5</v>
      </c>
      <c r="L1433" s="21">
        <v>6.19</v>
      </c>
      <c r="M1433" s="22" t="s">
        <v>30</v>
      </c>
      <c r="N1433" s="23">
        <v>6.19</v>
      </c>
      <c r="O1433" s="24">
        <v>0.17436619718309859</v>
      </c>
      <c r="P1433" s="25" t="str">
        <f>IF(P1434="x","x","")</f>
        <v>x</v>
      </c>
      <c r="Q1433" s="25" t="str">
        <f>IF(Q1434="x","x","")</f>
        <v/>
      </c>
      <c r="R1433" s="25" t="str">
        <f>IF(R1434="x","x","")</f>
        <v/>
      </c>
      <c r="S1433" s="25" t="str">
        <f>IF(S1434="x","x","")</f>
        <v>x</v>
      </c>
      <c r="T1433" s="25" t="s">
        <v>31</v>
      </c>
      <c r="U1433" s="26"/>
      <c r="V1433" s="27"/>
    </row>
    <row r="1434" spans="1:22" ht="63.75" thickBot="1" x14ac:dyDescent="0.3">
      <c r="A1434" s="28" t="str">
        <f>A1433</f>
        <v>Paraguay</v>
      </c>
      <c r="B1434" s="28" t="str">
        <f>B1433</f>
        <v>Latin America and Caribbean</v>
      </c>
      <c r="C1434" s="28" t="str">
        <f>C1433</f>
        <v>P082026</v>
      </c>
      <c r="D1434" s="28" t="s">
        <v>26</v>
      </c>
      <c r="E1434" s="28" t="s">
        <v>27</v>
      </c>
      <c r="F1434" s="28" t="str">
        <f>F1433</f>
        <v>P082026C2S2</v>
      </c>
      <c r="G1434" s="28" t="s">
        <v>16</v>
      </c>
      <c r="H1434" s="29" t="str">
        <f>H1432&amp;" / "&amp;H1433</f>
        <v>2006 / 2016</v>
      </c>
      <c r="I1434" s="29" t="str">
        <f>I1433</f>
        <v>Reconstruction</v>
      </c>
      <c r="J1434" s="97">
        <f>IFERROR(J1433/J1432,"")</f>
        <v>1.0666666666666667</v>
      </c>
      <c r="K1434" s="32">
        <f>K1433/K1432</f>
        <v>0.31305114638447973</v>
      </c>
      <c r="L1434" s="32">
        <f>L1433/L1432</f>
        <v>1.4738095238095239</v>
      </c>
      <c r="M1434" s="28"/>
      <c r="N1434" s="32">
        <f>N1433/N1432</f>
        <v>1.4738095238095239</v>
      </c>
      <c r="O1434" s="32">
        <f>O1433/O1432</f>
        <v>4.7078873239436625</v>
      </c>
      <c r="P1434" s="33" t="str">
        <f>IF(K1434&lt;50%,"x","")</f>
        <v>x</v>
      </c>
      <c r="Q1434" s="33" t="str">
        <f>IF(K1434&gt;150%,"x","")</f>
        <v/>
      </c>
      <c r="R1434" s="33" t="str">
        <f>IF(O1434&lt;50%,"x","")</f>
        <v/>
      </c>
      <c r="S1434" s="33" t="str">
        <f>IF(O1434&gt;150%,"x","")</f>
        <v>x</v>
      </c>
      <c r="T1434" s="33" t="s">
        <v>31</v>
      </c>
      <c r="U1434" s="34" t="s">
        <v>1059</v>
      </c>
      <c r="V1434" s="35" t="s">
        <v>1060</v>
      </c>
    </row>
    <row r="1435" spans="1:22" ht="16.5" thickTop="1" x14ac:dyDescent="0.25">
      <c r="A1435" s="18" t="s">
        <v>721</v>
      </c>
      <c r="B1435" s="18" t="s">
        <v>946</v>
      </c>
      <c r="C1435" s="18" t="s">
        <v>722</v>
      </c>
      <c r="D1435" s="18" t="s">
        <v>42</v>
      </c>
      <c r="E1435" s="18" t="s">
        <v>69</v>
      </c>
      <c r="F1435" s="18" t="s">
        <v>731</v>
      </c>
      <c r="G1435" s="18" t="s">
        <v>29</v>
      </c>
      <c r="H1435" s="19">
        <v>2006</v>
      </c>
      <c r="I1435" s="18" t="s">
        <v>359</v>
      </c>
      <c r="J1435" s="101">
        <v>12.052631578947368</v>
      </c>
      <c r="K1435" s="20">
        <v>102.9</v>
      </c>
      <c r="L1435" s="21">
        <v>3.5</v>
      </c>
      <c r="M1435" s="22" t="s">
        <v>30</v>
      </c>
      <c r="N1435" s="23">
        <v>3.5</v>
      </c>
      <c r="O1435" s="24">
        <v>3.4013605442176867E-2</v>
      </c>
      <c r="P1435" s="25" t="str">
        <f>IF(P1437="x","x","")</f>
        <v>x</v>
      </c>
      <c r="Q1435" s="25" t="str">
        <f>IF(Q1437="x","x","")</f>
        <v/>
      </c>
      <c r="R1435" s="25" t="str">
        <f>IF(R1437="x","x","")</f>
        <v/>
      </c>
      <c r="S1435" s="25" t="str">
        <f>IF(S1437="x","x","")</f>
        <v>x</v>
      </c>
      <c r="T1435" s="25" t="s">
        <v>31</v>
      </c>
      <c r="U1435" s="26"/>
      <c r="V1435" s="27"/>
    </row>
    <row r="1436" spans="1:22" x14ac:dyDescent="0.25">
      <c r="A1436" s="18" t="s">
        <v>721</v>
      </c>
      <c r="B1436" s="18" t="s">
        <v>946</v>
      </c>
      <c r="C1436" s="18" t="s">
        <v>722</v>
      </c>
      <c r="D1436" s="18" t="s">
        <v>42</v>
      </c>
      <c r="E1436" s="18" t="s">
        <v>69</v>
      </c>
      <c r="F1436" s="18" t="s">
        <v>731</v>
      </c>
      <c r="G1436" s="18" t="s">
        <v>32</v>
      </c>
      <c r="H1436" s="19">
        <v>2016</v>
      </c>
      <c r="I1436" s="18" t="s">
        <v>359</v>
      </c>
      <c r="J1436" s="101">
        <v>22.866666666666667</v>
      </c>
      <c r="K1436" s="20">
        <v>14.7</v>
      </c>
      <c r="L1436" s="21">
        <v>3.26</v>
      </c>
      <c r="M1436" s="22" t="s">
        <v>30</v>
      </c>
      <c r="N1436" s="23">
        <v>3.26</v>
      </c>
      <c r="O1436" s="24">
        <v>0.22176870748299318</v>
      </c>
      <c r="P1436" s="25" t="str">
        <f>IF(P1437="x","x","")</f>
        <v>x</v>
      </c>
      <c r="Q1436" s="25" t="str">
        <f>IF(Q1437="x","x","")</f>
        <v/>
      </c>
      <c r="R1436" s="25" t="str">
        <f>IF(R1437="x","x","")</f>
        <v/>
      </c>
      <c r="S1436" s="25" t="str">
        <f>IF(S1437="x","x","")</f>
        <v>x</v>
      </c>
      <c r="T1436" s="25" t="s">
        <v>31</v>
      </c>
      <c r="U1436" s="26"/>
      <c r="V1436" s="27"/>
    </row>
    <row r="1437" spans="1:22" ht="63.75" thickBot="1" x14ac:dyDescent="0.3">
      <c r="A1437" s="28" t="str">
        <f>A1436</f>
        <v>Paraguay</v>
      </c>
      <c r="B1437" s="28" t="str">
        <f>B1436</f>
        <v>Latin America and Caribbean</v>
      </c>
      <c r="C1437" s="28" t="str">
        <f>C1436</f>
        <v>P082026</v>
      </c>
      <c r="D1437" s="28" t="s">
        <v>26</v>
      </c>
      <c r="E1437" s="28" t="s">
        <v>27</v>
      </c>
      <c r="F1437" s="28" t="str">
        <f>F1436</f>
        <v>P082026C2S3</v>
      </c>
      <c r="G1437" s="28" t="s">
        <v>16</v>
      </c>
      <c r="H1437" s="29" t="str">
        <f>H1435&amp;" / "&amp;H1436</f>
        <v>2006 / 2016</v>
      </c>
      <c r="I1437" s="29" t="str">
        <f>I1436</f>
        <v>Reconstruction</v>
      </c>
      <c r="J1437" s="97">
        <f>IFERROR(J1436/J1435,"")</f>
        <v>1.8972343522561863</v>
      </c>
      <c r="K1437" s="32">
        <f>K1436/K1435</f>
        <v>0.14285714285714285</v>
      </c>
      <c r="L1437" s="32">
        <f>L1436/L1435</f>
        <v>0.93142857142857138</v>
      </c>
      <c r="M1437" s="28"/>
      <c r="N1437" s="32">
        <f>N1436/N1435</f>
        <v>0.93142857142857138</v>
      </c>
      <c r="O1437" s="32">
        <f>O1436/O1435</f>
        <v>6.5200000000000005</v>
      </c>
      <c r="P1437" s="33" t="str">
        <f>IF(K1437&lt;50%,"x","")</f>
        <v>x</v>
      </c>
      <c r="Q1437" s="33" t="str">
        <f>IF(K1437&gt;150%,"x","")</f>
        <v/>
      </c>
      <c r="R1437" s="33" t="str">
        <f>IF(O1437&lt;50%,"x","")</f>
        <v/>
      </c>
      <c r="S1437" s="33" t="str">
        <f>IF(O1437&gt;150%,"x","")</f>
        <v>x</v>
      </c>
      <c r="T1437" s="33" t="s">
        <v>31</v>
      </c>
      <c r="U1437" s="34" t="s">
        <v>984</v>
      </c>
      <c r="V1437" s="35" t="s">
        <v>1058</v>
      </c>
    </row>
    <row r="1438" spans="1:22" ht="18.600000000000001" customHeight="1" thickTop="1" x14ac:dyDescent="0.25">
      <c r="A1438" s="18" t="s">
        <v>408</v>
      </c>
      <c r="B1438" s="18" t="s">
        <v>946</v>
      </c>
      <c r="C1438" s="18" t="s">
        <v>409</v>
      </c>
      <c r="D1438" s="18" t="s">
        <v>26</v>
      </c>
      <c r="E1438" s="18" t="s">
        <v>27</v>
      </c>
      <c r="F1438" s="18" t="s">
        <v>410</v>
      </c>
      <c r="G1438" s="18" t="s">
        <v>29</v>
      </c>
      <c r="H1438" s="19">
        <v>2001</v>
      </c>
      <c r="I1438" s="18" t="s">
        <v>359</v>
      </c>
      <c r="J1438" s="101" t="s">
        <v>27</v>
      </c>
      <c r="K1438" s="20">
        <v>3575</v>
      </c>
      <c r="L1438" s="21">
        <v>61.7</v>
      </c>
      <c r="M1438" s="22" t="s">
        <v>30</v>
      </c>
      <c r="N1438" s="23">
        <v>61.7</v>
      </c>
      <c r="O1438" s="24">
        <v>1.7258741258741259E-2</v>
      </c>
      <c r="P1438" s="25" t="str">
        <f>IF(P1440="x","x","")</f>
        <v/>
      </c>
      <c r="Q1438" s="25" t="str">
        <f>IF(Q1440="x","x","")</f>
        <v/>
      </c>
      <c r="R1438" s="25" t="str">
        <f>IF(R1440="x","x","")</f>
        <v/>
      </c>
      <c r="S1438" s="25" t="str">
        <f>IF(S1440="x","x","")</f>
        <v/>
      </c>
      <c r="T1438" s="25" t="s">
        <v>27</v>
      </c>
      <c r="U1438" s="26"/>
      <c r="V1438" s="27"/>
    </row>
    <row r="1439" spans="1:22" ht="18.600000000000001" customHeight="1" x14ac:dyDescent="0.25">
      <c r="A1439" s="18" t="s">
        <v>408</v>
      </c>
      <c r="B1439" s="18" t="s">
        <v>946</v>
      </c>
      <c r="C1439" s="18" t="s">
        <v>409</v>
      </c>
      <c r="D1439" s="18" t="s">
        <v>26</v>
      </c>
      <c r="E1439" s="18" t="s">
        <v>27</v>
      </c>
      <c r="F1439" s="18" t="s">
        <v>410</v>
      </c>
      <c r="G1439" s="18" t="s">
        <v>32</v>
      </c>
      <c r="H1439" s="19">
        <v>2007</v>
      </c>
      <c r="I1439" s="18" t="s">
        <v>359</v>
      </c>
      <c r="J1439" s="101" t="s">
        <v>27</v>
      </c>
      <c r="K1439" s="20">
        <v>4692</v>
      </c>
      <c r="L1439" s="21">
        <v>65.33</v>
      </c>
      <c r="M1439" s="22" t="s">
        <v>30</v>
      </c>
      <c r="N1439" s="23">
        <v>65.33</v>
      </c>
      <c r="O1439" s="24">
        <v>1.3923699914748507E-2</v>
      </c>
      <c r="P1439" s="25" t="str">
        <f>IF(P1440="x","x","")</f>
        <v/>
      </c>
      <c r="Q1439" s="25" t="str">
        <f>IF(Q1440="x","x","")</f>
        <v/>
      </c>
      <c r="R1439" s="25" t="str">
        <f>IF(R1440="x","x","")</f>
        <v/>
      </c>
      <c r="S1439" s="25" t="str">
        <f>IF(S1440="x","x","")</f>
        <v/>
      </c>
      <c r="T1439" s="25" t="s">
        <v>27</v>
      </c>
      <c r="U1439" s="26"/>
      <c r="V1439" s="27"/>
    </row>
    <row r="1440" spans="1:22" ht="18.600000000000001" customHeight="1" thickBot="1" x14ac:dyDescent="0.3">
      <c r="A1440" s="28" t="str">
        <f>A1439</f>
        <v>Peru</v>
      </c>
      <c r="B1440" s="28" t="str">
        <f>B1439</f>
        <v>Latin America and Caribbean</v>
      </c>
      <c r="C1440" s="28" t="str">
        <f>C1439</f>
        <v>P044601</v>
      </c>
      <c r="D1440" s="28" t="s">
        <v>26</v>
      </c>
      <c r="E1440" s="28" t="s">
        <v>27</v>
      </c>
      <c r="F1440" s="28" t="str">
        <f>F1439</f>
        <v>P044601C1</v>
      </c>
      <c r="G1440" s="28" t="s">
        <v>16</v>
      </c>
      <c r="H1440" s="29" t="str">
        <f>H1438&amp;" / "&amp;H1439</f>
        <v>2001 / 2007</v>
      </c>
      <c r="I1440" s="29" t="str">
        <f>I1439</f>
        <v>Reconstruction</v>
      </c>
      <c r="J1440" s="97" t="str">
        <f>IFERROR(J1439/J1438,"")</f>
        <v/>
      </c>
      <c r="K1440" s="32">
        <f>K1439/K1438</f>
        <v>1.3124475524475525</v>
      </c>
      <c r="L1440" s="32">
        <f>L1439/L1438</f>
        <v>1.0588330632090761</v>
      </c>
      <c r="M1440" s="28"/>
      <c r="N1440" s="32">
        <f>N1439/N1438</f>
        <v>1.0588330632090761</v>
      </c>
      <c r="O1440" s="32">
        <f>O1439/O1438</f>
        <v>0.80676219117059833</v>
      </c>
      <c r="P1440" s="33" t="str">
        <f>IF(K1440&lt;50%,"x","")</f>
        <v/>
      </c>
      <c r="Q1440" s="33" t="str">
        <f>IF(K1440&gt;150%,"x","")</f>
        <v/>
      </c>
      <c r="R1440" s="33" t="str">
        <f>IF(O1440&lt;50%,"x","")</f>
        <v/>
      </c>
      <c r="S1440" s="33" t="str">
        <f>IF(O1440&gt;150%,"x","")</f>
        <v/>
      </c>
      <c r="T1440" s="33" t="s">
        <v>27</v>
      </c>
      <c r="U1440" s="34" t="s">
        <v>27</v>
      </c>
      <c r="V1440" s="35" t="s">
        <v>27</v>
      </c>
    </row>
    <row r="1441" spans="1:22" ht="18.600000000000001" customHeight="1" thickTop="1" x14ac:dyDescent="0.25">
      <c r="A1441" s="18" t="s">
        <v>408</v>
      </c>
      <c r="B1441" s="18" t="s">
        <v>946</v>
      </c>
      <c r="C1441" s="18" t="s">
        <v>409</v>
      </c>
      <c r="D1441" s="18" t="s">
        <v>42</v>
      </c>
      <c r="E1441" s="18" t="s">
        <v>27</v>
      </c>
      <c r="F1441" s="18" t="s">
        <v>411</v>
      </c>
      <c r="G1441" s="18" t="s">
        <v>29</v>
      </c>
      <c r="H1441" s="19">
        <v>2001</v>
      </c>
      <c r="I1441" s="18" t="s">
        <v>44</v>
      </c>
      <c r="J1441" s="101" t="s">
        <v>27</v>
      </c>
      <c r="K1441" s="20">
        <v>13495</v>
      </c>
      <c r="L1441" s="21">
        <v>51.8</v>
      </c>
      <c r="M1441" s="22" t="s">
        <v>30</v>
      </c>
      <c r="N1441" s="23">
        <v>51.8</v>
      </c>
      <c r="O1441" s="24">
        <v>3.8384586884031122E-3</v>
      </c>
      <c r="P1441" s="25" t="str">
        <f>IF(P1443="x","x","")</f>
        <v/>
      </c>
      <c r="Q1441" s="25" t="str">
        <f>IF(Q1443="x","x","")</f>
        <v/>
      </c>
      <c r="R1441" s="25" t="str">
        <f>IF(R1443="x","x","")</f>
        <v/>
      </c>
      <c r="S1441" s="25" t="str">
        <f>IF(S1443="x","x","")</f>
        <v/>
      </c>
      <c r="T1441" s="25" t="s">
        <v>27</v>
      </c>
      <c r="U1441" s="26"/>
      <c r="V1441" s="27"/>
    </row>
    <row r="1442" spans="1:22" ht="18.600000000000001" customHeight="1" x14ac:dyDescent="0.25">
      <c r="A1442" s="18" t="s">
        <v>408</v>
      </c>
      <c r="B1442" s="18" t="s">
        <v>946</v>
      </c>
      <c r="C1442" s="18" t="s">
        <v>409</v>
      </c>
      <c r="D1442" s="18" t="s">
        <v>42</v>
      </c>
      <c r="E1442" s="18" t="s">
        <v>27</v>
      </c>
      <c r="F1442" s="18" t="s">
        <v>411</v>
      </c>
      <c r="G1442" s="18" t="s">
        <v>32</v>
      </c>
      <c r="H1442" s="19">
        <v>2007</v>
      </c>
      <c r="I1442" s="18" t="s">
        <v>44</v>
      </c>
      <c r="J1442" s="101" t="s">
        <v>27</v>
      </c>
      <c r="K1442" s="20">
        <v>14750</v>
      </c>
      <c r="L1442" s="21">
        <v>38.590000000000003</v>
      </c>
      <c r="M1442" s="22" t="s">
        <v>30</v>
      </c>
      <c r="N1442" s="23">
        <v>38.590000000000003</v>
      </c>
      <c r="O1442" s="24">
        <v>2.6162711864406783E-3</v>
      </c>
      <c r="P1442" s="25" t="str">
        <f>IF(P1443="x","x","")</f>
        <v/>
      </c>
      <c r="Q1442" s="25" t="str">
        <f>IF(Q1443="x","x","")</f>
        <v/>
      </c>
      <c r="R1442" s="25" t="str">
        <f>IF(R1443="x","x","")</f>
        <v/>
      </c>
      <c r="S1442" s="25" t="str">
        <f>IF(S1443="x","x","")</f>
        <v/>
      </c>
      <c r="T1442" s="25" t="s">
        <v>27</v>
      </c>
      <c r="U1442" s="26"/>
      <c r="V1442" s="27"/>
    </row>
    <row r="1443" spans="1:22" ht="18.600000000000001" customHeight="1" thickBot="1" x14ac:dyDescent="0.3">
      <c r="A1443" s="28" t="str">
        <f>A1442</f>
        <v>Peru</v>
      </c>
      <c r="B1443" s="28" t="str">
        <f>B1442</f>
        <v>Latin America and Caribbean</v>
      </c>
      <c r="C1443" s="28" t="str">
        <f>C1442</f>
        <v>P044601</v>
      </c>
      <c r="D1443" s="28" t="s">
        <v>26</v>
      </c>
      <c r="E1443" s="28" t="s">
        <v>27</v>
      </c>
      <c r="F1443" s="28" t="str">
        <f>F1442</f>
        <v>P044601C2</v>
      </c>
      <c r="G1443" s="28" t="s">
        <v>16</v>
      </c>
      <c r="H1443" s="29" t="str">
        <f>H1441&amp;" / "&amp;H1442</f>
        <v>2001 / 2007</v>
      </c>
      <c r="I1443" s="29" t="str">
        <f>I1442</f>
        <v>Routine Maintenance</v>
      </c>
      <c r="J1443" s="97" t="str">
        <f>IFERROR(J1442/J1441,"")</f>
        <v/>
      </c>
      <c r="K1443" s="32">
        <f>K1442/K1441</f>
        <v>1.0929974064468322</v>
      </c>
      <c r="L1443" s="32">
        <f>L1442/L1441</f>
        <v>0.74498069498069508</v>
      </c>
      <c r="M1443" s="28"/>
      <c r="N1443" s="32">
        <f>N1442/N1441</f>
        <v>0.74498069498069508</v>
      </c>
      <c r="O1443" s="32">
        <f>O1442/O1441</f>
        <v>0.6815942019501342</v>
      </c>
      <c r="P1443" s="33" t="str">
        <f>IF(K1443&lt;50%,"x","")</f>
        <v/>
      </c>
      <c r="Q1443" s="33" t="str">
        <f>IF(K1443&gt;150%,"x","")</f>
        <v/>
      </c>
      <c r="R1443" s="33" t="str">
        <f>IF(O1443&lt;50%,"x","")</f>
        <v/>
      </c>
      <c r="S1443" s="33" t="str">
        <f>IF(O1443&gt;150%,"x","")</f>
        <v/>
      </c>
      <c r="T1443" s="33" t="s">
        <v>27</v>
      </c>
      <c r="U1443" s="34" t="s">
        <v>27</v>
      </c>
      <c r="V1443" s="35" t="s">
        <v>27</v>
      </c>
    </row>
    <row r="1444" spans="1:22" ht="18.600000000000001" customHeight="1" thickTop="1" x14ac:dyDescent="0.25">
      <c r="A1444" s="18" t="s">
        <v>408</v>
      </c>
      <c r="B1444" s="18" t="s">
        <v>946</v>
      </c>
      <c r="C1444" s="18" t="s">
        <v>705</v>
      </c>
      <c r="D1444" s="18" t="s">
        <v>26</v>
      </c>
      <c r="E1444" s="18" t="s">
        <v>27</v>
      </c>
      <c r="F1444" s="18" t="s">
        <v>706</v>
      </c>
      <c r="G1444" s="18" t="s">
        <v>29</v>
      </c>
      <c r="H1444" s="19">
        <v>2005</v>
      </c>
      <c r="I1444" s="18" t="s">
        <v>359</v>
      </c>
      <c r="J1444" s="101" t="s">
        <v>27</v>
      </c>
      <c r="K1444" s="20">
        <v>4900</v>
      </c>
      <c r="L1444" s="21">
        <v>138.84</v>
      </c>
      <c r="M1444" s="22" t="s">
        <v>30</v>
      </c>
      <c r="N1444" s="23">
        <v>138.84</v>
      </c>
      <c r="O1444" s="24">
        <v>2.8334693877551023E-2</v>
      </c>
      <c r="P1444" s="25" t="str">
        <f>IF(P1446="x","x","")</f>
        <v/>
      </c>
      <c r="Q1444" s="25" t="str">
        <f>IF(Q1446="x","x","")</f>
        <v/>
      </c>
      <c r="R1444" s="25" t="str">
        <f>IF(R1446="x","x","")</f>
        <v/>
      </c>
      <c r="S1444" s="25" t="str">
        <f>IF(S1446="x","x","")</f>
        <v/>
      </c>
      <c r="T1444" s="25" t="s">
        <v>27</v>
      </c>
      <c r="U1444" s="26"/>
      <c r="V1444" s="27"/>
    </row>
    <row r="1445" spans="1:22" ht="18.600000000000001" customHeight="1" x14ac:dyDescent="0.25">
      <c r="A1445" s="18" t="s">
        <v>408</v>
      </c>
      <c r="B1445" s="18" t="s">
        <v>946</v>
      </c>
      <c r="C1445" s="18" t="s">
        <v>705</v>
      </c>
      <c r="D1445" s="18" t="s">
        <v>26</v>
      </c>
      <c r="E1445" s="18" t="s">
        <v>27</v>
      </c>
      <c r="F1445" s="18" t="s">
        <v>706</v>
      </c>
      <c r="G1445" s="18" t="s">
        <v>32</v>
      </c>
      <c r="H1445" s="19">
        <v>2014</v>
      </c>
      <c r="I1445" s="18" t="s">
        <v>359</v>
      </c>
      <c r="J1445" s="101" t="s">
        <v>27</v>
      </c>
      <c r="K1445" s="20">
        <v>5103</v>
      </c>
      <c r="L1445" s="21">
        <v>141.49</v>
      </c>
      <c r="M1445" s="22" t="s">
        <v>30</v>
      </c>
      <c r="N1445" s="23">
        <v>141.49</v>
      </c>
      <c r="O1445" s="24">
        <v>2.7726827356456988E-2</v>
      </c>
      <c r="P1445" s="25" t="str">
        <f>IF(P1446="x","x","")</f>
        <v/>
      </c>
      <c r="Q1445" s="25" t="str">
        <f>IF(Q1446="x","x","")</f>
        <v/>
      </c>
      <c r="R1445" s="25" t="str">
        <f>IF(R1446="x","x","")</f>
        <v/>
      </c>
      <c r="S1445" s="25" t="str">
        <f>IF(S1446="x","x","")</f>
        <v/>
      </c>
      <c r="T1445" s="25" t="s">
        <v>27</v>
      </c>
      <c r="U1445" s="26"/>
      <c r="V1445" s="27"/>
    </row>
    <row r="1446" spans="1:22" ht="18.600000000000001" customHeight="1" thickBot="1" x14ac:dyDescent="0.3">
      <c r="A1446" s="28" t="str">
        <f>A1445</f>
        <v>Peru</v>
      </c>
      <c r="B1446" s="28" t="str">
        <f>B1445</f>
        <v>Latin America and Caribbean</v>
      </c>
      <c r="C1446" s="28" t="str">
        <f>C1445</f>
        <v>P078813</v>
      </c>
      <c r="D1446" s="28" t="s">
        <v>26</v>
      </c>
      <c r="E1446" s="28" t="s">
        <v>27</v>
      </c>
      <c r="F1446" s="28" t="str">
        <f>F1445</f>
        <v>P078813C1</v>
      </c>
      <c r="G1446" s="28" t="s">
        <v>16</v>
      </c>
      <c r="H1446" s="29" t="str">
        <f>H1444&amp;" / "&amp;H1445</f>
        <v>2005 / 2014</v>
      </c>
      <c r="I1446" s="29" t="str">
        <f>I1445</f>
        <v>Reconstruction</v>
      </c>
      <c r="J1446" s="97" t="str">
        <f>IFERROR(J1445/J1444,"")</f>
        <v/>
      </c>
      <c r="K1446" s="32">
        <f>K1445/K1444</f>
        <v>1.0414285714285714</v>
      </c>
      <c r="L1446" s="32">
        <f>L1445/L1444</f>
        <v>1.0190867185249208</v>
      </c>
      <c r="M1446" s="28"/>
      <c r="N1446" s="32">
        <f>N1445/N1444</f>
        <v>1.0190867185249208</v>
      </c>
      <c r="O1446" s="32">
        <f>O1445/O1444</f>
        <v>0.97854691765081558</v>
      </c>
      <c r="P1446" s="33" t="str">
        <f>IF(K1446&lt;50%,"x","")</f>
        <v/>
      </c>
      <c r="Q1446" s="33" t="str">
        <f>IF(K1446&gt;150%,"x","")</f>
        <v/>
      </c>
      <c r="R1446" s="33" t="str">
        <f>IF(O1446&lt;50%,"x","")</f>
        <v/>
      </c>
      <c r="S1446" s="33" t="str">
        <f>IF(O1446&gt;150%,"x","")</f>
        <v/>
      </c>
      <c r="T1446" s="33" t="s">
        <v>27</v>
      </c>
      <c r="U1446" s="34" t="s">
        <v>27</v>
      </c>
      <c r="V1446" s="35" t="s">
        <v>27</v>
      </c>
    </row>
    <row r="1447" spans="1:22" ht="16.5" thickTop="1" x14ac:dyDescent="0.25">
      <c r="A1447" s="18" t="s">
        <v>408</v>
      </c>
      <c r="B1447" s="18" t="s">
        <v>946</v>
      </c>
      <c r="C1447" s="18" t="s">
        <v>705</v>
      </c>
      <c r="D1447" s="18" t="s">
        <v>26</v>
      </c>
      <c r="E1447" s="18" t="s">
        <v>36</v>
      </c>
      <c r="F1447" s="18" t="s">
        <v>707</v>
      </c>
      <c r="G1447" s="18" t="s">
        <v>29</v>
      </c>
      <c r="H1447" s="19">
        <v>2005</v>
      </c>
      <c r="I1447" s="18" t="s">
        <v>359</v>
      </c>
      <c r="J1447" s="101" t="s">
        <v>27</v>
      </c>
      <c r="K1447" s="20">
        <v>2200</v>
      </c>
      <c r="L1447" s="21">
        <v>110</v>
      </c>
      <c r="M1447" s="22" t="s">
        <v>30</v>
      </c>
      <c r="N1447" s="23">
        <v>110</v>
      </c>
      <c r="O1447" s="24">
        <v>0.05</v>
      </c>
      <c r="P1447" s="25" t="str">
        <f>IF(P1449="x","x","")</f>
        <v/>
      </c>
      <c r="Q1447" s="25" t="str">
        <f>IF(Q1449="x","x","")</f>
        <v/>
      </c>
      <c r="R1447" s="25" t="str">
        <f>IF(R1449="x","x","")</f>
        <v/>
      </c>
      <c r="S1447" s="25" t="str">
        <f>IF(S1449="x","x","")</f>
        <v/>
      </c>
      <c r="T1447" s="25" t="s">
        <v>27</v>
      </c>
      <c r="U1447" s="26"/>
      <c r="V1447" s="27"/>
    </row>
    <row r="1448" spans="1:22" x14ac:dyDescent="0.25">
      <c r="A1448" s="18" t="s">
        <v>408</v>
      </c>
      <c r="B1448" s="18" t="s">
        <v>946</v>
      </c>
      <c r="C1448" s="18" t="s">
        <v>705</v>
      </c>
      <c r="D1448" s="18" t="s">
        <v>26</v>
      </c>
      <c r="E1448" s="18" t="s">
        <v>36</v>
      </c>
      <c r="F1448" s="18" t="s">
        <v>707</v>
      </c>
      <c r="G1448" s="18" t="s">
        <v>32</v>
      </c>
      <c r="H1448" s="19">
        <v>2014</v>
      </c>
      <c r="I1448" s="18" t="s">
        <v>359</v>
      </c>
      <c r="J1448" s="101" t="s">
        <v>27</v>
      </c>
      <c r="K1448" s="20">
        <v>1562</v>
      </c>
      <c r="L1448" s="21">
        <v>102.36</v>
      </c>
      <c r="M1448" s="22" t="s">
        <v>30</v>
      </c>
      <c r="N1448" s="23">
        <v>102.36</v>
      </c>
      <c r="O1448" s="24">
        <v>6.5531370038412293E-2</v>
      </c>
      <c r="P1448" s="25" t="str">
        <f>IF(P1449="x","x","")</f>
        <v/>
      </c>
      <c r="Q1448" s="25" t="str">
        <f>IF(Q1449="x","x","")</f>
        <v/>
      </c>
      <c r="R1448" s="25" t="str">
        <f>IF(R1449="x","x","")</f>
        <v/>
      </c>
      <c r="S1448" s="25" t="str">
        <f>IF(S1449="x","x","")</f>
        <v/>
      </c>
      <c r="T1448" s="25" t="s">
        <v>27</v>
      </c>
      <c r="U1448" s="26"/>
      <c r="V1448" s="27"/>
    </row>
    <row r="1449" spans="1:22" ht="16.5" thickBot="1" x14ac:dyDescent="0.3">
      <c r="A1449" s="28" t="str">
        <f>A1448</f>
        <v>Peru</v>
      </c>
      <c r="B1449" s="28" t="str">
        <f>B1448</f>
        <v>Latin America and Caribbean</v>
      </c>
      <c r="C1449" s="28" t="str">
        <f>C1448</f>
        <v>P078813</v>
      </c>
      <c r="D1449" s="28" t="s">
        <v>26</v>
      </c>
      <c r="E1449" s="28" t="s">
        <v>27</v>
      </c>
      <c r="F1449" s="28" t="str">
        <f>F1448</f>
        <v>P078813C1S1</v>
      </c>
      <c r="G1449" s="28" t="s">
        <v>16</v>
      </c>
      <c r="H1449" s="29" t="str">
        <f>H1447&amp;" / "&amp;H1448</f>
        <v>2005 / 2014</v>
      </c>
      <c r="I1449" s="29" t="str">
        <f>I1448</f>
        <v>Reconstruction</v>
      </c>
      <c r="J1449" s="97" t="str">
        <f>IFERROR(J1448/J1447,"")</f>
        <v/>
      </c>
      <c r="K1449" s="32">
        <f>K1448/K1447</f>
        <v>0.71</v>
      </c>
      <c r="L1449" s="32">
        <f>L1448/L1447</f>
        <v>0.93054545454545456</v>
      </c>
      <c r="M1449" s="28"/>
      <c r="N1449" s="32">
        <f>N1448/N1447</f>
        <v>0.93054545454545456</v>
      </c>
      <c r="O1449" s="32">
        <f>O1448/O1447</f>
        <v>1.3106274007682457</v>
      </c>
      <c r="P1449" s="33" t="str">
        <f>IF(K1449&lt;50%,"x","")</f>
        <v/>
      </c>
      <c r="Q1449" s="33" t="str">
        <f>IF(K1449&gt;150%,"x","")</f>
        <v/>
      </c>
      <c r="R1449" s="33" t="str">
        <f>IF(O1449&lt;50%,"x","")</f>
        <v/>
      </c>
      <c r="S1449" s="33" t="str">
        <f>IF(O1449&gt;150%,"x","")</f>
        <v/>
      </c>
      <c r="T1449" s="33" t="s">
        <v>27</v>
      </c>
      <c r="U1449" s="34" t="s">
        <v>27</v>
      </c>
      <c r="V1449" s="35" t="s">
        <v>27</v>
      </c>
    </row>
    <row r="1450" spans="1:22" ht="16.5" thickTop="1" x14ac:dyDescent="0.25">
      <c r="A1450" s="18" t="s">
        <v>408</v>
      </c>
      <c r="B1450" s="18" t="s">
        <v>946</v>
      </c>
      <c r="C1450" s="18" t="s">
        <v>705</v>
      </c>
      <c r="D1450" s="18" t="s">
        <v>26</v>
      </c>
      <c r="E1450" s="18" t="s">
        <v>40</v>
      </c>
      <c r="F1450" s="18" t="s">
        <v>708</v>
      </c>
      <c r="G1450" s="18" t="s">
        <v>29</v>
      </c>
      <c r="H1450" s="19">
        <v>2005</v>
      </c>
      <c r="I1450" s="18" t="s">
        <v>122</v>
      </c>
      <c r="J1450" s="101" t="s">
        <v>27</v>
      </c>
      <c r="K1450" s="20">
        <v>2700</v>
      </c>
      <c r="L1450" s="21">
        <v>18.91</v>
      </c>
      <c r="M1450" s="22" t="s">
        <v>30</v>
      </c>
      <c r="N1450" s="23">
        <v>18.91</v>
      </c>
      <c r="O1450" s="24">
        <v>7.0037037037037038E-3</v>
      </c>
      <c r="P1450" s="25" t="str">
        <f>IF(P1452="x","x","")</f>
        <v/>
      </c>
      <c r="Q1450" s="25" t="str">
        <f>IF(Q1452="x","x","")</f>
        <v/>
      </c>
      <c r="R1450" s="25" t="str">
        <f>IF(R1452="x","x","")</f>
        <v/>
      </c>
      <c r="S1450" s="25" t="str">
        <f>IF(S1452="x","x","")</f>
        <v/>
      </c>
      <c r="T1450" s="25" t="s">
        <v>27</v>
      </c>
      <c r="U1450" s="26"/>
      <c r="V1450" s="27"/>
    </row>
    <row r="1451" spans="1:22" x14ac:dyDescent="0.25">
      <c r="A1451" s="18" t="s">
        <v>408</v>
      </c>
      <c r="B1451" s="18" t="s">
        <v>946</v>
      </c>
      <c r="C1451" s="18" t="s">
        <v>705</v>
      </c>
      <c r="D1451" s="18" t="s">
        <v>26</v>
      </c>
      <c r="E1451" s="18" t="s">
        <v>40</v>
      </c>
      <c r="F1451" s="18" t="s">
        <v>708</v>
      </c>
      <c r="G1451" s="18" t="s">
        <v>32</v>
      </c>
      <c r="H1451" s="19">
        <v>2014</v>
      </c>
      <c r="I1451" s="18" t="s">
        <v>122</v>
      </c>
      <c r="J1451" s="101" t="s">
        <v>27</v>
      </c>
      <c r="K1451" s="20">
        <v>3541</v>
      </c>
      <c r="L1451" s="21">
        <v>28.23</v>
      </c>
      <c r="M1451" s="22" t="s">
        <v>30</v>
      </c>
      <c r="N1451" s="23">
        <v>28.23</v>
      </c>
      <c r="O1451" s="24">
        <v>7.9723242022027678E-3</v>
      </c>
      <c r="P1451" s="25" t="str">
        <f>IF(P1452="x","x","")</f>
        <v/>
      </c>
      <c r="Q1451" s="25" t="str">
        <f>IF(Q1452="x","x","")</f>
        <v/>
      </c>
      <c r="R1451" s="25" t="str">
        <f>IF(R1452="x","x","")</f>
        <v/>
      </c>
      <c r="S1451" s="25" t="str">
        <f>IF(S1452="x","x","")</f>
        <v/>
      </c>
      <c r="T1451" s="25" t="s">
        <v>27</v>
      </c>
      <c r="U1451" s="26"/>
      <c r="V1451" s="27"/>
    </row>
    <row r="1452" spans="1:22" ht="16.5" thickBot="1" x14ac:dyDescent="0.3">
      <c r="A1452" s="28" t="str">
        <f>A1451</f>
        <v>Peru</v>
      </c>
      <c r="B1452" s="28" t="str">
        <f>B1451</f>
        <v>Latin America and Caribbean</v>
      </c>
      <c r="C1452" s="28" t="str">
        <f>C1451</f>
        <v>P078813</v>
      </c>
      <c r="D1452" s="28" t="s">
        <v>26</v>
      </c>
      <c r="E1452" s="28" t="s">
        <v>27</v>
      </c>
      <c r="F1452" s="28" t="str">
        <f>F1451</f>
        <v>P078813C1S2</v>
      </c>
      <c r="G1452" s="28" t="s">
        <v>16</v>
      </c>
      <c r="H1452" s="29" t="str">
        <f>H1450&amp;" / "&amp;H1451</f>
        <v>2005 / 2014</v>
      </c>
      <c r="I1452" s="29" t="str">
        <f>I1451</f>
        <v>Gravel Resurfacing</v>
      </c>
      <c r="J1452" s="97" t="str">
        <f>IFERROR(J1451/J1450,"")</f>
        <v/>
      </c>
      <c r="K1452" s="32">
        <f>K1451/K1450</f>
        <v>1.3114814814814815</v>
      </c>
      <c r="L1452" s="32">
        <f>L1451/L1450</f>
        <v>1.4928609201480698</v>
      </c>
      <c r="M1452" s="28"/>
      <c r="N1452" s="32">
        <f>N1451/N1450</f>
        <v>1.4928609201480698</v>
      </c>
      <c r="O1452" s="32">
        <f>O1451/O1450</f>
        <v>1.138301181700025</v>
      </c>
      <c r="P1452" s="33" t="str">
        <f>IF(K1452&lt;50%,"x","")</f>
        <v/>
      </c>
      <c r="Q1452" s="33" t="str">
        <f>IF(K1452&gt;150%,"x","")</f>
        <v/>
      </c>
      <c r="R1452" s="33" t="str">
        <f>IF(O1452&lt;50%,"x","")</f>
        <v/>
      </c>
      <c r="S1452" s="33" t="str">
        <f>IF(O1452&gt;150%,"x","")</f>
        <v/>
      </c>
      <c r="T1452" s="33" t="s">
        <v>27</v>
      </c>
      <c r="U1452" s="34" t="s">
        <v>27</v>
      </c>
      <c r="V1452" s="35" t="s">
        <v>27</v>
      </c>
    </row>
    <row r="1453" spans="1:22" ht="16.5" thickTop="1" x14ac:dyDescent="0.25">
      <c r="A1453" s="18" t="s">
        <v>408</v>
      </c>
      <c r="B1453" s="18" t="s">
        <v>946</v>
      </c>
      <c r="C1453" s="18" t="s">
        <v>855</v>
      </c>
      <c r="D1453" s="18" t="s">
        <v>26</v>
      </c>
      <c r="E1453" s="18" t="s">
        <v>27</v>
      </c>
      <c r="F1453" s="18" t="s">
        <v>856</v>
      </c>
      <c r="G1453" s="18" t="s">
        <v>29</v>
      </c>
      <c r="H1453" s="19">
        <v>2006</v>
      </c>
      <c r="I1453" s="18" t="s">
        <v>122</v>
      </c>
      <c r="J1453" s="101" t="s">
        <v>27</v>
      </c>
      <c r="K1453" s="20">
        <v>16850</v>
      </c>
      <c r="L1453" s="21">
        <v>99.6</v>
      </c>
      <c r="M1453" s="22" t="s">
        <v>30</v>
      </c>
      <c r="N1453" s="23">
        <v>99.6</v>
      </c>
      <c r="O1453" s="24">
        <v>5.9109792284866465E-3</v>
      </c>
      <c r="P1453" s="25" t="str">
        <f>IF(P1455="x","x","")</f>
        <v/>
      </c>
      <c r="Q1453" s="25" t="str">
        <f>IF(Q1455="x","x","")</f>
        <v/>
      </c>
      <c r="R1453" s="25" t="str">
        <f>IF(R1455="x","x","")</f>
        <v/>
      </c>
      <c r="S1453" s="25" t="str">
        <f>IF(S1455="x","x","")</f>
        <v>x</v>
      </c>
      <c r="T1453" s="25" t="s">
        <v>31</v>
      </c>
      <c r="U1453" s="26"/>
      <c r="V1453" s="27"/>
    </row>
    <row r="1454" spans="1:22" x14ac:dyDescent="0.25">
      <c r="A1454" s="18" t="s">
        <v>408</v>
      </c>
      <c r="B1454" s="18" t="s">
        <v>946</v>
      </c>
      <c r="C1454" s="18" t="s">
        <v>855</v>
      </c>
      <c r="D1454" s="18" t="s">
        <v>26</v>
      </c>
      <c r="E1454" s="18" t="s">
        <v>27</v>
      </c>
      <c r="F1454" s="18" t="s">
        <v>856</v>
      </c>
      <c r="G1454" s="18" t="s">
        <v>32</v>
      </c>
      <c r="H1454" s="19">
        <v>2014</v>
      </c>
      <c r="I1454" s="18" t="s">
        <v>122</v>
      </c>
      <c r="J1454" s="101" t="s">
        <v>27</v>
      </c>
      <c r="K1454" s="20">
        <v>13439</v>
      </c>
      <c r="L1454" s="21">
        <v>129.80000000000001</v>
      </c>
      <c r="M1454" s="22" t="s">
        <v>30</v>
      </c>
      <c r="N1454" s="23">
        <v>129.80000000000001</v>
      </c>
      <c r="O1454" s="24">
        <v>9.6584567304114893E-3</v>
      </c>
      <c r="P1454" s="25" t="str">
        <f>IF(P1455="x","x","")</f>
        <v/>
      </c>
      <c r="Q1454" s="25" t="str">
        <f>IF(Q1455="x","x","")</f>
        <v/>
      </c>
      <c r="R1454" s="25" t="str">
        <f>IF(R1455="x","x","")</f>
        <v/>
      </c>
      <c r="S1454" s="25" t="str">
        <f>IF(S1455="x","x","")</f>
        <v>x</v>
      </c>
      <c r="T1454" s="25" t="s">
        <v>31</v>
      </c>
      <c r="U1454" s="26"/>
      <c r="V1454" s="27"/>
    </row>
    <row r="1455" spans="1:22" ht="79.5" thickBot="1" x14ac:dyDescent="0.3">
      <c r="A1455" s="28" t="str">
        <f>A1454</f>
        <v>Peru</v>
      </c>
      <c r="B1455" s="28" t="str">
        <f>B1454</f>
        <v>Latin America and Caribbean</v>
      </c>
      <c r="C1455" s="28" t="str">
        <f>C1454</f>
        <v>P095570</v>
      </c>
      <c r="D1455" s="28" t="s">
        <v>26</v>
      </c>
      <c r="E1455" s="28" t="s">
        <v>27</v>
      </c>
      <c r="F1455" s="28" t="str">
        <f>F1454</f>
        <v>P095570C1</v>
      </c>
      <c r="G1455" s="28" t="s">
        <v>16</v>
      </c>
      <c r="H1455" s="29" t="str">
        <f>H1453&amp;" / "&amp;H1454</f>
        <v>2006 / 2014</v>
      </c>
      <c r="I1455" s="29" t="str">
        <f>I1454</f>
        <v>Gravel Resurfacing</v>
      </c>
      <c r="J1455" s="97" t="str">
        <f>IFERROR(J1454/J1453,"")</f>
        <v/>
      </c>
      <c r="K1455" s="32">
        <f>K1454/K1453</f>
        <v>0.79756676557863504</v>
      </c>
      <c r="L1455" s="32">
        <f>L1454/L1453</f>
        <v>1.3032128514056227</v>
      </c>
      <c r="M1455" s="28"/>
      <c r="N1455" s="32">
        <f>N1454/N1453</f>
        <v>1.3032128514056227</v>
      </c>
      <c r="O1455" s="32">
        <f>O1454/O1453</f>
        <v>1.6339859026850763</v>
      </c>
      <c r="P1455" s="33" t="str">
        <f>IF(K1455&lt;50%,"x","")</f>
        <v/>
      </c>
      <c r="Q1455" s="33" t="str">
        <f>IF(K1455&gt;150%,"x","")</f>
        <v/>
      </c>
      <c r="R1455" s="33" t="str">
        <f>IF(O1455&lt;50%,"x","")</f>
        <v/>
      </c>
      <c r="S1455" s="33" t="str">
        <f>IF(O1455&gt;150%,"x","")</f>
        <v>x</v>
      </c>
      <c r="T1455" s="33" t="s">
        <v>31</v>
      </c>
      <c r="U1455" s="34" t="s">
        <v>1041</v>
      </c>
      <c r="V1455" s="35" t="s">
        <v>1086</v>
      </c>
    </row>
    <row r="1456" spans="1:22" ht="16.5" thickTop="1" x14ac:dyDescent="0.25">
      <c r="A1456" s="18" t="s">
        <v>408</v>
      </c>
      <c r="B1456" s="18" t="s">
        <v>946</v>
      </c>
      <c r="C1456" s="18" t="s">
        <v>855</v>
      </c>
      <c r="D1456" s="18" t="s">
        <v>26</v>
      </c>
      <c r="E1456" s="18" t="s">
        <v>36</v>
      </c>
      <c r="F1456" s="18" t="s">
        <v>857</v>
      </c>
      <c r="G1456" s="18" t="s">
        <v>29</v>
      </c>
      <c r="H1456" s="19">
        <v>2006</v>
      </c>
      <c r="I1456" s="18" t="s">
        <v>359</v>
      </c>
      <c r="J1456" s="101" t="s">
        <v>27</v>
      </c>
      <c r="K1456" s="20">
        <v>3000</v>
      </c>
      <c r="L1456" s="21">
        <v>47.7</v>
      </c>
      <c r="M1456" s="22" t="s">
        <v>30</v>
      </c>
      <c r="N1456" s="23">
        <v>47.7</v>
      </c>
      <c r="O1456" s="24">
        <v>1.5900000000000001E-2</v>
      </c>
      <c r="P1456" s="25" t="str">
        <f>IF(P1458="x","x","")</f>
        <v/>
      </c>
      <c r="Q1456" s="25" t="str">
        <f>IF(Q1458="x","x","")</f>
        <v/>
      </c>
      <c r="R1456" s="25" t="str">
        <f>IF(R1458="x","x","")</f>
        <v/>
      </c>
      <c r="S1456" s="25" t="str">
        <f>IF(S1458="x","x","")</f>
        <v>x</v>
      </c>
      <c r="T1456" s="25" t="s">
        <v>31</v>
      </c>
      <c r="U1456" s="26"/>
      <c r="V1456" s="27"/>
    </row>
    <row r="1457" spans="1:22" x14ac:dyDescent="0.25">
      <c r="A1457" s="18" t="s">
        <v>408</v>
      </c>
      <c r="B1457" s="18" t="s">
        <v>946</v>
      </c>
      <c r="C1457" s="18" t="s">
        <v>855</v>
      </c>
      <c r="D1457" s="18" t="s">
        <v>26</v>
      </c>
      <c r="E1457" s="18" t="s">
        <v>36</v>
      </c>
      <c r="F1457" s="18" t="s">
        <v>857</v>
      </c>
      <c r="G1457" s="18" t="s">
        <v>32</v>
      </c>
      <c r="H1457" s="19">
        <v>2014</v>
      </c>
      <c r="I1457" s="18" t="s">
        <v>359</v>
      </c>
      <c r="J1457" s="101" t="s">
        <v>27</v>
      </c>
      <c r="K1457" s="20">
        <v>3277</v>
      </c>
      <c r="L1457" s="21">
        <v>81.374046000000007</v>
      </c>
      <c r="M1457" s="22" t="s">
        <v>30</v>
      </c>
      <c r="N1457" s="23">
        <v>81.374046000000007</v>
      </c>
      <c r="O1457" s="24">
        <v>2.483187244430882E-2</v>
      </c>
      <c r="P1457" s="25" t="str">
        <f>IF(P1458="x","x","")</f>
        <v/>
      </c>
      <c r="Q1457" s="25" t="str">
        <f>IF(Q1458="x","x","")</f>
        <v/>
      </c>
      <c r="R1457" s="25" t="str">
        <f>IF(R1458="x","x","")</f>
        <v/>
      </c>
      <c r="S1457" s="25" t="str">
        <f>IF(S1458="x","x","")</f>
        <v>x</v>
      </c>
      <c r="T1457" s="25" t="s">
        <v>31</v>
      </c>
      <c r="U1457" s="26"/>
      <c r="V1457" s="27"/>
    </row>
    <row r="1458" spans="1:22" ht="79.5" thickBot="1" x14ac:dyDescent="0.3">
      <c r="A1458" s="28" t="str">
        <f>A1457</f>
        <v>Peru</v>
      </c>
      <c r="B1458" s="28" t="str">
        <f>B1457</f>
        <v>Latin America and Caribbean</v>
      </c>
      <c r="C1458" s="28" t="str">
        <f>C1457</f>
        <v>P095570</v>
      </c>
      <c r="D1458" s="28" t="s">
        <v>26</v>
      </c>
      <c r="E1458" s="28" t="s">
        <v>27</v>
      </c>
      <c r="F1458" s="28" t="str">
        <f>F1457</f>
        <v>P095570C1S1</v>
      </c>
      <c r="G1458" s="28" t="s">
        <v>16</v>
      </c>
      <c r="H1458" s="29" t="str">
        <f>H1456&amp;" / "&amp;H1457</f>
        <v>2006 / 2014</v>
      </c>
      <c r="I1458" s="29" t="str">
        <f>I1457</f>
        <v>Reconstruction</v>
      </c>
      <c r="J1458" s="97" t="str">
        <f>IFERROR(J1457/J1456,"")</f>
        <v/>
      </c>
      <c r="K1458" s="32">
        <f>K1457/K1456</f>
        <v>1.0923333333333334</v>
      </c>
      <c r="L1458" s="32">
        <f>L1457/L1456</f>
        <v>1.7059548427672957</v>
      </c>
      <c r="M1458" s="28"/>
      <c r="N1458" s="32">
        <f>N1457/N1456</f>
        <v>1.7059548427672957</v>
      </c>
      <c r="O1458" s="32">
        <f>O1457/O1456</f>
        <v>1.5617529839187936</v>
      </c>
      <c r="P1458" s="33" t="str">
        <f>IF(K1458&lt;50%,"x","")</f>
        <v/>
      </c>
      <c r="Q1458" s="33" t="str">
        <f>IF(K1458&gt;150%,"x","")</f>
        <v/>
      </c>
      <c r="R1458" s="33" t="str">
        <f>IF(O1458&lt;50%,"x","")</f>
        <v/>
      </c>
      <c r="S1458" s="33" t="str">
        <f>IF(O1458&gt;150%,"x","")</f>
        <v>x</v>
      </c>
      <c r="T1458" s="33" t="s">
        <v>31</v>
      </c>
      <c r="U1458" s="34" t="s">
        <v>1041</v>
      </c>
      <c r="V1458" s="35" t="s">
        <v>1086</v>
      </c>
    </row>
    <row r="1459" spans="1:22" ht="16.5" thickTop="1" x14ac:dyDescent="0.25">
      <c r="A1459" s="18" t="s">
        <v>408</v>
      </c>
      <c r="B1459" s="18" t="s">
        <v>946</v>
      </c>
      <c r="C1459" s="18" t="s">
        <v>855</v>
      </c>
      <c r="D1459" s="18" t="s">
        <v>26</v>
      </c>
      <c r="E1459" s="18" t="s">
        <v>40</v>
      </c>
      <c r="F1459" s="18" t="s">
        <v>858</v>
      </c>
      <c r="G1459" s="18" t="s">
        <v>29</v>
      </c>
      <c r="H1459" s="19">
        <v>2006</v>
      </c>
      <c r="I1459" s="18" t="s">
        <v>122</v>
      </c>
      <c r="J1459" s="101" t="s">
        <v>27</v>
      </c>
      <c r="K1459" s="20">
        <v>11200</v>
      </c>
      <c r="L1459" s="21">
        <v>31.4</v>
      </c>
      <c r="M1459" s="22" t="s">
        <v>30</v>
      </c>
      <c r="N1459" s="23">
        <v>31.4</v>
      </c>
      <c r="O1459" s="24">
        <v>2.8035714285714283E-3</v>
      </c>
      <c r="P1459" s="25" t="str">
        <f>IF(P1461="x","x","")</f>
        <v/>
      </c>
      <c r="Q1459" s="25" t="str">
        <f>IF(Q1461="x","x","")</f>
        <v/>
      </c>
      <c r="R1459" s="25" t="str">
        <f>IF(R1461="x","x","")</f>
        <v/>
      </c>
      <c r="S1459" s="25" t="str">
        <f>IF(S1461="x","x","")</f>
        <v>x</v>
      </c>
      <c r="T1459" s="25" t="s">
        <v>31</v>
      </c>
      <c r="U1459" s="26"/>
      <c r="V1459" s="27"/>
    </row>
    <row r="1460" spans="1:22" x14ac:dyDescent="0.25">
      <c r="A1460" s="18" t="s">
        <v>408</v>
      </c>
      <c r="B1460" s="18" t="s">
        <v>946</v>
      </c>
      <c r="C1460" s="18" t="s">
        <v>855</v>
      </c>
      <c r="D1460" s="18" t="s">
        <v>26</v>
      </c>
      <c r="E1460" s="18" t="s">
        <v>40</v>
      </c>
      <c r="F1460" s="18" t="s">
        <v>858</v>
      </c>
      <c r="G1460" s="18" t="s">
        <v>32</v>
      </c>
      <c r="H1460" s="19">
        <v>2014</v>
      </c>
      <c r="I1460" s="18" t="s">
        <v>122</v>
      </c>
      <c r="J1460" s="101" t="s">
        <v>27</v>
      </c>
      <c r="K1460" s="20">
        <v>7806</v>
      </c>
      <c r="L1460" s="21">
        <v>40.002380000000002</v>
      </c>
      <c r="M1460" s="22" t="s">
        <v>30</v>
      </c>
      <c r="N1460" s="23">
        <v>40.002380000000002</v>
      </c>
      <c r="O1460" s="24">
        <v>5.1245682808096337E-3</v>
      </c>
      <c r="P1460" s="25" t="str">
        <f>IF(P1461="x","x","")</f>
        <v/>
      </c>
      <c r="Q1460" s="25" t="str">
        <f>IF(Q1461="x","x","")</f>
        <v/>
      </c>
      <c r="R1460" s="25" t="str">
        <f>IF(R1461="x","x","")</f>
        <v/>
      </c>
      <c r="S1460" s="25" t="str">
        <f>IF(S1461="x","x","")</f>
        <v>x</v>
      </c>
      <c r="T1460" s="25" t="s">
        <v>31</v>
      </c>
      <c r="U1460" s="26"/>
      <c r="V1460" s="27"/>
    </row>
    <row r="1461" spans="1:22" ht="79.5" thickBot="1" x14ac:dyDescent="0.3">
      <c r="A1461" s="28" t="str">
        <f>A1460</f>
        <v>Peru</v>
      </c>
      <c r="B1461" s="28" t="str">
        <f>B1460</f>
        <v>Latin America and Caribbean</v>
      </c>
      <c r="C1461" s="28" t="str">
        <f>C1460</f>
        <v>P095570</v>
      </c>
      <c r="D1461" s="28" t="s">
        <v>26</v>
      </c>
      <c r="E1461" s="28" t="s">
        <v>27</v>
      </c>
      <c r="F1461" s="28" t="str">
        <f>F1460</f>
        <v>P095570C1S2</v>
      </c>
      <c r="G1461" s="28" t="s">
        <v>16</v>
      </c>
      <c r="H1461" s="29" t="str">
        <f>H1459&amp;" / "&amp;H1460</f>
        <v>2006 / 2014</v>
      </c>
      <c r="I1461" s="29" t="str">
        <f>I1460</f>
        <v>Gravel Resurfacing</v>
      </c>
      <c r="J1461" s="97" t="str">
        <f>IFERROR(J1460/J1459,"")</f>
        <v/>
      </c>
      <c r="K1461" s="32">
        <f>K1460/K1459</f>
        <v>0.6969642857142857</v>
      </c>
      <c r="L1461" s="32">
        <f>L1460/L1459</f>
        <v>1.2739611464968155</v>
      </c>
      <c r="M1461" s="28"/>
      <c r="N1461" s="32">
        <f>N1460/N1459</f>
        <v>1.2739611464968155</v>
      </c>
      <c r="O1461" s="32">
        <f>O1460/O1459</f>
        <v>1.82787148869643</v>
      </c>
      <c r="P1461" s="33" t="str">
        <f>IF(K1461&lt;50%,"x","")</f>
        <v/>
      </c>
      <c r="Q1461" s="33" t="str">
        <f>IF(K1461&gt;150%,"x","")</f>
        <v/>
      </c>
      <c r="R1461" s="33" t="str">
        <f>IF(O1461&lt;50%,"x","")</f>
        <v/>
      </c>
      <c r="S1461" s="33" t="str">
        <f>IF(O1461&gt;150%,"x","")</f>
        <v>x</v>
      </c>
      <c r="T1461" s="33" t="s">
        <v>31</v>
      </c>
      <c r="U1461" s="34" t="s">
        <v>1041</v>
      </c>
      <c r="V1461" s="35" t="s">
        <v>1086</v>
      </c>
    </row>
    <row r="1462" spans="1:22" ht="16.5" thickTop="1" x14ac:dyDescent="0.25">
      <c r="A1462" s="18" t="s">
        <v>408</v>
      </c>
      <c r="B1462" s="18" t="s">
        <v>946</v>
      </c>
      <c r="C1462" s="18" t="s">
        <v>855</v>
      </c>
      <c r="D1462" s="18" t="s">
        <v>26</v>
      </c>
      <c r="E1462" s="18" t="s">
        <v>69</v>
      </c>
      <c r="F1462" s="18" t="s">
        <v>859</v>
      </c>
      <c r="G1462" s="18" t="s">
        <v>29</v>
      </c>
      <c r="H1462" s="19">
        <v>2006</v>
      </c>
      <c r="I1462" s="18" t="s">
        <v>359</v>
      </c>
      <c r="J1462" s="101" t="s">
        <v>27</v>
      </c>
      <c r="K1462" s="20">
        <v>2650</v>
      </c>
      <c r="L1462" s="21">
        <v>5</v>
      </c>
      <c r="M1462" s="22" t="s">
        <v>30</v>
      </c>
      <c r="N1462" s="23">
        <v>5</v>
      </c>
      <c r="O1462" s="24">
        <v>1.8867924528301887E-3</v>
      </c>
      <c r="P1462" s="25" t="str">
        <f>IF(P1464="x","x","")</f>
        <v/>
      </c>
      <c r="Q1462" s="25" t="str">
        <f>IF(Q1464="x","x","")</f>
        <v/>
      </c>
      <c r="R1462" s="25" t="str">
        <f>IF(R1464="x","x","")</f>
        <v/>
      </c>
      <c r="S1462" s="25" t="str">
        <f>IF(S1464="x","x","")</f>
        <v/>
      </c>
      <c r="T1462" s="25" t="s">
        <v>27</v>
      </c>
      <c r="U1462" s="26"/>
      <c r="V1462" s="27"/>
    </row>
    <row r="1463" spans="1:22" x14ac:dyDescent="0.25">
      <c r="A1463" s="18" t="s">
        <v>408</v>
      </c>
      <c r="B1463" s="18" t="s">
        <v>946</v>
      </c>
      <c r="C1463" s="18" t="s">
        <v>855</v>
      </c>
      <c r="D1463" s="18" t="s">
        <v>26</v>
      </c>
      <c r="E1463" s="18" t="s">
        <v>69</v>
      </c>
      <c r="F1463" s="18" t="s">
        <v>859</v>
      </c>
      <c r="G1463" s="18" t="s">
        <v>32</v>
      </c>
      <c r="H1463" s="19">
        <v>2014</v>
      </c>
      <c r="I1463" s="18" t="s">
        <v>359</v>
      </c>
      <c r="J1463" s="101" t="s">
        <v>27</v>
      </c>
      <c r="K1463" s="20">
        <v>2356</v>
      </c>
      <c r="L1463" s="21">
        <v>6.3991199999999999</v>
      </c>
      <c r="M1463" s="22" t="s">
        <v>30</v>
      </c>
      <c r="N1463" s="23">
        <v>6.3991199999999999</v>
      </c>
      <c r="O1463" s="24">
        <v>2.7160950764006792E-3</v>
      </c>
      <c r="P1463" s="25" t="str">
        <f>IF(P1464="x","x","")</f>
        <v/>
      </c>
      <c r="Q1463" s="25" t="str">
        <f>IF(Q1464="x","x","")</f>
        <v/>
      </c>
      <c r="R1463" s="25" t="str">
        <f>IF(R1464="x","x","")</f>
        <v/>
      </c>
      <c r="S1463" s="25" t="str">
        <f>IF(S1464="x","x","")</f>
        <v/>
      </c>
      <c r="T1463" s="25" t="s">
        <v>27</v>
      </c>
      <c r="U1463" s="26"/>
      <c r="V1463" s="27"/>
    </row>
    <row r="1464" spans="1:22" ht="16.5" thickBot="1" x14ac:dyDescent="0.3">
      <c r="A1464" s="28" t="str">
        <f>A1463</f>
        <v>Peru</v>
      </c>
      <c r="B1464" s="28" t="str">
        <f>B1463</f>
        <v>Latin America and Caribbean</v>
      </c>
      <c r="C1464" s="28" t="str">
        <f>C1463</f>
        <v>P095570</v>
      </c>
      <c r="D1464" s="28" t="s">
        <v>26</v>
      </c>
      <c r="E1464" s="28" t="s">
        <v>27</v>
      </c>
      <c r="F1464" s="28" t="str">
        <f>F1463</f>
        <v>P095570C1S3</v>
      </c>
      <c r="G1464" s="28" t="s">
        <v>16</v>
      </c>
      <c r="H1464" s="29" t="str">
        <f>H1462&amp;" / "&amp;H1463</f>
        <v>2006 / 2014</v>
      </c>
      <c r="I1464" s="29" t="str">
        <f>I1463</f>
        <v>Reconstruction</v>
      </c>
      <c r="J1464" s="97" t="str">
        <f>IFERROR(J1463/J1462,"")</f>
        <v/>
      </c>
      <c r="K1464" s="32">
        <f>K1463/K1462</f>
        <v>0.88905660377358486</v>
      </c>
      <c r="L1464" s="32">
        <f>L1463/L1462</f>
        <v>1.2798240000000001</v>
      </c>
      <c r="M1464" s="28"/>
      <c r="N1464" s="32">
        <f>N1463/N1462</f>
        <v>1.2798240000000001</v>
      </c>
      <c r="O1464" s="32">
        <f>O1463/O1462</f>
        <v>1.43953039049236</v>
      </c>
      <c r="P1464" s="33" t="str">
        <f>IF(K1464&lt;50%,"x","")</f>
        <v/>
      </c>
      <c r="Q1464" s="33" t="str">
        <f>IF(K1464&gt;150%,"x","")</f>
        <v/>
      </c>
      <c r="R1464" s="33" t="str">
        <f>IF(O1464&lt;50%,"x","")</f>
        <v/>
      </c>
      <c r="S1464" s="33" t="str">
        <f>IF(O1464&gt;150%,"x","")</f>
        <v/>
      </c>
      <c r="T1464" s="33" t="s">
        <v>27</v>
      </c>
      <c r="U1464" s="34" t="s">
        <v>27</v>
      </c>
      <c r="V1464" s="35" t="s">
        <v>27</v>
      </c>
    </row>
    <row r="1465" spans="1:22" ht="16.5" thickTop="1" x14ac:dyDescent="0.25">
      <c r="A1465" s="18" t="s">
        <v>384</v>
      </c>
      <c r="B1465" s="18" t="s">
        <v>945</v>
      </c>
      <c r="C1465" s="18" t="s">
        <v>385</v>
      </c>
      <c r="D1465" s="18" t="s">
        <v>26</v>
      </c>
      <c r="E1465" s="18" t="s">
        <v>36</v>
      </c>
      <c r="F1465" s="18" t="s">
        <v>386</v>
      </c>
      <c r="G1465" s="18" t="s">
        <v>29</v>
      </c>
      <c r="H1465" s="19">
        <v>2000</v>
      </c>
      <c r="I1465" s="18" t="s">
        <v>387</v>
      </c>
      <c r="J1465" s="101" t="s">
        <v>27</v>
      </c>
      <c r="K1465" s="20">
        <v>85</v>
      </c>
      <c r="L1465" s="21">
        <v>27.9</v>
      </c>
      <c r="M1465" s="22" t="s">
        <v>30</v>
      </c>
      <c r="N1465" s="23">
        <v>27.9</v>
      </c>
      <c r="O1465" s="24">
        <v>0.32823529411764707</v>
      </c>
      <c r="P1465" s="25" t="str">
        <f>IF(P1467="x","x","")</f>
        <v/>
      </c>
      <c r="Q1465" s="25" t="str">
        <f>IF(Q1467="x","x","")</f>
        <v/>
      </c>
      <c r="R1465" s="25" t="str">
        <f>IF(R1467="x","x","")</f>
        <v/>
      </c>
      <c r="S1465" s="25" t="str">
        <f>IF(S1467="x","x","")</f>
        <v/>
      </c>
      <c r="T1465" s="25" t="s">
        <v>27</v>
      </c>
      <c r="U1465" s="26"/>
      <c r="V1465" s="27"/>
    </row>
    <row r="1466" spans="1:22" x14ac:dyDescent="0.25">
      <c r="A1466" s="18" t="s">
        <v>384</v>
      </c>
      <c r="B1466" s="18" t="s">
        <v>945</v>
      </c>
      <c r="C1466" s="18" t="s">
        <v>385</v>
      </c>
      <c r="D1466" s="18" t="s">
        <v>26</v>
      </c>
      <c r="E1466" s="18" t="s">
        <v>36</v>
      </c>
      <c r="F1466" s="18" t="s">
        <v>386</v>
      </c>
      <c r="G1466" s="18" t="s">
        <v>32</v>
      </c>
      <c r="H1466" s="19">
        <v>2008</v>
      </c>
      <c r="I1466" s="18" t="s">
        <v>387</v>
      </c>
      <c r="J1466" s="101" t="s">
        <v>27</v>
      </c>
      <c r="K1466" s="20">
        <v>84.8</v>
      </c>
      <c r="L1466" s="21">
        <v>1038</v>
      </c>
      <c r="M1466" s="22" t="s">
        <v>388</v>
      </c>
      <c r="N1466" s="23">
        <v>23.299663299663301</v>
      </c>
      <c r="O1466" s="24">
        <v>0.27476018042055783</v>
      </c>
      <c r="P1466" s="25" t="str">
        <f>IF(P1467="x","x","")</f>
        <v/>
      </c>
      <c r="Q1466" s="25" t="str">
        <f>IF(Q1467="x","x","")</f>
        <v/>
      </c>
      <c r="R1466" s="25" t="str">
        <f>IF(R1467="x","x","")</f>
        <v/>
      </c>
      <c r="S1466" s="25" t="str">
        <f>IF(S1467="x","x","")</f>
        <v/>
      </c>
      <c r="T1466" s="25" t="s">
        <v>27</v>
      </c>
      <c r="U1466" s="26"/>
      <c r="V1466" s="27"/>
    </row>
    <row r="1467" spans="1:22" ht="16.5" thickBot="1" x14ac:dyDescent="0.3">
      <c r="A1467" s="28" t="str">
        <f>A1466</f>
        <v>Philippines</v>
      </c>
      <c r="B1467" s="28" t="str">
        <f>B1466</f>
        <v>East Asia and Pacific</v>
      </c>
      <c r="C1467" s="28" t="str">
        <f>C1466</f>
        <v>P039019</v>
      </c>
      <c r="D1467" s="28" t="s">
        <v>26</v>
      </c>
      <c r="E1467" s="28" t="s">
        <v>27</v>
      </c>
      <c r="F1467" s="28" t="str">
        <f>F1466</f>
        <v>P039019C1S1</v>
      </c>
      <c r="G1467" s="28" t="s">
        <v>16</v>
      </c>
      <c r="H1467" s="29" t="str">
        <f>H1465&amp;" / "&amp;H1466</f>
        <v>2000 / 2008</v>
      </c>
      <c r="I1467" s="29" t="str">
        <f>I1466</f>
        <v>Upgrading</v>
      </c>
      <c r="J1467" s="97" t="str">
        <f>IFERROR(J1466/J1465,"")</f>
        <v/>
      </c>
      <c r="K1467" s="32">
        <f>K1466/K1465</f>
        <v>0.99764705882352933</v>
      </c>
      <c r="L1467" s="32">
        <f>L1466/L1465</f>
        <v>37.204301075268816</v>
      </c>
      <c r="M1467" s="28"/>
      <c r="N1467" s="32">
        <f>N1466/N1465</f>
        <v>0.83511337991624734</v>
      </c>
      <c r="O1467" s="32">
        <f>O1466/O1465</f>
        <v>0.83708298694435179</v>
      </c>
      <c r="P1467" s="33" t="str">
        <f>IF(K1467&lt;50%,"x","")</f>
        <v/>
      </c>
      <c r="Q1467" s="33" t="str">
        <f>IF(K1467&gt;150%,"x","")</f>
        <v/>
      </c>
      <c r="R1467" s="33" t="str">
        <f>IF(O1467&lt;50%,"x","")</f>
        <v/>
      </c>
      <c r="S1467" s="33" t="str">
        <f>IF(O1467&gt;150%,"x","")</f>
        <v/>
      </c>
      <c r="T1467" s="33" t="s">
        <v>27</v>
      </c>
      <c r="U1467" s="34" t="s">
        <v>27</v>
      </c>
      <c r="V1467" s="35" t="s">
        <v>27</v>
      </c>
    </row>
    <row r="1468" spans="1:22" ht="16.5" thickTop="1" x14ac:dyDescent="0.25">
      <c r="A1468" s="18" t="s">
        <v>384</v>
      </c>
      <c r="B1468" s="18" t="s">
        <v>945</v>
      </c>
      <c r="C1468" s="18" t="s">
        <v>385</v>
      </c>
      <c r="D1468" s="18" t="s">
        <v>26</v>
      </c>
      <c r="E1468" s="18" t="s">
        <v>40</v>
      </c>
      <c r="F1468" s="18" t="s">
        <v>389</v>
      </c>
      <c r="G1468" s="18" t="s">
        <v>29</v>
      </c>
      <c r="H1468" s="19">
        <v>2000</v>
      </c>
      <c r="I1468" s="18" t="s">
        <v>387</v>
      </c>
      <c r="J1468" s="101" t="s">
        <v>27</v>
      </c>
      <c r="K1468" s="20">
        <v>43</v>
      </c>
      <c r="L1468" s="21">
        <v>14.8</v>
      </c>
      <c r="M1468" s="22" t="s">
        <v>30</v>
      </c>
      <c r="N1468" s="23">
        <v>14.8</v>
      </c>
      <c r="O1468" s="24">
        <v>0.34418604651162793</v>
      </c>
      <c r="P1468" s="25" t="str">
        <f>IF(P1470="x","x","")</f>
        <v/>
      </c>
      <c r="Q1468" s="25" t="str">
        <f>IF(Q1470="x","x","")</f>
        <v/>
      </c>
      <c r="R1468" s="25" t="str">
        <f>IF(R1470="x","x","")</f>
        <v/>
      </c>
      <c r="S1468" s="25" t="str">
        <f>IF(S1470="x","x","")</f>
        <v/>
      </c>
      <c r="T1468" s="25" t="s">
        <v>27</v>
      </c>
      <c r="U1468" s="26"/>
      <c r="V1468" s="27"/>
    </row>
    <row r="1469" spans="1:22" x14ac:dyDescent="0.25">
      <c r="A1469" s="18" t="s">
        <v>384</v>
      </c>
      <c r="B1469" s="18" t="s">
        <v>945</v>
      </c>
      <c r="C1469" s="18" t="s">
        <v>385</v>
      </c>
      <c r="D1469" s="18" t="s">
        <v>26</v>
      </c>
      <c r="E1469" s="18" t="s">
        <v>40</v>
      </c>
      <c r="F1469" s="18" t="s">
        <v>389</v>
      </c>
      <c r="G1469" s="18" t="s">
        <v>32</v>
      </c>
      <c r="H1469" s="19">
        <v>2008</v>
      </c>
      <c r="I1469" s="18" t="s">
        <v>387</v>
      </c>
      <c r="J1469" s="101" t="s">
        <v>27</v>
      </c>
      <c r="K1469" s="20">
        <v>48.3</v>
      </c>
      <c r="L1469" s="21">
        <v>1000</v>
      </c>
      <c r="M1469" s="22" t="s">
        <v>388</v>
      </c>
      <c r="N1469" s="23">
        <v>22.446689113355781</v>
      </c>
      <c r="O1469" s="24">
        <v>0.46473476425167248</v>
      </c>
      <c r="P1469" s="25" t="str">
        <f>IF(P1470="x","x","")</f>
        <v/>
      </c>
      <c r="Q1469" s="25" t="str">
        <f>IF(Q1470="x","x","")</f>
        <v/>
      </c>
      <c r="R1469" s="25" t="str">
        <f>IF(R1470="x","x","")</f>
        <v/>
      </c>
      <c r="S1469" s="25" t="str">
        <f>IF(S1470="x","x","")</f>
        <v/>
      </c>
      <c r="T1469" s="25" t="s">
        <v>27</v>
      </c>
      <c r="U1469" s="26"/>
      <c r="V1469" s="27"/>
    </row>
    <row r="1470" spans="1:22" ht="16.5" thickBot="1" x14ac:dyDescent="0.3">
      <c r="A1470" s="28" t="str">
        <f>A1469</f>
        <v>Philippines</v>
      </c>
      <c r="B1470" s="28" t="str">
        <f>B1469</f>
        <v>East Asia and Pacific</v>
      </c>
      <c r="C1470" s="28" t="str">
        <f>C1469</f>
        <v>P039019</v>
      </c>
      <c r="D1470" s="28" t="s">
        <v>26</v>
      </c>
      <c r="E1470" s="28" t="s">
        <v>27</v>
      </c>
      <c r="F1470" s="28" t="str">
        <f>F1469</f>
        <v>P039019C1S2</v>
      </c>
      <c r="G1470" s="28" t="s">
        <v>16</v>
      </c>
      <c r="H1470" s="29" t="str">
        <f>H1468&amp;" / "&amp;H1469</f>
        <v>2000 / 2008</v>
      </c>
      <c r="I1470" s="29" t="str">
        <f>I1469</f>
        <v>Upgrading</v>
      </c>
      <c r="J1470" s="97" t="str">
        <f>IFERROR(J1469/J1468,"")</f>
        <v/>
      </c>
      <c r="K1470" s="32">
        <f>K1469/K1468</f>
        <v>1.1232558139534883</v>
      </c>
      <c r="L1470" s="32">
        <f>L1469/L1468</f>
        <v>67.567567567567565</v>
      </c>
      <c r="M1470" s="28"/>
      <c r="N1470" s="32">
        <f>N1469/N1468</f>
        <v>1.5166681833348501</v>
      </c>
      <c r="O1470" s="32">
        <f>O1469/O1468</f>
        <v>1.350242896136616</v>
      </c>
      <c r="P1470" s="33" t="str">
        <f>IF(K1470&lt;50%,"x","")</f>
        <v/>
      </c>
      <c r="Q1470" s="33" t="str">
        <f>IF(K1470&gt;150%,"x","")</f>
        <v/>
      </c>
      <c r="R1470" s="33" t="str">
        <f>IF(O1470&lt;50%,"x","")</f>
        <v/>
      </c>
      <c r="S1470" s="33" t="str">
        <f>IF(O1470&gt;150%,"x","")</f>
        <v/>
      </c>
      <c r="T1470" s="33" t="s">
        <v>27</v>
      </c>
      <c r="U1470" s="34" t="s">
        <v>27</v>
      </c>
      <c r="V1470" s="35" t="s">
        <v>27</v>
      </c>
    </row>
    <row r="1471" spans="1:22" ht="16.5" thickTop="1" x14ac:dyDescent="0.25">
      <c r="A1471" s="18" t="s">
        <v>384</v>
      </c>
      <c r="B1471" s="18" t="s">
        <v>945</v>
      </c>
      <c r="C1471" s="18" t="s">
        <v>385</v>
      </c>
      <c r="D1471" s="18" t="s">
        <v>26</v>
      </c>
      <c r="E1471" s="18" t="s">
        <v>69</v>
      </c>
      <c r="F1471" s="18" t="s">
        <v>390</v>
      </c>
      <c r="G1471" s="18" t="s">
        <v>29</v>
      </c>
      <c r="H1471" s="19">
        <v>2000</v>
      </c>
      <c r="I1471" s="18" t="s">
        <v>387</v>
      </c>
      <c r="J1471" s="101" t="s">
        <v>27</v>
      </c>
      <c r="K1471" s="20">
        <v>46</v>
      </c>
      <c r="L1471" s="21">
        <v>9.8800000000000008</v>
      </c>
      <c r="M1471" s="22" t="s">
        <v>30</v>
      </c>
      <c r="N1471" s="23">
        <v>9.8800000000000008</v>
      </c>
      <c r="O1471" s="24">
        <v>0.21478260869565219</v>
      </c>
      <c r="P1471" s="25" t="str">
        <f>IF(P1473="x","x","")</f>
        <v/>
      </c>
      <c r="Q1471" s="25" t="str">
        <f>IF(Q1473="x","x","")</f>
        <v/>
      </c>
      <c r="R1471" s="25" t="str">
        <f>IF(R1473="x","x","")</f>
        <v/>
      </c>
      <c r="S1471" s="25" t="str">
        <f>IF(S1473="x","x","")</f>
        <v/>
      </c>
      <c r="T1471" s="25" t="s">
        <v>27</v>
      </c>
      <c r="U1471" s="26"/>
      <c r="V1471" s="27"/>
    </row>
    <row r="1472" spans="1:22" x14ac:dyDescent="0.25">
      <c r="A1472" s="18" t="s">
        <v>384</v>
      </c>
      <c r="B1472" s="18" t="s">
        <v>945</v>
      </c>
      <c r="C1472" s="18" t="s">
        <v>385</v>
      </c>
      <c r="D1472" s="18" t="s">
        <v>26</v>
      </c>
      <c r="E1472" s="18" t="s">
        <v>69</v>
      </c>
      <c r="F1472" s="18" t="s">
        <v>390</v>
      </c>
      <c r="G1472" s="18" t="s">
        <v>32</v>
      </c>
      <c r="H1472" s="19">
        <v>2008</v>
      </c>
      <c r="I1472" s="18" t="s">
        <v>387</v>
      </c>
      <c r="J1472" s="101" t="s">
        <v>27</v>
      </c>
      <c r="K1472" s="20">
        <v>46.2</v>
      </c>
      <c r="L1472" s="21">
        <v>364</v>
      </c>
      <c r="M1472" s="22" t="s">
        <v>388</v>
      </c>
      <c r="N1472" s="23">
        <v>8.170594837261504</v>
      </c>
      <c r="O1472" s="24">
        <v>0.17685270210522736</v>
      </c>
      <c r="P1472" s="25" t="str">
        <f>IF(P1473="x","x","")</f>
        <v/>
      </c>
      <c r="Q1472" s="25" t="str">
        <f>IF(Q1473="x","x","")</f>
        <v/>
      </c>
      <c r="R1472" s="25" t="str">
        <f>IF(R1473="x","x","")</f>
        <v/>
      </c>
      <c r="S1472" s="25" t="str">
        <f>IF(S1473="x","x","")</f>
        <v/>
      </c>
      <c r="T1472" s="25" t="s">
        <v>27</v>
      </c>
      <c r="U1472" s="26"/>
      <c r="V1472" s="27"/>
    </row>
    <row r="1473" spans="1:22" ht="16.5" thickBot="1" x14ac:dyDescent="0.3">
      <c r="A1473" s="28" t="str">
        <f>A1472</f>
        <v>Philippines</v>
      </c>
      <c r="B1473" s="28" t="str">
        <f>B1472</f>
        <v>East Asia and Pacific</v>
      </c>
      <c r="C1473" s="28" t="str">
        <f>C1472</f>
        <v>P039019</v>
      </c>
      <c r="D1473" s="28" t="s">
        <v>26</v>
      </c>
      <c r="E1473" s="28" t="s">
        <v>27</v>
      </c>
      <c r="F1473" s="28" t="str">
        <f>F1472</f>
        <v>P039019C1S3</v>
      </c>
      <c r="G1473" s="28" t="s">
        <v>16</v>
      </c>
      <c r="H1473" s="29" t="str">
        <f>H1471&amp;" / "&amp;H1472</f>
        <v>2000 / 2008</v>
      </c>
      <c r="I1473" s="29" t="str">
        <f>I1472</f>
        <v>Upgrading</v>
      </c>
      <c r="J1473" s="97" t="str">
        <f>IFERROR(J1472/J1471,"")</f>
        <v/>
      </c>
      <c r="K1473" s="32">
        <f>K1472/K1471</f>
        <v>1.0043478260869565</v>
      </c>
      <c r="L1473" s="32">
        <f>L1472/L1471</f>
        <v>36.84210526315789</v>
      </c>
      <c r="M1473" s="28"/>
      <c r="N1473" s="32">
        <f>N1472/N1471</f>
        <v>0.82698328312363389</v>
      </c>
      <c r="O1473" s="32">
        <f>O1472/O1471</f>
        <v>0.82340326891097748</v>
      </c>
      <c r="P1473" s="33" t="str">
        <f>IF(K1473&lt;50%,"x","")</f>
        <v/>
      </c>
      <c r="Q1473" s="33" t="str">
        <f>IF(K1473&gt;150%,"x","")</f>
        <v/>
      </c>
      <c r="R1473" s="33" t="str">
        <f>IF(O1473&lt;50%,"x","")</f>
        <v/>
      </c>
      <c r="S1473" s="33" t="str">
        <f>IF(O1473&gt;150%,"x","")</f>
        <v/>
      </c>
      <c r="T1473" s="33" t="s">
        <v>27</v>
      </c>
      <c r="U1473" s="34" t="s">
        <v>27</v>
      </c>
      <c r="V1473" s="35" t="s">
        <v>27</v>
      </c>
    </row>
    <row r="1474" spans="1:22" ht="16.5" thickTop="1" x14ac:dyDescent="0.25">
      <c r="A1474" s="18" t="s">
        <v>384</v>
      </c>
      <c r="B1474" s="18" t="s">
        <v>945</v>
      </c>
      <c r="C1474" s="18" t="s">
        <v>385</v>
      </c>
      <c r="D1474" s="18" t="s">
        <v>26</v>
      </c>
      <c r="E1474" s="18" t="s">
        <v>71</v>
      </c>
      <c r="F1474" s="18" t="s">
        <v>391</v>
      </c>
      <c r="G1474" s="18" t="s">
        <v>29</v>
      </c>
      <c r="H1474" s="19">
        <v>2000</v>
      </c>
      <c r="I1474" s="18" t="s">
        <v>387</v>
      </c>
      <c r="J1474" s="101" t="s">
        <v>27</v>
      </c>
      <c r="K1474" s="20">
        <v>142</v>
      </c>
      <c r="L1474" s="21">
        <v>10.9</v>
      </c>
      <c r="M1474" s="22" t="s">
        <v>30</v>
      </c>
      <c r="N1474" s="23">
        <v>10.9</v>
      </c>
      <c r="O1474" s="24">
        <v>7.6760563380281699E-2</v>
      </c>
      <c r="P1474" s="25" t="str">
        <f>IF(P1476="x","x","")</f>
        <v>x</v>
      </c>
      <c r="Q1474" s="25" t="str">
        <f>IF(Q1476="x","x","")</f>
        <v/>
      </c>
      <c r="R1474" s="25" t="str">
        <f>IF(R1476="x","x","")</f>
        <v/>
      </c>
      <c r="S1474" s="25" t="str">
        <f>IF(S1476="x","x","")</f>
        <v>x</v>
      </c>
      <c r="T1474" s="25" t="s">
        <v>31</v>
      </c>
      <c r="U1474" s="26"/>
      <c r="V1474" s="27"/>
    </row>
    <row r="1475" spans="1:22" x14ac:dyDescent="0.25">
      <c r="A1475" s="18" t="s">
        <v>384</v>
      </c>
      <c r="B1475" s="18" t="s">
        <v>945</v>
      </c>
      <c r="C1475" s="18" t="s">
        <v>385</v>
      </c>
      <c r="D1475" s="18" t="s">
        <v>26</v>
      </c>
      <c r="E1475" s="18" t="s">
        <v>71</v>
      </c>
      <c r="F1475" s="18" t="s">
        <v>391</v>
      </c>
      <c r="G1475" s="18" t="s">
        <v>32</v>
      </c>
      <c r="H1475" s="19">
        <v>2008</v>
      </c>
      <c r="I1475" s="18" t="s">
        <v>387</v>
      </c>
      <c r="J1475" s="101" t="s">
        <v>27</v>
      </c>
      <c r="K1475" s="20">
        <v>45.2</v>
      </c>
      <c r="L1475" s="21">
        <v>501</v>
      </c>
      <c r="M1475" s="22" t="s">
        <v>388</v>
      </c>
      <c r="N1475" s="23">
        <v>11.245791245791246</v>
      </c>
      <c r="O1475" s="24">
        <v>0.24880069127856735</v>
      </c>
      <c r="P1475" s="25" t="str">
        <f>IF(P1476="x","x","")</f>
        <v>x</v>
      </c>
      <c r="Q1475" s="25" t="str">
        <f>IF(Q1476="x","x","")</f>
        <v/>
      </c>
      <c r="R1475" s="25" t="str">
        <f>IF(R1476="x","x","")</f>
        <v/>
      </c>
      <c r="S1475" s="25" t="str">
        <f>IF(S1476="x","x","")</f>
        <v>x</v>
      </c>
      <c r="T1475" s="25" t="s">
        <v>31</v>
      </c>
      <c r="U1475" s="26"/>
      <c r="V1475" s="27"/>
    </row>
    <row r="1476" spans="1:22" ht="95.25" thickBot="1" x14ac:dyDescent="0.3">
      <c r="A1476" s="28" t="str">
        <f>A1475</f>
        <v>Philippines</v>
      </c>
      <c r="B1476" s="28" t="str">
        <f>B1475</f>
        <v>East Asia and Pacific</v>
      </c>
      <c r="C1476" s="28" t="str">
        <f>C1475</f>
        <v>P039019</v>
      </c>
      <c r="D1476" s="28" t="s">
        <v>26</v>
      </c>
      <c r="E1476" s="28" t="s">
        <v>27</v>
      </c>
      <c r="F1476" s="28" t="str">
        <f>F1475</f>
        <v>P039019C1S4</v>
      </c>
      <c r="G1476" s="28" t="s">
        <v>16</v>
      </c>
      <c r="H1476" s="29" t="str">
        <f>H1474&amp;" / "&amp;H1475</f>
        <v>2000 / 2008</v>
      </c>
      <c r="I1476" s="29" t="str">
        <f>I1475</f>
        <v>Upgrading</v>
      </c>
      <c r="J1476" s="97" t="str">
        <f>IFERROR(J1475/J1474,"")</f>
        <v/>
      </c>
      <c r="K1476" s="32">
        <f>K1475/K1474</f>
        <v>0.3183098591549296</v>
      </c>
      <c r="L1476" s="32">
        <f>L1475/L1474</f>
        <v>45.963302752293579</v>
      </c>
      <c r="M1476" s="28"/>
      <c r="N1476" s="32">
        <f>N1475/N1474</f>
        <v>1.0317239675037839</v>
      </c>
      <c r="O1476" s="32">
        <f>O1475/O1474</f>
        <v>3.2412567120694091</v>
      </c>
      <c r="P1476" s="33" t="str">
        <f>IF(K1476&lt;50%,"x","")</f>
        <v>x</v>
      </c>
      <c r="Q1476" s="33" t="str">
        <f>IF(K1476&gt;150%,"x","")</f>
        <v/>
      </c>
      <c r="R1476" s="33" t="str">
        <f>IF(O1476&lt;50%,"x","")</f>
        <v/>
      </c>
      <c r="S1476" s="33" t="str">
        <f>IF(O1476&gt;150%,"x","")</f>
        <v>x</v>
      </c>
      <c r="T1476" s="33" t="s">
        <v>31</v>
      </c>
      <c r="U1476" s="34" t="s">
        <v>971</v>
      </c>
      <c r="V1476" s="35" t="s">
        <v>972</v>
      </c>
    </row>
    <row r="1477" spans="1:22" ht="16.5" thickTop="1" x14ac:dyDescent="0.25">
      <c r="A1477" s="18" t="s">
        <v>384</v>
      </c>
      <c r="B1477" s="18" t="s">
        <v>945</v>
      </c>
      <c r="C1477" s="18" t="s">
        <v>385</v>
      </c>
      <c r="D1477" s="18" t="s">
        <v>26</v>
      </c>
      <c r="E1477" s="18" t="s">
        <v>141</v>
      </c>
      <c r="F1477" s="18" t="s">
        <v>392</v>
      </c>
      <c r="G1477" s="18" t="s">
        <v>29</v>
      </c>
      <c r="H1477" s="19">
        <v>2000</v>
      </c>
      <c r="I1477" s="18" t="s">
        <v>387</v>
      </c>
      <c r="J1477" s="101" t="s">
        <v>27</v>
      </c>
      <c r="K1477" s="20">
        <v>46</v>
      </c>
      <c r="L1477" s="21">
        <v>2.8</v>
      </c>
      <c r="M1477" s="22" t="s">
        <v>30</v>
      </c>
      <c r="N1477" s="23">
        <v>2.8</v>
      </c>
      <c r="O1477" s="24">
        <v>6.08695652173913E-2</v>
      </c>
      <c r="P1477" s="25" t="str">
        <f>IF(P1479="x","x","")</f>
        <v/>
      </c>
      <c r="Q1477" s="25" t="str">
        <f>IF(Q1479="x","x","")</f>
        <v/>
      </c>
      <c r="R1477" s="25" t="str">
        <f>IF(R1479="x","x","")</f>
        <v/>
      </c>
      <c r="S1477" s="25" t="str">
        <f>IF(S1479="x","x","")</f>
        <v>x</v>
      </c>
      <c r="T1477" s="25" t="s">
        <v>31</v>
      </c>
      <c r="U1477" s="26"/>
      <c r="V1477" s="27"/>
    </row>
    <row r="1478" spans="1:22" x14ac:dyDescent="0.25">
      <c r="A1478" s="18" t="s">
        <v>384</v>
      </c>
      <c r="B1478" s="18" t="s">
        <v>945</v>
      </c>
      <c r="C1478" s="18" t="s">
        <v>385</v>
      </c>
      <c r="D1478" s="18" t="s">
        <v>26</v>
      </c>
      <c r="E1478" s="18" t="s">
        <v>141</v>
      </c>
      <c r="F1478" s="18" t="s">
        <v>392</v>
      </c>
      <c r="G1478" s="18" t="s">
        <v>32</v>
      </c>
      <c r="H1478" s="19">
        <v>2008</v>
      </c>
      <c r="I1478" s="18" t="s">
        <v>387</v>
      </c>
      <c r="J1478" s="101" t="s">
        <v>27</v>
      </c>
      <c r="K1478" s="20">
        <v>52.6</v>
      </c>
      <c r="L1478" s="21">
        <v>534</v>
      </c>
      <c r="M1478" s="22" t="s">
        <v>388</v>
      </c>
      <c r="N1478" s="23">
        <v>11.986531986531988</v>
      </c>
      <c r="O1478" s="24">
        <v>0.22788083624585528</v>
      </c>
      <c r="P1478" s="25" t="str">
        <f>IF(P1479="x","x","")</f>
        <v/>
      </c>
      <c r="Q1478" s="25" t="str">
        <f>IF(Q1479="x","x","")</f>
        <v/>
      </c>
      <c r="R1478" s="25" t="str">
        <f>IF(R1479="x","x","")</f>
        <v/>
      </c>
      <c r="S1478" s="25" t="str">
        <f>IF(S1479="x","x","")</f>
        <v>x</v>
      </c>
      <c r="T1478" s="25" t="s">
        <v>31</v>
      </c>
      <c r="U1478" s="26"/>
      <c r="V1478" s="27"/>
    </row>
    <row r="1479" spans="1:22" ht="95.25" thickBot="1" x14ac:dyDescent="0.3">
      <c r="A1479" s="28" t="str">
        <f>A1478</f>
        <v>Philippines</v>
      </c>
      <c r="B1479" s="28" t="str">
        <f>B1478</f>
        <v>East Asia and Pacific</v>
      </c>
      <c r="C1479" s="28" t="str">
        <f>C1478</f>
        <v>P039019</v>
      </c>
      <c r="D1479" s="28" t="s">
        <v>26</v>
      </c>
      <c r="E1479" s="28" t="s">
        <v>27</v>
      </c>
      <c r="F1479" s="28" t="str">
        <f>F1478</f>
        <v>P039019C1S5</v>
      </c>
      <c r="G1479" s="28" t="s">
        <v>16</v>
      </c>
      <c r="H1479" s="29" t="str">
        <f>H1477&amp;" / "&amp;H1478</f>
        <v>2000 / 2008</v>
      </c>
      <c r="I1479" s="29" t="str">
        <f>I1478</f>
        <v>Upgrading</v>
      </c>
      <c r="J1479" s="97" t="str">
        <f>IFERROR(J1478/J1477,"")</f>
        <v/>
      </c>
      <c r="K1479" s="32">
        <f>K1478/K1477</f>
        <v>1.1434782608695653</v>
      </c>
      <c r="L1479" s="32">
        <f>L1478/L1477</f>
        <v>190.71428571428572</v>
      </c>
      <c r="M1479" s="28"/>
      <c r="N1479" s="32">
        <f>N1478/N1477</f>
        <v>4.2809042809042817</v>
      </c>
      <c r="O1479" s="32">
        <f>O1478/O1477</f>
        <v>3.7437565954676226</v>
      </c>
      <c r="P1479" s="33" t="str">
        <f>IF(K1479&lt;50%,"x","")</f>
        <v/>
      </c>
      <c r="Q1479" s="33" t="str">
        <f>IF(K1479&gt;150%,"x","")</f>
        <v/>
      </c>
      <c r="R1479" s="33" t="str">
        <f>IF(O1479&lt;50%,"x","")</f>
        <v/>
      </c>
      <c r="S1479" s="33" t="str">
        <f>IF(O1479&gt;150%,"x","")</f>
        <v>x</v>
      </c>
      <c r="T1479" s="33" t="s">
        <v>31</v>
      </c>
      <c r="U1479" s="34" t="s">
        <v>971</v>
      </c>
      <c r="V1479" s="35" t="s">
        <v>973</v>
      </c>
    </row>
    <row r="1480" spans="1:22" ht="16.5" thickTop="1" x14ac:dyDescent="0.25">
      <c r="A1480" s="18" t="s">
        <v>384</v>
      </c>
      <c r="B1480" s="18" t="s">
        <v>945</v>
      </c>
      <c r="C1480" s="18" t="s">
        <v>385</v>
      </c>
      <c r="D1480" s="18" t="s">
        <v>26</v>
      </c>
      <c r="E1480" s="18" t="s">
        <v>247</v>
      </c>
      <c r="F1480" s="18" t="s">
        <v>393</v>
      </c>
      <c r="G1480" s="18" t="s">
        <v>29</v>
      </c>
      <c r="H1480" s="19">
        <v>2000</v>
      </c>
      <c r="I1480" s="18" t="s">
        <v>387</v>
      </c>
      <c r="J1480" s="101" t="s">
        <v>27</v>
      </c>
      <c r="K1480" s="20">
        <v>46</v>
      </c>
      <c r="L1480" s="21">
        <v>5</v>
      </c>
      <c r="M1480" s="22" t="s">
        <v>30</v>
      </c>
      <c r="N1480" s="23">
        <v>5</v>
      </c>
      <c r="O1480" s="24">
        <v>0.10869565217391304</v>
      </c>
      <c r="P1480" s="25" t="str">
        <f>IF(P1482="x","x","")</f>
        <v/>
      </c>
      <c r="Q1480" s="25" t="str">
        <f>IF(Q1482="x","x","")</f>
        <v/>
      </c>
      <c r="R1480" s="25" t="str">
        <f>IF(R1482="x","x","")</f>
        <v/>
      </c>
      <c r="S1480" s="25" t="str">
        <f>IF(S1482="x","x","")</f>
        <v>x</v>
      </c>
      <c r="T1480" s="25" t="s">
        <v>31</v>
      </c>
      <c r="U1480" s="26"/>
      <c r="V1480" s="27"/>
    </row>
    <row r="1481" spans="1:22" x14ac:dyDescent="0.25">
      <c r="A1481" s="18" t="s">
        <v>384</v>
      </c>
      <c r="B1481" s="18" t="s">
        <v>945</v>
      </c>
      <c r="C1481" s="18" t="s">
        <v>385</v>
      </c>
      <c r="D1481" s="18" t="s">
        <v>26</v>
      </c>
      <c r="E1481" s="18" t="s">
        <v>247</v>
      </c>
      <c r="F1481" s="18" t="s">
        <v>393</v>
      </c>
      <c r="G1481" s="18" t="s">
        <v>32</v>
      </c>
      <c r="H1481" s="19">
        <v>2008</v>
      </c>
      <c r="I1481" s="18" t="s">
        <v>387</v>
      </c>
      <c r="J1481" s="101" t="s">
        <v>27</v>
      </c>
      <c r="K1481" s="20">
        <v>46.1</v>
      </c>
      <c r="L1481" s="21">
        <v>412</v>
      </c>
      <c r="M1481" s="22" t="s">
        <v>388</v>
      </c>
      <c r="N1481" s="23">
        <v>9.2480359147025819</v>
      </c>
      <c r="O1481" s="24">
        <v>0.20060815433194321</v>
      </c>
      <c r="P1481" s="25" t="str">
        <f>IF(P1482="x","x","")</f>
        <v/>
      </c>
      <c r="Q1481" s="25" t="str">
        <f>IF(Q1482="x","x","")</f>
        <v/>
      </c>
      <c r="R1481" s="25" t="str">
        <f>IF(R1482="x","x","")</f>
        <v/>
      </c>
      <c r="S1481" s="25" t="str">
        <f>IF(S1482="x","x","")</f>
        <v>x</v>
      </c>
      <c r="T1481" s="25" t="s">
        <v>31</v>
      </c>
      <c r="U1481" s="26"/>
      <c r="V1481" s="27"/>
    </row>
    <row r="1482" spans="1:22" ht="95.25" thickBot="1" x14ac:dyDescent="0.3">
      <c r="A1482" s="28" t="str">
        <f>A1481</f>
        <v>Philippines</v>
      </c>
      <c r="B1482" s="28" t="str">
        <f>B1481</f>
        <v>East Asia and Pacific</v>
      </c>
      <c r="C1482" s="28" t="str">
        <f>C1481</f>
        <v>P039019</v>
      </c>
      <c r="D1482" s="28" t="s">
        <v>26</v>
      </c>
      <c r="E1482" s="28" t="s">
        <v>27</v>
      </c>
      <c r="F1482" s="28" t="str">
        <f>F1481</f>
        <v>P039019C1S8</v>
      </c>
      <c r="G1482" s="28" t="s">
        <v>16</v>
      </c>
      <c r="H1482" s="29" t="str">
        <f>H1480&amp;" / "&amp;H1481</f>
        <v>2000 / 2008</v>
      </c>
      <c r="I1482" s="29" t="str">
        <f>I1481</f>
        <v>Upgrading</v>
      </c>
      <c r="J1482" s="97" t="str">
        <f>IFERROR(J1481/J1480,"")</f>
        <v/>
      </c>
      <c r="K1482" s="32">
        <f>K1481/K1480</f>
        <v>1.0021739130434784</v>
      </c>
      <c r="L1482" s="32">
        <f>L1481/L1480</f>
        <v>82.4</v>
      </c>
      <c r="M1482" s="28"/>
      <c r="N1482" s="32">
        <f>N1481/N1480</f>
        <v>1.8496071829405163</v>
      </c>
      <c r="O1482" s="32">
        <f>O1481/O1480</f>
        <v>1.8455950198538775</v>
      </c>
      <c r="P1482" s="33" t="str">
        <f>IF(K1482&lt;50%,"x","")</f>
        <v/>
      </c>
      <c r="Q1482" s="33" t="str">
        <f>IF(K1482&gt;150%,"x","")</f>
        <v/>
      </c>
      <c r="R1482" s="33" t="str">
        <f>IF(O1482&lt;50%,"x","")</f>
        <v/>
      </c>
      <c r="S1482" s="33" t="str">
        <f>IF(O1482&gt;150%,"x","")</f>
        <v>x</v>
      </c>
      <c r="T1482" s="33" t="s">
        <v>31</v>
      </c>
      <c r="U1482" s="34" t="s">
        <v>971</v>
      </c>
      <c r="V1482" s="35" t="s">
        <v>973</v>
      </c>
    </row>
    <row r="1483" spans="1:22" ht="16.5" thickTop="1" x14ac:dyDescent="0.25">
      <c r="A1483" s="18" t="s">
        <v>384</v>
      </c>
      <c r="B1483" s="18" t="s">
        <v>945</v>
      </c>
      <c r="C1483" s="18" t="s">
        <v>385</v>
      </c>
      <c r="D1483" s="18" t="s">
        <v>26</v>
      </c>
      <c r="E1483" s="18" t="s">
        <v>249</v>
      </c>
      <c r="F1483" s="18" t="s">
        <v>394</v>
      </c>
      <c r="G1483" s="18" t="s">
        <v>29</v>
      </c>
      <c r="H1483" s="19">
        <v>2000</v>
      </c>
      <c r="I1483" s="18" t="s">
        <v>387</v>
      </c>
      <c r="J1483" s="101" t="s">
        <v>27</v>
      </c>
      <c r="K1483" s="20">
        <v>59</v>
      </c>
      <c r="L1483" s="21">
        <v>12.63</v>
      </c>
      <c r="M1483" s="22" t="s">
        <v>30</v>
      </c>
      <c r="N1483" s="23">
        <v>12.63</v>
      </c>
      <c r="O1483" s="24">
        <v>0.2140677966101695</v>
      </c>
      <c r="P1483" s="25" t="str">
        <f>IF(P1485="x","x","")</f>
        <v/>
      </c>
      <c r="Q1483" s="25" t="str">
        <f>IF(Q1485="x","x","")</f>
        <v/>
      </c>
      <c r="R1483" s="25" t="str">
        <f>IF(R1485="x","x","")</f>
        <v/>
      </c>
      <c r="S1483" s="25" t="str">
        <f>IF(S1485="x","x","")</f>
        <v/>
      </c>
      <c r="T1483" s="25" t="s">
        <v>27</v>
      </c>
      <c r="U1483" s="26"/>
      <c r="V1483" s="27"/>
    </row>
    <row r="1484" spans="1:22" x14ac:dyDescent="0.25">
      <c r="A1484" s="18" t="s">
        <v>384</v>
      </c>
      <c r="B1484" s="18" t="s">
        <v>945</v>
      </c>
      <c r="C1484" s="18" t="s">
        <v>385</v>
      </c>
      <c r="D1484" s="18" t="s">
        <v>26</v>
      </c>
      <c r="E1484" s="18" t="s">
        <v>249</v>
      </c>
      <c r="F1484" s="18" t="s">
        <v>394</v>
      </c>
      <c r="G1484" s="18" t="s">
        <v>32</v>
      </c>
      <c r="H1484" s="19">
        <v>2008</v>
      </c>
      <c r="I1484" s="18" t="s">
        <v>387</v>
      </c>
      <c r="J1484" s="101" t="s">
        <v>27</v>
      </c>
      <c r="K1484" s="20">
        <v>59.1</v>
      </c>
      <c r="L1484" s="21">
        <v>766</v>
      </c>
      <c r="M1484" s="22" t="s">
        <v>388</v>
      </c>
      <c r="N1484" s="23">
        <v>17.194163860830528</v>
      </c>
      <c r="O1484" s="24">
        <v>0.29093339866041501</v>
      </c>
      <c r="P1484" s="25" t="str">
        <f>IF(P1485="x","x","")</f>
        <v/>
      </c>
      <c r="Q1484" s="25" t="str">
        <f>IF(Q1485="x","x","")</f>
        <v/>
      </c>
      <c r="R1484" s="25" t="str">
        <f>IF(R1485="x","x","")</f>
        <v/>
      </c>
      <c r="S1484" s="25" t="str">
        <f>IF(S1485="x","x","")</f>
        <v/>
      </c>
      <c r="T1484" s="25" t="s">
        <v>27</v>
      </c>
      <c r="U1484" s="26"/>
      <c r="V1484" s="27"/>
    </row>
    <row r="1485" spans="1:22" ht="16.5" thickBot="1" x14ac:dyDescent="0.3">
      <c r="A1485" s="28" t="str">
        <f>A1484</f>
        <v>Philippines</v>
      </c>
      <c r="B1485" s="28" t="str">
        <f>B1484</f>
        <v>East Asia and Pacific</v>
      </c>
      <c r="C1485" s="28" t="str">
        <f>C1484</f>
        <v>P039019</v>
      </c>
      <c r="D1485" s="28" t="s">
        <v>26</v>
      </c>
      <c r="E1485" s="28" t="s">
        <v>27</v>
      </c>
      <c r="F1485" s="28" t="str">
        <f>F1484</f>
        <v>P039019C1S9</v>
      </c>
      <c r="G1485" s="28" t="s">
        <v>16</v>
      </c>
      <c r="H1485" s="29" t="str">
        <f>H1483&amp;" / "&amp;H1484</f>
        <v>2000 / 2008</v>
      </c>
      <c r="I1485" s="29" t="str">
        <f>I1484</f>
        <v>Upgrading</v>
      </c>
      <c r="J1485" s="97" t="str">
        <f>IFERROR(J1484/J1483,"")</f>
        <v/>
      </c>
      <c r="K1485" s="32">
        <f>K1484/K1483</f>
        <v>1.0016949152542374</v>
      </c>
      <c r="L1485" s="32">
        <f>L1484/L1483</f>
        <v>60.64924782264449</v>
      </c>
      <c r="M1485" s="28"/>
      <c r="N1485" s="32">
        <f>N1484/N1483</f>
        <v>1.3613748108337709</v>
      </c>
      <c r="O1485" s="32">
        <f>O1484/O1483</f>
        <v>1.3590713001555412</v>
      </c>
      <c r="P1485" s="33" t="str">
        <f>IF(K1485&lt;50%,"x","")</f>
        <v/>
      </c>
      <c r="Q1485" s="33" t="str">
        <f>IF(K1485&gt;150%,"x","")</f>
        <v/>
      </c>
      <c r="R1485" s="33" t="str">
        <f>IF(O1485&lt;50%,"x","")</f>
        <v/>
      </c>
      <c r="S1485" s="33" t="str">
        <f>IF(O1485&gt;150%,"x","")</f>
        <v/>
      </c>
      <c r="T1485" s="33" t="s">
        <v>27</v>
      </c>
      <c r="U1485" s="34" t="s">
        <v>27</v>
      </c>
      <c r="V1485" s="35" t="s">
        <v>27</v>
      </c>
    </row>
    <row r="1486" spans="1:22" ht="16.5" thickTop="1" x14ac:dyDescent="0.25">
      <c r="A1486" s="18" t="s">
        <v>384</v>
      </c>
      <c r="B1486" s="18" t="s">
        <v>945</v>
      </c>
      <c r="C1486" s="18" t="s">
        <v>385</v>
      </c>
      <c r="D1486" s="18" t="s">
        <v>42</v>
      </c>
      <c r="E1486" s="18" t="s">
        <v>27</v>
      </c>
      <c r="F1486" s="18" t="s">
        <v>395</v>
      </c>
      <c r="G1486" s="18" t="s">
        <v>29</v>
      </c>
      <c r="H1486" s="19">
        <v>2000</v>
      </c>
      <c r="I1486" s="18" t="s">
        <v>68</v>
      </c>
      <c r="J1486" s="101" t="s">
        <v>27</v>
      </c>
      <c r="K1486" s="20">
        <v>900</v>
      </c>
      <c r="L1486" s="21">
        <v>112.29</v>
      </c>
      <c r="M1486" s="22" t="s">
        <v>30</v>
      </c>
      <c r="N1486" s="23">
        <v>112.29</v>
      </c>
      <c r="O1486" s="24">
        <v>0.12476666666666668</v>
      </c>
      <c r="P1486" s="25" t="str">
        <f>IF(P1488="x","x","")</f>
        <v/>
      </c>
      <c r="Q1486" s="25" t="str">
        <f>IF(Q1488="x","x","")</f>
        <v/>
      </c>
      <c r="R1486" s="25" t="str">
        <f>IF(R1488="x","x","")</f>
        <v/>
      </c>
      <c r="S1486" s="25" t="str">
        <f>IF(S1488="x","x","")</f>
        <v/>
      </c>
      <c r="T1486" s="25" t="s">
        <v>27</v>
      </c>
      <c r="U1486" s="26"/>
      <c r="V1486" s="27"/>
    </row>
    <row r="1487" spans="1:22" x14ac:dyDescent="0.25">
      <c r="A1487" s="18" t="s">
        <v>384</v>
      </c>
      <c r="B1487" s="18" t="s">
        <v>945</v>
      </c>
      <c r="C1487" s="18" t="s">
        <v>385</v>
      </c>
      <c r="D1487" s="18" t="s">
        <v>42</v>
      </c>
      <c r="E1487" s="18" t="s">
        <v>27</v>
      </c>
      <c r="F1487" s="18" t="s">
        <v>395</v>
      </c>
      <c r="G1487" s="18" t="s">
        <v>32</v>
      </c>
      <c r="H1487" s="19">
        <v>2008</v>
      </c>
      <c r="I1487" s="18" t="s">
        <v>68</v>
      </c>
      <c r="J1487" s="101" t="s">
        <v>27</v>
      </c>
      <c r="K1487" s="20">
        <v>721.3</v>
      </c>
      <c r="L1487" s="21">
        <v>99.53</v>
      </c>
      <c r="M1487" s="22" t="s">
        <v>30</v>
      </c>
      <c r="N1487" s="23">
        <v>99.53</v>
      </c>
      <c r="O1487" s="24">
        <v>0.1379869679744905</v>
      </c>
      <c r="P1487" s="25" t="str">
        <f>IF(P1488="x","x","")</f>
        <v/>
      </c>
      <c r="Q1487" s="25" t="str">
        <f>IF(Q1488="x","x","")</f>
        <v/>
      </c>
      <c r="R1487" s="25" t="str">
        <f>IF(R1488="x","x","")</f>
        <v/>
      </c>
      <c r="S1487" s="25" t="str">
        <f>IF(S1488="x","x","")</f>
        <v/>
      </c>
      <c r="T1487" s="25" t="s">
        <v>27</v>
      </c>
      <c r="U1487" s="26"/>
      <c r="V1487" s="27"/>
    </row>
    <row r="1488" spans="1:22" ht="16.5" thickBot="1" x14ac:dyDescent="0.3">
      <c r="A1488" s="28" t="str">
        <f>A1487</f>
        <v>Philippines</v>
      </c>
      <c r="B1488" s="28" t="str">
        <f>B1487</f>
        <v>East Asia and Pacific</v>
      </c>
      <c r="C1488" s="28" t="str">
        <f>C1487</f>
        <v>P039019</v>
      </c>
      <c r="D1488" s="28" t="s">
        <v>26</v>
      </c>
      <c r="E1488" s="28" t="s">
        <v>27</v>
      </c>
      <c r="F1488" s="28" t="str">
        <f>F1487</f>
        <v>P039019C2</v>
      </c>
      <c r="G1488" s="28" t="s">
        <v>16</v>
      </c>
      <c r="H1488" s="29" t="str">
        <f>H1486&amp;" / "&amp;H1487</f>
        <v>2000 / 2008</v>
      </c>
      <c r="I1488" s="29" t="str">
        <f>I1487</f>
        <v>Asphalt Mix Resurfacing</v>
      </c>
      <c r="J1488" s="97" t="str">
        <f>IFERROR(J1487/J1486,"")</f>
        <v/>
      </c>
      <c r="K1488" s="32">
        <f>K1487/K1486</f>
        <v>0.8014444444444444</v>
      </c>
      <c r="L1488" s="32">
        <f>L1487/L1486</f>
        <v>0.88636566034375275</v>
      </c>
      <c r="M1488" s="28"/>
      <c r="N1488" s="32">
        <f>N1487/N1486</f>
        <v>0.88636566034375275</v>
      </c>
      <c r="O1488" s="32">
        <f>O1487/O1486</f>
        <v>1.1059602028412276</v>
      </c>
      <c r="P1488" s="33" t="str">
        <f>IF(K1488&lt;50%,"x","")</f>
        <v/>
      </c>
      <c r="Q1488" s="33" t="str">
        <f>IF(K1488&gt;150%,"x","")</f>
        <v/>
      </c>
      <c r="R1488" s="33" t="str">
        <f>IF(O1488&lt;50%,"x","")</f>
        <v/>
      </c>
      <c r="S1488" s="33" t="str">
        <f>IF(O1488&gt;150%,"x","")</f>
        <v/>
      </c>
      <c r="T1488" s="33" t="s">
        <v>27</v>
      </c>
      <c r="U1488" s="34" t="s">
        <v>27</v>
      </c>
      <c r="V1488" s="35" t="s">
        <v>27</v>
      </c>
    </row>
    <row r="1489" spans="1:22" ht="16.5" thickTop="1" x14ac:dyDescent="0.25">
      <c r="A1489" s="18" t="s">
        <v>384</v>
      </c>
      <c r="B1489" s="18" t="s">
        <v>945</v>
      </c>
      <c r="C1489" s="18" t="s">
        <v>385</v>
      </c>
      <c r="D1489" s="18" t="s">
        <v>60</v>
      </c>
      <c r="E1489" s="18" t="s">
        <v>27</v>
      </c>
      <c r="F1489" s="18" t="s">
        <v>396</v>
      </c>
      <c r="G1489" s="18" t="s">
        <v>29</v>
      </c>
      <c r="H1489" s="19">
        <v>2000</v>
      </c>
      <c r="I1489" s="18" t="s">
        <v>68</v>
      </c>
      <c r="J1489" s="101" t="s">
        <v>27</v>
      </c>
      <c r="K1489" s="20">
        <v>231</v>
      </c>
      <c r="L1489" s="21">
        <v>9.9600000000000009</v>
      </c>
      <c r="M1489" s="22" t="s">
        <v>30</v>
      </c>
      <c r="N1489" s="23">
        <v>9.9600000000000009</v>
      </c>
      <c r="O1489" s="24">
        <v>4.3116883116883123E-2</v>
      </c>
      <c r="P1489" s="25" t="str">
        <f>IF(P1491="x","x","")</f>
        <v/>
      </c>
      <c r="Q1489" s="25" t="str">
        <f>IF(Q1491="x","x","")</f>
        <v/>
      </c>
      <c r="R1489" s="25" t="str">
        <f>IF(R1491="x","x","")</f>
        <v/>
      </c>
      <c r="S1489" s="25" t="str">
        <f>IF(S1491="x","x","")</f>
        <v>x</v>
      </c>
      <c r="T1489" s="25" t="s">
        <v>31</v>
      </c>
      <c r="U1489" s="26"/>
      <c r="V1489" s="27"/>
    </row>
    <row r="1490" spans="1:22" x14ac:dyDescent="0.25">
      <c r="A1490" s="18" t="s">
        <v>384</v>
      </c>
      <c r="B1490" s="18" t="s">
        <v>945</v>
      </c>
      <c r="C1490" s="18" t="s">
        <v>385</v>
      </c>
      <c r="D1490" s="18" t="s">
        <v>60</v>
      </c>
      <c r="E1490" s="18" t="s">
        <v>27</v>
      </c>
      <c r="F1490" s="18" t="s">
        <v>396</v>
      </c>
      <c r="G1490" s="18" t="s">
        <v>32</v>
      </c>
      <c r="H1490" s="19">
        <v>2008</v>
      </c>
      <c r="I1490" s="18" t="s">
        <v>68</v>
      </c>
      <c r="J1490" s="101" t="s">
        <v>27</v>
      </c>
      <c r="K1490" s="20">
        <v>254</v>
      </c>
      <c r="L1490" s="21">
        <v>20.65</v>
      </c>
      <c r="M1490" s="22" t="s">
        <v>30</v>
      </c>
      <c r="N1490" s="23">
        <v>20.65</v>
      </c>
      <c r="O1490" s="24">
        <v>8.1299212598425194E-2</v>
      </c>
      <c r="P1490" s="25" t="str">
        <f>IF(P1491="x","x","")</f>
        <v/>
      </c>
      <c r="Q1490" s="25" t="str">
        <f>IF(Q1491="x","x","")</f>
        <v/>
      </c>
      <c r="R1490" s="25" t="str">
        <f>IF(R1491="x","x","")</f>
        <v/>
      </c>
      <c r="S1490" s="25" t="str">
        <f>IF(S1491="x","x","")</f>
        <v>x</v>
      </c>
      <c r="T1490" s="25" t="s">
        <v>31</v>
      </c>
      <c r="U1490" s="26"/>
      <c r="V1490" s="27"/>
    </row>
    <row r="1491" spans="1:22" ht="95.25" thickBot="1" x14ac:dyDescent="0.3">
      <c r="A1491" s="28" t="str">
        <f>A1490</f>
        <v>Philippines</v>
      </c>
      <c r="B1491" s="28" t="str">
        <f>B1490</f>
        <v>East Asia and Pacific</v>
      </c>
      <c r="C1491" s="28" t="str">
        <f>C1490</f>
        <v>P039019</v>
      </c>
      <c r="D1491" s="28" t="s">
        <v>26</v>
      </c>
      <c r="E1491" s="28" t="s">
        <v>27</v>
      </c>
      <c r="F1491" s="28" t="str">
        <f>F1490</f>
        <v>P039019C3</v>
      </c>
      <c r="G1491" s="28" t="s">
        <v>16</v>
      </c>
      <c r="H1491" s="29" t="str">
        <f>H1489&amp;" / "&amp;H1490</f>
        <v>2000 / 2008</v>
      </c>
      <c r="I1491" s="29" t="str">
        <f>I1490</f>
        <v>Asphalt Mix Resurfacing</v>
      </c>
      <c r="J1491" s="97" t="str">
        <f>IFERROR(J1490/J1489,"")</f>
        <v/>
      </c>
      <c r="K1491" s="32">
        <f>K1490/K1489</f>
        <v>1.0995670995670996</v>
      </c>
      <c r="L1491" s="32">
        <f>L1490/L1489</f>
        <v>2.0732931726907626</v>
      </c>
      <c r="M1491" s="28"/>
      <c r="N1491" s="32">
        <f>N1490/N1489</f>
        <v>2.0732931726907626</v>
      </c>
      <c r="O1491" s="32">
        <f>O1490/O1489</f>
        <v>1.8855540271321503</v>
      </c>
      <c r="P1491" s="33" t="str">
        <f>IF(K1491&lt;50%,"x","")</f>
        <v/>
      </c>
      <c r="Q1491" s="33" t="str">
        <f>IF(K1491&gt;150%,"x","")</f>
        <v/>
      </c>
      <c r="R1491" s="33" t="str">
        <f>IF(O1491&lt;50%,"x","")</f>
        <v/>
      </c>
      <c r="S1491" s="33" t="str">
        <f>IF(O1491&gt;150%,"x","")</f>
        <v>x</v>
      </c>
      <c r="T1491" s="33" t="s">
        <v>31</v>
      </c>
      <c r="U1491" s="34" t="s">
        <v>971</v>
      </c>
      <c r="V1491" s="35" t="s">
        <v>973</v>
      </c>
    </row>
    <row r="1492" spans="1:22" ht="16.5" thickTop="1" x14ac:dyDescent="0.25">
      <c r="A1492" s="18" t="s">
        <v>384</v>
      </c>
      <c r="B1492" s="18" t="s">
        <v>945</v>
      </c>
      <c r="C1492" s="18" t="s">
        <v>452</v>
      </c>
      <c r="D1492" s="18" t="s">
        <v>26</v>
      </c>
      <c r="E1492" s="18" t="s">
        <v>36</v>
      </c>
      <c r="F1492" s="18" t="s">
        <v>453</v>
      </c>
      <c r="G1492" s="18" t="s">
        <v>29</v>
      </c>
      <c r="H1492" s="19">
        <v>2001</v>
      </c>
      <c r="I1492" s="18" t="s">
        <v>359</v>
      </c>
      <c r="J1492" s="101">
        <v>18.5</v>
      </c>
      <c r="K1492" s="20">
        <v>3.6900000000000004</v>
      </c>
      <c r="L1492" s="21">
        <v>1.17</v>
      </c>
      <c r="M1492" s="22" t="s">
        <v>30</v>
      </c>
      <c r="N1492" s="23">
        <v>1.17</v>
      </c>
      <c r="O1492" s="24">
        <v>0.31707317073170727</v>
      </c>
      <c r="P1492" s="25" t="str">
        <f>IF(P1494="x","x","")</f>
        <v/>
      </c>
      <c r="Q1492" s="25" t="str">
        <f>IF(Q1494="x","x","")</f>
        <v/>
      </c>
      <c r="R1492" s="25" t="str">
        <f>IF(R1494="x","x","")</f>
        <v/>
      </c>
      <c r="S1492" s="25" t="str">
        <f>IF(S1494="x","x","")</f>
        <v/>
      </c>
      <c r="T1492" s="25" t="s">
        <v>27</v>
      </c>
      <c r="U1492" s="26"/>
      <c r="V1492" s="27"/>
    </row>
    <row r="1493" spans="1:22" x14ac:dyDescent="0.25">
      <c r="A1493" s="18" t="s">
        <v>384</v>
      </c>
      <c r="B1493" s="18" t="s">
        <v>945</v>
      </c>
      <c r="C1493" s="18" t="s">
        <v>452</v>
      </c>
      <c r="D1493" s="18" t="s">
        <v>26</v>
      </c>
      <c r="E1493" s="18" t="s">
        <v>36</v>
      </c>
      <c r="F1493" s="18" t="s">
        <v>453</v>
      </c>
      <c r="G1493" s="18" t="s">
        <v>32</v>
      </c>
      <c r="H1493" s="19">
        <v>2011</v>
      </c>
      <c r="I1493" s="18" t="s">
        <v>359</v>
      </c>
      <c r="J1493" s="101" t="s">
        <v>27</v>
      </c>
      <c r="K1493" s="20">
        <v>3.6900000000000004</v>
      </c>
      <c r="L1493" s="21">
        <v>1.1200000000000001</v>
      </c>
      <c r="M1493" s="22" t="s">
        <v>30</v>
      </c>
      <c r="N1493" s="23">
        <v>1.1200000000000001</v>
      </c>
      <c r="O1493" s="24">
        <v>0.30352303523035229</v>
      </c>
      <c r="P1493" s="25" t="str">
        <f>IF(P1494="x","x","")</f>
        <v/>
      </c>
      <c r="Q1493" s="25" t="str">
        <f>IF(Q1494="x","x","")</f>
        <v/>
      </c>
      <c r="R1493" s="25" t="str">
        <f>IF(R1494="x","x","")</f>
        <v/>
      </c>
      <c r="S1493" s="25" t="str">
        <f>IF(S1494="x","x","")</f>
        <v/>
      </c>
      <c r="T1493" s="25" t="s">
        <v>27</v>
      </c>
      <c r="U1493" s="26"/>
      <c r="V1493" s="27"/>
    </row>
    <row r="1494" spans="1:22" ht="16.5" thickBot="1" x14ac:dyDescent="0.3">
      <c r="A1494" s="28" t="str">
        <f>A1493</f>
        <v>Philippines</v>
      </c>
      <c r="B1494" s="28" t="str">
        <f>B1493</f>
        <v>East Asia and Pacific</v>
      </c>
      <c r="C1494" s="28" t="str">
        <f>C1493</f>
        <v>P057731</v>
      </c>
      <c r="D1494" s="28" t="s">
        <v>26</v>
      </c>
      <c r="E1494" s="28" t="s">
        <v>27</v>
      </c>
      <c r="F1494" s="28" t="str">
        <f>F1493</f>
        <v>P057731C1S1</v>
      </c>
      <c r="G1494" s="28" t="s">
        <v>16</v>
      </c>
      <c r="H1494" s="29" t="str">
        <f>H1492&amp;" / "&amp;H1493</f>
        <v>2001 / 2011</v>
      </c>
      <c r="I1494" s="29" t="str">
        <f>I1493</f>
        <v>Reconstruction</v>
      </c>
      <c r="J1494" s="97" t="str">
        <f>IFERROR(J1493/J1492,"")</f>
        <v/>
      </c>
      <c r="K1494" s="32">
        <f>K1493/K1492</f>
        <v>1</v>
      </c>
      <c r="L1494" s="32">
        <f>L1493/L1492</f>
        <v>0.95726495726495742</v>
      </c>
      <c r="M1494" s="28"/>
      <c r="N1494" s="32">
        <f>N1493/N1492</f>
        <v>0.95726495726495742</v>
      </c>
      <c r="O1494" s="32">
        <f>O1493/O1492</f>
        <v>0.95726495726495742</v>
      </c>
      <c r="P1494" s="33" t="str">
        <f>IF(K1494&lt;50%,"x","")</f>
        <v/>
      </c>
      <c r="Q1494" s="33" t="str">
        <f>IF(K1494&gt;150%,"x","")</f>
        <v/>
      </c>
      <c r="R1494" s="33" t="str">
        <f>IF(O1494&lt;50%,"x","")</f>
        <v/>
      </c>
      <c r="S1494" s="33" t="str">
        <f>IF(O1494&gt;150%,"x","")</f>
        <v/>
      </c>
      <c r="T1494" s="33" t="s">
        <v>27</v>
      </c>
      <c r="U1494" s="34" t="s">
        <v>27</v>
      </c>
      <c r="V1494" s="35" t="s">
        <v>27</v>
      </c>
    </row>
    <row r="1495" spans="1:22" ht="16.5" thickTop="1" x14ac:dyDescent="0.25">
      <c r="A1495" s="18" t="s">
        <v>384</v>
      </c>
      <c r="B1495" s="18" t="s">
        <v>945</v>
      </c>
      <c r="C1495" s="18" t="s">
        <v>452</v>
      </c>
      <c r="D1495" s="18" t="s">
        <v>26</v>
      </c>
      <c r="E1495" s="18" t="s">
        <v>40</v>
      </c>
      <c r="F1495" s="18" t="s">
        <v>455</v>
      </c>
      <c r="G1495" s="18" t="s">
        <v>29</v>
      </c>
      <c r="H1495" s="19">
        <v>2001</v>
      </c>
      <c r="I1495" s="18" t="s">
        <v>359</v>
      </c>
      <c r="J1495" s="101">
        <v>16.166666666666668</v>
      </c>
      <c r="K1495" s="20">
        <v>2.42</v>
      </c>
      <c r="L1495" s="21">
        <v>2.9</v>
      </c>
      <c r="M1495" s="22" t="s">
        <v>30</v>
      </c>
      <c r="N1495" s="23">
        <v>2.9</v>
      </c>
      <c r="O1495" s="24">
        <v>1.1983471074380165</v>
      </c>
      <c r="P1495" s="25" t="str">
        <f>IF(P1497="x","x","")</f>
        <v/>
      </c>
      <c r="Q1495" s="25" t="str">
        <f>IF(Q1497="x","x","")</f>
        <v/>
      </c>
      <c r="R1495" s="25" t="str">
        <f>IF(R1497="x","x","")</f>
        <v/>
      </c>
      <c r="S1495" s="25" t="str">
        <f>IF(S1497="x","x","")</f>
        <v/>
      </c>
      <c r="T1495" s="25" t="s">
        <v>27</v>
      </c>
      <c r="U1495" s="26"/>
      <c r="V1495" s="27"/>
    </row>
    <row r="1496" spans="1:22" x14ac:dyDescent="0.25">
      <c r="A1496" s="18" t="s">
        <v>384</v>
      </c>
      <c r="B1496" s="18" t="s">
        <v>945</v>
      </c>
      <c r="C1496" s="18" t="s">
        <v>452</v>
      </c>
      <c r="D1496" s="18" t="s">
        <v>26</v>
      </c>
      <c r="E1496" s="18" t="s">
        <v>40</v>
      </c>
      <c r="F1496" s="18" t="s">
        <v>455</v>
      </c>
      <c r="G1496" s="18" t="s">
        <v>32</v>
      </c>
      <c r="H1496" s="19">
        <v>2011</v>
      </c>
      <c r="I1496" s="18" t="s">
        <v>359</v>
      </c>
      <c r="J1496" s="101" t="s">
        <v>27</v>
      </c>
      <c r="K1496" s="20">
        <v>2.42</v>
      </c>
      <c r="L1496" s="21">
        <v>2.1800000000000002</v>
      </c>
      <c r="M1496" s="22" t="s">
        <v>30</v>
      </c>
      <c r="N1496" s="23">
        <v>2.1800000000000002</v>
      </c>
      <c r="O1496" s="24">
        <v>0.90082644628099184</v>
      </c>
      <c r="P1496" s="25" t="str">
        <f>IF(P1497="x","x","")</f>
        <v/>
      </c>
      <c r="Q1496" s="25" t="str">
        <f>IF(Q1497="x","x","")</f>
        <v/>
      </c>
      <c r="R1496" s="25" t="str">
        <f>IF(R1497="x","x","")</f>
        <v/>
      </c>
      <c r="S1496" s="25" t="str">
        <f>IF(S1497="x","x","")</f>
        <v/>
      </c>
      <c r="T1496" s="25" t="s">
        <v>27</v>
      </c>
      <c r="U1496" s="26"/>
      <c r="V1496" s="27"/>
    </row>
    <row r="1497" spans="1:22" ht="16.5" thickBot="1" x14ac:dyDescent="0.3">
      <c r="A1497" s="28" t="str">
        <f>A1496</f>
        <v>Philippines</v>
      </c>
      <c r="B1497" s="28" t="str">
        <f>B1496</f>
        <v>East Asia and Pacific</v>
      </c>
      <c r="C1497" s="28" t="str">
        <f>C1496</f>
        <v>P057731</v>
      </c>
      <c r="D1497" s="28" t="s">
        <v>26</v>
      </c>
      <c r="E1497" s="28" t="s">
        <v>27</v>
      </c>
      <c r="F1497" s="28" t="str">
        <f>F1496</f>
        <v>P057731C1S2</v>
      </c>
      <c r="G1497" s="28" t="s">
        <v>16</v>
      </c>
      <c r="H1497" s="29" t="str">
        <f>H1495&amp;" / "&amp;H1496</f>
        <v>2001 / 2011</v>
      </c>
      <c r="I1497" s="29" t="str">
        <f>I1496</f>
        <v>Reconstruction</v>
      </c>
      <c r="J1497" s="97" t="str">
        <f>IFERROR(J1496/J1495,"")</f>
        <v/>
      </c>
      <c r="K1497" s="32">
        <f>K1496/K1495</f>
        <v>1</v>
      </c>
      <c r="L1497" s="32">
        <f>L1496/L1495</f>
        <v>0.75172413793103454</v>
      </c>
      <c r="M1497" s="28"/>
      <c r="N1497" s="32">
        <f>N1496/N1495</f>
        <v>0.75172413793103454</v>
      </c>
      <c r="O1497" s="32">
        <f>O1496/O1495</f>
        <v>0.75172413793103454</v>
      </c>
      <c r="P1497" s="33" t="str">
        <f>IF(K1497&lt;50%,"x","")</f>
        <v/>
      </c>
      <c r="Q1497" s="33" t="str">
        <f>IF(K1497&gt;150%,"x","")</f>
        <v/>
      </c>
      <c r="R1497" s="33" t="str">
        <f>IF(O1497&lt;50%,"x","")</f>
        <v/>
      </c>
      <c r="S1497" s="33" t="str">
        <f>IF(O1497&gt;150%,"x","")</f>
        <v/>
      </c>
      <c r="T1497" s="33" t="s">
        <v>27</v>
      </c>
      <c r="U1497" s="34" t="s">
        <v>27</v>
      </c>
      <c r="V1497" s="35" t="s">
        <v>27</v>
      </c>
    </row>
    <row r="1498" spans="1:22" ht="16.5" thickTop="1" x14ac:dyDescent="0.25">
      <c r="A1498" s="18" t="s">
        <v>384</v>
      </c>
      <c r="B1498" s="18" t="s">
        <v>945</v>
      </c>
      <c r="C1498" s="18" t="s">
        <v>452</v>
      </c>
      <c r="D1498" s="18" t="s">
        <v>26</v>
      </c>
      <c r="E1498" s="18" t="s">
        <v>69</v>
      </c>
      <c r="F1498" s="18" t="s">
        <v>456</v>
      </c>
      <c r="G1498" s="18" t="s">
        <v>29</v>
      </c>
      <c r="H1498" s="19">
        <v>2001</v>
      </c>
      <c r="I1498" s="18" t="s">
        <v>359</v>
      </c>
      <c r="J1498" s="101">
        <v>26.833333333333332</v>
      </c>
      <c r="K1498" s="20">
        <v>27.200000000000003</v>
      </c>
      <c r="L1498" s="21">
        <v>4.67</v>
      </c>
      <c r="M1498" s="22" t="s">
        <v>30</v>
      </c>
      <c r="N1498" s="23">
        <v>4.67</v>
      </c>
      <c r="O1498" s="37">
        <v>0.17169117647058821</v>
      </c>
      <c r="P1498" s="25" t="str">
        <f>IF(P1500="x","x","")</f>
        <v/>
      </c>
      <c r="Q1498" s="25" t="str">
        <f>IF(Q1500="x","x","")</f>
        <v/>
      </c>
      <c r="R1498" s="25" t="str">
        <f>IF(R1500="x","x","")</f>
        <v/>
      </c>
      <c r="S1498" s="25" t="str">
        <f>IF(S1500="x","x","")</f>
        <v>x</v>
      </c>
      <c r="T1498" s="25" t="s">
        <v>31</v>
      </c>
      <c r="U1498" s="26"/>
      <c r="V1498" s="27"/>
    </row>
    <row r="1499" spans="1:22" x14ac:dyDescent="0.25">
      <c r="A1499" s="18" t="s">
        <v>384</v>
      </c>
      <c r="B1499" s="18" t="s">
        <v>945</v>
      </c>
      <c r="C1499" s="18" t="s">
        <v>452</v>
      </c>
      <c r="D1499" s="18" t="s">
        <v>26</v>
      </c>
      <c r="E1499" s="18" t="s">
        <v>69</v>
      </c>
      <c r="F1499" s="18" t="s">
        <v>456</v>
      </c>
      <c r="G1499" s="18" t="s">
        <v>32</v>
      </c>
      <c r="H1499" s="19">
        <v>2011</v>
      </c>
      <c r="I1499" s="18" t="s">
        <v>359</v>
      </c>
      <c r="J1499" s="101" t="s">
        <v>27</v>
      </c>
      <c r="K1499" s="20">
        <v>27.200000000000003</v>
      </c>
      <c r="L1499" s="21">
        <v>13.51</v>
      </c>
      <c r="M1499" s="22" t="s">
        <v>30</v>
      </c>
      <c r="N1499" s="23">
        <v>13.51</v>
      </c>
      <c r="O1499" s="37">
        <v>0.49669117647058819</v>
      </c>
      <c r="P1499" s="25" t="str">
        <f>IF(P1500="x","x","")</f>
        <v/>
      </c>
      <c r="Q1499" s="25" t="str">
        <f>IF(Q1500="x","x","")</f>
        <v/>
      </c>
      <c r="R1499" s="25" t="str">
        <f>IF(R1500="x","x","")</f>
        <v/>
      </c>
      <c r="S1499" s="25" t="str">
        <f>IF(S1500="x","x","")</f>
        <v>x</v>
      </c>
      <c r="T1499" s="25" t="s">
        <v>31</v>
      </c>
      <c r="U1499" s="26"/>
      <c r="V1499" s="27"/>
    </row>
    <row r="1500" spans="1:22" ht="63.75" thickBot="1" x14ac:dyDescent="0.3">
      <c r="A1500" s="28" t="str">
        <f>A1499</f>
        <v>Philippines</v>
      </c>
      <c r="B1500" s="28" t="str">
        <f>B1499</f>
        <v>East Asia and Pacific</v>
      </c>
      <c r="C1500" s="28" t="str">
        <f>C1499</f>
        <v>P057731</v>
      </c>
      <c r="D1500" s="28" t="s">
        <v>26</v>
      </c>
      <c r="E1500" s="28" t="s">
        <v>27</v>
      </c>
      <c r="F1500" s="28" t="str">
        <f>F1499</f>
        <v>P057731C1S3</v>
      </c>
      <c r="G1500" s="28" t="s">
        <v>16</v>
      </c>
      <c r="H1500" s="29" t="str">
        <f>H1498&amp;" / "&amp;H1499</f>
        <v>2001 / 2011</v>
      </c>
      <c r="I1500" s="29" t="str">
        <f>I1499</f>
        <v>Reconstruction</v>
      </c>
      <c r="J1500" s="97" t="str">
        <f>IFERROR(J1499/J1498,"")</f>
        <v/>
      </c>
      <c r="K1500" s="32">
        <f>K1499/K1498</f>
        <v>1</v>
      </c>
      <c r="L1500" s="32">
        <f>L1499/L1498</f>
        <v>2.8929336188436832</v>
      </c>
      <c r="M1500" s="28"/>
      <c r="N1500" s="32">
        <f>N1499/N1498</f>
        <v>2.8929336188436832</v>
      </c>
      <c r="O1500" s="32">
        <f>O1499/O1498</f>
        <v>2.8929336188436832</v>
      </c>
      <c r="P1500" s="33" t="str">
        <f>IF(K1500&lt;50%,"x","")</f>
        <v/>
      </c>
      <c r="Q1500" s="33" t="str">
        <f>IF(K1500&gt;150%,"x","")</f>
        <v/>
      </c>
      <c r="R1500" s="33" t="str">
        <f>IF(O1500&lt;50%,"x","")</f>
        <v/>
      </c>
      <c r="S1500" s="33" t="str">
        <f>IF(O1500&gt;150%,"x","")</f>
        <v>x</v>
      </c>
      <c r="T1500" s="33" t="s">
        <v>31</v>
      </c>
      <c r="U1500" s="34" t="s">
        <v>990</v>
      </c>
      <c r="V1500" s="35" t="s">
        <v>991</v>
      </c>
    </row>
    <row r="1501" spans="1:22" ht="16.5" thickTop="1" x14ac:dyDescent="0.25">
      <c r="A1501" s="18" t="s">
        <v>384</v>
      </c>
      <c r="B1501" s="18" t="s">
        <v>945</v>
      </c>
      <c r="C1501" s="18" t="s">
        <v>452</v>
      </c>
      <c r="D1501" s="18" t="s">
        <v>26</v>
      </c>
      <c r="E1501" s="18" t="s">
        <v>71</v>
      </c>
      <c r="F1501" s="18" t="s">
        <v>457</v>
      </c>
      <c r="G1501" s="18" t="s">
        <v>29</v>
      </c>
      <c r="H1501" s="19">
        <v>2001</v>
      </c>
      <c r="I1501" s="18" t="s">
        <v>359</v>
      </c>
      <c r="J1501" s="101">
        <v>26.6</v>
      </c>
      <c r="K1501" s="20">
        <v>11.8</v>
      </c>
      <c r="L1501" s="21">
        <v>3.44</v>
      </c>
      <c r="M1501" s="22" t="s">
        <v>30</v>
      </c>
      <c r="N1501" s="23">
        <v>3.44</v>
      </c>
      <c r="O1501" s="24">
        <v>0.29152542372881352</v>
      </c>
      <c r="P1501" s="25" t="str">
        <f>IF(P1503="x","x","")</f>
        <v/>
      </c>
      <c r="Q1501" s="25" t="str">
        <f>IF(Q1503="x","x","")</f>
        <v/>
      </c>
      <c r="R1501" s="25" t="str">
        <f>IF(R1503="x","x","")</f>
        <v/>
      </c>
      <c r="S1501" s="25" t="str">
        <f>IF(S1503="x","x","")</f>
        <v>x</v>
      </c>
      <c r="T1501" s="25" t="s">
        <v>31</v>
      </c>
      <c r="U1501" s="26"/>
      <c r="V1501" s="27"/>
    </row>
    <row r="1502" spans="1:22" x14ac:dyDescent="0.25">
      <c r="A1502" s="18" t="s">
        <v>384</v>
      </c>
      <c r="B1502" s="18" t="s">
        <v>945</v>
      </c>
      <c r="C1502" s="18" t="s">
        <v>452</v>
      </c>
      <c r="D1502" s="18" t="s">
        <v>26</v>
      </c>
      <c r="E1502" s="18" t="s">
        <v>71</v>
      </c>
      <c r="F1502" s="18" t="s">
        <v>457</v>
      </c>
      <c r="G1502" s="18" t="s">
        <v>32</v>
      </c>
      <c r="H1502" s="19">
        <v>2011</v>
      </c>
      <c r="I1502" s="18" t="s">
        <v>359</v>
      </c>
      <c r="J1502" s="101" t="s">
        <v>27</v>
      </c>
      <c r="K1502" s="20">
        <v>11.8</v>
      </c>
      <c r="L1502" s="21">
        <v>12.77</v>
      </c>
      <c r="M1502" s="22" t="s">
        <v>30</v>
      </c>
      <c r="N1502" s="23">
        <v>12.77</v>
      </c>
      <c r="O1502" s="24">
        <v>1.0822033898305083</v>
      </c>
      <c r="P1502" s="25" t="str">
        <f>IF(P1503="x","x","")</f>
        <v/>
      </c>
      <c r="Q1502" s="25" t="str">
        <f>IF(Q1503="x","x","")</f>
        <v/>
      </c>
      <c r="R1502" s="25" t="str">
        <f>IF(R1503="x","x","")</f>
        <v/>
      </c>
      <c r="S1502" s="25" t="str">
        <f>IF(S1503="x","x","")</f>
        <v>x</v>
      </c>
      <c r="T1502" s="25" t="s">
        <v>31</v>
      </c>
      <c r="U1502" s="26"/>
      <c r="V1502" s="27"/>
    </row>
    <row r="1503" spans="1:22" ht="63.75" thickBot="1" x14ac:dyDescent="0.3">
      <c r="A1503" s="28" t="str">
        <f>A1502</f>
        <v>Philippines</v>
      </c>
      <c r="B1503" s="28" t="str">
        <f>B1502</f>
        <v>East Asia and Pacific</v>
      </c>
      <c r="C1503" s="28" t="str">
        <f>C1502</f>
        <v>P057731</v>
      </c>
      <c r="D1503" s="28" t="s">
        <v>26</v>
      </c>
      <c r="E1503" s="28" t="s">
        <v>27</v>
      </c>
      <c r="F1503" s="28" t="str">
        <f>F1502</f>
        <v>P057731C1S4</v>
      </c>
      <c r="G1503" s="28" t="s">
        <v>16</v>
      </c>
      <c r="H1503" s="29" t="str">
        <f>H1501&amp;" / "&amp;H1502</f>
        <v>2001 / 2011</v>
      </c>
      <c r="I1503" s="29" t="str">
        <f>I1502</f>
        <v>Reconstruction</v>
      </c>
      <c r="J1503" s="97" t="str">
        <f>IFERROR(J1502/J1501,"")</f>
        <v/>
      </c>
      <c r="K1503" s="32">
        <f>K1502/K1501</f>
        <v>1</v>
      </c>
      <c r="L1503" s="32">
        <f>L1502/L1501</f>
        <v>3.7122093023255816</v>
      </c>
      <c r="M1503" s="28"/>
      <c r="N1503" s="32">
        <f>N1502/N1501</f>
        <v>3.7122093023255816</v>
      </c>
      <c r="O1503" s="32">
        <f>O1502/O1501</f>
        <v>3.7122093023255816</v>
      </c>
      <c r="P1503" s="33" t="str">
        <f>IF(K1503&lt;50%,"x","")</f>
        <v/>
      </c>
      <c r="Q1503" s="33" t="str">
        <f>IF(K1503&gt;150%,"x","")</f>
        <v/>
      </c>
      <c r="R1503" s="33" t="str">
        <f>IF(O1503&lt;50%,"x","")</f>
        <v/>
      </c>
      <c r="S1503" s="33" t="str">
        <f>IF(O1503&gt;150%,"x","")</f>
        <v>x</v>
      </c>
      <c r="T1503" s="33" t="s">
        <v>31</v>
      </c>
      <c r="U1503" s="34" t="s">
        <v>990</v>
      </c>
      <c r="V1503" s="35" t="s">
        <v>991</v>
      </c>
    </row>
    <row r="1504" spans="1:22" ht="16.5" thickTop="1" x14ac:dyDescent="0.25">
      <c r="A1504" s="18" t="s">
        <v>308</v>
      </c>
      <c r="B1504" s="18" t="s">
        <v>947</v>
      </c>
      <c r="C1504" s="18" t="s">
        <v>309</v>
      </c>
      <c r="D1504" s="18" t="s">
        <v>26</v>
      </c>
      <c r="E1504" s="18" t="s">
        <v>27</v>
      </c>
      <c r="F1504" s="18" t="s">
        <v>310</v>
      </c>
      <c r="G1504" s="18" t="s">
        <v>29</v>
      </c>
      <c r="H1504" s="19">
        <v>2006</v>
      </c>
      <c r="I1504" s="18" t="s">
        <v>68</v>
      </c>
      <c r="J1504" s="101" t="s">
        <v>27</v>
      </c>
      <c r="K1504" s="20">
        <v>900</v>
      </c>
      <c r="L1504" s="21">
        <v>167</v>
      </c>
      <c r="M1504" s="22" t="s">
        <v>30</v>
      </c>
      <c r="N1504" s="23">
        <v>167</v>
      </c>
      <c r="O1504" s="24">
        <v>0.18555555555555556</v>
      </c>
      <c r="P1504" s="25" t="str">
        <f>IF(P1506="x","x","")</f>
        <v/>
      </c>
      <c r="Q1504" s="25" t="str">
        <f>IF(Q1506="x","x","")</f>
        <v/>
      </c>
      <c r="R1504" s="25" t="str">
        <f>IF(R1506="x","x","")</f>
        <v/>
      </c>
      <c r="S1504" s="25" t="str">
        <f>IF(S1506="x","x","")</f>
        <v/>
      </c>
      <c r="T1504" s="25" t="s">
        <v>27</v>
      </c>
      <c r="U1504" s="26"/>
      <c r="V1504" s="27"/>
    </row>
    <row r="1505" spans="1:22" x14ac:dyDescent="0.25">
      <c r="A1505" s="18" t="s">
        <v>308</v>
      </c>
      <c r="B1505" s="18" t="s">
        <v>947</v>
      </c>
      <c r="C1505" s="18" t="s">
        <v>309</v>
      </c>
      <c r="D1505" s="18" t="s">
        <v>26</v>
      </c>
      <c r="E1505" s="18" t="s">
        <v>27</v>
      </c>
      <c r="F1505" s="18" t="s">
        <v>310</v>
      </c>
      <c r="G1505" s="18" t="s">
        <v>32</v>
      </c>
      <c r="H1505" s="19">
        <v>2012</v>
      </c>
      <c r="I1505" s="18" t="s">
        <v>68</v>
      </c>
      <c r="J1505" s="101" t="s">
        <v>27</v>
      </c>
      <c r="K1505" s="20">
        <v>1103</v>
      </c>
      <c r="L1505" s="21">
        <v>181.92</v>
      </c>
      <c r="M1505" s="22" t="s">
        <v>30</v>
      </c>
      <c r="N1505" s="23">
        <v>181.92</v>
      </c>
      <c r="O1505" s="24">
        <v>0.16493200362647326</v>
      </c>
      <c r="P1505" s="25" t="str">
        <f>IF(P1506="x","x","")</f>
        <v/>
      </c>
      <c r="Q1505" s="25" t="str">
        <f>IF(Q1506="x","x","")</f>
        <v/>
      </c>
      <c r="R1505" s="25" t="str">
        <f>IF(R1506="x","x","")</f>
        <v/>
      </c>
      <c r="S1505" s="25" t="str">
        <f>IF(S1506="x","x","")</f>
        <v/>
      </c>
      <c r="T1505" s="25" t="s">
        <v>27</v>
      </c>
      <c r="U1505" s="26"/>
      <c r="V1505" s="27"/>
    </row>
    <row r="1506" spans="1:22" ht="16.5" thickBot="1" x14ac:dyDescent="0.3">
      <c r="A1506" s="28" t="str">
        <f>A1505</f>
        <v>Poland</v>
      </c>
      <c r="B1506" s="28" t="str">
        <f>B1505</f>
        <v>Europe and Central Asia</v>
      </c>
      <c r="C1506" s="28" t="str">
        <f>C1505</f>
        <v>P096214</v>
      </c>
      <c r="D1506" s="28" t="s">
        <v>26</v>
      </c>
      <c r="E1506" s="28" t="s">
        <v>27</v>
      </c>
      <c r="F1506" s="28" t="str">
        <f>F1505</f>
        <v>P096214C1</v>
      </c>
      <c r="G1506" s="28" t="s">
        <v>16</v>
      </c>
      <c r="H1506" s="29" t="str">
        <f>H1504&amp;" / "&amp;H1505</f>
        <v>2006 / 2012</v>
      </c>
      <c r="I1506" s="29" t="str">
        <f>I1505</f>
        <v>Asphalt Mix Resurfacing</v>
      </c>
      <c r="J1506" s="97" t="str">
        <f>IFERROR(J1505/J1504,"")</f>
        <v/>
      </c>
      <c r="K1506" s="32">
        <f>K1505/K1504</f>
        <v>1.2255555555555555</v>
      </c>
      <c r="L1506" s="32">
        <f>L1505/L1504</f>
        <v>1.0893413173652693</v>
      </c>
      <c r="M1506" s="28"/>
      <c r="N1506" s="32">
        <f>N1505/N1504</f>
        <v>1.0893413173652693</v>
      </c>
      <c r="O1506" s="32">
        <f>O1505/O1504</f>
        <v>0.88885510936422707</v>
      </c>
      <c r="P1506" s="33" t="str">
        <f>IF(K1506&lt;50%,"x","")</f>
        <v/>
      </c>
      <c r="Q1506" s="33" t="str">
        <f>IF(K1506&gt;150%,"x","")</f>
        <v/>
      </c>
      <c r="R1506" s="33" t="str">
        <f>IF(O1506&lt;50%,"x","")</f>
        <v/>
      </c>
      <c r="S1506" s="33" t="str">
        <f>IF(O1506&gt;150%,"x","")</f>
        <v/>
      </c>
      <c r="T1506" s="33" t="s">
        <v>27</v>
      </c>
      <c r="U1506" s="34" t="s">
        <v>27</v>
      </c>
      <c r="V1506" s="35" t="s">
        <v>27</v>
      </c>
    </row>
    <row r="1507" spans="1:22" ht="16.5" thickTop="1" x14ac:dyDescent="0.25">
      <c r="A1507" s="18" t="s">
        <v>308</v>
      </c>
      <c r="B1507" s="18" t="s">
        <v>947</v>
      </c>
      <c r="C1507" s="18" t="s">
        <v>690</v>
      </c>
      <c r="D1507" s="18" t="s">
        <v>42</v>
      </c>
      <c r="E1507" s="18" t="s">
        <v>27</v>
      </c>
      <c r="F1507" s="18" t="s">
        <v>691</v>
      </c>
      <c r="G1507" s="18" t="s">
        <v>29</v>
      </c>
      <c r="H1507" s="19">
        <v>2004</v>
      </c>
      <c r="I1507" s="18" t="s">
        <v>692</v>
      </c>
      <c r="J1507" s="101" t="s">
        <v>27</v>
      </c>
      <c r="K1507" s="20">
        <v>917</v>
      </c>
      <c r="L1507" s="21">
        <v>158.6</v>
      </c>
      <c r="M1507" s="22" t="s">
        <v>30</v>
      </c>
      <c r="N1507" s="23">
        <v>158.6</v>
      </c>
      <c r="O1507" s="24">
        <v>0.17295528898582332</v>
      </c>
      <c r="P1507" s="25" t="str">
        <f>IF(P1509="x","x","")</f>
        <v/>
      </c>
      <c r="Q1507" s="25" t="str">
        <f>IF(Q1509="x","x","")</f>
        <v/>
      </c>
      <c r="R1507" s="25" t="str">
        <f>IF(R1509="x","x","")</f>
        <v/>
      </c>
      <c r="S1507" s="25" t="str">
        <f>IF(S1509="x","x","")</f>
        <v/>
      </c>
      <c r="T1507" s="25" t="s">
        <v>27</v>
      </c>
      <c r="U1507" s="26"/>
      <c r="V1507" s="27"/>
    </row>
    <row r="1508" spans="1:22" x14ac:dyDescent="0.25">
      <c r="A1508" s="18" t="s">
        <v>308</v>
      </c>
      <c r="B1508" s="18" t="s">
        <v>947</v>
      </c>
      <c r="C1508" s="18" t="s">
        <v>690</v>
      </c>
      <c r="D1508" s="18" t="s">
        <v>42</v>
      </c>
      <c r="E1508" s="18" t="s">
        <v>27</v>
      </c>
      <c r="F1508" s="18" t="s">
        <v>691</v>
      </c>
      <c r="G1508" s="18" t="s">
        <v>32</v>
      </c>
      <c r="H1508" s="19">
        <v>2009</v>
      </c>
      <c r="I1508" s="18" t="s">
        <v>692</v>
      </c>
      <c r="J1508" s="101" t="s">
        <v>27</v>
      </c>
      <c r="K1508" s="20">
        <v>917</v>
      </c>
      <c r="L1508" s="21">
        <v>133.30000000000001</v>
      </c>
      <c r="M1508" s="22" t="s">
        <v>30</v>
      </c>
      <c r="N1508" s="23">
        <v>133.30000000000001</v>
      </c>
      <c r="O1508" s="24">
        <v>0.14536532170119956</v>
      </c>
      <c r="P1508" s="25" t="str">
        <f>IF(P1509="x","x","")</f>
        <v/>
      </c>
      <c r="Q1508" s="25" t="str">
        <f>IF(Q1509="x","x","")</f>
        <v/>
      </c>
      <c r="R1508" s="25" t="str">
        <f>IF(R1509="x","x","")</f>
        <v/>
      </c>
      <c r="S1508" s="25" t="str">
        <f>IF(S1509="x","x","")</f>
        <v/>
      </c>
      <c r="T1508" s="25" t="s">
        <v>27</v>
      </c>
      <c r="U1508" s="26"/>
      <c r="V1508" s="27"/>
    </row>
    <row r="1509" spans="1:22" ht="16.5" thickBot="1" x14ac:dyDescent="0.3">
      <c r="A1509" s="28" t="str">
        <f>A1508</f>
        <v>Poland</v>
      </c>
      <c r="B1509" s="28" t="str">
        <f>B1508</f>
        <v>Europe and Central Asia</v>
      </c>
      <c r="C1509" s="28" t="str">
        <f>C1508</f>
        <v>P078170</v>
      </c>
      <c r="D1509" s="28" t="s">
        <v>26</v>
      </c>
      <c r="E1509" s="28" t="s">
        <v>27</v>
      </c>
      <c r="F1509" s="28" t="str">
        <f>F1508</f>
        <v>P078170C2</v>
      </c>
      <c r="G1509" s="28" t="s">
        <v>16</v>
      </c>
      <c r="H1509" s="29" t="str">
        <f>H1507&amp;" / "&amp;H1508</f>
        <v>2004 / 2009</v>
      </c>
      <c r="I1509" s="29" t="str">
        <f>I1508</f>
        <v>Concrete Pavement Restoration</v>
      </c>
      <c r="J1509" s="97" t="str">
        <f>IFERROR(J1508/J1507,"")</f>
        <v/>
      </c>
      <c r="K1509" s="32">
        <f>K1508/K1507</f>
        <v>1</v>
      </c>
      <c r="L1509" s="32">
        <f>L1508/L1507</f>
        <v>0.84047919293820939</v>
      </c>
      <c r="M1509" s="28"/>
      <c r="N1509" s="32">
        <f>N1508/N1507</f>
        <v>0.84047919293820939</v>
      </c>
      <c r="O1509" s="32">
        <f>O1508/O1507</f>
        <v>0.84047919293820939</v>
      </c>
      <c r="P1509" s="33" t="str">
        <f>IF(K1509&lt;50%,"x","")</f>
        <v/>
      </c>
      <c r="Q1509" s="33" t="str">
        <f>IF(K1509&gt;150%,"x","")</f>
        <v/>
      </c>
      <c r="R1509" s="33" t="str">
        <f>IF(O1509&lt;50%,"x","")</f>
        <v/>
      </c>
      <c r="S1509" s="33" t="str">
        <f>IF(O1509&gt;150%,"x","")</f>
        <v/>
      </c>
      <c r="T1509" s="33" t="s">
        <v>27</v>
      </c>
      <c r="U1509" s="34" t="s">
        <v>27</v>
      </c>
      <c r="V1509" s="35" t="s">
        <v>27</v>
      </c>
    </row>
    <row r="1510" spans="1:22" ht="16.5" thickTop="1" x14ac:dyDescent="0.25">
      <c r="A1510" s="18" t="s">
        <v>831</v>
      </c>
      <c r="B1510" s="18" t="s">
        <v>947</v>
      </c>
      <c r="C1510" s="18" t="s">
        <v>832</v>
      </c>
      <c r="D1510" s="18" t="s">
        <v>26</v>
      </c>
      <c r="E1510" s="18" t="s">
        <v>27</v>
      </c>
      <c r="F1510" s="18" t="s">
        <v>833</v>
      </c>
      <c r="G1510" s="18" t="s">
        <v>29</v>
      </c>
      <c r="H1510" s="19">
        <v>2006</v>
      </c>
      <c r="I1510" s="18" t="s">
        <v>78</v>
      </c>
      <c r="J1510" s="101" t="s">
        <v>27</v>
      </c>
      <c r="K1510" s="20">
        <v>2909</v>
      </c>
      <c r="L1510" s="21">
        <v>112.5</v>
      </c>
      <c r="M1510" s="22" t="s">
        <v>30</v>
      </c>
      <c r="N1510" s="23">
        <v>112.5</v>
      </c>
      <c r="O1510" s="24">
        <v>3.8673083533860432E-2</v>
      </c>
      <c r="P1510" s="25" t="str">
        <f>IF(P1512="x","x","")</f>
        <v/>
      </c>
      <c r="Q1510" s="25" t="str">
        <f>IF(Q1512="x","x","")</f>
        <v/>
      </c>
      <c r="R1510" s="25" t="str">
        <f>IF(R1512="x","x","")</f>
        <v/>
      </c>
      <c r="S1510" s="25" t="str">
        <f>IF(S1512="x","x","")</f>
        <v/>
      </c>
      <c r="T1510" s="25" t="s">
        <v>27</v>
      </c>
      <c r="U1510" s="26"/>
      <c r="V1510" s="27"/>
    </row>
    <row r="1511" spans="1:22" x14ac:dyDescent="0.25">
      <c r="A1511" s="18" t="s">
        <v>831</v>
      </c>
      <c r="B1511" s="18" t="s">
        <v>947</v>
      </c>
      <c r="C1511" s="18" t="s">
        <v>832</v>
      </c>
      <c r="D1511" s="18" t="s">
        <v>26</v>
      </c>
      <c r="E1511" s="18" t="s">
        <v>27</v>
      </c>
      <c r="F1511" s="18" t="s">
        <v>833</v>
      </c>
      <c r="G1511" s="18" t="s">
        <v>32</v>
      </c>
      <c r="H1511" s="19">
        <v>2010</v>
      </c>
      <c r="I1511" s="18" t="s">
        <v>78</v>
      </c>
      <c r="J1511" s="101" t="s">
        <v>27</v>
      </c>
      <c r="K1511" s="20">
        <v>2197</v>
      </c>
      <c r="L1511" s="21">
        <v>125.4</v>
      </c>
      <c r="M1511" s="22" t="s">
        <v>30</v>
      </c>
      <c r="N1511" s="23">
        <v>125.4</v>
      </c>
      <c r="O1511" s="24">
        <v>5.707783340919436E-2</v>
      </c>
      <c r="P1511" s="25" t="str">
        <f>IF(P1512="x","x","")</f>
        <v/>
      </c>
      <c r="Q1511" s="25" t="str">
        <f>IF(Q1512="x","x","")</f>
        <v/>
      </c>
      <c r="R1511" s="25" t="str">
        <f>IF(R1512="x","x","")</f>
        <v/>
      </c>
      <c r="S1511" s="25" t="str">
        <f>IF(S1512="x","x","")</f>
        <v/>
      </c>
      <c r="T1511" s="25" t="s">
        <v>27</v>
      </c>
      <c r="U1511" s="26"/>
      <c r="V1511" s="27"/>
    </row>
    <row r="1512" spans="1:22" ht="16.5" thickBot="1" x14ac:dyDescent="0.3">
      <c r="A1512" s="28" t="str">
        <f>A1511</f>
        <v>Romania</v>
      </c>
      <c r="B1512" s="28" t="str">
        <f>B1511</f>
        <v>Europe and Central Asia</v>
      </c>
      <c r="C1512" s="28" t="str">
        <f>C1511</f>
        <v>P093812</v>
      </c>
      <c r="D1512" s="28" t="s">
        <v>26</v>
      </c>
      <c r="E1512" s="28" t="s">
        <v>27</v>
      </c>
      <c r="F1512" s="28" t="str">
        <f>F1511</f>
        <v>P093812C1</v>
      </c>
      <c r="G1512" s="28" t="s">
        <v>16</v>
      </c>
      <c r="H1512" s="29" t="str">
        <f>H1510&amp;" / "&amp;H1511</f>
        <v>2006 / 2010</v>
      </c>
      <c r="I1512" s="29" t="str">
        <f>I1511</f>
        <v>Surface Treatment Resurfacing</v>
      </c>
      <c r="J1512" s="97" t="str">
        <f>IFERROR(J1511/J1510,"")</f>
        <v/>
      </c>
      <c r="K1512" s="32">
        <f>K1511/K1510</f>
        <v>0.75524235132347883</v>
      </c>
      <c r="L1512" s="32">
        <f>L1511/L1510</f>
        <v>1.1146666666666667</v>
      </c>
      <c r="M1512" s="28"/>
      <c r="N1512" s="32">
        <f>N1511/N1510</f>
        <v>1.1146666666666667</v>
      </c>
      <c r="O1512" s="32">
        <f>O1511/O1510</f>
        <v>1.4759059323319681</v>
      </c>
      <c r="P1512" s="33" t="str">
        <f>IF(K1512&lt;50%,"x","")</f>
        <v/>
      </c>
      <c r="Q1512" s="33" t="str">
        <f>IF(K1512&gt;150%,"x","")</f>
        <v/>
      </c>
      <c r="R1512" s="33" t="str">
        <f>IF(O1512&lt;50%,"x","")</f>
        <v/>
      </c>
      <c r="S1512" s="33" t="str">
        <f>IF(O1512&gt;150%,"x","")</f>
        <v/>
      </c>
      <c r="T1512" s="33" t="s">
        <v>27</v>
      </c>
      <c r="U1512" s="34" t="s">
        <v>27</v>
      </c>
      <c r="V1512" s="35" t="s">
        <v>27</v>
      </c>
    </row>
    <row r="1513" spans="1:22" ht="16.5" thickTop="1" x14ac:dyDescent="0.25">
      <c r="A1513" s="18" t="s">
        <v>216</v>
      </c>
      <c r="B1513" s="18" t="s">
        <v>950</v>
      </c>
      <c r="C1513" s="18" t="s">
        <v>217</v>
      </c>
      <c r="D1513" s="18" t="s">
        <v>26</v>
      </c>
      <c r="E1513" s="18" t="s">
        <v>36</v>
      </c>
      <c r="F1513" s="18" t="s">
        <v>218</v>
      </c>
      <c r="G1513" s="18" t="s">
        <v>29</v>
      </c>
      <c r="H1513" s="19">
        <v>2007</v>
      </c>
      <c r="I1513" s="18" t="s">
        <v>131</v>
      </c>
      <c r="J1513" s="101">
        <v>27</v>
      </c>
      <c r="K1513" s="20">
        <v>83</v>
      </c>
      <c r="L1513" s="21">
        <v>38</v>
      </c>
      <c r="M1513" s="22" t="s">
        <v>30</v>
      </c>
      <c r="N1513" s="23">
        <v>38</v>
      </c>
      <c r="O1513" s="24">
        <v>0.45783132530120479</v>
      </c>
      <c r="P1513" s="25" t="str">
        <f>IF(P1515="x","x","")</f>
        <v/>
      </c>
      <c r="Q1513" s="25" t="str">
        <f>IF(Q1515="x","x","")</f>
        <v/>
      </c>
      <c r="R1513" s="25" t="str">
        <f>IF(R1515="x","x","")</f>
        <v/>
      </c>
      <c r="S1513" s="25" t="str">
        <f>IF(S1515="x","x","")</f>
        <v/>
      </c>
      <c r="T1513" s="25" t="s">
        <v>27</v>
      </c>
      <c r="U1513" s="26"/>
      <c r="V1513" s="27"/>
    </row>
    <row r="1514" spans="1:22" x14ac:dyDescent="0.25">
      <c r="A1514" s="18" t="s">
        <v>216</v>
      </c>
      <c r="B1514" s="18" t="s">
        <v>950</v>
      </c>
      <c r="C1514" s="18" t="s">
        <v>217</v>
      </c>
      <c r="D1514" s="18" t="s">
        <v>26</v>
      </c>
      <c r="E1514" s="18" t="s">
        <v>36</v>
      </c>
      <c r="F1514" s="18" t="s">
        <v>218</v>
      </c>
      <c r="G1514" s="18" t="s">
        <v>32</v>
      </c>
      <c r="H1514" s="19">
        <v>2015</v>
      </c>
      <c r="I1514" s="18" t="s">
        <v>131</v>
      </c>
      <c r="J1514" s="101">
        <v>33</v>
      </c>
      <c r="K1514" s="20">
        <v>83</v>
      </c>
      <c r="L1514" s="21">
        <v>48.09</v>
      </c>
      <c r="M1514" s="22" t="s">
        <v>30</v>
      </c>
      <c r="N1514" s="23">
        <v>48.09</v>
      </c>
      <c r="O1514" s="24">
        <v>0.57939759036144578</v>
      </c>
      <c r="P1514" s="25" t="str">
        <f>IF(P1515="x","x","")</f>
        <v/>
      </c>
      <c r="Q1514" s="25" t="str">
        <f>IF(Q1515="x","x","")</f>
        <v/>
      </c>
      <c r="R1514" s="25" t="str">
        <f>IF(R1515="x","x","")</f>
        <v/>
      </c>
      <c r="S1514" s="25" t="str">
        <f>IF(S1515="x","x","")</f>
        <v/>
      </c>
      <c r="T1514" s="25" t="s">
        <v>27</v>
      </c>
      <c r="U1514" s="26"/>
      <c r="V1514" s="27"/>
    </row>
    <row r="1515" spans="1:22" ht="16.5" thickBot="1" x14ac:dyDescent="0.3">
      <c r="A1515" s="28" t="str">
        <f>A1514</f>
        <v>Rwanda</v>
      </c>
      <c r="B1515" s="28" t="str">
        <f>B1514</f>
        <v>Sub-Saharan Africa</v>
      </c>
      <c r="C1515" s="28" t="str">
        <f>C1514</f>
        <v>P079414</v>
      </c>
      <c r="D1515" s="28" t="s">
        <v>26</v>
      </c>
      <c r="E1515" s="28" t="s">
        <v>27</v>
      </c>
      <c r="F1515" s="28" t="str">
        <f>F1514</f>
        <v>P079414C1S1</v>
      </c>
      <c r="G1515" s="28" t="s">
        <v>16</v>
      </c>
      <c r="H1515" s="29" t="str">
        <f>H1513&amp;" / "&amp;H1514</f>
        <v>2007 / 2015</v>
      </c>
      <c r="I1515" s="29" t="str">
        <f>I1514</f>
        <v>Partial Widening and Reconstruction</v>
      </c>
      <c r="J1515" s="97">
        <f>IFERROR(J1514/J1513,"")</f>
        <v>1.2222222222222223</v>
      </c>
      <c r="K1515" s="32">
        <f>K1514/K1513</f>
        <v>1</v>
      </c>
      <c r="L1515" s="32">
        <f>L1514/L1513</f>
        <v>1.2655263157894738</v>
      </c>
      <c r="M1515" s="28"/>
      <c r="N1515" s="32">
        <f>N1514/N1513</f>
        <v>1.2655263157894738</v>
      </c>
      <c r="O1515" s="32">
        <f>O1514/O1513</f>
        <v>1.2655263157894738</v>
      </c>
      <c r="P1515" s="33" t="str">
        <f>IF(K1515&lt;50%,"x","")</f>
        <v/>
      </c>
      <c r="Q1515" s="33" t="str">
        <f>IF(K1515&gt;150%,"x","")</f>
        <v/>
      </c>
      <c r="R1515" s="33" t="str">
        <f>IF(O1515&lt;50%,"x","")</f>
        <v/>
      </c>
      <c r="S1515" s="33" t="str">
        <f>IF(O1515&gt;150%,"x","")</f>
        <v/>
      </c>
      <c r="T1515" s="33" t="s">
        <v>27</v>
      </c>
      <c r="U1515" s="34" t="s">
        <v>27</v>
      </c>
      <c r="V1515" s="35" t="s">
        <v>27</v>
      </c>
    </row>
    <row r="1516" spans="1:22" ht="16.5" thickTop="1" x14ac:dyDescent="0.25">
      <c r="A1516" s="18" t="s">
        <v>676</v>
      </c>
      <c r="B1516" s="18" t="s">
        <v>945</v>
      </c>
      <c r="C1516" s="18" t="s">
        <v>677</v>
      </c>
      <c r="D1516" s="18" t="s">
        <v>26</v>
      </c>
      <c r="E1516" s="18" t="s">
        <v>36</v>
      </c>
      <c r="F1516" s="18" t="s">
        <v>678</v>
      </c>
      <c r="G1516" s="18" t="s">
        <v>29</v>
      </c>
      <c r="H1516" s="19">
        <v>2003</v>
      </c>
      <c r="I1516" s="18" t="s">
        <v>78</v>
      </c>
      <c r="J1516" s="101">
        <v>15</v>
      </c>
      <c r="K1516" s="20">
        <v>32</v>
      </c>
      <c r="L1516" s="21">
        <v>2.8</v>
      </c>
      <c r="M1516" s="22" t="s">
        <v>30</v>
      </c>
      <c r="N1516" s="23">
        <v>2.8</v>
      </c>
      <c r="O1516" s="24">
        <v>8.7499999999999994E-2</v>
      </c>
      <c r="P1516" s="25" t="str">
        <f>IF(P1518="x","x","")</f>
        <v/>
      </c>
      <c r="Q1516" s="25" t="str">
        <f>IF(Q1518="x","x","")</f>
        <v/>
      </c>
      <c r="R1516" s="25" t="str">
        <f>IF(R1518="x","x","")</f>
        <v/>
      </c>
      <c r="S1516" s="25" t="str">
        <f>IF(S1518="x","x","")</f>
        <v>x</v>
      </c>
      <c r="T1516" s="25" t="s">
        <v>31</v>
      </c>
      <c r="U1516" s="26"/>
      <c r="V1516" s="27"/>
    </row>
    <row r="1517" spans="1:22" x14ac:dyDescent="0.25">
      <c r="A1517" s="18" t="s">
        <v>676</v>
      </c>
      <c r="B1517" s="18" t="s">
        <v>945</v>
      </c>
      <c r="C1517" s="18" t="s">
        <v>677</v>
      </c>
      <c r="D1517" s="18" t="s">
        <v>26</v>
      </c>
      <c r="E1517" s="18" t="s">
        <v>36</v>
      </c>
      <c r="F1517" s="18" t="s">
        <v>678</v>
      </c>
      <c r="G1517" s="18" t="s">
        <v>32</v>
      </c>
      <c r="H1517" s="19">
        <v>2014</v>
      </c>
      <c r="I1517" s="18" t="s">
        <v>78</v>
      </c>
      <c r="J1517" s="101">
        <v>19</v>
      </c>
      <c r="K1517" s="20">
        <v>30</v>
      </c>
      <c r="L1517" s="21">
        <v>10.18</v>
      </c>
      <c r="M1517" s="22" t="s">
        <v>30</v>
      </c>
      <c r="N1517" s="23">
        <v>10.18</v>
      </c>
      <c r="O1517" s="24">
        <v>0.33933333333333332</v>
      </c>
      <c r="P1517" s="25" t="str">
        <f>IF(P1518="x","x","")</f>
        <v/>
      </c>
      <c r="Q1517" s="25" t="str">
        <f>IF(Q1518="x","x","")</f>
        <v/>
      </c>
      <c r="R1517" s="25" t="str">
        <f>IF(R1518="x","x","")</f>
        <v/>
      </c>
      <c r="S1517" s="25" t="str">
        <f>IF(S1518="x","x","")</f>
        <v>x</v>
      </c>
      <c r="T1517" s="25" t="s">
        <v>31</v>
      </c>
      <c r="U1517" s="26"/>
      <c r="V1517" s="27"/>
    </row>
    <row r="1518" spans="1:22" ht="79.5" thickBot="1" x14ac:dyDescent="0.3">
      <c r="A1518" s="28" t="str">
        <f>A1517</f>
        <v>Samoa</v>
      </c>
      <c r="B1518" s="28" t="str">
        <f>B1517</f>
        <v>East Asia and Pacific</v>
      </c>
      <c r="C1518" s="28" t="str">
        <f>C1517</f>
        <v>P075523</v>
      </c>
      <c r="D1518" s="28" t="s">
        <v>26</v>
      </c>
      <c r="E1518" s="28" t="s">
        <v>27</v>
      </c>
      <c r="F1518" s="28" t="str">
        <f>F1517</f>
        <v>P075523C1S1</v>
      </c>
      <c r="G1518" s="28" t="s">
        <v>16</v>
      </c>
      <c r="H1518" s="29" t="str">
        <f>H1516&amp;" / "&amp;H1517</f>
        <v>2003 / 2014</v>
      </c>
      <c r="I1518" s="29" t="str">
        <f>I1517</f>
        <v>Surface Treatment Resurfacing</v>
      </c>
      <c r="J1518" s="97">
        <f>IFERROR(J1517/J1516,"")</f>
        <v>1.2666666666666666</v>
      </c>
      <c r="K1518" s="32">
        <f>K1517/K1516</f>
        <v>0.9375</v>
      </c>
      <c r="L1518" s="32">
        <f>L1517/L1516</f>
        <v>3.6357142857142857</v>
      </c>
      <c r="M1518" s="28"/>
      <c r="N1518" s="32">
        <f>N1517/N1516</f>
        <v>3.6357142857142857</v>
      </c>
      <c r="O1518" s="32">
        <f>O1517/O1516</f>
        <v>3.8780952380952383</v>
      </c>
      <c r="P1518" s="33" t="str">
        <f>IF(K1518&lt;50%,"x","")</f>
        <v/>
      </c>
      <c r="Q1518" s="33" t="str">
        <f>IF(K1518&gt;150%,"x","")</f>
        <v/>
      </c>
      <c r="R1518" s="33" t="str">
        <f>IF(O1518&lt;50%,"x","")</f>
        <v/>
      </c>
      <c r="S1518" s="33" t="str">
        <f>IF(O1518&gt;150%,"x","")</f>
        <v>x</v>
      </c>
      <c r="T1518" s="33" t="s">
        <v>31</v>
      </c>
      <c r="U1518" s="34" t="s">
        <v>1044</v>
      </c>
      <c r="V1518" s="35" t="s">
        <v>1045</v>
      </c>
    </row>
    <row r="1519" spans="1:22" ht="16.5" thickTop="1" x14ac:dyDescent="0.25">
      <c r="A1519" s="18" t="s">
        <v>676</v>
      </c>
      <c r="B1519" s="18" t="s">
        <v>945</v>
      </c>
      <c r="C1519" s="18" t="s">
        <v>677</v>
      </c>
      <c r="D1519" s="18" t="s">
        <v>26</v>
      </c>
      <c r="E1519" s="18" t="s">
        <v>40</v>
      </c>
      <c r="F1519" s="18" t="s">
        <v>679</v>
      </c>
      <c r="G1519" s="18" t="s">
        <v>29</v>
      </c>
      <c r="H1519" s="19">
        <v>2003</v>
      </c>
      <c r="I1519" s="18" t="s">
        <v>56</v>
      </c>
      <c r="J1519" s="101">
        <v>24</v>
      </c>
      <c r="K1519" s="20">
        <v>3.4000000000000004</v>
      </c>
      <c r="L1519" s="21">
        <v>2.48</v>
      </c>
      <c r="M1519" s="22" t="s">
        <v>30</v>
      </c>
      <c r="N1519" s="23">
        <v>2.48</v>
      </c>
      <c r="O1519" s="24">
        <v>0.72941176470588232</v>
      </c>
      <c r="P1519" s="25" t="str">
        <f>IF(P1521="x","x","")</f>
        <v/>
      </c>
      <c r="Q1519" s="25" t="str">
        <f>IF(Q1521="x","x","")</f>
        <v/>
      </c>
      <c r="R1519" s="25" t="str">
        <f>IF(R1521="x","x","")</f>
        <v/>
      </c>
      <c r="S1519" s="25" t="str">
        <f>IF(S1521="x","x","")</f>
        <v>x</v>
      </c>
      <c r="T1519" s="25" t="s">
        <v>31</v>
      </c>
      <c r="U1519" s="26"/>
      <c r="V1519" s="27"/>
    </row>
    <row r="1520" spans="1:22" x14ac:dyDescent="0.25">
      <c r="A1520" s="18" t="s">
        <v>676</v>
      </c>
      <c r="B1520" s="18" t="s">
        <v>945</v>
      </c>
      <c r="C1520" s="18" t="s">
        <v>677</v>
      </c>
      <c r="D1520" s="18" t="s">
        <v>26</v>
      </c>
      <c r="E1520" s="18" t="s">
        <v>40</v>
      </c>
      <c r="F1520" s="18" t="s">
        <v>679</v>
      </c>
      <c r="G1520" s="18" t="s">
        <v>32</v>
      </c>
      <c r="H1520" s="19">
        <v>2014</v>
      </c>
      <c r="I1520" s="18" t="s">
        <v>56</v>
      </c>
      <c r="J1520" s="101">
        <v>24</v>
      </c>
      <c r="K1520" s="20">
        <v>3.4000000000000004</v>
      </c>
      <c r="L1520" s="21">
        <v>10.93</v>
      </c>
      <c r="M1520" s="22" t="s">
        <v>30</v>
      </c>
      <c r="N1520" s="23">
        <v>10.93</v>
      </c>
      <c r="O1520" s="24">
        <v>3.2147058823529409</v>
      </c>
      <c r="P1520" s="25" t="str">
        <f>IF(P1521="x","x","")</f>
        <v/>
      </c>
      <c r="Q1520" s="25" t="str">
        <f>IF(Q1521="x","x","")</f>
        <v/>
      </c>
      <c r="R1520" s="25" t="str">
        <f>IF(R1521="x","x","")</f>
        <v/>
      </c>
      <c r="S1520" s="25" t="str">
        <f>IF(S1521="x","x","")</f>
        <v>x</v>
      </c>
      <c r="T1520" s="25" t="s">
        <v>31</v>
      </c>
      <c r="U1520" s="26"/>
      <c r="V1520" s="27"/>
    </row>
    <row r="1521" spans="1:22" ht="79.5" thickBot="1" x14ac:dyDescent="0.3">
      <c r="A1521" s="28" t="str">
        <f>A1520</f>
        <v>Samoa</v>
      </c>
      <c r="B1521" s="28" t="str">
        <f>B1520</f>
        <v>East Asia and Pacific</v>
      </c>
      <c r="C1521" s="28" t="str">
        <f>C1520</f>
        <v>P075523</v>
      </c>
      <c r="D1521" s="28" t="s">
        <v>26</v>
      </c>
      <c r="E1521" s="28" t="s">
        <v>27</v>
      </c>
      <c r="F1521" s="28" t="str">
        <f>F1520</f>
        <v>P075523C1S2</v>
      </c>
      <c r="G1521" s="28" t="s">
        <v>16</v>
      </c>
      <c r="H1521" s="29" t="str">
        <f>H1519&amp;" / "&amp;H1520</f>
        <v>2003 / 2014</v>
      </c>
      <c r="I1521" s="29" t="str">
        <f>I1520</f>
        <v>Widening</v>
      </c>
      <c r="J1521" s="97">
        <f>IFERROR(J1520/J1519,"")</f>
        <v>1</v>
      </c>
      <c r="K1521" s="32">
        <f>K1520/K1519</f>
        <v>1</v>
      </c>
      <c r="L1521" s="32">
        <f>L1520/L1519</f>
        <v>4.407258064516129</v>
      </c>
      <c r="M1521" s="28"/>
      <c r="N1521" s="32">
        <f>N1520/N1519</f>
        <v>4.407258064516129</v>
      </c>
      <c r="O1521" s="32">
        <f>O1520/O1519</f>
        <v>4.407258064516129</v>
      </c>
      <c r="P1521" s="33" t="str">
        <f>IF(K1521&lt;50%,"x","")</f>
        <v/>
      </c>
      <c r="Q1521" s="33" t="str">
        <f>IF(K1521&gt;150%,"x","")</f>
        <v/>
      </c>
      <c r="R1521" s="33" t="str">
        <f>IF(O1521&lt;50%,"x","")</f>
        <v/>
      </c>
      <c r="S1521" s="33" t="str">
        <f>IF(O1521&gt;150%,"x","")</f>
        <v>x</v>
      </c>
      <c r="T1521" s="33" t="s">
        <v>31</v>
      </c>
      <c r="U1521" s="34" t="s">
        <v>1044</v>
      </c>
      <c r="V1521" s="35" t="s">
        <v>1045</v>
      </c>
    </row>
    <row r="1522" spans="1:22" ht="16.5" thickTop="1" x14ac:dyDescent="0.25">
      <c r="A1522" s="18" t="s">
        <v>676</v>
      </c>
      <c r="B1522" s="18" t="s">
        <v>945</v>
      </c>
      <c r="C1522" s="18" t="s">
        <v>677</v>
      </c>
      <c r="D1522" s="18" t="s">
        <v>26</v>
      </c>
      <c r="E1522" s="18" t="s">
        <v>69</v>
      </c>
      <c r="F1522" s="18" t="s">
        <v>680</v>
      </c>
      <c r="G1522" s="18" t="s">
        <v>29</v>
      </c>
      <c r="H1522" s="19">
        <v>2003</v>
      </c>
      <c r="I1522" s="18" t="s">
        <v>387</v>
      </c>
      <c r="J1522" s="101">
        <v>12</v>
      </c>
      <c r="K1522" s="20">
        <v>3.9</v>
      </c>
      <c r="L1522" s="21">
        <v>0.6</v>
      </c>
      <c r="M1522" s="22" t="s">
        <v>30</v>
      </c>
      <c r="N1522" s="23">
        <v>0.6</v>
      </c>
      <c r="O1522" s="24">
        <v>0.15384615384615385</v>
      </c>
      <c r="P1522" s="25" t="str">
        <f>IF(P1524="x","x","")</f>
        <v/>
      </c>
      <c r="Q1522" s="25" t="str">
        <f>IF(Q1524="x","x","")</f>
        <v/>
      </c>
      <c r="R1522" s="25" t="str">
        <f>IF(R1524="x","x","")</f>
        <v/>
      </c>
      <c r="S1522" s="25" t="str">
        <f>IF(S1524="x","x","")</f>
        <v>x</v>
      </c>
      <c r="T1522" s="25" t="s">
        <v>31</v>
      </c>
      <c r="U1522" s="26"/>
      <c r="V1522" s="27"/>
    </row>
    <row r="1523" spans="1:22" x14ac:dyDescent="0.25">
      <c r="A1523" s="18" t="s">
        <v>676</v>
      </c>
      <c r="B1523" s="18" t="s">
        <v>945</v>
      </c>
      <c r="C1523" s="18" t="s">
        <v>677</v>
      </c>
      <c r="D1523" s="18" t="s">
        <v>26</v>
      </c>
      <c r="E1523" s="18" t="s">
        <v>69</v>
      </c>
      <c r="F1523" s="18" t="s">
        <v>680</v>
      </c>
      <c r="G1523" s="18" t="s">
        <v>32</v>
      </c>
      <c r="H1523" s="19">
        <v>2014</v>
      </c>
      <c r="I1523" s="18" t="s">
        <v>387</v>
      </c>
      <c r="J1523" s="101">
        <v>4</v>
      </c>
      <c r="K1523" s="20">
        <v>3.93</v>
      </c>
      <c r="L1523" s="21">
        <v>2.3199999999999998</v>
      </c>
      <c r="M1523" s="22" t="s">
        <v>30</v>
      </c>
      <c r="N1523" s="23">
        <v>2.3199999999999998</v>
      </c>
      <c r="O1523" s="24">
        <v>0.59033078880407119</v>
      </c>
      <c r="P1523" s="25" t="str">
        <f>IF(P1524="x","x","")</f>
        <v/>
      </c>
      <c r="Q1523" s="25" t="str">
        <f>IF(Q1524="x","x","")</f>
        <v/>
      </c>
      <c r="R1523" s="25" t="str">
        <f>IF(R1524="x","x","")</f>
        <v/>
      </c>
      <c r="S1523" s="25" t="str">
        <f>IF(S1524="x","x","")</f>
        <v>x</v>
      </c>
      <c r="T1523" s="25" t="s">
        <v>31</v>
      </c>
      <c r="U1523" s="26"/>
      <c r="V1523" s="27"/>
    </row>
    <row r="1524" spans="1:22" ht="79.5" thickBot="1" x14ac:dyDescent="0.3">
      <c r="A1524" s="28" t="str">
        <f>A1523</f>
        <v>Samoa</v>
      </c>
      <c r="B1524" s="28" t="str">
        <f>B1523</f>
        <v>East Asia and Pacific</v>
      </c>
      <c r="C1524" s="28" t="str">
        <f>C1523</f>
        <v>P075523</v>
      </c>
      <c r="D1524" s="28" t="s">
        <v>26</v>
      </c>
      <c r="E1524" s="28" t="s">
        <v>27</v>
      </c>
      <c r="F1524" s="28" t="str">
        <f>F1523</f>
        <v>P075523C1S3</v>
      </c>
      <c r="G1524" s="28" t="s">
        <v>16</v>
      </c>
      <c r="H1524" s="29" t="str">
        <f>H1522&amp;" / "&amp;H1523</f>
        <v>2003 / 2014</v>
      </c>
      <c r="I1524" s="29" t="str">
        <f>I1523</f>
        <v>Upgrading</v>
      </c>
      <c r="J1524" s="97">
        <f>IFERROR(J1523/J1522,"")</f>
        <v>0.33333333333333331</v>
      </c>
      <c r="K1524" s="32">
        <f>K1523/K1522</f>
        <v>1.0076923076923077</v>
      </c>
      <c r="L1524" s="32">
        <f>L1523/L1522</f>
        <v>3.8666666666666667</v>
      </c>
      <c r="M1524" s="28"/>
      <c r="N1524" s="32">
        <f>N1523/N1522</f>
        <v>3.8666666666666667</v>
      </c>
      <c r="O1524" s="32">
        <f>O1523/O1522</f>
        <v>3.8371501272264625</v>
      </c>
      <c r="P1524" s="33" t="str">
        <f>IF(K1524&lt;50%,"x","")</f>
        <v/>
      </c>
      <c r="Q1524" s="33" t="str">
        <f>IF(K1524&gt;150%,"x","")</f>
        <v/>
      </c>
      <c r="R1524" s="33" t="str">
        <f>IF(O1524&lt;50%,"x","")</f>
        <v/>
      </c>
      <c r="S1524" s="33" t="str">
        <f>IF(O1524&gt;150%,"x","")</f>
        <v>x</v>
      </c>
      <c r="T1524" s="33" t="s">
        <v>31</v>
      </c>
      <c r="U1524" s="34" t="s">
        <v>1044</v>
      </c>
      <c r="V1524" s="35" t="s">
        <v>1045</v>
      </c>
    </row>
    <row r="1525" spans="1:22" ht="16.5" thickTop="1" x14ac:dyDescent="0.25">
      <c r="A1525" s="18" t="s">
        <v>435</v>
      </c>
      <c r="B1525" s="18" t="s">
        <v>950</v>
      </c>
      <c r="C1525" s="18" t="s">
        <v>436</v>
      </c>
      <c r="D1525" s="18" t="s">
        <v>26</v>
      </c>
      <c r="E1525" s="18" t="s">
        <v>27</v>
      </c>
      <c r="F1525" s="18" t="s">
        <v>437</v>
      </c>
      <c r="G1525" s="18" t="s">
        <v>29</v>
      </c>
      <c r="H1525" s="19">
        <v>2000</v>
      </c>
      <c r="I1525" s="18" t="s">
        <v>359</v>
      </c>
      <c r="J1525" s="101" t="s">
        <v>27</v>
      </c>
      <c r="K1525" s="20">
        <v>39</v>
      </c>
      <c r="L1525" s="21">
        <v>37.54</v>
      </c>
      <c r="M1525" s="22" t="s">
        <v>30</v>
      </c>
      <c r="N1525" s="23">
        <v>37.54</v>
      </c>
      <c r="O1525" s="24">
        <v>0.96256410256410252</v>
      </c>
      <c r="P1525" s="25" t="str">
        <f>IF(P1527="x","x","")</f>
        <v/>
      </c>
      <c r="Q1525" s="25" t="str">
        <f>IF(Q1527="x","x","")</f>
        <v/>
      </c>
      <c r="R1525" s="25" t="str">
        <f>IF(R1527="x","x","")</f>
        <v/>
      </c>
      <c r="S1525" s="25" t="str">
        <f>IF(S1527="x","x","")</f>
        <v>x</v>
      </c>
      <c r="T1525" s="25" t="s">
        <v>31</v>
      </c>
      <c r="U1525" s="26"/>
      <c r="V1525" s="27"/>
    </row>
    <row r="1526" spans="1:22" x14ac:dyDescent="0.25">
      <c r="A1526" s="18" t="s">
        <v>435</v>
      </c>
      <c r="B1526" s="18" t="s">
        <v>950</v>
      </c>
      <c r="C1526" s="18" t="s">
        <v>436</v>
      </c>
      <c r="D1526" s="18" t="s">
        <v>26</v>
      </c>
      <c r="E1526" s="18" t="s">
        <v>27</v>
      </c>
      <c r="F1526" s="18" t="s">
        <v>437</v>
      </c>
      <c r="G1526" s="18" t="s">
        <v>32</v>
      </c>
      <c r="H1526" s="19">
        <v>2009</v>
      </c>
      <c r="I1526" s="18" t="s">
        <v>359</v>
      </c>
      <c r="J1526" s="101" t="s">
        <v>27</v>
      </c>
      <c r="K1526" s="20">
        <v>27</v>
      </c>
      <c r="L1526" s="21">
        <v>87.74</v>
      </c>
      <c r="M1526" s="22" t="s">
        <v>30</v>
      </c>
      <c r="N1526" s="23">
        <v>87.74</v>
      </c>
      <c r="O1526" s="24">
        <v>3.2496296296296294</v>
      </c>
      <c r="P1526" s="25" t="str">
        <f>IF(P1527="x","x","")</f>
        <v/>
      </c>
      <c r="Q1526" s="25" t="str">
        <f>IF(Q1527="x","x","")</f>
        <v/>
      </c>
      <c r="R1526" s="25" t="str">
        <f>IF(R1527="x","x","")</f>
        <v/>
      </c>
      <c r="S1526" s="25" t="str">
        <f>IF(S1527="x","x","")</f>
        <v>x</v>
      </c>
      <c r="T1526" s="25" t="s">
        <v>31</v>
      </c>
      <c r="U1526" s="26"/>
      <c r="V1526" s="27"/>
    </row>
    <row r="1527" spans="1:22" ht="63.75" thickBot="1" x14ac:dyDescent="0.3">
      <c r="A1527" s="28" t="str">
        <f>A1526</f>
        <v>Senegal</v>
      </c>
      <c r="B1527" s="28" t="str">
        <f>B1526</f>
        <v>Sub-Saharan Africa</v>
      </c>
      <c r="C1527" s="28" t="str">
        <f>C1526</f>
        <v>P055472</v>
      </c>
      <c r="D1527" s="28" t="s">
        <v>26</v>
      </c>
      <c r="E1527" s="28" t="s">
        <v>27</v>
      </c>
      <c r="F1527" s="28" t="str">
        <f>F1526</f>
        <v>P055472C1</v>
      </c>
      <c r="G1527" s="28" t="s">
        <v>16</v>
      </c>
      <c r="H1527" s="29" t="str">
        <f>H1525&amp;" / "&amp;H1526</f>
        <v>2000 / 2009</v>
      </c>
      <c r="I1527" s="29" t="str">
        <f>I1526</f>
        <v>Reconstruction</v>
      </c>
      <c r="J1527" s="97" t="str">
        <f>IFERROR(J1526/J1525,"")</f>
        <v/>
      </c>
      <c r="K1527" s="32">
        <f>K1526/K1525</f>
        <v>0.69230769230769229</v>
      </c>
      <c r="L1527" s="32">
        <f>L1526/L1525</f>
        <v>2.3372402770378264</v>
      </c>
      <c r="M1527" s="28"/>
      <c r="N1527" s="32">
        <f>N1526/N1525</f>
        <v>2.3372402770378264</v>
      </c>
      <c r="O1527" s="32">
        <f>O1526/O1525</f>
        <v>3.3760137334990823</v>
      </c>
      <c r="P1527" s="33" t="str">
        <f>IF(K1527&lt;50%,"x","")</f>
        <v/>
      </c>
      <c r="Q1527" s="33" t="str">
        <f>IF(K1527&gt;150%,"x","")</f>
        <v/>
      </c>
      <c r="R1527" s="33" t="str">
        <f>IF(O1527&lt;50%,"x","")</f>
        <v/>
      </c>
      <c r="S1527" s="33" t="str">
        <f>IF(O1527&gt;150%,"x","")</f>
        <v>x</v>
      </c>
      <c r="T1527" s="33" t="s">
        <v>31</v>
      </c>
      <c r="U1527" s="34" t="s">
        <v>980</v>
      </c>
      <c r="V1527" s="35" t="s">
        <v>981</v>
      </c>
    </row>
    <row r="1528" spans="1:22" ht="16.5" thickTop="1" x14ac:dyDescent="0.25">
      <c r="A1528" s="18" t="s">
        <v>207</v>
      </c>
      <c r="B1528" s="18" t="s">
        <v>950</v>
      </c>
      <c r="C1528" s="18" t="s">
        <v>208</v>
      </c>
      <c r="D1528" s="18" t="s">
        <v>26</v>
      </c>
      <c r="E1528" s="18" t="s">
        <v>27</v>
      </c>
      <c r="F1528" s="18" t="s">
        <v>209</v>
      </c>
      <c r="G1528" s="18" t="s">
        <v>29</v>
      </c>
      <c r="H1528" s="19">
        <v>2005</v>
      </c>
      <c r="I1528" s="18" t="s">
        <v>122</v>
      </c>
      <c r="J1528" s="101" t="s">
        <v>27</v>
      </c>
      <c r="K1528" s="20">
        <v>506</v>
      </c>
      <c r="L1528" s="21">
        <v>21.05</v>
      </c>
      <c r="M1528" s="22" t="s">
        <v>30</v>
      </c>
      <c r="N1528" s="23">
        <v>21.05</v>
      </c>
      <c r="O1528" s="24">
        <v>4.1600790513833995E-2</v>
      </c>
      <c r="P1528" s="25" t="str">
        <f>IF(P1530="x","x","")</f>
        <v/>
      </c>
      <c r="Q1528" s="25" t="str">
        <f>IF(Q1530="x","x","")</f>
        <v/>
      </c>
      <c r="R1528" s="25" t="str">
        <f>IF(R1530="x","x","")</f>
        <v/>
      </c>
      <c r="S1528" s="25" t="str">
        <f>IF(S1530="x","x","")</f>
        <v>x</v>
      </c>
      <c r="T1528" s="25" t="s">
        <v>31</v>
      </c>
      <c r="U1528" s="26"/>
      <c r="V1528" s="27"/>
    </row>
    <row r="1529" spans="1:22" x14ac:dyDescent="0.25">
      <c r="A1529" s="18" t="s">
        <v>207</v>
      </c>
      <c r="B1529" s="18" t="s">
        <v>950</v>
      </c>
      <c r="C1529" s="18" t="s">
        <v>208</v>
      </c>
      <c r="D1529" s="18" t="s">
        <v>26</v>
      </c>
      <c r="E1529" s="18" t="s">
        <v>27</v>
      </c>
      <c r="F1529" s="18" t="s">
        <v>209</v>
      </c>
      <c r="G1529" s="18" t="s">
        <v>32</v>
      </c>
      <c r="H1529" s="19">
        <v>2014</v>
      </c>
      <c r="I1529" s="18" t="s">
        <v>122</v>
      </c>
      <c r="J1529" s="101" t="s">
        <v>27</v>
      </c>
      <c r="K1529" s="20">
        <v>376</v>
      </c>
      <c r="L1529" s="21">
        <v>26.28</v>
      </c>
      <c r="M1529" s="22" t="s">
        <v>30</v>
      </c>
      <c r="N1529" s="23">
        <v>26.28</v>
      </c>
      <c r="O1529" s="24">
        <v>6.9893617021276597E-2</v>
      </c>
      <c r="P1529" s="25" t="str">
        <f>IF(P1530="x","x","")</f>
        <v/>
      </c>
      <c r="Q1529" s="25" t="str">
        <f>IF(Q1530="x","x","")</f>
        <v/>
      </c>
      <c r="R1529" s="25" t="str">
        <f>IF(R1530="x","x","")</f>
        <v/>
      </c>
      <c r="S1529" s="25" t="str">
        <f>IF(S1530="x","x","")</f>
        <v>x</v>
      </c>
      <c r="T1529" s="25" t="s">
        <v>31</v>
      </c>
      <c r="U1529" s="26"/>
      <c r="V1529" s="27"/>
    </row>
    <row r="1530" spans="1:22" ht="48" thickBot="1" x14ac:dyDescent="0.3">
      <c r="A1530" s="28" t="str">
        <f>A1529</f>
        <v>Sierra Leone</v>
      </c>
      <c r="B1530" s="28" t="str">
        <f>B1529</f>
        <v>Sub-Saharan Africa</v>
      </c>
      <c r="C1530" s="28" t="str">
        <f>C1529</f>
        <v>P078389</v>
      </c>
      <c r="D1530" s="28" t="s">
        <v>26</v>
      </c>
      <c r="E1530" s="28" t="s">
        <v>27</v>
      </c>
      <c r="F1530" s="28" t="str">
        <f>F1529</f>
        <v>P078389C1</v>
      </c>
      <c r="G1530" s="28" t="s">
        <v>16</v>
      </c>
      <c r="H1530" s="29" t="str">
        <f>H1528&amp;" / "&amp;H1529</f>
        <v>2005 / 2014</v>
      </c>
      <c r="I1530" s="29" t="str">
        <f>I1529</f>
        <v>Gravel Resurfacing</v>
      </c>
      <c r="J1530" s="97" t="str">
        <f>IFERROR(J1529/J1528,"")</f>
        <v/>
      </c>
      <c r="K1530" s="32">
        <f>K1529/K1528</f>
        <v>0.74308300395256921</v>
      </c>
      <c r="L1530" s="32">
        <f>L1529/L1528</f>
        <v>1.2484560570071259</v>
      </c>
      <c r="M1530" s="28"/>
      <c r="N1530" s="32">
        <f>N1529/N1528</f>
        <v>1.2484560570071259</v>
      </c>
      <c r="O1530" s="32">
        <f>O1529/O1528</f>
        <v>1.680103097993632</v>
      </c>
      <c r="P1530" s="33" t="str">
        <f>IF(K1530&lt;50%,"x","")</f>
        <v/>
      </c>
      <c r="Q1530" s="33" t="str">
        <f>IF(K1530&gt;150%,"x","")</f>
        <v/>
      </c>
      <c r="R1530" s="33" t="str">
        <f>IF(O1530&lt;50%,"x","")</f>
        <v/>
      </c>
      <c r="S1530" s="33" t="str">
        <f>IF(O1530&gt;150%,"x","")</f>
        <v>x</v>
      </c>
      <c r="T1530" s="33" t="s">
        <v>31</v>
      </c>
      <c r="U1530" s="34" t="s">
        <v>1153</v>
      </c>
      <c r="V1530" s="35" t="s">
        <v>1154</v>
      </c>
    </row>
    <row r="1531" spans="1:22" ht="16.5" thickTop="1" x14ac:dyDescent="0.25">
      <c r="A1531" s="18" t="s">
        <v>918</v>
      </c>
      <c r="B1531" s="18" t="s">
        <v>950</v>
      </c>
      <c r="C1531" s="18" t="s">
        <v>919</v>
      </c>
      <c r="D1531" s="18" t="s">
        <v>26</v>
      </c>
      <c r="E1531" s="18" t="s">
        <v>36</v>
      </c>
      <c r="F1531" s="18" t="s">
        <v>920</v>
      </c>
      <c r="G1531" s="18" t="s">
        <v>29</v>
      </c>
      <c r="H1531" s="19">
        <v>2010</v>
      </c>
      <c r="I1531" s="18" t="s">
        <v>44</v>
      </c>
      <c r="J1531" s="101" t="s">
        <v>27</v>
      </c>
      <c r="K1531" s="20">
        <v>363</v>
      </c>
      <c r="L1531" s="21">
        <v>7.76</v>
      </c>
      <c r="M1531" s="22" t="s">
        <v>30</v>
      </c>
      <c r="N1531" s="23">
        <v>7.76</v>
      </c>
      <c r="O1531" s="24">
        <v>2.137741046831956E-2</v>
      </c>
      <c r="P1531" s="25" t="str">
        <f>IF(P1533="x","x","")</f>
        <v/>
      </c>
      <c r="Q1531" s="25" t="str">
        <f>IF(Q1533="x","x","")</f>
        <v/>
      </c>
      <c r="R1531" s="25" t="str">
        <f>IF(R1533="x","x","")</f>
        <v/>
      </c>
      <c r="S1531" s="25" t="str">
        <f>IF(S1533="x","x","")</f>
        <v/>
      </c>
      <c r="T1531" s="25" t="s">
        <v>27</v>
      </c>
      <c r="U1531" s="26"/>
      <c r="V1531" s="27"/>
    </row>
    <row r="1532" spans="1:22" x14ac:dyDescent="0.25">
      <c r="A1532" s="18" t="s">
        <v>918</v>
      </c>
      <c r="B1532" s="18" t="s">
        <v>950</v>
      </c>
      <c r="C1532" s="18" t="s">
        <v>919</v>
      </c>
      <c r="D1532" s="18" t="s">
        <v>26</v>
      </c>
      <c r="E1532" s="18" t="s">
        <v>36</v>
      </c>
      <c r="F1532" s="18" t="s">
        <v>920</v>
      </c>
      <c r="G1532" s="18" t="s">
        <v>32</v>
      </c>
      <c r="H1532" s="19">
        <v>2013</v>
      </c>
      <c r="I1532" s="18" t="s">
        <v>44</v>
      </c>
      <c r="J1532" s="101">
        <v>14</v>
      </c>
      <c r="K1532" s="20">
        <v>308</v>
      </c>
      <c r="L1532" s="21">
        <v>7.6363245700000002</v>
      </c>
      <c r="M1532" s="22" t="s">
        <v>30</v>
      </c>
      <c r="N1532" s="23">
        <v>7.6363245700000002</v>
      </c>
      <c r="O1532" s="24">
        <v>2.4793261590909093E-2</v>
      </c>
      <c r="P1532" s="25" t="str">
        <f>IF(P1533="x","x","")</f>
        <v/>
      </c>
      <c r="Q1532" s="25" t="str">
        <f>IF(Q1533="x","x","")</f>
        <v/>
      </c>
      <c r="R1532" s="25" t="str">
        <f>IF(R1533="x","x","")</f>
        <v/>
      </c>
      <c r="S1532" s="25" t="str">
        <f>IF(S1533="x","x","")</f>
        <v/>
      </c>
      <c r="T1532" s="25" t="s">
        <v>27</v>
      </c>
      <c r="U1532" s="26"/>
      <c r="V1532" s="27"/>
    </row>
    <row r="1533" spans="1:22" ht="16.5" thickBot="1" x14ac:dyDescent="0.3">
      <c r="A1533" s="28" t="str">
        <f>A1532</f>
        <v>South Sudan</v>
      </c>
      <c r="B1533" s="28" t="str">
        <f>B1532</f>
        <v>Sub-Saharan Africa</v>
      </c>
      <c r="C1533" s="28" t="str">
        <f>C1532</f>
        <v>P118579</v>
      </c>
      <c r="D1533" s="28" t="s">
        <v>26</v>
      </c>
      <c r="E1533" s="28" t="s">
        <v>27</v>
      </c>
      <c r="F1533" s="28" t="str">
        <f>F1532</f>
        <v>P118579C1S1</v>
      </c>
      <c r="G1533" s="28" t="s">
        <v>16</v>
      </c>
      <c r="H1533" s="29" t="str">
        <f>H1531&amp;" / "&amp;H1532</f>
        <v>2010 / 2013</v>
      </c>
      <c r="I1533" s="29" t="str">
        <f>I1532</f>
        <v>Routine Maintenance</v>
      </c>
      <c r="J1533" s="97" t="str">
        <f>IFERROR(J1532/J1531,"")</f>
        <v/>
      </c>
      <c r="K1533" s="32">
        <f>K1532/K1531</f>
        <v>0.84848484848484851</v>
      </c>
      <c r="L1533" s="32">
        <f>L1532/L1531</f>
        <v>0.98406244458762893</v>
      </c>
      <c r="M1533" s="28"/>
      <c r="N1533" s="32">
        <f>N1532/N1531</f>
        <v>0.98406244458762893</v>
      </c>
      <c r="O1533" s="32">
        <f>O1532/O1531</f>
        <v>1.1597878811211342</v>
      </c>
      <c r="P1533" s="33" t="str">
        <f>IF(K1533&lt;50%,"x","")</f>
        <v/>
      </c>
      <c r="Q1533" s="33" t="str">
        <f>IF(K1533&gt;150%,"x","")</f>
        <v/>
      </c>
      <c r="R1533" s="33" t="str">
        <f>IF(O1533&lt;50%,"x","")</f>
        <v/>
      </c>
      <c r="S1533" s="33" t="str">
        <f>IF(O1533&gt;150%,"x","")</f>
        <v/>
      </c>
      <c r="T1533" s="33" t="s">
        <v>27</v>
      </c>
      <c r="U1533" s="34" t="s">
        <v>27</v>
      </c>
      <c r="V1533" s="35" t="s">
        <v>27</v>
      </c>
    </row>
    <row r="1534" spans="1:22" ht="16.5" thickTop="1" x14ac:dyDescent="0.25">
      <c r="A1534" s="18" t="s">
        <v>918</v>
      </c>
      <c r="B1534" s="18" t="s">
        <v>950</v>
      </c>
      <c r="C1534" s="18" t="s">
        <v>919</v>
      </c>
      <c r="D1534" s="18" t="s">
        <v>26</v>
      </c>
      <c r="E1534" s="18" t="s">
        <v>40</v>
      </c>
      <c r="F1534" s="18" t="s">
        <v>922</v>
      </c>
      <c r="G1534" s="18" t="s">
        <v>29</v>
      </c>
      <c r="H1534" s="19">
        <v>2010</v>
      </c>
      <c r="I1534" s="18" t="s">
        <v>44</v>
      </c>
      <c r="J1534" s="101" t="s">
        <v>27</v>
      </c>
      <c r="K1534" s="20">
        <v>160</v>
      </c>
      <c r="L1534" s="21">
        <v>4.25</v>
      </c>
      <c r="M1534" s="22" t="s">
        <v>30</v>
      </c>
      <c r="N1534" s="23">
        <v>4.25</v>
      </c>
      <c r="O1534" s="24">
        <v>2.6562499999999999E-2</v>
      </c>
      <c r="P1534" s="25" t="str">
        <f>IF(P1536="x","x","")</f>
        <v/>
      </c>
      <c r="Q1534" s="25" t="str">
        <f>IF(Q1536="x","x","")</f>
        <v/>
      </c>
      <c r="R1534" s="25" t="str">
        <f>IF(R1536="x","x","")</f>
        <v/>
      </c>
      <c r="S1534" s="25" t="str">
        <f>IF(S1536="x","x","")</f>
        <v/>
      </c>
      <c r="T1534" s="25" t="s">
        <v>27</v>
      </c>
      <c r="U1534" s="26"/>
      <c r="V1534" s="27"/>
    </row>
    <row r="1535" spans="1:22" x14ac:dyDescent="0.25">
      <c r="A1535" s="18" t="s">
        <v>918</v>
      </c>
      <c r="B1535" s="18" t="s">
        <v>950</v>
      </c>
      <c r="C1535" s="18" t="s">
        <v>919</v>
      </c>
      <c r="D1535" s="18" t="s">
        <v>26</v>
      </c>
      <c r="E1535" s="18" t="s">
        <v>40</v>
      </c>
      <c r="F1535" s="18" t="s">
        <v>922</v>
      </c>
      <c r="G1535" s="18" t="s">
        <v>32</v>
      </c>
      <c r="H1535" s="19">
        <v>2013</v>
      </c>
      <c r="I1535" s="18" t="s">
        <v>44</v>
      </c>
      <c r="J1535" s="101">
        <v>13</v>
      </c>
      <c r="K1535" s="20">
        <v>113</v>
      </c>
      <c r="L1535" s="21">
        <v>4.3112166900000002</v>
      </c>
      <c r="M1535" s="22" t="s">
        <v>30</v>
      </c>
      <c r="N1535" s="23">
        <v>4.3112166900000002</v>
      </c>
      <c r="O1535" s="24">
        <v>3.8152360088495575E-2</v>
      </c>
      <c r="P1535" s="25" t="str">
        <f>IF(P1536="x","x","")</f>
        <v/>
      </c>
      <c r="Q1535" s="25" t="str">
        <f>IF(Q1536="x","x","")</f>
        <v/>
      </c>
      <c r="R1535" s="25" t="str">
        <f>IF(R1536="x","x","")</f>
        <v/>
      </c>
      <c r="S1535" s="25" t="str">
        <f>IF(S1536="x","x","")</f>
        <v/>
      </c>
      <c r="T1535" s="25" t="s">
        <v>27</v>
      </c>
      <c r="U1535" s="26"/>
      <c r="V1535" s="27"/>
    </row>
    <row r="1536" spans="1:22" ht="16.5" thickBot="1" x14ac:dyDescent="0.3">
      <c r="A1536" s="28" t="str">
        <f>A1535</f>
        <v>South Sudan</v>
      </c>
      <c r="B1536" s="28" t="str">
        <f>B1535</f>
        <v>Sub-Saharan Africa</v>
      </c>
      <c r="C1536" s="28" t="str">
        <f>C1535</f>
        <v>P118579</v>
      </c>
      <c r="D1536" s="28" t="s">
        <v>26</v>
      </c>
      <c r="E1536" s="28" t="s">
        <v>27</v>
      </c>
      <c r="F1536" s="28" t="str">
        <f>F1535</f>
        <v>P118579C1S2</v>
      </c>
      <c r="G1536" s="28" t="s">
        <v>16</v>
      </c>
      <c r="H1536" s="29" t="str">
        <f>H1534&amp;" / "&amp;H1535</f>
        <v>2010 / 2013</v>
      </c>
      <c r="I1536" s="29" t="str">
        <f>I1535</f>
        <v>Routine Maintenance</v>
      </c>
      <c r="J1536" s="97" t="str">
        <f>IFERROR(J1535/J1534,"")</f>
        <v/>
      </c>
      <c r="K1536" s="32">
        <f>K1535/K1534</f>
        <v>0.70625000000000004</v>
      </c>
      <c r="L1536" s="32">
        <f>L1535/L1534</f>
        <v>1.0144039270588237</v>
      </c>
      <c r="M1536" s="28"/>
      <c r="N1536" s="32">
        <f>N1535/N1534</f>
        <v>1.0144039270588237</v>
      </c>
      <c r="O1536" s="32">
        <f>O1535/O1534</f>
        <v>1.4363241445080688</v>
      </c>
      <c r="P1536" s="33" t="str">
        <f>IF(K1536&lt;50%,"x","")</f>
        <v/>
      </c>
      <c r="Q1536" s="33" t="str">
        <f>IF(K1536&gt;150%,"x","")</f>
        <v/>
      </c>
      <c r="R1536" s="33" t="str">
        <f>IF(O1536&lt;50%,"x","")</f>
        <v/>
      </c>
      <c r="S1536" s="33" t="str">
        <f>IF(O1536&gt;150%,"x","")</f>
        <v/>
      </c>
      <c r="T1536" s="33" t="s">
        <v>27</v>
      </c>
      <c r="U1536" s="34" t="s">
        <v>27</v>
      </c>
      <c r="V1536" s="35" t="s">
        <v>27</v>
      </c>
    </row>
    <row r="1537" spans="1:22" ht="16.5" thickTop="1" x14ac:dyDescent="0.25">
      <c r="A1537" s="18" t="s">
        <v>918</v>
      </c>
      <c r="B1537" s="18" t="s">
        <v>950</v>
      </c>
      <c r="C1537" s="18" t="s">
        <v>919</v>
      </c>
      <c r="D1537" s="18" t="s">
        <v>26</v>
      </c>
      <c r="E1537" s="18" t="s">
        <v>69</v>
      </c>
      <c r="F1537" s="18" t="s">
        <v>923</v>
      </c>
      <c r="G1537" s="18" t="s">
        <v>29</v>
      </c>
      <c r="H1537" s="19">
        <v>2010</v>
      </c>
      <c r="I1537" s="18" t="s">
        <v>44</v>
      </c>
      <c r="J1537" s="101" t="s">
        <v>27</v>
      </c>
      <c r="K1537" s="20">
        <v>190</v>
      </c>
      <c r="L1537" s="21">
        <v>4.05</v>
      </c>
      <c r="M1537" s="22" t="s">
        <v>30</v>
      </c>
      <c r="N1537" s="23">
        <v>4.05</v>
      </c>
      <c r="O1537" s="24">
        <v>2.1315789473684208E-2</v>
      </c>
      <c r="P1537" s="25" t="str">
        <f>IF(P1539="x","x","")</f>
        <v/>
      </c>
      <c r="Q1537" s="25" t="str">
        <f>IF(Q1539="x","x","")</f>
        <v/>
      </c>
      <c r="R1537" s="25" t="str">
        <f>IF(R1539="x","x","")</f>
        <v/>
      </c>
      <c r="S1537" s="25" t="str">
        <f>IF(S1539="x","x","")</f>
        <v/>
      </c>
      <c r="T1537" s="25" t="s">
        <v>27</v>
      </c>
      <c r="U1537" s="26"/>
      <c r="V1537" s="27"/>
    </row>
    <row r="1538" spans="1:22" x14ac:dyDescent="0.25">
      <c r="A1538" s="18" t="s">
        <v>918</v>
      </c>
      <c r="B1538" s="18" t="s">
        <v>950</v>
      </c>
      <c r="C1538" s="18" t="s">
        <v>919</v>
      </c>
      <c r="D1538" s="18" t="s">
        <v>26</v>
      </c>
      <c r="E1538" s="18" t="s">
        <v>69</v>
      </c>
      <c r="F1538" s="18" t="s">
        <v>923</v>
      </c>
      <c r="G1538" s="18" t="s">
        <v>32</v>
      </c>
      <c r="H1538" s="19">
        <v>2013</v>
      </c>
      <c r="I1538" s="18" t="s">
        <v>44</v>
      </c>
      <c r="J1538" s="101">
        <v>21</v>
      </c>
      <c r="K1538" s="20">
        <v>151</v>
      </c>
      <c r="L1538" s="21">
        <v>4.5263280899999998</v>
      </c>
      <c r="M1538" s="22" t="s">
        <v>30</v>
      </c>
      <c r="N1538" s="23">
        <v>4.5263280899999998</v>
      </c>
      <c r="O1538" s="24">
        <v>2.9975682715231787E-2</v>
      </c>
      <c r="P1538" s="25" t="str">
        <f>IF(P1539="x","x","")</f>
        <v/>
      </c>
      <c r="Q1538" s="25" t="str">
        <f>IF(Q1539="x","x","")</f>
        <v/>
      </c>
      <c r="R1538" s="25" t="str">
        <f>IF(R1539="x","x","")</f>
        <v/>
      </c>
      <c r="S1538" s="25" t="str">
        <f>IF(S1539="x","x","")</f>
        <v/>
      </c>
      <c r="T1538" s="25" t="s">
        <v>27</v>
      </c>
      <c r="U1538" s="26"/>
      <c r="V1538" s="27"/>
    </row>
    <row r="1539" spans="1:22" ht="16.5" thickBot="1" x14ac:dyDescent="0.3">
      <c r="A1539" s="28" t="str">
        <f>A1538</f>
        <v>South Sudan</v>
      </c>
      <c r="B1539" s="28" t="str">
        <f>B1538</f>
        <v>Sub-Saharan Africa</v>
      </c>
      <c r="C1539" s="28" t="str">
        <f>C1538</f>
        <v>P118579</v>
      </c>
      <c r="D1539" s="28" t="s">
        <v>26</v>
      </c>
      <c r="E1539" s="28" t="s">
        <v>27</v>
      </c>
      <c r="F1539" s="28" t="str">
        <f>F1538</f>
        <v>P118579C1S3</v>
      </c>
      <c r="G1539" s="28" t="s">
        <v>16</v>
      </c>
      <c r="H1539" s="29" t="str">
        <f>H1537&amp;" / "&amp;H1538</f>
        <v>2010 / 2013</v>
      </c>
      <c r="I1539" s="29" t="str">
        <f>I1538</f>
        <v>Routine Maintenance</v>
      </c>
      <c r="J1539" s="97" t="str">
        <f>IFERROR(J1538/J1537,"")</f>
        <v/>
      </c>
      <c r="K1539" s="32">
        <f>K1538/K1537</f>
        <v>0.79473684210526319</v>
      </c>
      <c r="L1539" s="32">
        <f>L1538/L1537</f>
        <v>1.1176118740740741</v>
      </c>
      <c r="M1539" s="28"/>
      <c r="N1539" s="32">
        <f>N1538/N1537</f>
        <v>1.1176118740740741</v>
      </c>
      <c r="O1539" s="32">
        <f>O1538/O1537</f>
        <v>1.4062665965170469</v>
      </c>
      <c r="P1539" s="33" t="str">
        <f>IF(K1539&lt;50%,"x","")</f>
        <v/>
      </c>
      <c r="Q1539" s="33" t="str">
        <f>IF(K1539&gt;150%,"x","")</f>
        <v/>
      </c>
      <c r="R1539" s="33" t="str">
        <f>IF(O1539&lt;50%,"x","")</f>
        <v/>
      </c>
      <c r="S1539" s="33" t="str">
        <f>IF(O1539&gt;150%,"x","")</f>
        <v/>
      </c>
      <c r="T1539" s="33" t="s">
        <v>27</v>
      </c>
      <c r="U1539" s="34" t="s">
        <v>27</v>
      </c>
      <c r="V1539" s="35" t="s">
        <v>27</v>
      </c>
    </row>
    <row r="1540" spans="1:22" ht="16.5" thickTop="1" x14ac:dyDescent="0.25">
      <c r="A1540" s="18" t="s">
        <v>918</v>
      </c>
      <c r="B1540" s="18" t="s">
        <v>950</v>
      </c>
      <c r="C1540" s="18" t="s">
        <v>919</v>
      </c>
      <c r="D1540" s="18" t="s">
        <v>26</v>
      </c>
      <c r="E1540" s="18" t="s">
        <v>71</v>
      </c>
      <c r="F1540" s="18" t="s">
        <v>924</v>
      </c>
      <c r="G1540" s="18" t="s">
        <v>29</v>
      </c>
      <c r="H1540" s="19">
        <v>2010</v>
      </c>
      <c r="I1540" s="18" t="s">
        <v>44</v>
      </c>
      <c r="J1540" s="101" t="s">
        <v>27</v>
      </c>
      <c r="K1540" s="20">
        <v>245</v>
      </c>
      <c r="L1540" s="21">
        <v>5.4</v>
      </c>
      <c r="M1540" s="22" t="s">
        <v>30</v>
      </c>
      <c r="N1540" s="23">
        <v>5.4</v>
      </c>
      <c r="O1540" s="24">
        <v>2.2040816326530613E-2</v>
      </c>
      <c r="P1540" s="25" t="str">
        <f>IF(P1542="x","x","")</f>
        <v/>
      </c>
      <c r="Q1540" s="25" t="str">
        <f>IF(Q1542="x","x","")</f>
        <v/>
      </c>
      <c r="R1540" s="25" t="str">
        <f>IF(R1542="x","x","")</f>
        <v/>
      </c>
      <c r="S1540" s="25" t="str">
        <f>IF(S1542="x","x","")</f>
        <v/>
      </c>
      <c r="T1540" s="25" t="s">
        <v>27</v>
      </c>
      <c r="U1540" s="26"/>
      <c r="V1540" s="27"/>
    </row>
    <row r="1541" spans="1:22" x14ac:dyDescent="0.25">
      <c r="A1541" s="18" t="s">
        <v>918</v>
      </c>
      <c r="B1541" s="18" t="s">
        <v>950</v>
      </c>
      <c r="C1541" s="18" t="s">
        <v>919</v>
      </c>
      <c r="D1541" s="18" t="s">
        <v>26</v>
      </c>
      <c r="E1541" s="18" t="s">
        <v>71</v>
      </c>
      <c r="F1541" s="18" t="s">
        <v>924</v>
      </c>
      <c r="G1541" s="18" t="s">
        <v>32</v>
      </c>
      <c r="H1541" s="19">
        <v>2013</v>
      </c>
      <c r="I1541" s="18" t="s">
        <v>44</v>
      </c>
      <c r="J1541" s="101">
        <v>15</v>
      </c>
      <c r="K1541" s="20">
        <v>233</v>
      </c>
      <c r="L1541" s="21">
        <v>5.1730975399999997</v>
      </c>
      <c r="M1541" s="22" t="s">
        <v>30</v>
      </c>
      <c r="N1541" s="23">
        <v>5.1730975399999997</v>
      </c>
      <c r="O1541" s="24">
        <v>2.2202135364806867E-2</v>
      </c>
      <c r="P1541" s="25" t="str">
        <f>IF(P1542="x","x","")</f>
        <v/>
      </c>
      <c r="Q1541" s="25" t="str">
        <f>IF(Q1542="x","x","")</f>
        <v/>
      </c>
      <c r="R1541" s="25" t="str">
        <f>IF(R1542="x","x","")</f>
        <v/>
      </c>
      <c r="S1541" s="25" t="str">
        <f>IF(S1542="x","x","")</f>
        <v/>
      </c>
      <c r="T1541" s="25" t="s">
        <v>27</v>
      </c>
      <c r="U1541" s="26"/>
      <c r="V1541" s="27"/>
    </row>
    <row r="1542" spans="1:22" ht="16.5" thickBot="1" x14ac:dyDescent="0.3">
      <c r="A1542" s="28" t="str">
        <f>A1541</f>
        <v>South Sudan</v>
      </c>
      <c r="B1542" s="28" t="str">
        <f>B1541</f>
        <v>Sub-Saharan Africa</v>
      </c>
      <c r="C1542" s="28" t="str">
        <f>C1541</f>
        <v>P118579</v>
      </c>
      <c r="D1542" s="28" t="s">
        <v>26</v>
      </c>
      <c r="E1542" s="28" t="s">
        <v>27</v>
      </c>
      <c r="F1542" s="28" t="str">
        <f>F1541</f>
        <v>P118579C1S4</v>
      </c>
      <c r="G1542" s="28" t="s">
        <v>16</v>
      </c>
      <c r="H1542" s="29" t="str">
        <f>H1540&amp;" / "&amp;H1541</f>
        <v>2010 / 2013</v>
      </c>
      <c r="I1542" s="29" t="str">
        <f>I1541</f>
        <v>Routine Maintenance</v>
      </c>
      <c r="J1542" s="97" t="str">
        <f>IFERROR(J1541/J1540,"")</f>
        <v/>
      </c>
      <c r="K1542" s="32">
        <f>K1541/K1540</f>
        <v>0.95102040816326527</v>
      </c>
      <c r="L1542" s="32">
        <f>L1541/L1540</f>
        <v>0.95798102592592582</v>
      </c>
      <c r="M1542" s="28"/>
      <c r="N1542" s="32">
        <f>N1541/N1540</f>
        <v>0.95798102592592582</v>
      </c>
      <c r="O1542" s="32">
        <f>O1541/O1540</f>
        <v>1.0073191045143857</v>
      </c>
      <c r="P1542" s="33" t="str">
        <f>IF(K1542&lt;50%,"x","")</f>
        <v/>
      </c>
      <c r="Q1542" s="33" t="str">
        <f>IF(K1542&gt;150%,"x","")</f>
        <v/>
      </c>
      <c r="R1542" s="33" t="str">
        <f>IF(O1542&lt;50%,"x","")</f>
        <v/>
      </c>
      <c r="S1542" s="33" t="str">
        <f>IF(O1542&gt;150%,"x","")</f>
        <v/>
      </c>
      <c r="T1542" s="33" t="s">
        <v>27</v>
      </c>
      <c r="U1542" s="34" t="s">
        <v>27</v>
      </c>
      <c r="V1542" s="35" t="s">
        <v>27</v>
      </c>
    </row>
    <row r="1543" spans="1:22" ht="16.5" thickTop="1" x14ac:dyDescent="0.25">
      <c r="A1543" s="18" t="s">
        <v>918</v>
      </c>
      <c r="B1543" s="18" t="s">
        <v>950</v>
      </c>
      <c r="C1543" s="18" t="s">
        <v>919</v>
      </c>
      <c r="D1543" s="18" t="s">
        <v>26</v>
      </c>
      <c r="E1543" s="18" t="s">
        <v>141</v>
      </c>
      <c r="F1543" s="18" t="s">
        <v>925</v>
      </c>
      <c r="G1543" s="18" t="s">
        <v>29</v>
      </c>
      <c r="H1543" s="19">
        <v>2010</v>
      </c>
      <c r="I1543" s="18" t="s">
        <v>44</v>
      </c>
      <c r="J1543" s="101" t="s">
        <v>27</v>
      </c>
      <c r="K1543" s="20">
        <v>96</v>
      </c>
      <c r="L1543" s="21">
        <v>2.17</v>
      </c>
      <c r="M1543" s="22" t="s">
        <v>30</v>
      </c>
      <c r="N1543" s="23">
        <v>2.17</v>
      </c>
      <c r="O1543" s="24">
        <v>2.2604166666666665E-2</v>
      </c>
      <c r="P1543" s="25" t="str">
        <f>IF(P1545="x","x","")</f>
        <v>x</v>
      </c>
      <c r="Q1543" s="25" t="str">
        <f>IF(Q1545="x","x","")</f>
        <v/>
      </c>
      <c r="R1543" s="25" t="str">
        <f>IF(R1545="x","x","")</f>
        <v/>
      </c>
      <c r="S1543" s="25" t="str">
        <f>IF(S1545="x","x","")</f>
        <v>x</v>
      </c>
      <c r="T1543" s="25" t="s">
        <v>31</v>
      </c>
      <c r="U1543" s="26"/>
      <c r="V1543" s="27"/>
    </row>
    <row r="1544" spans="1:22" x14ac:dyDescent="0.25">
      <c r="A1544" s="18" t="s">
        <v>918</v>
      </c>
      <c r="B1544" s="18" t="s">
        <v>950</v>
      </c>
      <c r="C1544" s="18" t="s">
        <v>919</v>
      </c>
      <c r="D1544" s="18" t="s">
        <v>26</v>
      </c>
      <c r="E1544" s="18" t="s">
        <v>141</v>
      </c>
      <c r="F1544" s="18" t="s">
        <v>925</v>
      </c>
      <c r="G1544" s="18" t="s">
        <v>32</v>
      </c>
      <c r="H1544" s="19">
        <v>2013</v>
      </c>
      <c r="I1544" s="18" t="s">
        <v>44</v>
      </c>
      <c r="J1544" s="101">
        <v>9</v>
      </c>
      <c r="K1544" s="20">
        <v>43</v>
      </c>
      <c r="L1544" s="21">
        <v>1.6595076000000002</v>
      </c>
      <c r="M1544" s="22" t="s">
        <v>30</v>
      </c>
      <c r="N1544" s="23">
        <v>1.6595076000000002</v>
      </c>
      <c r="O1544" s="24">
        <v>3.8593200000000001E-2</v>
      </c>
      <c r="P1544" s="25" t="str">
        <f>IF(P1545="x","x","")</f>
        <v>x</v>
      </c>
      <c r="Q1544" s="25" t="str">
        <f>IF(Q1545="x","x","")</f>
        <v/>
      </c>
      <c r="R1544" s="25" t="str">
        <f>IF(R1545="x","x","")</f>
        <v/>
      </c>
      <c r="S1544" s="25" t="str">
        <f>IF(S1545="x","x","")</f>
        <v>x</v>
      </c>
      <c r="T1544" s="25" t="s">
        <v>31</v>
      </c>
      <c r="U1544" s="26"/>
      <c r="V1544" s="27"/>
    </row>
    <row r="1545" spans="1:22" ht="48" thickBot="1" x14ac:dyDescent="0.3">
      <c r="A1545" s="28" t="str">
        <f>A1544</f>
        <v>South Sudan</v>
      </c>
      <c r="B1545" s="28" t="str">
        <f>B1544</f>
        <v>Sub-Saharan Africa</v>
      </c>
      <c r="C1545" s="28" t="str">
        <f>C1544</f>
        <v>P118579</v>
      </c>
      <c r="D1545" s="28" t="s">
        <v>26</v>
      </c>
      <c r="E1545" s="28" t="s">
        <v>27</v>
      </c>
      <c r="F1545" s="28" t="str">
        <f>F1544</f>
        <v>P118579C1S5</v>
      </c>
      <c r="G1545" s="28" t="s">
        <v>16</v>
      </c>
      <c r="H1545" s="29" t="str">
        <f>H1543&amp;" / "&amp;H1544</f>
        <v>2010 / 2013</v>
      </c>
      <c r="I1545" s="29" t="str">
        <f>I1544</f>
        <v>Routine Maintenance</v>
      </c>
      <c r="J1545" s="97" t="str">
        <f>IFERROR(J1544/J1543,"")</f>
        <v/>
      </c>
      <c r="K1545" s="32">
        <f>K1544/K1543</f>
        <v>0.44791666666666669</v>
      </c>
      <c r="L1545" s="32">
        <f>L1544/L1543</f>
        <v>0.76475004608294939</v>
      </c>
      <c r="M1545" s="28"/>
      <c r="N1545" s="32">
        <f>N1544/N1543</f>
        <v>0.76475004608294939</v>
      </c>
      <c r="O1545" s="32">
        <f>O1544/O1543</f>
        <v>1.7073489400921662</v>
      </c>
      <c r="P1545" s="33" t="str">
        <f>IF(K1545&lt;50%,"x","")</f>
        <v>x</v>
      </c>
      <c r="Q1545" s="33" t="str">
        <f>IF(K1545&gt;150%,"x","")</f>
        <v/>
      </c>
      <c r="R1545" s="33" t="str">
        <f>IF(O1545&lt;50%,"x","")</f>
        <v/>
      </c>
      <c r="S1545" s="33" t="str">
        <f>IF(O1545&gt;150%,"x","")</f>
        <v>x</v>
      </c>
      <c r="T1545" s="33" t="s">
        <v>31</v>
      </c>
      <c r="U1545" s="34" t="s">
        <v>1104</v>
      </c>
      <c r="V1545" s="35" t="s">
        <v>1105</v>
      </c>
    </row>
    <row r="1546" spans="1:22" ht="18.600000000000001" customHeight="1" thickTop="1" x14ac:dyDescent="0.25">
      <c r="A1546" s="18" t="s">
        <v>918</v>
      </c>
      <c r="B1546" s="18" t="s">
        <v>950</v>
      </c>
      <c r="C1546" s="18" t="s">
        <v>919</v>
      </c>
      <c r="D1546" s="18" t="s">
        <v>26</v>
      </c>
      <c r="E1546" s="18" t="s">
        <v>143</v>
      </c>
      <c r="F1546" s="18" t="s">
        <v>926</v>
      </c>
      <c r="G1546" s="18" t="s">
        <v>29</v>
      </c>
      <c r="H1546" s="19">
        <v>2010</v>
      </c>
      <c r="I1546" s="18" t="s">
        <v>44</v>
      </c>
      <c r="J1546" s="101" t="s">
        <v>27</v>
      </c>
      <c r="K1546" s="20">
        <v>85</v>
      </c>
      <c r="L1546" s="21">
        <v>3.1549999999999998</v>
      </c>
      <c r="M1546" s="22" t="s">
        <v>30</v>
      </c>
      <c r="N1546" s="23">
        <v>3.1549999999999998</v>
      </c>
      <c r="O1546" s="24">
        <v>3.7117647058823526E-2</v>
      </c>
      <c r="P1546" s="25" t="str">
        <f>IF(P1548="x","x","")</f>
        <v/>
      </c>
      <c r="Q1546" s="25" t="str">
        <f>IF(Q1548="x","x","")</f>
        <v/>
      </c>
      <c r="R1546" s="25" t="str">
        <f>IF(R1548="x","x","")</f>
        <v/>
      </c>
      <c r="S1546" s="25" t="str">
        <f>IF(S1548="x","x","")</f>
        <v/>
      </c>
      <c r="T1546" s="25" t="s">
        <v>27</v>
      </c>
      <c r="U1546" s="26"/>
      <c r="V1546" s="27"/>
    </row>
    <row r="1547" spans="1:22" ht="18.600000000000001" customHeight="1" x14ac:dyDescent="0.25">
      <c r="A1547" s="18" t="s">
        <v>918</v>
      </c>
      <c r="B1547" s="18" t="s">
        <v>950</v>
      </c>
      <c r="C1547" s="18" t="s">
        <v>919</v>
      </c>
      <c r="D1547" s="18" t="s">
        <v>26</v>
      </c>
      <c r="E1547" s="18" t="s">
        <v>143</v>
      </c>
      <c r="F1547" s="18" t="s">
        <v>926</v>
      </c>
      <c r="G1547" s="18" t="s">
        <v>32</v>
      </c>
      <c r="H1547" s="19">
        <v>2013</v>
      </c>
      <c r="I1547" s="18" t="s">
        <v>44</v>
      </c>
      <c r="J1547" s="101">
        <v>12</v>
      </c>
      <c r="K1547" s="20">
        <v>85</v>
      </c>
      <c r="L1547" s="21">
        <v>3.0101543199999998</v>
      </c>
      <c r="M1547" s="22" t="s">
        <v>30</v>
      </c>
      <c r="N1547" s="23">
        <v>3.0101543199999998</v>
      </c>
      <c r="O1547" s="24">
        <v>3.5413580235294118E-2</v>
      </c>
      <c r="P1547" s="25" t="str">
        <f>IF(P1548="x","x","")</f>
        <v/>
      </c>
      <c r="Q1547" s="25" t="str">
        <f>IF(Q1548="x","x","")</f>
        <v/>
      </c>
      <c r="R1547" s="25" t="str">
        <f>IF(R1548="x","x","")</f>
        <v/>
      </c>
      <c r="S1547" s="25" t="str">
        <f>IF(S1548="x","x","")</f>
        <v/>
      </c>
      <c r="T1547" s="25" t="s">
        <v>27</v>
      </c>
      <c r="U1547" s="26"/>
      <c r="V1547" s="27"/>
    </row>
    <row r="1548" spans="1:22" ht="18.600000000000001" customHeight="1" thickBot="1" x14ac:dyDescent="0.3">
      <c r="A1548" s="28" t="str">
        <f>A1547</f>
        <v>South Sudan</v>
      </c>
      <c r="B1548" s="28" t="str">
        <f>B1547</f>
        <v>Sub-Saharan Africa</v>
      </c>
      <c r="C1548" s="28" t="str">
        <f>C1547</f>
        <v>P118579</v>
      </c>
      <c r="D1548" s="28" t="s">
        <v>26</v>
      </c>
      <c r="E1548" s="28" t="s">
        <v>27</v>
      </c>
      <c r="F1548" s="28" t="str">
        <f>F1547</f>
        <v>P118579C1S6</v>
      </c>
      <c r="G1548" s="28" t="s">
        <v>16</v>
      </c>
      <c r="H1548" s="29" t="str">
        <f>H1546&amp;" / "&amp;H1547</f>
        <v>2010 / 2013</v>
      </c>
      <c r="I1548" s="29" t="str">
        <f>I1547</f>
        <v>Routine Maintenance</v>
      </c>
      <c r="J1548" s="97" t="str">
        <f>IFERROR(J1547/J1546,"")</f>
        <v/>
      </c>
      <c r="K1548" s="32">
        <f>K1547/K1546</f>
        <v>1</v>
      </c>
      <c r="L1548" s="32">
        <f>L1547/L1546</f>
        <v>0.95409011727416804</v>
      </c>
      <c r="M1548" s="28"/>
      <c r="N1548" s="32">
        <f>N1547/N1546</f>
        <v>0.95409011727416804</v>
      </c>
      <c r="O1548" s="32">
        <f>O1547/O1546</f>
        <v>0.95409011727416804</v>
      </c>
      <c r="P1548" s="33" t="str">
        <f>IF(K1548&lt;50%,"x","")</f>
        <v/>
      </c>
      <c r="Q1548" s="33" t="str">
        <f>IF(K1548&gt;150%,"x","")</f>
        <v/>
      </c>
      <c r="R1548" s="33" t="str">
        <f>IF(O1548&lt;50%,"x","")</f>
        <v/>
      </c>
      <c r="S1548" s="33" t="str">
        <f>IF(O1548&gt;150%,"x","")</f>
        <v/>
      </c>
      <c r="T1548" s="33" t="s">
        <v>27</v>
      </c>
      <c r="U1548" s="34" t="s">
        <v>27</v>
      </c>
      <c r="V1548" s="35" t="s">
        <v>27</v>
      </c>
    </row>
    <row r="1549" spans="1:22" ht="16.5" thickTop="1" x14ac:dyDescent="0.25">
      <c r="A1549" s="18" t="s">
        <v>918</v>
      </c>
      <c r="B1549" s="18" t="s">
        <v>950</v>
      </c>
      <c r="C1549" s="18" t="s">
        <v>919</v>
      </c>
      <c r="D1549" s="18" t="s">
        <v>26</v>
      </c>
      <c r="E1549" s="18" t="s">
        <v>245</v>
      </c>
      <c r="F1549" s="18" t="s">
        <v>927</v>
      </c>
      <c r="G1549" s="18" t="s">
        <v>29</v>
      </c>
      <c r="H1549" s="19">
        <v>2010</v>
      </c>
      <c r="I1549" s="18" t="s">
        <v>44</v>
      </c>
      <c r="J1549" s="101" t="s">
        <v>27</v>
      </c>
      <c r="K1549" s="20">
        <v>150</v>
      </c>
      <c r="L1549" s="21">
        <v>3.18</v>
      </c>
      <c r="M1549" s="22" t="s">
        <v>30</v>
      </c>
      <c r="N1549" s="23">
        <v>3.18</v>
      </c>
      <c r="O1549" s="24">
        <v>2.12E-2</v>
      </c>
      <c r="P1549" s="25" t="str">
        <f>IF(P1551="x","x","")</f>
        <v/>
      </c>
      <c r="Q1549" s="25" t="str">
        <f>IF(Q1551="x","x","")</f>
        <v/>
      </c>
      <c r="R1549" s="25" t="str">
        <f>IF(R1551="x","x","")</f>
        <v/>
      </c>
      <c r="S1549" s="25" t="str">
        <f>IF(S1551="x","x","")</f>
        <v/>
      </c>
      <c r="T1549" s="25" t="s">
        <v>27</v>
      </c>
      <c r="U1549" s="26"/>
      <c r="V1549" s="27"/>
    </row>
    <row r="1550" spans="1:22" x14ac:dyDescent="0.25">
      <c r="A1550" s="18" t="s">
        <v>918</v>
      </c>
      <c r="B1550" s="18" t="s">
        <v>950</v>
      </c>
      <c r="C1550" s="18" t="s">
        <v>919</v>
      </c>
      <c r="D1550" s="18" t="s">
        <v>26</v>
      </c>
      <c r="E1550" s="18" t="s">
        <v>245</v>
      </c>
      <c r="F1550" s="18" t="s">
        <v>927</v>
      </c>
      <c r="G1550" s="18" t="s">
        <v>32</v>
      </c>
      <c r="H1550" s="19">
        <v>2013</v>
      </c>
      <c r="I1550" s="18" t="s">
        <v>44</v>
      </c>
      <c r="J1550" s="101">
        <v>12</v>
      </c>
      <c r="K1550" s="20">
        <v>140</v>
      </c>
      <c r="L1550" s="21">
        <v>3.65480413</v>
      </c>
      <c r="M1550" s="22" t="s">
        <v>30</v>
      </c>
      <c r="N1550" s="23">
        <v>3.65480413</v>
      </c>
      <c r="O1550" s="24">
        <v>2.6105743785714286E-2</v>
      </c>
      <c r="P1550" s="25" t="str">
        <f>IF(P1551="x","x","")</f>
        <v/>
      </c>
      <c r="Q1550" s="25" t="str">
        <f>IF(Q1551="x","x","")</f>
        <v/>
      </c>
      <c r="R1550" s="25" t="str">
        <f>IF(R1551="x","x","")</f>
        <v/>
      </c>
      <c r="S1550" s="25" t="str">
        <f>IF(S1551="x","x","")</f>
        <v/>
      </c>
      <c r="T1550" s="25" t="s">
        <v>27</v>
      </c>
      <c r="U1550" s="26"/>
      <c r="V1550" s="27"/>
    </row>
    <row r="1551" spans="1:22" ht="16.5" thickBot="1" x14ac:dyDescent="0.3">
      <c r="A1551" s="28" t="str">
        <f>A1550</f>
        <v>South Sudan</v>
      </c>
      <c r="B1551" s="28" t="str">
        <f>B1550</f>
        <v>Sub-Saharan Africa</v>
      </c>
      <c r="C1551" s="28" t="str">
        <f>C1550</f>
        <v>P118579</v>
      </c>
      <c r="D1551" s="28" t="s">
        <v>26</v>
      </c>
      <c r="E1551" s="28" t="s">
        <v>27</v>
      </c>
      <c r="F1551" s="28" t="str">
        <f>F1550</f>
        <v>P118579C1S7</v>
      </c>
      <c r="G1551" s="28" t="s">
        <v>16</v>
      </c>
      <c r="H1551" s="29" t="str">
        <f>H1549&amp;" / "&amp;H1550</f>
        <v>2010 / 2013</v>
      </c>
      <c r="I1551" s="29" t="str">
        <f>I1550</f>
        <v>Routine Maintenance</v>
      </c>
      <c r="J1551" s="97" t="str">
        <f>IFERROR(J1550/J1549,"")</f>
        <v/>
      </c>
      <c r="K1551" s="32">
        <f>K1550/K1549</f>
        <v>0.93333333333333335</v>
      </c>
      <c r="L1551" s="32">
        <f>L1550/L1549</f>
        <v>1.1493094748427672</v>
      </c>
      <c r="M1551" s="28"/>
      <c r="N1551" s="32">
        <f>N1550/N1549</f>
        <v>1.1493094748427672</v>
      </c>
      <c r="O1551" s="32">
        <f>O1550/O1549</f>
        <v>1.2314030087601078</v>
      </c>
      <c r="P1551" s="33" t="str">
        <f>IF(K1551&lt;50%,"x","")</f>
        <v/>
      </c>
      <c r="Q1551" s="33" t="str">
        <f>IF(K1551&gt;150%,"x","")</f>
        <v/>
      </c>
      <c r="R1551" s="33" t="str">
        <f>IF(O1551&lt;50%,"x","")</f>
        <v/>
      </c>
      <c r="S1551" s="33" t="str">
        <f>IF(O1551&gt;150%,"x","")</f>
        <v/>
      </c>
      <c r="T1551" s="33" t="s">
        <v>27</v>
      </c>
      <c r="U1551" s="34" t="s">
        <v>27</v>
      </c>
      <c r="V1551" s="35" t="s">
        <v>27</v>
      </c>
    </row>
    <row r="1552" spans="1:22" ht="16.5" thickTop="1" x14ac:dyDescent="0.25">
      <c r="A1552" s="18" t="s">
        <v>918</v>
      </c>
      <c r="B1552" s="18" t="s">
        <v>950</v>
      </c>
      <c r="C1552" s="18" t="s">
        <v>919</v>
      </c>
      <c r="D1552" s="18" t="s">
        <v>26</v>
      </c>
      <c r="E1552" s="18" t="s">
        <v>247</v>
      </c>
      <c r="F1552" s="18" t="s">
        <v>928</v>
      </c>
      <c r="G1552" s="18" t="s">
        <v>29</v>
      </c>
      <c r="H1552" s="19">
        <v>2010</v>
      </c>
      <c r="I1552" s="18" t="s">
        <v>44</v>
      </c>
      <c r="J1552" s="101" t="s">
        <v>27</v>
      </c>
      <c r="K1552" s="20">
        <v>260</v>
      </c>
      <c r="L1552" s="21">
        <v>2.76</v>
      </c>
      <c r="M1552" s="22" t="s">
        <v>30</v>
      </c>
      <c r="N1552" s="23">
        <v>2.76</v>
      </c>
      <c r="O1552" s="24">
        <v>1.0615384615384615E-2</v>
      </c>
      <c r="P1552" s="25" t="str">
        <f>IF(P1554="x","x","")</f>
        <v>x</v>
      </c>
      <c r="Q1552" s="25" t="str">
        <f>IF(Q1554="x","x","")</f>
        <v/>
      </c>
      <c r="R1552" s="25" t="str">
        <f>IF(R1554="x","x","")</f>
        <v/>
      </c>
      <c r="S1552" s="25" t="str">
        <f>IF(S1554="x","x","")</f>
        <v>x</v>
      </c>
      <c r="T1552" s="25" t="s">
        <v>31</v>
      </c>
      <c r="U1552" s="26"/>
      <c r="V1552" s="27"/>
    </row>
    <row r="1553" spans="1:22" x14ac:dyDescent="0.25">
      <c r="A1553" s="18" t="s">
        <v>918</v>
      </c>
      <c r="B1553" s="18" t="s">
        <v>950</v>
      </c>
      <c r="C1553" s="18" t="s">
        <v>919</v>
      </c>
      <c r="D1553" s="18" t="s">
        <v>26</v>
      </c>
      <c r="E1553" s="18" t="s">
        <v>247</v>
      </c>
      <c r="F1553" s="18" t="s">
        <v>928</v>
      </c>
      <c r="G1553" s="18" t="s">
        <v>32</v>
      </c>
      <c r="H1553" s="19">
        <v>2013</v>
      </c>
      <c r="I1553" s="18" t="s">
        <v>44</v>
      </c>
      <c r="J1553" s="101">
        <v>7</v>
      </c>
      <c r="K1553" s="20">
        <v>129</v>
      </c>
      <c r="L1553" s="21">
        <v>3.1530038999999999</v>
      </c>
      <c r="M1553" s="22" t="s">
        <v>30</v>
      </c>
      <c r="N1553" s="23">
        <v>3.1530038999999999</v>
      </c>
      <c r="O1553" s="24">
        <v>2.4441890697674419E-2</v>
      </c>
      <c r="P1553" s="25" t="str">
        <f>IF(P1554="x","x","")</f>
        <v>x</v>
      </c>
      <c r="Q1553" s="25" t="str">
        <f>IF(Q1554="x","x","")</f>
        <v/>
      </c>
      <c r="R1553" s="25" t="str">
        <f>IF(R1554="x","x","")</f>
        <v/>
      </c>
      <c r="S1553" s="25" t="str">
        <f>IF(S1554="x","x","")</f>
        <v>x</v>
      </c>
      <c r="T1553" s="25" t="s">
        <v>31</v>
      </c>
      <c r="U1553" s="26"/>
      <c r="V1553" s="27"/>
    </row>
    <row r="1554" spans="1:22" ht="79.5" thickBot="1" x14ac:dyDescent="0.3">
      <c r="A1554" s="28" t="str">
        <f>A1553</f>
        <v>South Sudan</v>
      </c>
      <c r="B1554" s="28" t="str">
        <f>B1553</f>
        <v>Sub-Saharan Africa</v>
      </c>
      <c r="C1554" s="28" t="str">
        <f>C1553</f>
        <v>P118579</v>
      </c>
      <c r="D1554" s="28" t="s">
        <v>26</v>
      </c>
      <c r="E1554" s="28" t="s">
        <v>27</v>
      </c>
      <c r="F1554" s="28" t="str">
        <f>F1553</f>
        <v>P118579C1S8</v>
      </c>
      <c r="G1554" s="28" t="s">
        <v>16</v>
      </c>
      <c r="H1554" s="29" t="str">
        <f>H1552&amp;" / "&amp;H1553</f>
        <v>2010 / 2013</v>
      </c>
      <c r="I1554" s="29" t="str">
        <f>I1553</f>
        <v>Routine Maintenance</v>
      </c>
      <c r="J1554" s="97" t="str">
        <f>IFERROR(J1553/J1552,"")</f>
        <v/>
      </c>
      <c r="K1554" s="32">
        <f>K1553/K1552</f>
        <v>0.49615384615384617</v>
      </c>
      <c r="L1554" s="32">
        <f>L1553/L1552</f>
        <v>1.1423927173913044</v>
      </c>
      <c r="M1554" s="28"/>
      <c r="N1554" s="32">
        <f>N1553/N1552</f>
        <v>1.1423927173913044</v>
      </c>
      <c r="O1554" s="32">
        <f>O1553/O1552</f>
        <v>2.3024969497809238</v>
      </c>
      <c r="P1554" s="33" t="str">
        <f>IF(K1554&lt;50%,"x","")</f>
        <v>x</v>
      </c>
      <c r="Q1554" s="33" t="str">
        <f>IF(K1554&gt;150%,"x","")</f>
        <v/>
      </c>
      <c r="R1554" s="33" t="str">
        <f>IF(O1554&lt;50%,"x","")</f>
        <v/>
      </c>
      <c r="S1554" s="33" t="str">
        <f>IF(O1554&gt;150%,"x","")</f>
        <v>x</v>
      </c>
      <c r="T1554" s="33" t="s">
        <v>31</v>
      </c>
      <c r="U1554" s="34" t="s">
        <v>1106</v>
      </c>
      <c r="V1554" s="35" t="s">
        <v>1107</v>
      </c>
    </row>
    <row r="1555" spans="1:22" ht="16.5" thickTop="1" x14ac:dyDescent="0.25">
      <c r="A1555" s="18" t="s">
        <v>274</v>
      </c>
      <c r="B1555" s="18" t="s">
        <v>948</v>
      </c>
      <c r="C1555" s="18" t="s">
        <v>275</v>
      </c>
      <c r="D1555" s="18" t="s">
        <v>26</v>
      </c>
      <c r="E1555" s="18" t="s">
        <v>27</v>
      </c>
      <c r="F1555" s="18" t="s">
        <v>276</v>
      </c>
      <c r="G1555" s="18" t="s">
        <v>29</v>
      </c>
      <c r="H1555" s="19">
        <v>2005</v>
      </c>
      <c r="I1555" s="18" t="s">
        <v>387</v>
      </c>
      <c r="J1555" s="101" t="s">
        <v>27</v>
      </c>
      <c r="K1555" s="20">
        <v>635</v>
      </c>
      <c r="L1555" s="21">
        <v>10.039999999999999</v>
      </c>
      <c r="M1555" s="22" t="s">
        <v>30</v>
      </c>
      <c r="N1555" s="23">
        <v>10.039999999999999</v>
      </c>
      <c r="O1555" s="24">
        <v>1.5811023622047244E-2</v>
      </c>
      <c r="P1555" s="25" t="str">
        <f>IF(P1557="x","x","")</f>
        <v>x</v>
      </c>
      <c r="Q1555" s="25" t="str">
        <f>IF(Q1557="x","x","")</f>
        <v/>
      </c>
      <c r="R1555" s="25" t="str">
        <f>IF(R1557="x","x","")</f>
        <v/>
      </c>
      <c r="S1555" s="25" t="str">
        <f>IF(S1557="x","x","")</f>
        <v>x</v>
      </c>
      <c r="T1555" s="25" t="s">
        <v>31</v>
      </c>
      <c r="U1555" s="26"/>
      <c r="V1555" s="27"/>
    </row>
    <row r="1556" spans="1:22" x14ac:dyDescent="0.25">
      <c r="A1556" s="18" t="s">
        <v>274</v>
      </c>
      <c r="B1556" s="18" t="s">
        <v>948</v>
      </c>
      <c r="C1556" s="18" t="s">
        <v>275</v>
      </c>
      <c r="D1556" s="18" t="s">
        <v>26</v>
      </c>
      <c r="E1556" s="18" t="s">
        <v>27</v>
      </c>
      <c r="F1556" s="18" t="s">
        <v>276</v>
      </c>
      <c r="G1556" s="18" t="s">
        <v>32</v>
      </c>
      <c r="H1556" s="19">
        <v>2016</v>
      </c>
      <c r="I1556" s="18" t="s">
        <v>387</v>
      </c>
      <c r="J1556" s="101" t="s">
        <v>27</v>
      </c>
      <c r="K1556" s="20">
        <v>157</v>
      </c>
      <c r="L1556" s="21">
        <v>13.07</v>
      </c>
      <c r="M1556" s="22" t="s">
        <v>30</v>
      </c>
      <c r="N1556" s="23">
        <v>13.07</v>
      </c>
      <c r="O1556" s="24">
        <v>8.3248407643312108E-2</v>
      </c>
      <c r="P1556" s="25" t="str">
        <f>IF(P1557="x","x","")</f>
        <v>x</v>
      </c>
      <c r="Q1556" s="25" t="str">
        <f>IF(Q1557="x","x","")</f>
        <v/>
      </c>
      <c r="R1556" s="25" t="str">
        <f>IF(R1557="x","x","")</f>
        <v/>
      </c>
      <c r="S1556" s="25" t="str">
        <f>IF(S1557="x","x","")</f>
        <v>x</v>
      </c>
      <c r="T1556" s="25" t="s">
        <v>31</v>
      </c>
      <c r="U1556" s="26"/>
      <c r="V1556" s="27"/>
    </row>
    <row r="1557" spans="1:22" ht="63.75" thickBot="1" x14ac:dyDescent="0.3">
      <c r="A1557" s="28" t="str">
        <f>A1556</f>
        <v>Sri Lanka</v>
      </c>
      <c r="B1557" s="28" t="str">
        <f>B1556</f>
        <v>South Asia</v>
      </c>
      <c r="C1557" s="28" t="str">
        <f>C1556</f>
        <v>P086411</v>
      </c>
      <c r="D1557" s="28" t="s">
        <v>26</v>
      </c>
      <c r="E1557" s="28" t="s">
        <v>27</v>
      </c>
      <c r="F1557" s="28" t="str">
        <f>F1556</f>
        <v>P086411C1</v>
      </c>
      <c r="G1557" s="28" t="s">
        <v>16</v>
      </c>
      <c r="H1557" s="29" t="str">
        <f>H1555&amp;" / "&amp;H1556</f>
        <v>2005 / 2016</v>
      </c>
      <c r="I1557" s="29" t="str">
        <f>I1556</f>
        <v>Upgrading</v>
      </c>
      <c r="J1557" s="97" t="str">
        <f>IFERROR(J1556/J1555,"")</f>
        <v/>
      </c>
      <c r="K1557" s="32">
        <f>K1556/K1555</f>
        <v>0.24724409448818899</v>
      </c>
      <c r="L1557" s="32">
        <f>L1556/L1555</f>
        <v>1.3017928286852591</v>
      </c>
      <c r="M1557" s="28"/>
      <c r="N1557" s="32">
        <f>N1556/N1555</f>
        <v>1.3017928286852591</v>
      </c>
      <c r="O1557" s="32">
        <f>O1556/O1555</f>
        <v>5.2652130332174494</v>
      </c>
      <c r="P1557" s="33" t="str">
        <f>IF(K1557&lt;50%,"x","")</f>
        <v>x</v>
      </c>
      <c r="Q1557" s="33" t="str">
        <f>IF(K1557&gt;150%,"x","")</f>
        <v/>
      </c>
      <c r="R1557" s="33" t="str">
        <f>IF(O1557&lt;50%,"x","")</f>
        <v/>
      </c>
      <c r="S1557" s="33" t="str">
        <f>IF(O1557&gt;150%,"x","")</f>
        <v>x</v>
      </c>
      <c r="T1557" s="33" t="s">
        <v>31</v>
      </c>
      <c r="U1557" s="34" t="s">
        <v>986</v>
      </c>
      <c r="V1557" s="35" t="s">
        <v>1174</v>
      </c>
    </row>
    <row r="1558" spans="1:22" ht="16.5" thickTop="1" x14ac:dyDescent="0.25">
      <c r="A1558" s="18" t="s">
        <v>274</v>
      </c>
      <c r="B1558" s="18" t="s">
        <v>948</v>
      </c>
      <c r="C1558" s="18" t="s">
        <v>275</v>
      </c>
      <c r="D1558" s="18" t="s">
        <v>42</v>
      </c>
      <c r="E1558" s="18" t="s">
        <v>27</v>
      </c>
      <c r="F1558" s="18" t="s">
        <v>278</v>
      </c>
      <c r="G1558" s="18" t="s">
        <v>29</v>
      </c>
      <c r="H1558" s="19">
        <v>2005</v>
      </c>
      <c r="I1558" s="18" t="s">
        <v>56</v>
      </c>
      <c r="J1558" s="101" t="s">
        <v>27</v>
      </c>
      <c r="K1558" s="20">
        <v>620</v>
      </c>
      <c r="L1558" s="21">
        <v>112.51</v>
      </c>
      <c r="M1558" s="22" t="s">
        <v>30</v>
      </c>
      <c r="N1558" s="23">
        <v>112.51</v>
      </c>
      <c r="O1558" s="24">
        <v>0.18146774193548387</v>
      </c>
      <c r="P1558" s="25" t="str">
        <f>IF(P1560="x","x","")</f>
        <v/>
      </c>
      <c r="Q1558" s="25" t="str">
        <f>IF(Q1560="x","x","")</f>
        <v/>
      </c>
      <c r="R1558" s="25" t="str">
        <f>IF(R1560="x","x","")</f>
        <v/>
      </c>
      <c r="S1558" s="25" t="str">
        <f>IF(S1560="x","x","")</f>
        <v>x</v>
      </c>
      <c r="T1558" s="25" t="s">
        <v>31</v>
      </c>
      <c r="U1558" s="26"/>
      <c r="V1558" s="27"/>
    </row>
    <row r="1559" spans="1:22" x14ac:dyDescent="0.25">
      <c r="A1559" s="18" t="s">
        <v>274</v>
      </c>
      <c r="B1559" s="18" t="s">
        <v>948</v>
      </c>
      <c r="C1559" s="18" t="s">
        <v>275</v>
      </c>
      <c r="D1559" s="18" t="s">
        <v>42</v>
      </c>
      <c r="E1559" s="18" t="s">
        <v>27</v>
      </c>
      <c r="F1559" s="18" t="s">
        <v>278</v>
      </c>
      <c r="G1559" s="18" t="s">
        <v>32</v>
      </c>
      <c r="H1559" s="19">
        <v>2016</v>
      </c>
      <c r="I1559" s="18" t="s">
        <v>56</v>
      </c>
      <c r="J1559" s="101" t="s">
        <v>27</v>
      </c>
      <c r="K1559" s="20">
        <v>617</v>
      </c>
      <c r="L1559" s="21">
        <v>239</v>
      </c>
      <c r="M1559" s="22" t="s">
        <v>30</v>
      </c>
      <c r="N1559" s="23">
        <v>239</v>
      </c>
      <c r="O1559" s="24">
        <v>0.3873581847649919</v>
      </c>
      <c r="P1559" s="25" t="str">
        <f>IF(P1560="x","x","")</f>
        <v/>
      </c>
      <c r="Q1559" s="25" t="str">
        <f>IF(Q1560="x","x","")</f>
        <v/>
      </c>
      <c r="R1559" s="25" t="str">
        <f>IF(R1560="x","x","")</f>
        <v/>
      </c>
      <c r="S1559" s="25" t="str">
        <f>IF(S1560="x","x","")</f>
        <v>x</v>
      </c>
      <c r="T1559" s="25" t="s">
        <v>31</v>
      </c>
      <c r="U1559" s="26"/>
      <c r="V1559" s="27"/>
    </row>
    <row r="1560" spans="1:22" ht="111" thickBot="1" x14ac:dyDescent="0.3">
      <c r="A1560" s="28" t="str">
        <f>A1559</f>
        <v>Sri Lanka</v>
      </c>
      <c r="B1560" s="28" t="str">
        <f>B1559</f>
        <v>South Asia</v>
      </c>
      <c r="C1560" s="28" t="str">
        <f>C1559</f>
        <v>P086411</v>
      </c>
      <c r="D1560" s="28" t="s">
        <v>26</v>
      </c>
      <c r="E1560" s="28" t="s">
        <v>27</v>
      </c>
      <c r="F1560" s="28" t="str">
        <f>F1559</f>
        <v>P086411C2</v>
      </c>
      <c r="G1560" s="28" t="s">
        <v>16</v>
      </c>
      <c r="H1560" s="29" t="str">
        <f>H1558&amp;" / "&amp;H1559</f>
        <v>2005 / 2016</v>
      </c>
      <c r="I1560" s="29" t="str">
        <f>I1559</f>
        <v>Widening</v>
      </c>
      <c r="J1560" s="97" t="str">
        <f>IFERROR(J1559/J1558,"")</f>
        <v/>
      </c>
      <c r="K1560" s="32">
        <f>K1559/K1558</f>
        <v>0.99516129032258061</v>
      </c>
      <c r="L1560" s="32">
        <f>L1559/L1558</f>
        <v>2.1242556217225133</v>
      </c>
      <c r="M1560" s="28"/>
      <c r="N1560" s="32">
        <f>N1559/N1558</f>
        <v>2.1242556217225133</v>
      </c>
      <c r="O1560" s="32">
        <f>O1559/O1558</f>
        <v>2.1345842552154917</v>
      </c>
      <c r="P1560" s="33" t="str">
        <f>IF(K1560&lt;50%,"x","")</f>
        <v/>
      </c>
      <c r="Q1560" s="33" t="str">
        <f>IF(K1560&gt;150%,"x","")</f>
        <v/>
      </c>
      <c r="R1560" s="33" t="str">
        <f>IF(O1560&lt;50%,"x","")</f>
        <v/>
      </c>
      <c r="S1560" s="33" t="str">
        <f>IF(O1560&gt;150%,"x","")</f>
        <v>x</v>
      </c>
      <c r="T1560" s="33" t="s">
        <v>31</v>
      </c>
      <c r="U1560" s="34" t="s">
        <v>1175</v>
      </c>
      <c r="V1560" s="35" t="s">
        <v>1176</v>
      </c>
    </row>
    <row r="1561" spans="1:22" ht="16.5" thickTop="1" x14ac:dyDescent="0.25">
      <c r="A1561" s="18" t="s">
        <v>274</v>
      </c>
      <c r="B1561" s="18" t="s">
        <v>948</v>
      </c>
      <c r="C1561" s="18" t="s">
        <v>903</v>
      </c>
      <c r="D1561" s="18" t="s">
        <v>26</v>
      </c>
      <c r="E1561" s="18" t="s">
        <v>36</v>
      </c>
      <c r="F1561" s="18" t="s">
        <v>904</v>
      </c>
      <c r="G1561" s="18" t="s">
        <v>29</v>
      </c>
      <c r="H1561" s="19">
        <v>2009</v>
      </c>
      <c r="I1561" s="18" t="s">
        <v>131</v>
      </c>
      <c r="J1561" s="101">
        <v>60</v>
      </c>
      <c r="K1561" s="20">
        <v>150</v>
      </c>
      <c r="L1561" s="21">
        <v>35.299999999999997</v>
      </c>
      <c r="M1561" s="22" t="s">
        <v>30</v>
      </c>
      <c r="N1561" s="23">
        <v>35.299999999999997</v>
      </c>
      <c r="O1561" s="24">
        <v>0.23533333333333331</v>
      </c>
      <c r="P1561" s="25" t="str">
        <f>IF(P1563="x","x","")</f>
        <v/>
      </c>
      <c r="Q1561" s="25" t="str">
        <f>IF(Q1563="x","x","")</f>
        <v/>
      </c>
      <c r="R1561" s="25" t="str">
        <f>IF(R1563="x","x","")</f>
        <v/>
      </c>
      <c r="S1561" s="25" t="str">
        <f>IF(S1563="x","x","")</f>
        <v>x</v>
      </c>
      <c r="T1561" s="25" t="s">
        <v>31</v>
      </c>
      <c r="U1561" s="26"/>
      <c r="V1561" s="27"/>
    </row>
    <row r="1562" spans="1:22" x14ac:dyDescent="0.25">
      <c r="A1562" s="18" t="s">
        <v>274</v>
      </c>
      <c r="B1562" s="18" t="s">
        <v>948</v>
      </c>
      <c r="C1562" s="18" t="s">
        <v>903</v>
      </c>
      <c r="D1562" s="18" t="s">
        <v>26</v>
      </c>
      <c r="E1562" s="18" t="s">
        <v>36</v>
      </c>
      <c r="F1562" s="18" t="s">
        <v>904</v>
      </c>
      <c r="G1562" s="18" t="s">
        <v>32</v>
      </c>
      <c r="H1562" s="19">
        <v>2015</v>
      </c>
      <c r="I1562" s="18" t="s">
        <v>131</v>
      </c>
      <c r="J1562" s="101">
        <v>59</v>
      </c>
      <c r="K1562" s="20">
        <v>117.29</v>
      </c>
      <c r="L1562" s="21">
        <v>50</v>
      </c>
      <c r="M1562" s="22" t="s">
        <v>30</v>
      </c>
      <c r="N1562" s="23">
        <v>50</v>
      </c>
      <c r="O1562" s="24">
        <v>0.42629380168812342</v>
      </c>
      <c r="P1562" s="25" t="str">
        <f>IF(P1563="x","x","")</f>
        <v/>
      </c>
      <c r="Q1562" s="25" t="str">
        <f>IF(Q1563="x","x","")</f>
        <v/>
      </c>
      <c r="R1562" s="25" t="str">
        <f>IF(R1563="x","x","")</f>
        <v/>
      </c>
      <c r="S1562" s="25" t="str">
        <f>IF(S1563="x","x","")</f>
        <v>x</v>
      </c>
      <c r="T1562" s="25" t="s">
        <v>31</v>
      </c>
      <c r="U1562" s="26"/>
      <c r="V1562" s="27"/>
    </row>
    <row r="1563" spans="1:22" ht="79.5" thickBot="1" x14ac:dyDescent="0.3">
      <c r="A1563" s="28" t="str">
        <f>A1562</f>
        <v>Sri Lanka</v>
      </c>
      <c r="B1563" s="28" t="str">
        <f>B1562</f>
        <v>South Asia</v>
      </c>
      <c r="C1563" s="28" t="str">
        <f>C1562</f>
        <v>P107847</v>
      </c>
      <c r="D1563" s="28" t="s">
        <v>26</v>
      </c>
      <c r="E1563" s="28" t="s">
        <v>27</v>
      </c>
      <c r="F1563" s="28" t="str">
        <f>F1562</f>
        <v>P107847C1S1</v>
      </c>
      <c r="G1563" s="28" t="s">
        <v>16</v>
      </c>
      <c r="H1563" s="29" t="str">
        <f>H1561&amp;" / "&amp;H1562</f>
        <v>2009 / 2015</v>
      </c>
      <c r="I1563" s="29" t="str">
        <f>I1562</f>
        <v>Partial Widening and Reconstruction</v>
      </c>
      <c r="J1563" s="97">
        <f>IFERROR(J1562/J1561,"")</f>
        <v>0.98333333333333328</v>
      </c>
      <c r="K1563" s="32">
        <f>K1562/K1561</f>
        <v>0.78193333333333337</v>
      </c>
      <c r="L1563" s="32">
        <f>L1562/L1561</f>
        <v>1.41643059490085</v>
      </c>
      <c r="M1563" s="28"/>
      <c r="N1563" s="32">
        <f>N1562/N1561</f>
        <v>1.41643059490085</v>
      </c>
      <c r="O1563" s="32">
        <f>O1562/O1561</f>
        <v>1.8114467493829609</v>
      </c>
      <c r="P1563" s="33" t="str">
        <f>IF(K1563&lt;50%,"x","")</f>
        <v/>
      </c>
      <c r="Q1563" s="33" t="str">
        <f>IF(K1563&gt;150%,"x","")</f>
        <v/>
      </c>
      <c r="R1563" s="33" t="str">
        <f>IF(O1563&lt;50%,"x","")</f>
        <v/>
      </c>
      <c r="S1563" s="33" t="str">
        <f>IF(O1563&gt;150%,"x","")</f>
        <v>x</v>
      </c>
      <c r="T1563" s="33" t="s">
        <v>31</v>
      </c>
      <c r="U1563" s="34" t="s">
        <v>1097</v>
      </c>
      <c r="V1563" s="35" t="s">
        <v>1098</v>
      </c>
    </row>
    <row r="1564" spans="1:22" ht="16.5" thickTop="1" x14ac:dyDescent="0.25">
      <c r="A1564" s="18" t="s">
        <v>274</v>
      </c>
      <c r="B1564" s="18" t="s">
        <v>948</v>
      </c>
      <c r="C1564" s="18" t="s">
        <v>903</v>
      </c>
      <c r="D1564" s="18" t="s">
        <v>26</v>
      </c>
      <c r="E1564" s="18" t="s">
        <v>40</v>
      </c>
      <c r="F1564" s="18" t="s">
        <v>905</v>
      </c>
      <c r="G1564" s="18" t="s">
        <v>29</v>
      </c>
      <c r="H1564" s="19">
        <v>2009</v>
      </c>
      <c r="I1564" s="18" t="s">
        <v>131</v>
      </c>
      <c r="J1564" s="101">
        <v>60</v>
      </c>
      <c r="K1564" s="20">
        <v>100</v>
      </c>
      <c r="L1564" s="21">
        <v>14</v>
      </c>
      <c r="M1564" s="22" t="s">
        <v>30</v>
      </c>
      <c r="N1564" s="23">
        <v>14</v>
      </c>
      <c r="O1564" s="24">
        <v>0.14000000000000001</v>
      </c>
      <c r="P1564" s="25" t="str">
        <f>IF(P1566="x","x","")</f>
        <v/>
      </c>
      <c r="Q1564" s="25" t="str">
        <f>IF(Q1566="x","x","")</f>
        <v/>
      </c>
      <c r="R1564" s="25" t="str">
        <f>IF(R1566="x","x","")</f>
        <v/>
      </c>
      <c r="S1564" s="25" t="str">
        <f>IF(S1566="x","x","")</f>
        <v>x</v>
      </c>
      <c r="T1564" s="25" t="s">
        <v>31</v>
      </c>
      <c r="U1564" s="26"/>
      <c r="V1564" s="27"/>
    </row>
    <row r="1565" spans="1:22" x14ac:dyDescent="0.25">
      <c r="A1565" s="18" t="s">
        <v>274</v>
      </c>
      <c r="B1565" s="18" t="s">
        <v>948</v>
      </c>
      <c r="C1565" s="18" t="s">
        <v>903</v>
      </c>
      <c r="D1565" s="18" t="s">
        <v>26</v>
      </c>
      <c r="E1565" s="18" t="s">
        <v>40</v>
      </c>
      <c r="F1565" s="18" t="s">
        <v>905</v>
      </c>
      <c r="G1565" s="18" t="s">
        <v>32</v>
      </c>
      <c r="H1565" s="19">
        <v>2015</v>
      </c>
      <c r="I1565" s="18" t="s">
        <v>131</v>
      </c>
      <c r="J1565" s="101">
        <v>59</v>
      </c>
      <c r="K1565" s="20">
        <v>59.15</v>
      </c>
      <c r="L1565" s="21">
        <v>20</v>
      </c>
      <c r="M1565" s="22" t="s">
        <v>30</v>
      </c>
      <c r="N1565" s="23">
        <v>20</v>
      </c>
      <c r="O1565" s="24">
        <v>0.33812341504649196</v>
      </c>
      <c r="P1565" s="25" t="str">
        <f>IF(P1566="x","x","")</f>
        <v/>
      </c>
      <c r="Q1565" s="25" t="str">
        <f>IF(Q1566="x","x","")</f>
        <v/>
      </c>
      <c r="R1565" s="25" t="str">
        <f>IF(R1566="x","x","")</f>
        <v/>
      </c>
      <c r="S1565" s="25" t="str">
        <f>IF(S1566="x","x","")</f>
        <v>x</v>
      </c>
      <c r="T1565" s="25" t="s">
        <v>31</v>
      </c>
      <c r="U1565" s="26"/>
      <c r="V1565" s="27"/>
    </row>
    <row r="1566" spans="1:22" ht="63.75" thickBot="1" x14ac:dyDescent="0.3">
      <c r="A1566" s="28" t="str">
        <f>A1565</f>
        <v>Sri Lanka</v>
      </c>
      <c r="B1566" s="28" t="str">
        <f>B1565</f>
        <v>South Asia</v>
      </c>
      <c r="C1566" s="28" t="str">
        <f>C1565</f>
        <v>P107847</v>
      </c>
      <c r="D1566" s="28" t="s">
        <v>26</v>
      </c>
      <c r="E1566" s="28" t="s">
        <v>27</v>
      </c>
      <c r="F1566" s="28" t="str">
        <f>F1565</f>
        <v>P107847C1S2</v>
      </c>
      <c r="G1566" s="28" t="s">
        <v>16</v>
      </c>
      <c r="H1566" s="29" t="str">
        <f>H1564&amp;" / "&amp;H1565</f>
        <v>2009 / 2015</v>
      </c>
      <c r="I1566" s="29" t="str">
        <f>I1565</f>
        <v>Partial Widening and Reconstruction</v>
      </c>
      <c r="J1566" s="97">
        <f>IFERROR(J1565/J1564,"")</f>
        <v>0.98333333333333328</v>
      </c>
      <c r="K1566" s="32">
        <f>K1565/K1564</f>
        <v>0.59150000000000003</v>
      </c>
      <c r="L1566" s="32">
        <f>L1565/L1564</f>
        <v>1.4285714285714286</v>
      </c>
      <c r="M1566" s="28"/>
      <c r="N1566" s="32">
        <f>N1565/N1564</f>
        <v>1.4285714285714286</v>
      </c>
      <c r="O1566" s="32">
        <f>O1565/O1564</f>
        <v>2.4151672503320851</v>
      </c>
      <c r="P1566" s="33" t="str">
        <f>IF(K1566&lt;50%,"x","")</f>
        <v/>
      </c>
      <c r="Q1566" s="33" t="str">
        <f>IF(K1566&gt;150%,"x","")</f>
        <v/>
      </c>
      <c r="R1566" s="33" t="str">
        <f>IF(O1566&lt;50%,"x","")</f>
        <v/>
      </c>
      <c r="S1566" s="33" t="str">
        <f>IF(O1566&gt;150%,"x","")</f>
        <v>x</v>
      </c>
      <c r="T1566" s="33" t="s">
        <v>31</v>
      </c>
      <c r="U1566" s="34" t="s">
        <v>1099</v>
      </c>
      <c r="V1566" s="35" t="s">
        <v>1100</v>
      </c>
    </row>
    <row r="1567" spans="1:22" ht="16.5" thickTop="1" x14ac:dyDescent="0.25">
      <c r="A1567" s="18" t="s">
        <v>274</v>
      </c>
      <c r="B1567" s="18" t="s">
        <v>948</v>
      </c>
      <c r="C1567" s="18" t="s">
        <v>903</v>
      </c>
      <c r="D1567" s="18" t="s">
        <v>26</v>
      </c>
      <c r="E1567" s="18" t="s">
        <v>69</v>
      </c>
      <c r="F1567" s="18" t="s">
        <v>906</v>
      </c>
      <c r="G1567" s="18" t="s">
        <v>29</v>
      </c>
      <c r="H1567" s="19">
        <v>2009</v>
      </c>
      <c r="I1567" s="18" t="s">
        <v>131</v>
      </c>
      <c r="J1567" s="101">
        <v>60</v>
      </c>
      <c r="K1567" s="20">
        <v>100</v>
      </c>
      <c r="L1567" s="21">
        <v>14</v>
      </c>
      <c r="M1567" s="22" t="s">
        <v>30</v>
      </c>
      <c r="N1567" s="23">
        <v>14</v>
      </c>
      <c r="O1567" s="24">
        <v>0.14000000000000001</v>
      </c>
      <c r="P1567" s="25" t="str">
        <f>IF(P1569="x","x","")</f>
        <v/>
      </c>
      <c r="Q1567" s="25" t="str">
        <f>IF(Q1569="x","x","")</f>
        <v/>
      </c>
      <c r="R1567" s="25" t="str">
        <f>IF(R1569="x","x","")</f>
        <v/>
      </c>
      <c r="S1567" s="25" t="str">
        <f>IF(S1569="x","x","")</f>
        <v>x</v>
      </c>
      <c r="T1567" s="25" t="s">
        <v>31</v>
      </c>
      <c r="U1567" s="26"/>
      <c r="V1567" s="27"/>
    </row>
    <row r="1568" spans="1:22" x14ac:dyDescent="0.25">
      <c r="A1568" s="18" t="s">
        <v>274</v>
      </c>
      <c r="B1568" s="18" t="s">
        <v>948</v>
      </c>
      <c r="C1568" s="18" t="s">
        <v>903</v>
      </c>
      <c r="D1568" s="18" t="s">
        <v>26</v>
      </c>
      <c r="E1568" s="18" t="s">
        <v>69</v>
      </c>
      <c r="F1568" s="18" t="s">
        <v>906</v>
      </c>
      <c r="G1568" s="18" t="s">
        <v>32</v>
      </c>
      <c r="H1568" s="19">
        <v>2015</v>
      </c>
      <c r="I1568" s="18" t="s">
        <v>131</v>
      </c>
      <c r="J1568" s="101">
        <v>59</v>
      </c>
      <c r="K1568" s="20">
        <v>55.72</v>
      </c>
      <c r="L1568" s="21">
        <v>20</v>
      </c>
      <c r="M1568" s="22" t="s">
        <v>30</v>
      </c>
      <c r="N1568" s="23">
        <v>20</v>
      </c>
      <c r="O1568" s="24">
        <v>0.35893754486719309</v>
      </c>
      <c r="P1568" s="25" t="str">
        <f>IF(P1569="x","x","")</f>
        <v/>
      </c>
      <c r="Q1568" s="25" t="str">
        <f>IF(Q1569="x","x","")</f>
        <v/>
      </c>
      <c r="R1568" s="25" t="str">
        <f>IF(R1569="x","x","")</f>
        <v/>
      </c>
      <c r="S1568" s="25" t="str">
        <f>IF(S1569="x","x","")</f>
        <v>x</v>
      </c>
      <c r="T1568" s="25" t="s">
        <v>31</v>
      </c>
      <c r="U1568" s="26"/>
      <c r="V1568" s="27"/>
    </row>
    <row r="1569" spans="1:22" ht="63.75" thickBot="1" x14ac:dyDescent="0.3">
      <c r="A1569" s="28" t="str">
        <f>A1568</f>
        <v>Sri Lanka</v>
      </c>
      <c r="B1569" s="28" t="str">
        <f>B1568</f>
        <v>South Asia</v>
      </c>
      <c r="C1569" s="28" t="str">
        <f>C1568</f>
        <v>P107847</v>
      </c>
      <c r="D1569" s="28" t="s">
        <v>26</v>
      </c>
      <c r="E1569" s="28" t="s">
        <v>27</v>
      </c>
      <c r="F1569" s="28" t="str">
        <f>F1568</f>
        <v>P107847C1S3</v>
      </c>
      <c r="G1569" s="28" t="s">
        <v>16</v>
      </c>
      <c r="H1569" s="29" t="str">
        <f>H1567&amp;" / "&amp;H1568</f>
        <v>2009 / 2015</v>
      </c>
      <c r="I1569" s="29" t="str">
        <f>I1568</f>
        <v>Partial Widening and Reconstruction</v>
      </c>
      <c r="J1569" s="97">
        <f>IFERROR(J1568/J1567,"")</f>
        <v>0.98333333333333328</v>
      </c>
      <c r="K1569" s="32">
        <f>K1568/K1567</f>
        <v>0.55720000000000003</v>
      </c>
      <c r="L1569" s="32">
        <f>L1568/L1567</f>
        <v>1.4285714285714286</v>
      </c>
      <c r="M1569" s="28"/>
      <c r="N1569" s="32">
        <f>N1568/N1567</f>
        <v>1.4285714285714286</v>
      </c>
      <c r="O1569" s="32">
        <f>O1568/O1567</f>
        <v>2.5638396061942363</v>
      </c>
      <c r="P1569" s="33" t="str">
        <f>IF(K1569&lt;50%,"x","")</f>
        <v/>
      </c>
      <c r="Q1569" s="33" t="str">
        <f>IF(K1569&gt;150%,"x","")</f>
        <v/>
      </c>
      <c r="R1569" s="33" t="str">
        <f>IF(O1569&lt;50%,"x","")</f>
        <v/>
      </c>
      <c r="S1569" s="33" t="str">
        <f>IF(O1569&gt;150%,"x","")</f>
        <v>x</v>
      </c>
      <c r="T1569" s="33" t="s">
        <v>31</v>
      </c>
      <c r="U1569" s="34" t="s">
        <v>1101</v>
      </c>
      <c r="V1569" s="35" t="s">
        <v>1102</v>
      </c>
    </row>
    <row r="1570" spans="1:22" ht="16.5" thickTop="1" x14ac:dyDescent="0.25">
      <c r="A1570" s="18" t="s">
        <v>300</v>
      </c>
      <c r="B1570" s="18" t="s">
        <v>950</v>
      </c>
      <c r="C1570" s="18" t="s">
        <v>301</v>
      </c>
      <c r="D1570" s="18" t="s">
        <v>26</v>
      </c>
      <c r="E1570" s="18" t="s">
        <v>36</v>
      </c>
      <c r="F1570" s="18" t="s">
        <v>302</v>
      </c>
      <c r="G1570" s="18" t="s">
        <v>29</v>
      </c>
      <c r="H1570" s="19">
        <v>2006</v>
      </c>
      <c r="I1570" s="18" t="s">
        <v>387</v>
      </c>
      <c r="J1570" s="101" t="s">
        <v>27</v>
      </c>
      <c r="K1570" s="20">
        <v>250</v>
      </c>
      <c r="L1570" s="21">
        <v>20.16</v>
      </c>
      <c r="M1570" s="22" t="s">
        <v>30</v>
      </c>
      <c r="N1570" s="23">
        <v>20.16</v>
      </c>
      <c r="O1570" s="24">
        <v>8.0640000000000003E-2</v>
      </c>
      <c r="P1570" s="25" t="str">
        <f>IF(P1572="x","x","")</f>
        <v/>
      </c>
      <c r="Q1570" s="25" t="str">
        <f>IF(Q1572="x","x","")</f>
        <v/>
      </c>
      <c r="R1570" s="25" t="str">
        <f>IF(R1572="x","x","")</f>
        <v/>
      </c>
      <c r="S1570" s="25" t="str">
        <f>IF(S1572="x","x","")</f>
        <v>x</v>
      </c>
      <c r="T1570" s="25" t="s">
        <v>31</v>
      </c>
      <c r="U1570" s="26"/>
      <c r="V1570" s="27"/>
    </row>
    <row r="1571" spans="1:22" x14ac:dyDescent="0.25">
      <c r="A1571" s="18" t="s">
        <v>300</v>
      </c>
      <c r="B1571" s="18" t="s">
        <v>950</v>
      </c>
      <c r="C1571" s="18" t="s">
        <v>301</v>
      </c>
      <c r="D1571" s="18" t="s">
        <v>26</v>
      </c>
      <c r="E1571" s="18" t="s">
        <v>36</v>
      </c>
      <c r="F1571" s="18" t="s">
        <v>302</v>
      </c>
      <c r="G1571" s="18" t="s">
        <v>32</v>
      </c>
      <c r="H1571" s="19">
        <v>2013</v>
      </c>
      <c r="I1571" s="18" t="s">
        <v>387</v>
      </c>
      <c r="J1571" s="101" t="s">
        <v>27</v>
      </c>
      <c r="K1571" s="20">
        <v>170</v>
      </c>
      <c r="L1571" s="21">
        <v>29.43</v>
      </c>
      <c r="M1571" s="22" t="s">
        <v>30</v>
      </c>
      <c r="N1571" s="23">
        <v>29.43</v>
      </c>
      <c r="O1571" s="24">
        <v>0.17311764705882352</v>
      </c>
      <c r="P1571" s="25" t="str">
        <f>IF(P1572="x","x","")</f>
        <v/>
      </c>
      <c r="Q1571" s="25" t="str">
        <f>IF(Q1572="x","x","")</f>
        <v/>
      </c>
      <c r="R1571" s="25" t="str">
        <f>IF(R1572="x","x","")</f>
        <v/>
      </c>
      <c r="S1571" s="25" t="str">
        <f>IF(S1572="x","x","")</f>
        <v>x</v>
      </c>
      <c r="T1571" s="25" t="s">
        <v>31</v>
      </c>
      <c r="U1571" s="26"/>
      <c r="V1571" s="27"/>
    </row>
    <row r="1572" spans="1:22" ht="126.75" thickBot="1" x14ac:dyDescent="0.3">
      <c r="A1572" s="28" t="str">
        <f>A1571</f>
        <v>Sudan</v>
      </c>
      <c r="B1572" s="28" t="str">
        <f>B1571</f>
        <v>Sub-Saharan Africa</v>
      </c>
      <c r="C1572" s="28" t="str">
        <f>C1571</f>
        <v>P095081</v>
      </c>
      <c r="D1572" s="28" t="s">
        <v>26</v>
      </c>
      <c r="E1572" s="28" t="s">
        <v>27</v>
      </c>
      <c r="F1572" s="28" t="str">
        <f>F1571</f>
        <v>P095081C1S1</v>
      </c>
      <c r="G1572" s="28" t="s">
        <v>16</v>
      </c>
      <c r="H1572" s="29" t="str">
        <f>H1570&amp;" / "&amp;H1571</f>
        <v>2006 / 2013</v>
      </c>
      <c r="I1572" s="29" t="str">
        <f>I1571</f>
        <v>Upgrading</v>
      </c>
      <c r="J1572" s="97" t="str">
        <f>IFERROR(J1571/J1570,"")</f>
        <v/>
      </c>
      <c r="K1572" s="32">
        <f>K1571/K1570</f>
        <v>0.68</v>
      </c>
      <c r="L1572" s="32">
        <f>L1571/L1570</f>
        <v>1.4598214285714286</v>
      </c>
      <c r="M1572" s="28"/>
      <c r="N1572" s="32">
        <f>N1571/N1570</f>
        <v>1.4598214285714286</v>
      </c>
      <c r="O1572" s="32">
        <f>O1571/O1570</f>
        <v>2.1467962184873945</v>
      </c>
      <c r="P1572" s="33" t="str">
        <f>IF(K1572&lt;50%,"x","")</f>
        <v/>
      </c>
      <c r="Q1572" s="33" t="str">
        <f>IF(K1572&gt;150%,"x","")</f>
        <v/>
      </c>
      <c r="R1572" s="33" t="str">
        <f>IF(O1572&lt;50%,"x","")</f>
        <v/>
      </c>
      <c r="S1572" s="33" t="str">
        <f>IF(O1572&gt;150%,"x","")</f>
        <v>x</v>
      </c>
      <c r="T1572" s="33" t="s">
        <v>31</v>
      </c>
      <c r="U1572" s="34" t="s">
        <v>1183</v>
      </c>
      <c r="V1572" s="35" t="s">
        <v>1184</v>
      </c>
    </row>
    <row r="1573" spans="1:22" ht="16.5" thickTop="1" x14ac:dyDescent="0.25">
      <c r="A1573" s="18" t="s">
        <v>300</v>
      </c>
      <c r="B1573" s="18" t="s">
        <v>950</v>
      </c>
      <c r="C1573" s="18" t="s">
        <v>301</v>
      </c>
      <c r="D1573" s="18" t="s">
        <v>26</v>
      </c>
      <c r="E1573" s="18" t="s">
        <v>40</v>
      </c>
      <c r="F1573" s="18" t="s">
        <v>304</v>
      </c>
      <c r="G1573" s="18" t="s">
        <v>29</v>
      </c>
      <c r="H1573" s="19">
        <v>2006</v>
      </c>
      <c r="I1573" s="18" t="s">
        <v>68</v>
      </c>
      <c r="J1573" s="101" t="s">
        <v>27</v>
      </c>
      <c r="K1573" s="20">
        <v>100</v>
      </c>
      <c r="L1573" s="21">
        <v>11.85</v>
      </c>
      <c r="M1573" s="22" t="s">
        <v>30</v>
      </c>
      <c r="N1573" s="23">
        <v>11.85</v>
      </c>
      <c r="O1573" s="24">
        <v>0.11849999999999999</v>
      </c>
      <c r="P1573" s="25" t="str">
        <f>IF(P1575="x","x","")</f>
        <v/>
      </c>
      <c r="Q1573" s="25" t="str">
        <f>IF(Q1575="x","x","")</f>
        <v>x</v>
      </c>
      <c r="R1573" s="25" t="str">
        <f>IF(R1575="x","x","")</f>
        <v/>
      </c>
      <c r="S1573" s="25" t="str">
        <f>IF(S1575="x","x","")</f>
        <v/>
      </c>
      <c r="T1573" s="25" t="s">
        <v>31</v>
      </c>
      <c r="U1573" s="26"/>
      <c r="V1573" s="27"/>
    </row>
    <row r="1574" spans="1:22" x14ac:dyDescent="0.25">
      <c r="A1574" s="18" t="s">
        <v>300</v>
      </c>
      <c r="B1574" s="18" t="s">
        <v>950</v>
      </c>
      <c r="C1574" s="18" t="s">
        <v>301</v>
      </c>
      <c r="D1574" s="18" t="s">
        <v>26</v>
      </c>
      <c r="E1574" s="18" t="s">
        <v>40</v>
      </c>
      <c r="F1574" s="18" t="s">
        <v>304</v>
      </c>
      <c r="G1574" s="18" t="s">
        <v>32</v>
      </c>
      <c r="H1574" s="19">
        <v>2013</v>
      </c>
      <c r="I1574" s="18" t="s">
        <v>68</v>
      </c>
      <c r="J1574" s="101" t="s">
        <v>27</v>
      </c>
      <c r="K1574" s="20">
        <v>285</v>
      </c>
      <c r="L1574" s="21">
        <v>17.850000000000001</v>
      </c>
      <c r="M1574" s="22" t="s">
        <v>30</v>
      </c>
      <c r="N1574" s="23">
        <v>17.850000000000001</v>
      </c>
      <c r="O1574" s="24">
        <v>6.2631578947368427E-2</v>
      </c>
      <c r="P1574" s="25" t="str">
        <f>IF(P1575="x","x","")</f>
        <v/>
      </c>
      <c r="Q1574" s="25" t="str">
        <f>IF(Q1575="x","x","")</f>
        <v>x</v>
      </c>
      <c r="R1574" s="25" t="str">
        <f>IF(R1575="x","x","")</f>
        <v/>
      </c>
      <c r="S1574" s="25" t="str">
        <f>IF(S1575="x","x","")</f>
        <v/>
      </c>
      <c r="T1574" s="25" t="s">
        <v>31</v>
      </c>
      <c r="U1574" s="26"/>
      <c r="V1574" s="27"/>
    </row>
    <row r="1575" spans="1:22" ht="95.25" thickBot="1" x14ac:dyDescent="0.3">
      <c r="A1575" s="28" t="str">
        <f>A1574</f>
        <v>Sudan</v>
      </c>
      <c r="B1575" s="28" t="str">
        <f>B1574</f>
        <v>Sub-Saharan Africa</v>
      </c>
      <c r="C1575" s="28" t="str">
        <f>C1574</f>
        <v>P095081</v>
      </c>
      <c r="D1575" s="28" t="s">
        <v>26</v>
      </c>
      <c r="E1575" s="28" t="s">
        <v>27</v>
      </c>
      <c r="F1575" s="28" t="str">
        <f>F1574</f>
        <v>P095081C1S2</v>
      </c>
      <c r="G1575" s="28" t="s">
        <v>16</v>
      </c>
      <c r="H1575" s="29" t="str">
        <f>H1573&amp;" / "&amp;H1574</f>
        <v>2006 / 2013</v>
      </c>
      <c r="I1575" s="29" t="str">
        <f>I1574</f>
        <v>Asphalt Mix Resurfacing</v>
      </c>
      <c r="J1575" s="97" t="str">
        <f>IFERROR(J1574/J1573,"")</f>
        <v/>
      </c>
      <c r="K1575" s="32">
        <f>K1574/K1573</f>
        <v>2.85</v>
      </c>
      <c r="L1575" s="32">
        <f>L1574/L1573</f>
        <v>1.5063291139240509</v>
      </c>
      <c r="M1575" s="28"/>
      <c r="N1575" s="32">
        <f>N1574/N1573</f>
        <v>1.5063291139240509</v>
      </c>
      <c r="O1575" s="32">
        <f>O1574/O1573</f>
        <v>0.5285365312014213</v>
      </c>
      <c r="P1575" s="33" t="str">
        <f>IF(K1575&lt;50%,"x","")</f>
        <v/>
      </c>
      <c r="Q1575" s="33" t="str">
        <f>IF(K1575&gt;150%,"x","")</f>
        <v>x</v>
      </c>
      <c r="R1575" s="33" t="str">
        <f>IF(O1575&lt;50%,"x","")</f>
        <v/>
      </c>
      <c r="S1575" s="33" t="str">
        <f>IF(O1575&gt;150%,"x","")</f>
        <v/>
      </c>
      <c r="T1575" s="33" t="s">
        <v>31</v>
      </c>
      <c r="U1575" s="34" t="s">
        <v>988</v>
      </c>
      <c r="V1575" s="35" t="s">
        <v>1185</v>
      </c>
    </row>
    <row r="1576" spans="1:22" ht="16.5" thickTop="1" x14ac:dyDescent="0.25">
      <c r="A1576" s="18" t="s">
        <v>300</v>
      </c>
      <c r="B1576" s="18" t="s">
        <v>950</v>
      </c>
      <c r="C1576" s="18" t="s">
        <v>301</v>
      </c>
      <c r="D1576" s="18" t="s">
        <v>26</v>
      </c>
      <c r="E1576" s="18" t="s">
        <v>69</v>
      </c>
      <c r="F1576" s="18" t="s">
        <v>305</v>
      </c>
      <c r="G1576" s="18" t="s">
        <v>29</v>
      </c>
      <c r="H1576" s="19">
        <v>2006</v>
      </c>
      <c r="I1576" s="18" t="s">
        <v>122</v>
      </c>
      <c r="J1576" s="101" t="s">
        <v>27</v>
      </c>
      <c r="K1576" s="20">
        <v>820</v>
      </c>
      <c r="L1576" s="21">
        <v>3.54</v>
      </c>
      <c r="M1576" s="22" t="s">
        <v>30</v>
      </c>
      <c r="N1576" s="23">
        <v>3.54</v>
      </c>
      <c r="O1576" s="24">
        <v>4.3170731707317077E-3</v>
      </c>
      <c r="P1576" s="25" t="str">
        <f>IF(P1578="x","x","")</f>
        <v/>
      </c>
      <c r="Q1576" s="25" t="str">
        <f>IF(Q1578="x","x","")</f>
        <v/>
      </c>
      <c r="R1576" s="25" t="str">
        <f>IF(R1578="x","x","")</f>
        <v/>
      </c>
      <c r="S1576" s="25" t="str">
        <f>IF(S1578="x","x","")</f>
        <v>x</v>
      </c>
      <c r="T1576" s="25" t="s">
        <v>31</v>
      </c>
      <c r="U1576" s="26"/>
      <c r="V1576" s="27"/>
    </row>
    <row r="1577" spans="1:22" x14ac:dyDescent="0.25">
      <c r="A1577" s="18" t="s">
        <v>300</v>
      </c>
      <c r="B1577" s="18" t="s">
        <v>950</v>
      </c>
      <c r="C1577" s="18" t="s">
        <v>301</v>
      </c>
      <c r="D1577" s="18" t="s">
        <v>26</v>
      </c>
      <c r="E1577" s="18" t="s">
        <v>69</v>
      </c>
      <c r="F1577" s="18" t="s">
        <v>305</v>
      </c>
      <c r="G1577" s="18" t="s">
        <v>32</v>
      </c>
      <c r="H1577" s="19">
        <v>2013</v>
      </c>
      <c r="I1577" s="18" t="s">
        <v>122</v>
      </c>
      <c r="J1577" s="101" t="s">
        <v>27</v>
      </c>
      <c r="K1577" s="20">
        <v>579</v>
      </c>
      <c r="L1577" s="21">
        <v>6.08</v>
      </c>
      <c r="M1577" s="22" t="s">
        <v>30</v>
      </c>
      <c r="N1577" s="23">
        <v>6.08</v>
      </c>
      <c r="O1577" s="24">
        <v>1.0500863557858377E-2</v>
      </c>
      <c r="P1577" s="25" t="str">
        <f>IF(P1578="x","x","")</f>
        <v/>
      </c>
      <c r="Q1577" s="25" t="str">
        <f>IF(Q1578="x","x","")</f>
        <v/>
      </c>
      <c r="R1577" s="25" t="str">
        <f>IF(R1578="x","x","")</f>
        <v/>
      </c>
      <c r="S1577" s="25" t="str">
        <f>IF(S1578="x","x","")</f>
        <v>x</v>
      </c>
      <c r="T1577" s="25" t="s">
        <v>31</v>
      </c>
      <c r="U1577" s="26"/>
      <c r="V1577" s="27"/>
    </row>
    <row r="1578" spans="1:22" ht="126.75" thickBot="1" x14ac:dyDescent="0.3">
      <c r="A1578" s="28" t="str">
        <f>A1577</f>
        <v>Sudan</v>
      </c>
      <c r="B1578" s="28" t="str">
        <f>B1577</f>
        <v>Sub-Saharan Africa</v>
      </c>
      <c r="C1578" s="28" t="str">
        <f>C1577</f>
        <v>P095081</v>
      </c>
      <c r="D1578" s="28" t="s">
        <v>26</v>
      </c>
      <c r="E1578" s="28" t="s">
        <v>27</v>
      </c>
      <c r="F1578" s="28" t="str">
        <f>F1577</f>
        <v>P095081C1S3</v>
      </c>
      <c r="G1578" s="28" t="s">
        <v>16</v>
      </c>
      <c r="H1578" s="29" t="str">
        <f>H1576&amp;" / "&amp;H1577</f>
        <v>2006 / 2013</v>
      </c>
      <c r="I1578" s="29" t="str">
        <f>I1577</f>
        <v>Gravel Resurfacing</v>
      </c>
      <c r="J1578" s="97" t="str">
        <f>IFERROR(J1577/J1576,"")</f>
        <v/>
      </c>
      <c r="K1578" s="32">
        <f>K1577/K1576</f>
        <v>0.70609756097560972</v>
      </c>
      <c r="L1578" s="32">
        <f>L1577/L1576</f>
        <v>1.7175141242937852</v>
      </c>
      <c r="M1578" s="28"/>
      <c r="N1578" s="32">
        <f>N1577/N1576</f>
        <v>1.7175141242937852</v>
      </c>
      <c r="O1578" s="32">
        <f>O1577/O1576</f>
        <v>2.4324034230067424</v>
      </c>
      <c r="P1578" s="33" t="str">
        <f>IF(K1578&lt;50%,"x","")</f>
        <v/>
      </c>
      <c r="Q1578" s="33" t="str">
        <f>IF(K1578&gt;150%,"x","")</f>
        <v/>
      </c>
      <c r="R1578" s="33" t="str">
        <f>IF(O1578&lt;50%,"x","")</f>
        <v/>
      </c>
      <c r="S1578" s="33" t="str">
        <f>IF(O1578&gt;150%,"x","")</f>
        <v>x</v>
      </c>
      <c r="T1578" s="33" t="s">
        <v>31</v>
      </c>
      <c r="U1578" s="34" t="s">
        <v>1183</v>
      </c>
      <c r="V1578" s="35" t="s">
        <v>1184</v>
      </c>
    </row>
    <row r="1579" spans="1:22" ht="16.5" thickTop="1" x14ac:dyDescent="0.25">
      <c r="A1579" s="18" t="s">
        <v>300</v>
      </c>
      <c r="B1579" s="18" t="s">
        <v>950</v>
      </c>
      <c r="C1579" s="18" t="s">
        <v>864</v>
      </c>
      <c r="D1579" s="18" t="s">
        <v>26</v>
      </c>
      <c r="E1579" s="18" t="s">
        <v>27</v>
      </c>
      <c r="F1579" s="18" t="s">
        <v>865</v>
      </c>
      <c r="G1579" s="18" t="s">
        <v>29</v>
      </c>
      <c r="H1579" s="19">
        <v>2011</v>
      </c>
      <c r="I1579" s="18" t="s">
        <v>387</v>
      </c>
      <c r="J1579" s="101" t="s">
        <v>27</v>
      </c>
      <c r="K1579" s="20">
        <v>298</v>
      </c>
      <c r="L1579" s="21">
        <v>89.27</v>
      </c>
      <c r="M1579" s="22" t="s">
        <v>30</v>
      </c>
      <c r="N1579" s="23">
        <v>89.27</v>
      </c>
      <c r="O1579" s="24">
        <v>0.29956375838926175</v>
      </c>
      <c r="P1579" s="25" t="str">
        <f>IF(P1581="x","x","")</f>
        <v>x</v>
      </c>
      <c r="Q1579" s="25" t="str">
        <f>IF(Q1581="x","x","")</f>
        <v/>
      </c>
      <c r="R1579" s="25" t="str">
        <f>IF(R1581="x","x","")</f>
        <v/>
      </c>
      <c r="S1579" s="25" t="str">
        <f>IF(S1581="x","x","")</f>
        <v>x</v>
      </c>
      <c r="T1579" s="25" t="s">
        <v>31</v>
      </c>
      <c r="U1579" s="26"/>
      <c r="V1579" s="27"/>
    </row>
    <row r="1580" spans="1:22" x14ac:dyDescent="0.25">
      <c r="A1580" s="18" t="s">
        <v>300</v>
      </c>
      <c r="B1580" s="18" t="s">
        <v>950</v>
      </c>
      <c r="C1580" s="18" t="s">
        <v>864</v>
      </c>
      <c r="D1580" s="18" t="s">
        <v>26</v>
      </c>
      <c r="E1580" s="18" t="s">
        <v>27</v>
      </c>
      <c r="F1580" s="18" t="s">
        <v>865</v>
      </c>
      <c r="G1580" s="18" t="s">
        <v>32</v>
      </c>
      <c r="H1580" s="19">
        <v>2013</v>
      </c>
      <c r="I1580" s="18" t="s">
        <v>387</v>
      </c>
      <c r="J1580" s="101" t="s">
        <v>27</v>
      </c>
      <c r="K1580" s="20">
        <v>131</v>
      </c>
      <c r="L1580" s="21">
        <v>101.91</v>
      </c>
      <c r="M1580" s="22" t="s">
        <v>30</v>
      </c>
      <c r="N1580" s="23">
        <v>101.91</v>
      </c>
      <c r="O1580" s="24">
        <v>0.77793893129770986</v>
      </c>
      <c r="P1580" s="25" t="str">
        <f>IF(P1581="x","x","")</f>
        <v>x</v>
      </c>
      <c r="Q1580" s="25" t="str">
        <f>IF(Q1581="x","x","")</f>
        <v/>
      </c>
      <c r="R1580" s="25" t="str">
        <f>IF(R1581="x","x","")</f>
        <v/>
      </c>
      <c r="S1580" s="25" t="str">
        <f>IF(S1581="x","x","")</f>
        <v>x</v>
      </c>
      <c r="T1580" s="25" t="s">
        <v>31</v>
      </c>
      <c r="U1580" s="26"/>
      <c r="V1580" s="27"/>
    </row>
    <row r="1581" spans="1:22" ht="111" thickBot="1" x14ac:dyDescent="0.3">
      <c r="A1581" s="28" t="str">
        <f>A1580</f>
        <v>Sudan</v>
      </c>
      <c r="B1581" s="28" t="str">
        <f>B1580</f>
        <v>Sub-Saharan Africa</v>
      </c>
      <c r="C1581" s="28" t="str">
        <f>C1580</f>
        <v>P098837</v>
      </c>
      <c r="D1581" s="28" t="s">
        <v>26</v>
      </c>
      <c r="E1581" s="28" t="s">
        <v>27</v>
      </c>
      <c r="F1581" s="28" t="str">
        <f>F1580</f>
        <v>P098837C1</v>
      </c>
      <c r="G1581" s="28" t="s">
        <v>16</v>
      </c>
      <c r="H1581" s="29" t="str">
        <f>H1579&amp;" / "&amp;H1580</f>
        <v>2011 / 2013</v>
      </c>
      <c r="I1581" s="29" t="str">
        <f>I1580</f>
        <v>Upgrading</v>
      </c>
      <c r="J1581" s="97" t="str">
        <f>IFERROR(J1580/J1579,"")</f>
        <v/>
      </c>
      <c r="K1581" s="32">
        <f>K1580/K1579</f>
        <v>0.43959731543624159</v>
      </c>
      <c r="L1581" s="32">
        <f>L1580/L1579</f>
        <v>1.1415929203539823</v>
      </c>
      <c r="M1581" s="28"/>
      <c r="N1581" s="32">
        <f>N1580/N1579</f>
        <v>1.1415929203539823</v>
      </c>
      <c r="O1581" s="32">
        <f>O1580/O1579</f>
        <v>2.596906032560967</v>
      </c>
      <c r="P1581" s="33" t="str">
        <f>IF(K1581&lt;50%,"x","")</f>
        <v>x</v>
      </c>
      <c r="Q1581" s="33" t="str">
        <f>IF(K1581&gt;150%,"x","")</f>
        <v/>
      </c>
      <c r="R1581" s="33" t="str">
        <f>IF(O1581&lt;50%,"x","")</f>
        <v/>
      </c>
      <c r="S1581" s="33" t="str">
        <f>IF(O1581&gt;150%,"x","")</f>
        <v>x</v>
      </c>
      <c r="T1581" s="33" t="s">
        <v>31</v>
      </c>
      <c r="U1581" s="34" t="s">
        <v>1087</v>
      </c>
      <c r="V1581" s="35" t="s">
        <v>1088</v>
      </c>
    </row>
    <row r="1582" spans="1:22" ht="16.5" thickTop="1" x14ac:dyDescent="0.25">
      <c r="A1582" s="18" t="s">
        <v>1240</v>
      </c>
      <c r="B1582" s="18" t="s">
        <v>950</v>
      </c>
      <c r="C1582" s="18" t="s">
        <v>1266</v>
      </c>
      <c r="D1582" s="18" t="s">
        <v>26</v>
      </c>
      <c r="E1582" s="18" t="s">
        <v>27</v>
      </c>
      <c r="F1582" s="18" t="s">
        <v>1270</v>
      </c>
      <c r="G1582" s="18" t="s">
        <v>29</v>
      </c>
      <c r="H1582" s="19">
        <v>1988</v>
      </c>
      <c r="I1582" s="18" t="s">
        <v>38</v>
      </c>
      <c r="J1582" s="101">
        <v>24</v>
      </c>
      <c r="K1582" s="20">
        <v>106</v>
      </c>
      <c r="L1582" s="21">
        <v>19.077894899999997</v>
      </c>
      <c r="M1582" s="22" t="s">
        <v>1294</v>
      </c>
      <c r="N1582" s="23">
        <v>8.3932665640123165</v>
      </c>
      <c r="O1582" s="24">
        <v>7.9181760037852045E-2</v>
      </c>
      <c r="P1582" s="25" t="s">
        <v>31</v>
      </c>
      <c r="Q1582" s="25" t="s">
        <v>27</v>
      </c>
      <c r="R1582" s="25" t="s">
        <v>31</v>
      </c>
      <c r="S1582" s="25"/>
      <c r="T1582" s="25"/>
      <c r="U1582" s="26"/>
      <c r="V1582" s="27"/>
    </row>
    <row r="1583" spans="1:22" x14ac:dyDescent="0.25">
      <c r="A1583" s="18" t="s">
        <v>1240</v>
      </c>
      <c r="B1583" s="18" t="s">
        <v>950</v>
      </c>
      <c r="C1583" s="18" t="s">
        <v>1266</v>
      </c>
      <c r="D1583" s="18" t="s">
        <v>26</v>
      </c>
      <c r="E1583" s="18" t="s">
        <v>27</v>
      </c>
      <c r="F1583" s="18" t="s">
        <v>1270</v>
      </c>
      <c r="G1583" s="18" t="s">
        <v>32</v>
      </c>
      <c r="H1583" s="19">
        <v>1994</v>
      </c>
      <c r="I1583" s="18" t="s">
        <v>38</v>
      </c>
      <c r="J1583" s="101">
        <v>24</v>
      </c>
      <c r="K1583" s="20">
        <v>106</v>
      </c>
      <c r="L1583" s="21">
        <v>115.27977919999999</v>
      </c>
      <c r="M1583" s="22" t="s">
        <v>1294</v>
      </c>
      <c r="N1583" s="23">
        <v>32.473177239436616</v>
      </c>
      <c r="O1583" s="24">
        <v>0.30635072867393032</v>
      </c>
      <c r="P1583" s="25" t="s">
        <v>31</v>
      </c>
      <c r="Q1583" s="25" t="s">
        <v>27</v>
      </c>
      <c r="R1583" s="25" t="s">
        <v>31</v>
      </c>
      <c r="S1583" s="25"/>
      <c r="T1583" s="25"/>
      <c r="U1583" s="26"/>
      <c r="V1583" s="27"/>
    </row>
    <row r="1584" spans="1:22" ht="63.75" thickBot="1" x14ac:dyDescent="0.3">
      <c r="A1584" s="28" t="str">
        <f>A1583</f>
        <v>Swaziland</v>
      </c>
      <c r="B1584" s="28" t="str">
        <f>B1583</f>
        <v>Sub-Saharan Africa</v>
      </c>
      <c r="C1584" s="28" t="str">
        <f>C1583</f>
        <v>Loan numbers: ADB loan: B/SWA/ROD/89/15 and ADF loan: F/SWA/ROD/89/6</v>
      </c>
      <c r="D1584" s="28" t="s">
        <v>26</v>
      </c>
      <c r="E1584" s="28" t="s">
        <v>27</v>
      </c>
      <c r="F1584" s="28" t="str">
        <f>F1583</f>
        <v>Loan numbers: ADB loan: B/SWA/ROD/89/15 and ADF loan: F/SWA/ROD/89/6C1</v>
      </c>
      <c r="G1584" s="28" t="s">
        <v>16</v>
      </c>
      <c r="H1584" s="29" t="str">
        <f>H1582&amp;" / "&amp;H1583</f>
        <v>1988 / 1994</v>
      </c>
      <c r="I1584" s="29" t="str">
        <f>I1583</f>
        <v>Strengthening</v>
      </c>
      <c r="J1584" s="97">
        <f>IFERROR(J1583/J1582,"")</f>
        <v>1</v>
      </c>
      <c r="K1584" s="32">
        <f>K1583/K1582</f>
        <v>1</v>
      </c>
      <c r="L1584" s="32">
        <f>L1583/L1582</f>
        <v>6.0425838282608426</v>
      </c>
      <c r="M1584" s="28"/>
      <c r="N1584" s="32">
        <f>N1583/N1582</f>
        <v>3.8689557863765907</v>
      </c>
      <c r="O1584" s="32">
        <f>O1583/O1582</f>
        <v>3.8689557863765902</v>
      </c>
      <c r="P1584" s="33" t="s">
        <v>31</v>
      </c>
      <c r="Q1584" s="33" t="s">
        <v>27</v>
      </c>
      <c r="R1584" s="33" t="s">
        <v>31</v>
      </c>
      <c r="S1584" s="33" t="s">
        <v>1313</v>
      </c>
      <c r="T1584" s="33" t="s">
        <v>1314</v>
      </c>
      <c r="U1584" s="34" t="s">
        <v>1315</v>
      </c>
      <c r="V1584" s="35" t="s">
        <v>1316</v>
      </c>
    </row>
    <row r="1585" spans="1:22" ht="16.5" thickTop="1" x14ac:dyDescent="0.25">
      <c r="A1585" s="18" t="s">
        <v>701</v>
      </c>
      <c r="B1585" s="18" t="s">
        <v>950</v>
      </c>
      <c r="C1585" s="18" t="s">
        <v>702</v>
      </c>
      <c r="D1585" s="18" t="s">
        <v>26</v>
      </c>
      <c r="E1585" s="18" t="s">
        <v>36</v>
      </c>
      <c r="F1585" s="18" t="s">
        <v>703</v>
      </c>
      <c r="G1585" s="18" t="s">
        <v>29</v>
      </c>
      <c r="H1585" s="19">
        <v>2004</v>
      </c>
      <c r="I1585" s="18" t="s">
        <v>387</v>
      </c>
      <c r="J1585" s="101" t="s">
        <v>27</v>
      </c>
      <c r="K1585" s="20">
        <v>110</v>
      </c>
      <c r="L1585" s="21">
        <v>55.73</v>
      </c>
      <c r="M1585" s="22" t="s">
        <v>30</v>
      </c>
      <c r="N1585" s="23">
        <v>55.73</v>
      </c>
      <c r="O1585" s="24">
        <v>0.50663636363636366</v>
      </c>
      <c r="P1585" s="25" t="str">
        <f>IF(P1587="x","x","")</f>
        <v/>
      </c>
      <c r="Q1585" s="25" t="str">
        <f>IF(Q1587="x","x","")</f>
        <v/>
      </c>
      <c r="R1585" s="25" t="str">
        <f>IF(R1587="x","x","")</f>
        <v/>
      </c>
      <c r="S1585" s="25" t="str">
        <f>IF(S1587="x","x","")</f>
        <v/>
      </c>
      <c r="T1585" s="25" t="s">
        <v>27</v>
      </c>
      <c r="U1585" s="26"/>
      <c r="V1585" s="27"/>
    </row>
    <row r="1586" spans="1:22" x14ac:dyDescent="0.25">
      <c r="A1586" s="18" t="s">
        <v>701</v>
      </c>
      <c r="B1586" s="18" t="s">
        <v>950</v>
      </c>
      <c r="C1586" s="18" t="s">
        <v>702</v>
      </c>
      <c r="D1586" s="18" t="s">
        <v>26</v>
      </c>
      <c r="E1586" s="18" t="s">
        <v>36</v>
      </c>
      <c r="F1586" s="18" t="s">
        <v>703</v>
      </c>
      <c r="G1586" s="18" t="s">
        <v>32</v>
      </c>
      <c r="H1586" s="19">
        <v>2010</v>
      </c>
      <c r="I1586" s="18" t="s">
        <v>387</v>
      </c>
      <c r="J1586" s="101" t="s">
        <v>27</v>
      </c>
      <c r="K1586" s="20">
        <v>115.4</v>
      </c>
      <c r="L1586" s="21">
        <v>55.01</v>
      </c>
      <c r="M1586" s="22" t="s">
        <v>30</v>
      </c>
      <c r="N1586" s="23">
        <v>55.01</v>
      </c>
      <c r="O1586" s="24">
        <v>0.47668977469670709</v>
      </c>
      <c r="P1586" s="25" t="str">
        <f>IF(P1587="x","x","")</f>
        <v/>
      </c>
      <c r="Q1586" s="25" t="str">
        <f>IF(Q1587="x","x","")</f>
        <v/>
      </c>
      <c r="R1586" s="25" t="str">
        <f>IF(R1587="x","x","")</f>
        <v/>
      </c>
      <c r="S1586" s="25" t="str">
        <f>IF(S1587="x","x","")</f>
        <v/>
      </c>
      <c r="T1586" s="25" t="s">
        <v>27</v>
      </c>
      <c r="U1586" s="26"/>
      <c r="V1586" s="27"/>
    </row>
    <row r="1587" spans="1:22" ht="16.5" thickBot="1" x14ac:dyDescent="0.3">
      <c r="A1587" s="28" t="str">
        <f>A1586</f>
        <v>Tanzania</v>
      </c>
      <c r="B1587" s="28" t="str">
        <f>B1586</f>
        <v>Sub-Saharan Africa</v>
      </c>
      <c r="C1587" s="28" t="str">
        <f>C1586</f>
        <v>P078387</v>
      </c>
      <c r="D1587" s="28" t="s">
        <v>26</v>
      </c>
      <c r="E1587" s="28" t="s">
        <v>27</v>
      </c>
      <c r="F1587" s="28" t="str">
        <f>F1586</f>
        <v>P078387C1S1</v>
      </c>
      <c r="G1587" s="28" t="s">
        <v>16</v>
      </c>
      <c r="H1587" s="29" t="str">
        <f>H1585&amp;" / "&amp;H1586</f>
        <v>2004 / 2010</v>
      </c>
      <c r="I1587" s="29" t="str">
        <f>I1586</f>
        <v>Upgrading</v>
      </c>
      <c r="J1587" s="97" t="str">
        <f>IFERROR(J1586/J1585,"")</f>
        <v/>
      </c>
      <c r="K1587" s="32">
        <f>K1586/K1585</f>
        <v>1.0490909090909091</v>
      </c>
      <c r="L1587" s="32">
        <f>L1586/L1585</f>
        <v>0.9870805670195586</v>
      </c>
      <c r="M1587" s="28"/>
      <c r="N1587" s="32">
        <f>N1586/N1585</f>
        <v>0.9870805670195586</v>
      </c>
      <c r="O1587" s="32">
        <f>O1586/O1585</f>
        <v>0.94089135504463983</v>
      </c>
      <c r="P1587" s="33" t="str">
        <f>IF(K1587&lt;50%,"x","")</f>
        <v/>
      </c>
      <c r="Q1587" s="33" t="str">
        <f>IF(K1587&gt;150%,"x","")</f>
        <v/>
      </c>
      <c r="R1587" s="33" t="str">
        <f>IF(O1587&lt;50%,"x","")</f>
        <v/>
      </c>
      <c r="S1587" s="33" t="str">
        <f>IF(O1587&gt;150%,"x","")</f>
        <v/>
      </c>
      <c r="T1587" s="33" t="s">
        <v>27</v>
      </c>
      <c r="U1587" s="34" t="s">
        <v>27</v>
      </c>
      <c r="V1587" s="35" t="s">
        <v>27</v>
      </c>
    </row>
    <row r="1588" spans="1:22" ht="16.5" thickTop="1" x14ac:dyDescent="0.25">
      <c r="A1588" s="18" t="s">
        <v>701</v>
      </c>
      <c r="B1588" s="18" t="s">
        <v>950</v>
      </c>
      <c r="C1588" s="18" t="s">
        <v>702</v>
      </c>
      <c r="D1588" s="18" t="s">
        <v>26</v>
      </c>
      <c r="E1588" s="18" t="s">
        <v>40</v>
      </c>
      <c r="F1588" s="18" t="s">
        <v>704</v>
      </c>
      <c r="G1588" s="18" t="s">
        <v>29</v>
      </c>
      <c r="H1588" s="19">
        <v>2004</v>
      </c>
      <c r="I1588" s="18" t="s">
        <v>387</v>
      </c>
      <c r="J1588" s="101">
        <v>18</v>
      </c>
      <c r="K1588" s="20">
        <v>57</v>
      </c>
      <c r="L1588" s="21">
        <v>14.3</v>
      </c>
      <c r="M1588" s="22" t="s">
        <v>30</v>
      </c>
      <c r="N1588" s="23">
        <v>14.3</v>
      </c>
      <c r="O1588" s="24">
        <v>0.25087719298245614</v>
      </c>
      <c r="P1588" s="25" t="str">
        <f>IF(P1590="x","x","")</f>
        <v/>
      </c>
      <c r="Q1588" s="25" t="str">
        <f>IF(Q1590="x","x","")</f>
        <v/>
      </c>
      <c r="R1588" s="25" t="str">
        <f>IF(R1590="x","x","")</f>
        <v/>
      </c>
      <c r="S1588" s="25" t="str">
        <f>IF(S1590="x","x","")</f>
        <v/>
      </c>
      <c r="T1588" s="25" t="s">
        <v>27</v>
      </c>
      <c r="U1588" s="26"/>
      <c r="V1588" s="27"/>
    </row>
    <row r="1589" spans="1:22" x14ac:dyDescent="0.25">
      <c r="A1589" s="18" t="s">
        <v>701</v>
      </c>
      <c r="B1589" s="18" t="s">
        <v>950</v>
      </c>
      <c r="C1589" s="18" t="s">
        <v>702</v>
      </c>
      <c r="D1589" s="18" t="s">
        <v>26</v>
      </c>
      <c r="E1589" s="18" t="s">
        <v>40</v>
      </c>
      <c r="F1589" s="18" t="s">
        <v>704</v>
      </c>
      <c r="G1589" s="18" t="s">
        <v>32</v>
      </c>
      <c r="H1589" s="19">
        <v>2010</v>
      </c>
      <c r="I1589" s="18" t="s">
        <v>387</v>
      </c>
      <c r="J1589" s="101">
        <v>36</v>
      </c>
      <c r="K1589" s="20">
        <v>56</v>
      </c>
      <c r="L1589" s="21">
        <v>16.28</v>
      </c>
      <c r="M1589" s="22" t="s">
        <v>30</v>
      </c>
      <c r="N1589" s="23">
        <v>16.28</v>
      </c>
      <c r="O1589" s="24">
        <v>0.29071428571428576</v>
      </c>
      <c r="P1589" s="25" t="str">
        <f>IF(P1590="x","x","")</f>
        <v/>
      </c>
      <c r="Q1589" s="25" t="str">
        <f>IF(Q1590="x","x","")</f>
        <v/>
      </c>
      <c r="R1589" s="25" t="str">
        <f>IF(R1590="x","x","")</f>
        <v/>
      </c>
      <c r="S1589" s="25" t="str">
        <f>IF(S1590="x","x","")</f>
        <v/>
      </c>
      <c r="T1589" s="25" t="s">
        <v>27</v>
      </c>
      <c r="U1589" s="26"/>
      <c r="V1589" s="27"/>
    </row>
    <row r="1590" spans="1:22" ht="16.5" thickBot="1" x14ac:dyDescent="0.3">
      <c r="A1590" s="28" t="str">
        <f>A1589</f>
        <v>Tanzania</v>
      </c>
      <c r="B1590" s="28" t="str">
        <f>B1589</f>
        <v>Sub-Saharan Africa</v>
      </c>
      <c r="C1590" s="28" t="str">
        <f>C1589</f>
        <v>P078387</v>
      </c>
      <c r="D1590" s="28" t="s">
        <v>26</v>
      </c>
      <c r="E1590" s="28" t="s">
        <v>27</v>
      </c>
      <c r="F1590" s="28" t="str">
        <f>F1589</f>
        <v>P078387C1S2</v>
      </c>
      <c r="G1590" s="28" t="s">
        <v>16</v>
      </c>
      <c r="H1590" s="29" t="str">
        <f>H1588&amp;" / "&amp;H1589</f>
        <v>2004 / 2010</v>
      </c>
      <c r="I1590" s="29" t="str">
        <f>I1589</f>
        <v>Upgrading</v>
      </c>
      <c r="J1590" s="97">
        <f>IFERROR(J1589/J1588,"")</f>
        <v>2</v>
      </c>
      <c r="K1590" s="32">
        <f>K1589/K1588</f>
        <v>0.98245614035087714</v>
      </c>
      <c r="L1590" s="32">
        <f>L1589/L1588</f>
        <v>1.1384615384615384</v>
      </c>
      <c r="M1590" s="28"/>
      <c r="N1590" s="32">
        <f>N1589/N1588</f>
        <v>1.1384615384615384</v>
      </c>
      <c r="O1590" s="32">
        <f>O1589/O1588</f>
        <v>1.1587912087912089</v>
      </c>
      <c r="P1590" s="33" t="str">
        <f>IF(K1590&lt;50%,"x","")</f>
        <v/>
      </c>
      <c r="Q1590" s="33" t="str">
        <f>IF(K1590&gt;150%,"x","")</f>
        <v/>
      </c>
      <c r="R1590" s="33" t="str">
        <f>IF(O1590&lt;50%,"x","")</f>
        <v/>
      </c>
      <c r="S1590" s="33" t="str">
        <f>IF(O1590&gt;150%,"x","")</f>
        <v/>
      </c>
      <c r="T1590" s="33" t="s">
        <v>27</v>
      </c>
      <c r="U1590" s="34" t="s">
        <v>27</v>
      </c>
      <c r="V1590" s="35" t="s">
        <v>27</v>
      </c>
    </row>
    <row r="1591" spans="1:22" ht="18.600000000000001" customHeight="1" thickTop="1" x14ac:dyDescent="0.25">
      <c r="A1591" s="18" t="s">
        <v>181</v>
      </c>
      <c r="B1591" s="18" t="s">
        <v>945</v>
      </c>
      <c r="C1591" s="18" t="s">
        <v>182</v>
      </c>
      <c r="D1591" s="18" t="s">
        <v>42</v>
      </c>
      <c r="E1591" s="18" t="s">
        <v>27</v>
      </c>
      <c r="F1591" s="18" t="s">
        <v>183</v>
      </c>
      <c r="G1591" s="18" t="s">
        <v>29</v>
      </c>
      <c r="H1591" s="19">
        <v>2003</v>
      </c>
      <c r="I1591" s="18" t="s">
        <v>56</v>
      </c>
      <c r="J1591" s="101">
        <v>24</v>
      </c>
      <c r="K1591" s="20">
        <v>73</v>
      </c>
      <c r="L1591" s="21">
        <v>50.32</v>
      </c>
      <c r="M1591" s="22" t="s">
        <v>30</v>
      </c>
      <c r="N1591" s="23">
        <v>50.32</v>
      </c>
      <c r="O1591" s="24">
        <v>0.68931506849315072</v>
      </c>
      <c r="P1591" s="25" t="str">
        <f>IF(P1593="x","x","")</f>
        <v/>
      </c>
      <c r="Q1591" s="25" t="str">
        <f>IF(Q1593="x","x","")</f>
        <v/>
      </c>
      <c r="R1591" s="25" t="str">
        <f>IF(R1593="x","x","")</f>
        <v/>
      </c>
      <c r="S1591" s="25" t="str">
        <f>IF(S1593="x","x","")</f>
        <v/>
      </c>
      <c r="T1591" s="25" t="s">
        <v>27</v>
      </c>
      <c r="U1591" s="26"/>
      <c r="V1591" s="27"/>
    </row>
    <row r="1592" spans="1:22" ht="18.600000000000001" customHeight="1" x14ac:dyDescent="0.25">
      <c r="A1592" s="18" t="s">
        <v>181</v>
      </c>
      <c r="B1592" s="18" t="s">
        <v>945</v>
      </c>
      <c r="C1592" s="18" t="s">
        <v>182</v>
      </c>
      <c r="D1592" s="18" t="s">
        <v>42</v>
      </c>
      <c r="E1592" s="18" t="s">
        <v>27</v>
      </c>
      <c r="F1592" s="18" t="s">
        <v>183</v>
      </c>
      <c r="G1592" s="18" t="s">
        <v>32</v>
      </c>
      <c r="H1592" s="19">
        <v>2013</v>
      </c>
      <c r="I1592" s="18" t="s">
        <v>56</v>
      </c>
      <c r="J1592" s="101">
        <v>24</v>
      </c>
      <c r="K1592" s="20">
        <v>86.27</v>
      </c>
      <c r="L1592" s="21">
        <v>40.54</v>
      </c>
      <c r="M1592" s="22" t="s">
        <v>30</v>
      </c>
      <c r="N1592" s="23">
        <v>40.54</v>
      </c>
      <c r="O1592" s="24">
        <v>0.46992001854642401</v>
      </c>
      <c r="P1592" s="25" t="str">
        <f>IF(P1593="x","x","")</f>
        <v/>
      </c>
      <c r="Q1592" s="25" t="str">
        <f>IF(Q1593="x","x","")</f>
        <v/>
      </c>
      <c r="R1592" s="25" t="str">
        <f>IF(R1593="x","x","")</f>
        <v/>
      </c>
      <c r="S1592" s="25" t="str">
        <f>IF(S1593="x","x","")</f>
        <v/>
      </c>
      <c r="T1592" s="25" t="s">
        <v>27</v>
      </c>
      <c r="U1592" s="26"/>
      <c r="V1592" s="27"/>
    </row>
    <row r="1593" spans="1:22" ht="18.600000000000001" customHeight="1" thickBot="1" x14ac:dyDescent="0.3">
      <c r="A1593" s="28" t="str">
        <f>A1592</f>
        <v>Thailand</v>
      </c>
      <c r="B1593" s="28" t="str">
        <f>B1592</f>
        <v>East Asia and Pacific</v>
      </c>
      <c r="C1593" s="28" t="str">
        <f>C1592</f>
        <v>P075173</v>
      </c>
      <c r="D1593" s="28" t="s">
        <v>26</v>
      </c>
      <c r="E1593" s="28" t="s">
        <v>27</v>
      </c>
      <c r="F1593" s="28" t="str">
        <f>F1592</f>
        <v>P075173C2</v>
      </c>
      <c r="G1593" s="28" t="s">
        <v>16</v>
      </c>
      <c r="H1593" s="29" t="str">
        <f>H1591&amp;" / "&amp;H1592</f>
        <v>2003 / 2013</v>
      </c>
      <c r="I1593" s="29" t="str">
        <f>I1592</f>
        <v>Widening</v>
      </c>
      <c r="J1593" s="97">
        <f>IFERROR(J1592/J1591,"")</f>
        <v>1</v>
      </c>
      <c r="K1593" s="32">
        <f>K1592/K1591</f>
        <v>1.1817808219178081</v>
      </c>
      <c r="L1593" s="32">
        <f>L1592/L1591</f>
        <v>0.80564387917329094</v>
      </c>
      <c r="M1593" s="28"/>
      <c r="N1593" s="32">
        <f>N1592/N1591</f>
        <v>0.80564387917329094</v>
      </c>
      <c r="O1593" s="32">
        <f>O1592/O1591</f>
        <v>0.68172021768459756</v>
      </c>
      <c r="P1593" s="33" t="str">
        <f>IF(K1593&lt;50%,"x","")</f>
        <v/>
      </c>
      <c r="Q1593" s="33" t="str">
        <f>IF(K1593&gt;150%,"x","")</f>
        <v/>
      </c>
      <c r="R1593" s="33" t="str">
        <f>IF(O1593&lt;50%,"x","")</f>
        <v/>
      </c>
      <c r="S1593" s="33" t="str">
        <f>IF(O1593&gt;150%,"x","")</f>
        <v/>
      </c>
      <c r="T1593" s="33" t="s">
        <v>27</v>
      </c>
      <c r="U1593" s="34" t="s">
        <v>27</v>
      </c>
      <c r="V1593" s="35" t="s">
        <v>27</v>
      </c>
    </row>
    <row r="1594" spans="1:22" ht="18.600000000000001" customHeight="1" thickTop="1" x14ac:dyDescent="0.25">
      <c r="A1594" s="18" t="s">
        <v>172</v>
      </c>
      <c r="B1594" s="18" t="s">
        <v>950</v>
      </c>
      <c r="C1594" s="18" t="s">
        <v>173</v>
      </c>
      <c r="D1594" s="18" t="s">
        <v>26</v>
      </c>
      <c r="E1594" s="18" t="s">
        <v>36</v>
      </c>
      <c r="F1594" s="18" t="s">
        <v>174</v>
      </c>
      <c r="G1594" s="18" t="s">
        <v>29</v>
      </c>
      <c r="H1594" s="19">
        <v>2004</v>
      </c>
      <c r="I1594" s="18" t="s">
        <v>387</v>
      </c>
      <c r="J1594" s="101" t="s">
        <v>27</v>
      </c>
      <c r="K1594" s="20">
        <v>125</v>
      </c>
      <c r="L1594" s="21">
        <v>47</v>
      </c>
      <c r="M1594" s="22" t="s">
        <v>30</v>
      </c>
      <c r="N1594" s="23">
        <v>47</v>
      </c>
      <c r="O1594" s="24">
        <v>0.376</v>
      </c>
      <c r="P1594" s="25" t="str">
        <f>IF(P1596="x","x","")</f>
        <v/>
      </c>
      <c r="Q1594" s="25" t="str">
        <f>IF(Q1596="x","x","")</f>
        <v/>
      </c>
      <c r="R1594" s="25" t="str">
        <f>IF(R1596="x","x","")</f>
        <v/>
      </c>
      <c r="S1594" s="25" t="str">
        <f>IF(S1596="x","x","")</f>
        <v>x</v>
      </c>
      <c r="T1594" s="25" t="s">
        <v>31</v>
      </c>
      <c r="U1594" s="26"/>
      <c r="V1594" s="27"/>
    </row>
    <row r="1595" spans="1:22" ht="18.600000000000001" customHeight="1" x14ac:dyDescent="0.25">
      <c r="A1595" s="18" t="s">
        <v>172</v>
      </c>
      <c r="B1595" s="18" t="s">
        <v>950</v>
      </c>
      <c r="C1595" s="18" t="s">
        <v>173</v>
      </c>
      <c r="D1595" s="18" t="s">
        <v>26</v>
      </c>
      <c r="E1595" s="18" t="s">
        <v>36</v>
      </c>
      <c r="F1595" s="18" t="s">
        <v>174</v>
      </c>
      <c r="G1595" s="18" t="s">
        <v>32</v>
      </c>
      <c r="H1595" s="19">
        <v>2012</v>
      </c>
      <c r="I1595" s="18" t="s">
        <v>387</v>
      </c>
      <c r="J1595" s="101">
        <v>34</v>
      </c>
      <c r="K1595" s="20">
        <v>123</v>
      </c>
      <c r="L1595" s="21">
        <v>103.51</v>
      </c>
      <c r="M1595" s="22" t="s">
        <v>30</v>
      </c>
      <c r="N1595" s="23">
        <v>103.51</v>
      </c>
      <c r="O1595" s="24">
        <v>0.84154471544715448</v>
      </c>
      <c r="P1595" s="25" t="str">
        <f>IF(P1596="x","x","")</f>
        <v/>
      </c>
      <c r="Q1595" s="25" t="str">
        <f>IF(Q1596="x","x","")</f>
        <v/>
      </c>
      <c r="R1595" s="25" t="str">
        <f>IF(R1596="x","x","")</f>
        <v/>
      </c>
      <c r="S1595" s="25" t="str">
        <f>IF(S1596="x","x","")</f>
        <v>x</v>
      </c>
      <c r="T1595" s="25" t="s">
        <v>31</v>
      </c>
      <c r="U1595" s="26"/>
      <c r="V1595" s="27"/>
    </row>
    <row r="1596" spans="1:22" ht="18.600000000000001" customHeight="1" thickBot="1" x14ac:dyDescent="0.3">
      <c r="A1596" s="28" t="str">
        <f>A1595</f>
        <v>Uganda</v>
      </c>
      <c r="B1596" s="28" t="str">
        <f>B1595</f>
        <v>Sub-Saharan Africa</v>
      </c>
      <c r="C1596" s="28" t="str">
        <f>C1595</f>
        <v>P074079</v>
      </c>
      <c r="D1596" s="28" t="s">
        <v>26</v>
      </c>
      <c r="E1596" s="28" t="s">
        <v>27</v>
      </c>
      <c r="F1596" s="28" t="str">
        <f>F1595</f>
        <v>P074079C1S1</v>
      </c>
      <c r="G1596" s="28" t="s">
        <v>16</v>
      </c>
      <c r="H1596" s="29" t="str">
        <f>H1594&amp;" / "&amp;H1595</f>
        <v>2004 / 2012</v>
      </c>
      <c r="I1596" s="29" t="str">
        <f>I1595</f>
        <v>Upgrading</v>
      </c>
      <c r="J1596" s="97" t="str">
        <f>IFERROR(J1595/J1594,"")</f>
        <v/>
      </c>
      <c r="K1596" s="32">
        <f>K1595/K1594</f>
        <v>0.98399999999999999</v>
      </c>
      <c r="L1596" s="32">
        <f>L1595/L1594</f>
        <v>2.202340425531915</v>
      </c>
      <c r="M1596" s="28"/>
      <c r="N1596" s="32">
        <f>N1595/N1594</f>
        <v>2.202340425531915</v>
      </c>
      <c r="O1596" s="32">
        <f>O1595/O1594</f>
        <v>2.2381508389551983</v>
      </c>
      <c r="P1596" s="33" t="str">
        <f>IF(K1596&lt;50%,"x","")</f>
        <v/>
      </c>
      <c r="Q1596" s="33" t="str">
        <f>IF(K1596&gt;150%,"x","")</f>
        <v/>
      </c>
      <c r="R1596" s="33" t="str">
        <f>IF(O1596&lt;50%,"x","")</f>
        <v/>
      </c>
      <c r="S1596" s="33" t="str">
        <f>IF(O1596&gt;150%,"x","")</f>
        <v>x</v>
      </c>
      <c r="T1596" s="33" t="s">
        <v>31</v>
      </c>
      <c r="U1596" s="34" t="s">
        <v>1142</v>
      </c>
      <c r="V1596" s="35" t="s">
        <v>1143</v>
      </c>
    </row>
    <row r="1597" spans="1:22" ht="18.600000000000001" customHeight="1" thickTop="1" x14ac:dyDescent="0.25">
      <c r="A1597" s="18" t="s">
        <v>172</v>
      </c>
      <c r="B1597" s="18" t="s">
        <v>950</v>
      </c>
      <c r="C1597" s="18" t="s">
        <v>173</v>
      </c>
      <c r="D1597" s="18" t="s">
        <v>26</v>
      </c>
      <c r="E1597" s="18" t="s">
        <v>40</v>
      </c>
      <c r="F1597" s="18" t="s">
        <v>176</v>
      </c>
      <c r="G1597" s="18" t="s">
        <v>29</v>
      </c>
      <c r="H1597" s="19">
        <v>2004</v>
      </c>
      <c r="I1597" s="18" t="s">
        <v>387</v>
      </c>
      <c r="J1597" s="101" t="s">
        <v>27</v>
      </c>
      <c r="K1597" s="20">
        <v>68</v>
      </c>
      <c r="L1597" s="21">
        <v>31.18</v>
      </c>
      <c r="M1597" s="22" t="s">
        <v>30</v>
      </c>
      <c r="N1597" s="23">
        <v>31.18</v>
      </c>
      <c r="O1597" s="24">
        <v>0.45852941176470585</v>
      </c>
      <c r="P1597" s="25" t="str">
        <f>IF(P1599="x","x","")</f>
        <v>x</v>
      </c>
      <c r="Q1597" s="25" t="str">
        <f>IF(Q1599="x","x","")</f>
        <v/>
      </c>
      <c r="R1597" s="25" t="str">
        <f>IF(R1599="x","x","")</f>
        <v/>
      </c>
      <c r="S1597" s="25" t="str">
        <f>IF(S1599="x","x","")</f>
        <v>x</v>
      </c>
      <c r="T1597" s="25" t="s">
        <v>31</v>
      </c>
      <c r="U1597" s="26"/>
      <c r="V1597" s="27"/>
    </row>
    <row r="1598" spans="1:22" ht="18.600000000000001" customHeight="1" x14ac:dyDescent="0.25">
      <c r="A1598" s="18" t="s">
        <v>172</v>
      </c>
      <c r="B1598" s="18" t="s">
        <v>950</v>
      </c>
      <c r="C1598" s="18" t="s">
        <v>173</v>
      </c>
      <c r="D1598" s="18" t="s">
        <v>26</v>
      </c>
      <c r="E1598" s="18" t="s">
        <v>40</v>
      </c>
      <c r="F1598" s="18" t="s">
        <v>176</v>
      </c>
      <c r="G1598" s="18" t="s">
        <v>32</v>
      </c>
      <c r="H1598" s="19">
        <v>2012</v>
      </c>
      <c r="I1598" s="18" t="s">
        <v>387</v>
      </c>
      <c r="J1598" s="101">
        <v>39</v>
      </c>
      <c r="K1598" s="20">
        <v>15</v>
      </c>
      <c r="L1598" s="21">
        <v>57.72</v>
      </c>
      <c r="M1598" s="22" t="s">
        <v>30</v>
      </c>
      <c r="N1598" s="23">
        <v>57.72</v>
      </c>
      <c r="O1598" s="24">
        <v>3.8479999999999999</v>
      </c>
      <c r="P1598" s="25" t="str">
        <f>IF(P1599="x","x","")</f>
        <v>x</v>
      </c>
      <c r="Q1598" s="25" t="str">
        <f>IF(Q1599="x","x","")</f>
        <v/>
      </c>
      <c r="R1598" s="25" t="str">
        <f>IF(R1599="x","x","")</f>
        <v/>
      </c>
      <c r="S1598" s="25" t="str">
        <f>IF(S1599="x","x","")</f>
        <v>x</v>
      </c>
      <c r="T1598" s="25" t="s">
        <v>31</v>
      </c>
      <c r="U1598" s="26"/>
      <c r="V1598" s="27"/>
    </row>
    <row r="1599" spans="1:22" ht="18.600000000000001" customHeight="1" thickBot="1" x14ac:dyDescent="0.3">
      <c r="A1599" s="28" t="str">
        <f>A1598</f>
        <v>Uganda</v>
      </c>
      <c r="B1599" s="28" t="str">
        <f>B1598</f>
        <v>Sub-Saharan Africa</v>
      </c>
      <c r="C1599" s="28" t="str">
        <f>C1598</f>
        <v>P074079</v>
      </c>
      <c r="D1599" s="28" t="s">
        <v>26</v>
      </c>
      <c r="E1599" s="28" t="s">
        <v>27</v>
      </c>
      <c r="F1599" s="28" t="str">
        <f>F1598</f>
        <v>P074079C1S2</v>
      </c>
      <c r="G1599" s="28" t="s">
        <v>16</v>
      </c>
      <c r="H1599" s="29" t="str">
        <f>H1597&amp;" / "&amp;H1598</f>
        <v>2004 / 2012</v>
      </c>
      <c r="I1599" s="29" t="str">
        <f>I1598</f>
        <v>Upgrading</v>
      </c>
      <c r="J1599" s="97" t="str">
        <f>IFERROR(J1598/J1597,"")</f>
        <v/>
      </c>
      <c r="K1599" s="32">
        <f>K1598/K1597</f>
        <v>0.22058823529411764</v>
      </c>
      <c r="L1599" s="32">
        <f>L1598/L1597</f>
        <v>1.8511866581141758</v>
      </c>
      <c r="M1599" s="28"/>
      <c r="N1599" s="32">
        <f>N1598/N1597</f>
        <v>1.8511866581141758</v>
      </c>
      <c r="O1599" s="32">
        <f>O1598/O1597</f>
        <v>8.3920461834509297</v>
      </c>
      <c r="P1599" s="33" t="str">
        <f>IF(K1599&lt;50%,"x","")</f>
        <v>x</v>
      </c>
      <c r="Q1599" s="33" t="str">
        <f>IF(K1599&gt;150%,"x","")</f>
        <v/>
      </c>
      <c r="R1599" s="33" t="str">
        <f>IF(O1599&lt;50%,"x","")</f>
        <v/>
      </c>
      <c r="S1599" s="33" t="str">
        <f>IF(O1599&gt;150%,"x","")</f>
        <v>x</v>
      </c>
      <c r="T1599" s="33" t="s">
        <v>31</v>
      </c>
      <c r="U1599" s="34" t="s">
        <v>1142</v>
      </c>
      <c r="V1599" s="35" t="s">
        <v>1144</v>
      </c>
    </row>
    <row r="1600" spans="1:22" ht="18.600000000000001" customHeight="1" thickTop="1" x14ac:dyDescent="0.25">
      <c r="A1600" s="18" t="s">
        <v>172</v>
      </c>
      <c r="B1600" s="18" t="s">
        <v>950</v>
      </c>
      <c r="C1600" s="18" t="s">
        <v>488</v>
      </c>
      <c r="D1600" s="18" t="s">
        <v>26</v>
      </c>
      <c r="E1600" s="18" t="s">
        <v>27</v>
      </c>
      <c r="F1600" s="18" t="s">
        <v>489</v>
      </c>
      <c r="G1600" s="18" t="s">
        <v>29</v>
      </c>
      <c r="H1600" s="19">
        <v>2001</v>
      </c>
      <c r="I1600" s="18" t="s">
        <v>38</v>
      </c>
      <c r="J1600" s="101" t="s">
        <v>27</v>
      </c>
      <c r="K1600" s="20">
        <v>271</v>
      </c>
      <c r="L1600" s="21">
        <v>72.47</v>
      </c>
      <c r="M1600" s="22" t="s">
        <v>30</v>
      </c>
      <c r="N1600" s="23">
        <v>72.47</v>
      </c>
      <c r="O1600" s="24">
        <v>0.26741697416974169</v>
      </c>
      <c r="P1600" s="25" t="str">
        <f>IF(P1602="x","x","")</f>
        <v/>
      </c>
      <c r="Q1600" s="25" t="str">
        <f>IF(Q1602="x","x","")</f>
        <v/>
      </c>
      <c r="R1600" s="25" t="str">
        <f>IF(R1602="x","x","")</f>
        <v/>
      </c>
      <c r="S1600" s="25" t="str">
        <f>IF(S1602="x","x","")</f>
        <v/>
      </c>
      <c r="T1600" s="25" t="s">
        <v>27</v>
      </c>
      <c r="U1600" s="26"/>
      <c r="V1600" s="27"/>
    </row>
    <row r="1601" spans="1:22" ht="18.600000000000001" customHeight="1" x14ac:dyDescent="0.25">
      <c r="A1601" s="18" t="s">
        <v>172</v>
      </c>
      <c r="B1601" s="18" t="s">
        <v>950</v>
      </c>
      <c r="C1601" s="18" t="s">
        <v>488</v>
      </c>
      <c r="D1601" s="18" t="s">
        <v>26</v>
      </c>
      <c r="E1601" s="18" t="s">
        <v>27</v>
      </c>
      <c r="F1601" s="18" t="s">
        <v>489</v>
      </c>
      <c r="G1601" s="18" t="s">
        <v>32</v>
      </c>
      <c r="H1601" s="19">
        <v>2009</v>
      </c>
      <c r="I1601" s="18" t="s">
        <v>38</v>
      </c>
      <c r="J1601" s="101" t="s">
        <v>27</v>
      </c>
      <c r="K1601" s="20">
        <v>271</v>
      </c>
      <c r="L1601" s="21">
        <v>84.63</v>
      </c>
      <c r="M1601" s="22" t="s">
        <v>30</v>
      </c>
      <c r="N1601" s="23">
        <v>84.63</v>
      </c>
      <c r="O1601" s="24">
        <v>0.31228782287822876</v>
      </c>
      <c r="P1601" s="25" t="str">
        <f>IF(P1602="x","x","")</f>
        <v/>
      </c>
      <c r="Q1601" s="25" t="str">
        <f>IF(Q1602="x","x","")</f>
        <v/>
      </c>
      <c r="R1601" s="25" t="str">
        <f>IF(R1602="x","x","")</f>
        <v/>
      </c>
      <c r="S1601" s="25" t="str">
        <f>IF(S1602="x","x","")</f>
        <v/>
      </c>
      <c r="T1601" s="25" t="s">
        <v>27</v>
      </c>
      <c r="U1601" s="26"/>
      <c r="V1601" s="27"/>
    </row>
    <row r="1602" spans="1:22" ht="18.600000000000001" customHeight="1" thickBot="1" x14ac:dyDescent="0.3">
      <c r="A1602" s="28" t="str">
        <f>A1601</f>
        <v>Uganda</v>
      </c>
      <c r="B1602" s="28" t="str">
        <f>B1601</f>
        <v>Sub-Saharan Africa</v>
      </c>
      <c r="C1602" s="28" t="str">
        <f>C1601</f>
        <v>P065436</v>
      </c>
      <c r="D1602" s="28" t="s">
        <v>26</v>
      </c>
      <c r="E1602" s="28" t="s">
        <v>27</v>
      </c>
      <c r="F1602" s="28" t="str">
        <f>F1601</f>
        <v>P065436C1</v>
      </c>
      <c r="G1602" s="28" t="s">
        <v>16</v>
      </c>
      <c r="H1602" s="29" t="str">
        <f>H1600&amp;" / "&amp;H1601</f>
        <v>2001 / 2009</v>
      </c>
      <c r="I1602" s="29" t="str">
        <f>I1601</f>
        <v>Strengthening</v>
      </c>
      <c r="J1602" s="97" t="str">
        <f>IFERROR(J1601/J1600,"")</f>
        <v/>
      </c>
      <c r="K1602" s="32">
        <f>K1601/K1600</f>
        <v>1</v>
      </c>
      <c r="L1602" s="32">
        <f>L1601/L1600</f>
        <v>1.1677935697530013</v>
      </c>
      <c r="M1602" s="28"/>
      <c r="N1602" s="32">
        <f>N1601/N1600</f>
        <v>1.1677935697530013</v>
      </c>
      <c r="O1602" s="32">
        <f>O1601/O1600</f>
        <v>1.1677935697530011</v>
      </c>
      <c r="P1602" s="33" t="str">
        <f>IF(K1602&lt;50%,"x","")</f>
        <v/>
      </c>
      <c r="Q1602" s="33" t="str">
        <f>IF(K1602&gt;150%,"x","")</f>
        <v/>
      </c>
      <c r="R1602" s="33" t="str">
        <f>IF(O1602&lt;50%,"x","")</f>
        <v/>
      </c>
      <c r="S1602" s="33" t="str">
        <f>IF(O1602&gt;150%,"x","")</f>
        <v/>
      </c>
      <c r="T1602" s="33" t="s">
        <v>27</v>
      </c>
      <c r="U1602" s="34" t="s">
        <v>27</v>
      </c>
      <c r="V1602" s="35" t="s">
        <v>27</v>
      </c>
    </row>
    <row r="1603" spans="1:22" ht="16.5" thickTop="1" x14ac:dyDescent="0.25">
      <c r="A1603" s="18" t="s">
        <v>172</v>
      </c>
      <c r="B1603" s="18" t="s">
        <v>950</v>
      </c>
      <c r="C1603" s="18" t="s">
        <v>488</v>
      </c>
      <c r="D1603" s="18" t="s">
        <v>26</v>
      </c>
      <c r="E1603" s="18" t="s">
        <v>36</v>
      </c>
      <c r="F1603" s="18" t="s">
        <v>490</v>
      </c>
      <c r="G1603" s="18" t="s">
        <v>29</v>
      </c>
      <c r="H1603" s="19">
        <v>2001</v>
      </c>
      <c r="I1603" s="18" t="s">
        <v>387</v>
      </c>
      <c r="J1603" s="101">
        <v>36</v>
      </c>
      <c r="K1603" s="20">
        <v>62.5</v>
      </c>
      <c r="L1603" s="21">
        <v>14.2</v>
      </c>
      <c r="M1603" s="22" t="s">
        <v>30</v>
      </c>
      <c r="N1603" s="23">
        <v>14.2</v>
      </c>
      <c r="O1603" s="24">
        <v>0.22719999999999999</v>
      </c>
      <c r="P1603" s="25" t="str">
        <f>IF(P1605="x","x","")</f>
        <v/>
      </c>
      <c r="Q1603" s="25" t="str">
        <f>IF(Q1605="x","x","")</f>
        <v/>
      </c>
      <c r="R1603" s="25" t="str">
        <f>IF(R1605="x","x","")</f>
        <v/>
      </c>
      <c r="S1603" s="25" t="str">
        <f>IF(S1605="x","x","")</f>
        <v/>
      </c>
      <c r="T1603" s="25" t="s">
        <v>27</v>
      </c>
      <c r="U1603" s="26"/>
      <c r="V1603" s="27"/>
    </row>
    <row r="1604" spans="1:22" x14ac:dyDescent="0.25">
      <c r="A1604" s="18" t="s">
        <v>172</v>
      </c>
      <c r="B1604" s="18" t="s">
        <v>950</v>
      </c>
      <c r="C1604" s="18" t="s">
        <v>488</v>
      </c>
      <c r="D1604" s="18" t="s">
        <v>26</v>
      </c>
      <c r="E1604" s="18" t="s">
        <v>36</v>
      </c>
      <c r="F1604" s="18" t="s">
        <v>490</v>
      </c>
      <c r="G1604" s="18" t="s">
        <v>32</v>
      </c>
      <c r="H1604" s="19">
        <v>2009</v>
      </c>
      <c r="I1604" s="18" t="s">
        <v>387</v>
      </c>
      <c r="J1604" s="101">
        <v>40</v>
      </c>
      <c r="K1604" s="20">
        <v>62.5</v>
      </c>
      <c r="L1604" s="21">
        <v>17.53</v>
      </c>
      <c r="M1604" s="22" t="s">
        <v>30</v>
      </c>
      <c r="N1604" s="23">
        <v>17.53</v>
      </c>
      <c r="O1604" s="24">
        <v>0.28048000000000001</v>
      </c>
      <c r="P1604" s="25" t="str">
        <f>IF(P1605="x","x","")</f>
        <v/>
      </c>
      <c r="Q1604" s="25" t="str">
        <f>IF(Q1605="x","x","")</f>
        <v/>
      </c>
      <c r="R1604" s="25" t="str">
        <f>IF(R1605="x","x","")</f>
        <v/>
      </c>
      <c r="S1604" s="25" t="str">
        <f>IF(S1605="x","x","")</f>
        <v/>
      </c>
      <c r="T1604" s="25" t="s">
        <v>27</v>
      </c>
      <c r="U1604" s="26"/>
      <c r="V1604" s="27"/>
    </row>
    <row r="1605" spans="1:22" ht="16.5" thickBot="1" x14ac:dyDescent="0.3">
      <c r="A1605" s="28" t="str">
        <f>A1604</f>
        <v>Uganda</v>
      </c>
      <c r="B1605" s="28" t="str">
        <f>B1604</f>
        <v>Sub-Saharan Africa</v>
      </c>
      <c r="C1605" s="28" t="str">
        <f>C1604</f>
        <v>P065436</v>
      </c>
      <c r="D1605" s="28" t="s">
        <v>26</v>
      </c>
      <c r="E1605" s="28" t="s">
        <v>27</v>
      </c>
      <c r="F1605" s="28" t="str">
        <f>F1604</f>
        <v>P065436C1S1</v>
      </c>
      <c r="G1605" s="28" t="s">
        <v>16</v>
      </c>
      <c r="H1605" s="29" t="str">
        <f>H1603&amp;" / "&amp;H1604</f>
        <v>2001 / 2009</v>
      </c>
      <c r="I1605" s="29" t="str">
        <f>I1604</f>
        <v>Upgrading</v>
      </c>
      <c r="J1605" s="97">
        <f>IFERROR(J1604/J1603,"")</f>
        <v>1.1111111111111112</v>
      </c>
      <c r="K1605" s="32">
        <f>K1604/K1603</f>
        <v>1</v>
      </c>
      <c r="L1605" s="32">
        <f>L1604/L1603</f>
        <v>1.2345070422535214</v>
      </c>
      <c r="M1605" s="28"/>
      <c r="N1605" s="32">
        <f>N1604/N1603</f>
        <v>1.2345070422535214</v>
      </c>
      <c r="O1605" s="32">
        <f>O1604/O1603</f>
        <v>1.2345070422535211</v>
      </c>
      <c r="P1605" s="33" t="str">
        <f>IF(K1605&lt;50%,"x","")</f>
        <v/>
      </c>
      <c r="Q1605" s="33" t="str">
        <f>IF(K1605&gt;150%,"x","")</f>
        <v/>
      </c>
      <c r="R1605" s="33" t="str">
        <f>IF(O1605&lt;50%,"x","")</f>
        <v/>
      </c>
      <c r="S1605" s="33" t="str">
        <f>IF(O1605&gt;150%,"x","")</f>
        <v/>
      </c>
      <c r="T1605" s="33" t="s">
        <v>27</v>
      </c>
      <c r="U1605" s="34" t="s">
        <v>27</v>
      </c>
      <c r="V1605" s="35" t="s">
        <v>27</v>
      </c>
    </row>
    <row r="1606" spans="1:22" ht="16.5" thickTop="1" x14ac:dyDescent="0.25">
      <c r="A1606" s="18" t="s">
        <v>172</v>
      </c>
      <c r="B1606" s="18" t="s">
        <v>950</v>
      </c>
      <c r="C1606" s="18" t="s">
        <v>488</v>
      </c>
      <c r="D1606" s="18" t="s">
        <v>26</v>
      </c>
      <c r="E1606" s="18" t="s">
        <v>40</v>
      </c>
      <c r="F1606" s="18" t="s">
        <v>491</v>
      </c>
      <c r="G1606" s="18" t="s">
        <v>29</v>
      </c>
      <c r="H1606" s="19">
        <v>2001</v>
      </c>
      <c r="I1606" s="18" t="s">
        <v>387</v>
      </c>
      <c r="J1606" s="101">
        <v>36</v>
      </c>
      <c r="K1606" s="20">
        <v>45.55</v>
      </c>
      <c r="L1606" s="21">
        <v>16.73</v>
      </c>
      <c r="M1606" s="22" t="s">
        <v>30</v>
      </c>
      <c r="N1606" s="23">
        <v>16.73</v>
      </c>
      <c r="O1606" s="24">
        <v>0.36728869374313944</v>
      </c>
      <c r="P1606" s="25" t="str">
        <f>IF(P1608="x","x","")</f>
        <v/>
      </c>
      <c r="Q1606" s="25" t="str">
        <f>IF(Q1608="x","x","")</f>
        <v/>
      </c>
      <c r="R1606" s="25" t="str">
        <f>IF(R1608="x","x","")</f>
        <v/>
      </c>
      <c r="S1606" s="25" t="str">
        <f>IF(S1608="x","x","")</f>
        <v/>
      </c>
      <c r="T1606" s="25" t="s">
        <v>27</v>
      </c>
      <c r="U1606" s="26"/>
      <c r="V1606" s="27"/>
    </row>
    <row r="1607" spans="1:22" x14ac:dyDescent="0.25">
      <c r="A1607" s="18" t="s">
        <v>172</v>
      </c>
      <c r="B1607" s="18" t="s">
        <v>950</v>
      </c>
      <c r="C1607" s="18" t="s">
        <v>488</v>
      </c>
      <c r="D1607" s="18" t="s">
        <v>26</v>
      </c>
      <c r="E1607" s="18" t="s">
        <v>40</v>
      </c>
      <c r="F1607" s="18" t="s">
        <v>491</v>
      </c>
      <c r="G1607" s="18" t="s">
        <v>32</v>
      </c>
      <c r="H1607" s="19">
        <v>2009</v>
      </c>
      <c r="I1607" s="18" t="s">
        <v>387</v>
      </c>
      <c r="J1607" s="101">
        <v>32</v>
      </c>
      <c r="K1607" s="20">
        <v>45.55</v>
      </c>
      <c r="L1607" s="21">
        <v>18.48</v>
      </c>
      <c r="M1607" s="22" t="s">
        <v>30</v>
      </c>
      <c r="N1607" s="23">
        <v>18.48</v>
      </c>
      <c r="O1607" s="24">
        <v>0.40570801317233812</v>
      </c>
      <c r="P1607" s="25" t="str">
        <f>IF(P1608="x","x","")</f>
        <v/>
      </c>
      <c r="Q1607" s="25" t="str">
        <f>IF(Q1608="x","x","")</f>
        <v/>
      </c>
      <c r="R1607" s="25" t="str">
        <f>IF(R1608="x","x","")</f>
        <v/>
      </c>
      <c r="S1607" s="25" t="str">
        <f>IF(S1608="x","x","")</f>
        <v/>
      </c>
      <c r="T1607" s="25" t="s">
        <v>27</v>
      </c>
      <c r="U1607" s="26"/>
      <c r="V1607" s="27"/>
    </row>
    <row r="1608" spans="1:22" ht="16.5" thickBot="1" x14ac:dyDescent="0.3">
      <c r="A1608" s="28" t="str">
        <f>A1607</f>
        <v>Uganda</v>
      </c>
      <c r="B1608" s="28" t="str">
        <f>B1607</f>
        <v>Sub-Saharan Africa</v>
      </c>
      <c r="C1608" s="28" t="str">
        <f>C1607</f>
        <v>P065436</v>
      </c>
      <c r="D1608" s="28" t="s">
        <v>26</v>
      </c>
      <c r="E1608" s="28" t="s">
        <v>27</v>
      </c>
      <c r="F1608" s="28" t="str">
        <f>F1607</f>
        <v>P065436C1S2</v>
      </c>
      <c r="G1608" s="28" t="s">
        <v>16</v>
      </c>
      <c r="H1608" s="29" t="str">
        <f>H1606&amp;" / "&amp;H1607</f>
        <v>2001 / 2009</v>
      </c>
      <c r="I1608" s="29" t="str">
        <f>I1607</f>
        <v>Upgrading</v>
      </c>
      <c r="J1608" s="97">
        <f>IFERROR(J1607/J1606,"")</f>
        <v>0.88888888888888884</v>
      </c>
      <c r="K1608" s="32">
        <f>K1607/K1606</f>
        <v>1</v>
      </c>
      <c r="L1608" s="32">
        <f>L1607/L1606</f>
        <v>1.104602510460251</v>
      </c>
      <c r="M1608" s="28"/>
      <c r="N1608" s="32">
        <f>N1607/N1606</f>
        <v>1.104602510460251</v>
      </c>
      <c r="O1608" s="32">
        <f>O1607/O1606</f>
        <v>1.104602510460251</v>
      </c>
      <c r="P1608" s="33" t="str">
        <f>IF(K1608&lt;50%,"x","")</f>
        <v/>
      </c>
      <c r="Q1608" s="33" t="str">
        <f>IF(K1608&gt;150%,"x","")</f>
        <v/>
      </c>
      <c r="R1608" s="33" t="str">
        <f>IF(O1608&lt;50%,"x","")</f>
        <v/>
      </c>
      <c r="S1608" s="33" t="str">
        <f>IF(O1608&gt;150%,"x","")</f>
        <v/>
      </c>
      <c r="T1608" s="33" t="s">
        <v>27</v>
      </c>
      <c r="U1608" s="34" t="s">
        <v>27</v>
      </c>
      <c r="V1608" s="35" t="s">
        <v>27</v>
      </c>
    </row>
    <row r="1609" spans="1:22" ht="16.5" thickTop="1" x14ac:dyDescent="0.25">
      <c r="A1609" s="18" t="s">
        <v>172</v>
      </c>
      <c r="B1609" s="18" t="s">
        <v>950</v>
      </c>
      <c r="C1609" s="18" t="s">
        <v>488</v>
      </c>
      <c r="D1609" s="18" t="s">
        <v>26</v>
      </c>
      <c r="E1609" s="18" t="s">
        <v>69</v>
      </c>
      <c r="F1609" s="18" t="s">
        <v>492</v>
      </c>
      <c r="G1609" s="18" t="s">
        <v>29</v>
      </c>
      <c r="H1609" s="19">
        <v>2001</v>
      </c>
      <c r="I1609" s="18" t="s">
        <v>38</v>
      </c>
      <c r="J1609" s="101">
        <v>24</v>
      </c>
      <c r="K1609" s="20">
        <v>55.2</v>
      </c>
      <c r="L1609" s="21">
        <v>13.14</v>
      </c>
      <c r="M1609" s="22" t="s">
        <v>30</v>
      </c>
      <c r="N1609" s="23">
        <v>13.14</v>
      </c>
      <c r="O1609" s="24">
        <v>0.23804347826086955</v>
      </c>
      <c r="P1609" s="25" t="str">
        <f>IF(P1611="x","x","")</f>
        <v/>
      </c>
      <c r="Q1609" s="25" t="str">
        <f>IF(Q1611="x","x","")</f>
        <v/>
      </c>
      <c r="R1609" s="25" t="str">
        <f>IF(R1611="x","x","")</f>
        <v/>
      </c>
      <c r="S1609" s="25" t="str">
        <f>IF(S1611="x","x","")</f>
        <v/>
      </c>
      <c r="T1609" s="25" t="s">
        <v>27</v>
      </c>
      <c r="U1609" s="26"/>
      <c r="V1609" s="27"/>
    </row>
    <row r="1610" spans="1:22" x14ac:dyDescent="0.25">
      <c r="A1610" s="18" t="s">
        <v>172</v>
      </c>
      <c r="B1610" s="18" t="s">
        <v>950</v>
      </c>
      <c r="C1610" s="18" t="s">
        <v>488</v>
      </c>
      <c r="D1610" s="18" t="s">
        <v>26</v>
      </c>
      <c r="E1610" s="18" t="s">
        <v>69</v>
      </c>
      <c r="F1610" s="18" t="s">
        <v>492</v>
      </c>
      <c r="G1610" s="18" t="s">
        <v>32</v>
      </c>
      <c r="H1610" s="19">
        <v>2009</v>
      </c>
      <c r="I1610" s="18" t="s">
        <v>38</v>
      </c>
      <c r="J1610" s="101">
        <v>48</v>
      </c>
      <c r="K1610" s="20">
        <v>55.2</v>
      </c>
      <c r="L1610" s="21">
        <v>15.84</v>
      </c>
      <c r="M1610" s="22" t="s">
        <v>30</v>
      </c>
      <c r="N1610" s="23">
        <v>15.84</v>
      </c>
      <c r="O1610" s="24">
        <v>0.28695652173913044</v>
      </c>
      <c r="P1610" s="25" t="str">
        <f>IF(P1611="x","x","")</f>
        <v/>
      </c>
      <c r="Q1610" s="25" t="str">
        <f>IF(Q1611="x","x","")</f>
        <v/>
      </c>
      <c r="R1610" s="25" t="str">
        <f>IF(R1611="x","x","")</f>
        <v/>
      </c>
      <c r="S1610" s="25" t="str">
        <f>IF(S1611="x","x","")</f>
        <v/>
      </c>
      <c r="T1610" s="25" t="s">
        <v>27</v>
      </c>
      <c r="U1610" s="26"/>
      <c r="V1610" s="27"/>
    </row>
    <row r="1611" spans="1:22" ht="16.5" thickBot="1" x14ac:dyDescent="0.3">
      <c r="A1611" s="28" t="str">
        <f>A1610</f>
        <v>Uganda</v>
      </c>
      <c r="B1611" s="28" t="str">
        <f>B1610</f>
        <v>Sub-Saharan Africa</v>
      </c>
      <c r="C1611" s="28" t="str">
        <f>C1610</f>
        <v>P065436</v>
      </c>
      <c r="D1611" s="28" t="s">
        <v>26</v>
      </c>
      <c r="E1611" s="28" t="s">
        <v>27</v>
      </c>
      <c r="F1611" s="28" t="str">
        <f>F1610</f>
        <v>P065436C1S3</v>
      </c>
      <c r="G1611" s="28" t="s">
        <v>16</v>
      </c>
      <c r="H1611" s="29" t="str">
        <f>H1609&amp;" / "&amp;H1610</f>
        <v>2001 / 2009</v>
      </c>
      <c r="I1611" s="29" t="str">
        <f>I1610</f>
        <v>Strengthening</v>
      </c>
      <c r="J1611" s="97">
        <f>IFERROR(J1610/J1609,"")</f>
        <v>2</v>
      </c>
      <c r="K1611" s="32">
        <f>K1610/K1609</f>
        <v>1</v>
      </c>
      <c r="L1611" s="32">
        <f>L1610/L1609</f>
        <v>1.2054794520547945</v>
      </c>
      <c r="M1611" s="28"/>
      <c r="N1611" s="32">
        <f>N1610/N1609</f>
        <v>1.2054794520547945</v>
      </c>
      <c r="O1611" s="32">
        <f>O1610/O1609</f>
        <v>1.2054794520547947</v>
      </c>
      <c r="P1611" s="33" t="str">
        <f>IF(K1611&lt;50%,"x","")</f>
        <v/>
      </c>
      <c r="Q1611" s="33" t="str">
        <f>IF(K1611&gt;150%,"x","")</f>
        <v/>
      </c>
      <c r="R1611" s="33" t="str">
        <f>IF(O1611&lt;50%,"x","")</f>
        <v/>
      </c>
      <c r="S1611" s="33" t="str">
        <f>IF(O1611&gt;150%,"x","")</f>
        <v/>
      </c>
      <c r="T1611" s="33" t="s">
        <v>27</v>
      </c>
      <c r="U1611" s="34" t="s">
        <v>27</v>
      </c>
      <c r="V1611" s="35" t="s">
        <v>27</v>
      </c>
    </row>
    <row r="1612" spans="1:22" ht="16.5" thickTop="1" x14ac:dyDescent="0.25">
      <c r="A1612" s="18" t="s">
        <v>172</v>
      </c>
      <c r="B1612" s="18" t="s">
        <v>950</v>
      </c>
      <c r="C1612" s="18" t="s">
        <v>488</v>
      </c>
      <c r="D1612" s="18" t="s">
        <v>26</v>
      </c>
      <c r="E1612" s="18" t="s">
        <v>71</v>
      </c>
      <c r="F1612" s="18" t="s">
        <v>493</v>
      </c>
      <c r="G1612" s="18" t="s">
        <v>29</v>
      </c>
      <c r="H1612" s="19">
        <v>2001</v>
      </c>
      <c r="I1612" s="18" t="s">
        <v>38</v>
      </c>
      <c r="J1612" s="101">
        <v>24</v>
      </c>
      <c r="K1612" s="20">
        <v>53</v>
      </c>
      <c r="L1612" s="21">
        <v>13.15</v>
      </c>
      <c r="M1612" s="22" t="s">
        <v>30</v>
      </c>
      <c r="N1612" s="23">
        <v>13.15</v>
      </c>
      <c r="O1612" s="24">
        <v>0.24811320754716981</v>
      </c>
      <c r="P1612" s="25" t="str">
        <f>IF(P1614="x","x","")</f>
        <v/>
      </c>
      <c r="Q1612" s="25" t="str">
        <f>IF(Q1614="x","x","")</f>
        <v/>
      </c>
      <c r="R1612" s="25" t="str">
        <f>IF(R1614="x","x","")</f>
        <v/>
      </c>
      <c r="S1612" s="25" t="str">
        <f>IF(S1614="x","x","")</f>
        <v/>
      </c>
      <c r="T1612" s="25" t="s">
        <v>27</v>
      </c>
      <c r="U1612" s="26"/>
      <c r="V1612" s="27"/>
    </row>
    <row r="1613" spans="1:22" x14ac:dyDescent="0.25">
      <c r="A1613" s="18" t="s">
        <v>172</v>
      </c>
      <c r="B1613" s="18" t="s">
        <v>950</v>
      </c>
      <c r="C1613" s="18" t="s">
        <v>488</v>
      </c>
      <c r="D1613" s="18" t="s">
        <v>26</v>
      </c>
      <c r="E1613" s="18" t="s">
        <v>71</v>
      </c>
      <c r="F1613" s="18" t="s">
        <v>493</v>
      </c>
      <c r="G1613" s="18" t="s">
        <v>32</v>
      </c>
      <c r="H1613" s="19">
        <v>2009</v>
      </c>
      <c r="I1613" s="18" t="s">
        <v>38</v>
      </c>
      <c r="J1613" s="101">
        <v>33</v>
      </c>
      <c r="K1613" s="20">
        <v>53</v>
      </c>
      <c r="L1613" s="21">
        <v>16.86</v>
      </c>
      <c r="M1613" s="22" t="s">
        <v>30</v>
      </c>
      <c r="N1613" s="23">
        <v>16.86</v>
      </c>
      <c r="O1613" s="24">
        <v>0.31811320754716982</v>
      </c>
      <c r="P1613" s="25" t="str">
        <f>IF(P1614="x","x","")</f>
        <v/>
      </c>
      <c r="Q1613" s="25" t="str">
        <f>IF(Q1614="x","x","")</f>
        <v/>
      </c>
      <c r="R1613" s="25" t="str">
        <f>IF(R1614="x","x","")</f>
        <v/>
      </c>
      <c r="S1613" s="25" t="str">
        <f>IF(S1614="x","x","")</f>
        <v/>
      </c>
      <c r="T1613" s="25" t="s">
        <v>27</v>
      </c>
      <c r="U1613" s="26"/>
      <c r="V1613" s="27"/>
    </row>
    <row r="1614" spans="1:22" ht="16.5" thickBot="1" x14ac:dyDescent="0.3">
      <c r="A1614" s="28" t="str">
        <f>A1613</f>
        <v>Uganda</v>
      </c>
      <c r="B1614" s="28" t="str">
        <f>B1613</f>
        <v>Sub-Saharan Africa</v>
      </c>
      <c r="C1614" s="28" t="str">
        <f>C1613</f>
        <v>P065436</v>
      </c>
      <c r="D1614" s="28" t="s">
        <v>26</v>
      </c>
      <c r="E1614" s="28" t="s">
        <v>27</v>
      </c>
      <c r="F1614" s="28" t="str">
        <f>F1613</f>
        <v>P065436C1S4</v>
      </c>
      <c r="G1614" s="28" t="s">
        <v>16</v>
      </c>
      <c r="H1614" s="29" t="str">
        <f>H1612&amp;" / "&amp;H1613</f>
        <v>2001 / 2009</v>
      </c>
      <c r="I1614" s="29" t="str">
        <f>I1613</f>
        <v>Strengthening</v>
      </c>
      <c r="J1614" s="97">
        <f>IFERROR(J1613/J1612,"")</f>
        <v>1.375</v>
      </c>
      <c r="K1614" s="32">
        <f>K1613/K1612</f>
        <v>1</v>
      </c>
      <c r="L1614" s="32">
        <f>L1613/L1612</f>
        <v>1.2821292775665398</v>
      </c>
      <c r="M1614" s="28"/>
      <c r="N1614" s="32">
        <f>N1613/N1612</f>
        <v>1.2821292775665398</v>
      </c>
      <c r="O1614" s="32">
        <f>O1613/O1612</f>
        <v>1.28212927756654</v>
      </c>
      <c r="P1614" s="33" t="str">
        <f>IF(K1614&lt;50%,"x","")</f>
        <v/>
      </c>
      <c r="Q1614" s="33" t="str">
        <f>IF(K1614&gt;150%,"x","")</f>
        <v/>
      </c>
      <c r="R1614" s="33" t="str">
        <f>IF(O1614&lt;50%,"x","")</f>
        <v/>
      </c>
      <c r="S1614" s="33" t="str">
        <f>IF(O1614&gt;150%,"x","")</f>
        <v/>
      </c>
      <c r="T1614" s="33" t="s">
        <v>27</v>
      </c>
      <c r="U1614" s="34" t="s">
        <v>27</v>
      </c>
      <c r="V1614" s="35" t="s">
        <v>27</v>
      </c>
    </row>
    <row r="1615" spans="1:22" ht="16.5" thickTop="1" x14ac:dyDescent="0.25">
      <c r="A1615" s="18" t="s">
        <v>322</v>
      </c>
      <c r="B1615" s="18" t="s">
        <v>947</v>
      </c>
      <c r="C1615" s="18" t="s">
        <v>323</v>
      </c>
      <c r="D1615" s="18" t="s">
        <v>26</v>
      </c>
      <c r="E1615" s="18" t="s">
        <v>27</v>
      </c>
      <c r="F1615" s="18" t="s">
        <v>324</v>
      </c>
      <c r="G1615" s="18" t="s">
        <v>29</v>
      </c>
      <c r="H1615" s="19">
        <v>2009</v>
      </c>
      <c r="I1615" s="18" t="s">
        <v>359</v>
      </c>
      <c r="J1615" s="101">
        <v>25</v>
      </c>
      <c r="K1615" s="20">
        <v>120</v>
      </c>
      <c r="L1615" s="21">
        <v>1728.32</v>
      </c>
      <c r="M1615" s="22" t="s">
        <v>325</v>
      </c>
      <c r="N1615" s="23">
        <v>224.45714285714286</v>
      </c>
      <c r="O1615" s="24">
        <v>1.8704761904761904</v>
      </c>
      <c r="P1615" s="25" t="str">
        <f>IF(P1617="x","x","")</f>
        <v/>
      </c>
      <c r="Q1615" s="25" t="str">
        <f>IF(Q1617="x","x","")</f>
        <v/>
      </c>
      <c r="R1615" s="25" t="str">
        <f>IF(R1617="x","x","")</f>
        <v/>
      </c>
      <c r="S1615" s="25" t="str">
        <f>IF(S1617="x","x","")</f>
        <v/>
      </c>
      <c r="T1615" s="25" t="s">
        <v>27</v>
      </c>
      <c r="U1615" s="26"/>
      <c r="V1615" s="27"/>
    </row>
    <row r="1616" spans="1:22" x14ac:dyDescent="0.25">
      <c r="A1616" s="18" t="s">
        <v>322</v>
      </c>
      <c r="B1616" s="18" t="s">
        <v>947</v>
      </c>
      <c r="C1616" s="18" t="s">
        <v>323</v>
      </c>
      <c r="D1616" s="18" t="s">
        <v>26</v>
      </c>
      <c r="E1616" s="18" t="s">
        <v>27</v>
      </c>
      <c r="F1616" s="18" t="s">
        <v>324</v>
      </c>
      <c r="G1616" s="18" t="s">
        <v>32</v>
      </c>
      <c r="H1616" s="19">
        <v>2015</v>
      </c>
      <c r="I1616" s="18" t="s">
        <v>359</v>
      </c>
      <c r="J1616" s="101">
        <v>31</v>
      </c>
      <c r="K1616" s="20">
        <v>150.6</v>
      </c>
      <c r="L1616" s="21">
        <v>2579</v>
      </c>
      <c r="M1616" s="22" t="s">
        <v>325</v>
      </c>
      <c r="N1616" s="23">
        <v>171.24833997343956</v>
      </c>
      <c r="O1616" s="24">
        <v>1.1371071711383769</v>
      </c>
      <c r="P1616" s="25" t="str">
        <f>IF(P1617="x","x","")</f>
        <v/>
      </c>
      <c r="Q1616" s="25" t="str">
        <f>IF(Q1617="x","x","")</f>
        <v/>
      </c>
      <c r="R1616" s="25" t="str">
        <f>IF(R1617="x","x","")</f>
        <v/>
      </c>
      <c r="S1616" s="25" t="str">
        <f>IF(S1617="x","x","")</f>
        <v/>
      </c>
      <c r="T1616" s="25" t="s">
        <v>27</v>
      </c>
      <c r="U1616" s="26"/>
      <c r="V1616" s="27"/>
    </row>
    <row r="1617" spans="1:22" ht="16.5" thickBot="1" x14ac:dyDescent="0.3">
      <c r="A1617" s="28" t="str">
        <f>A1616</f>
        <v xml:space="preserve">Ukraine </v>
      </c>
      <c r="B1617" s="28" t="str">
        <f>B1616</f>
        <v>Europe and Central Asia</v>
      </c>
      <c r="C1617" s="28" t="str">
        <f>C1616</f>
        <v>P100580</v>
      </c>
      <c r="D1617" s="28" t="s">
        <v>26</v>
      </c>
      <c r="E1617" s="28" t="s">
        <v>27</v>
      </c>
      <c r="F1617" s="28" t="str">
        <f>F1616</f>
        <v>P100580C1</v>
      </c>
      <c r="G1617" s="28" t="s">
        <v>16</v>
      </c>
      <c r="H1617" s="29" t="str">
        <f>H1615&amp;" / "&amp;H1616</f>
        <v>2009 / 2015</v>
      </c>
      <c r="I1617" s="29" t="str">
        <f>I1616</f>
        <v>Reconstruction</v>
      </c>
      <c r="J1617" s="97">
        <f>IFERROR(J1616/J1615,"")</f>
        <v>1.24</v>
      </c>
      <c r="K1617" s="32">
        <f>K1616/K1615</f>
        <v>1.2549999999999999</v>
      </c>
      <c r="L1617" s="32">
        <f>L1616/L1615</f>
        <v>1.4922005184225144</v>
      </c>
      <c r="M1617" s="28"/>
      <c r="N1617" s="32">
        <f>N1616/N1615</f>
        <v>0.76294448817087379</v>
      </c>
      <c r="O1617" s="32">
        <f>O1616/O1615</f>
        <v>0.6079238949568716</v>
      </c>
      <c r="P1617" s="33" t="str">
        <f>IF(K1617&lt;50%,"x","")</f>
        <v/>
      </c>
      <c r="Q1617" s="33" t="str">
        <f>IF(K1617&gt;150%,"x","")</f>
        <v/>
      </c>
      <c r="R1617" s="33" t="str">
        <f>IF(O1617&lt;50%,"x","")</f>
        <v/>
      </c>
      <c r="S1617" s="33" t="str">
        <f>IF(O1617&gt;150%,"x","")</f>
        <v/>
      </c>
      <c r="T1617" s="33" t="s">
        <v>27</v>
      </c>
      <c r="U1617" s="34" t="s">
        <v>27</v>
      </c>
      <c r="V1617" s="35" t="s">
        <v>27</v>
      </c>
    </row>
    <row r="1618" spans="1:22" ht="16.5" thickTop="1" x14ac:dyDescent="0.25">
      <c r="A1618" s="18" t="s">
        <v>438</v>
      </c>
      <c r="B1618" s="18" t="s">
        <v>946</v>
      </c>
      <c r="C1618" s="18" t="s">
        <v>439</v>
      </c>
      <c r="D1618" s="18" t="s">
        <v>27</v>
      </c>
      <c r="E1618" s="18" t="s">
        <v>27</v>
      </c>
      <c r="F1618" s="18" t="s">
        <v>439</v>
      </c>
      <c r="G1618" s="18" t="s">
        <v>29</v>
      </c>
      <c r="H1618" s="19">
        <v>2005</v>
      </c>
      <c r="I1618" s="18" t="s">
        <v>44</v>
      </c>
      <c r="J1618" s="101">
        <v>24</v>
      </c>
      <c r="K1618" s="20">
        <v>9000</v>
      </c>
      <c r="L1618" s="21">
        <v>20</v>
      </c>
      <c r="M1618" s="22" t="s">
        <v>30</v>
      </c>
      <c r="N1618" s="23">
        <v>20</v>
      </c>
      <c r="O1618" s="24">
        <v>2.2222222222222222E-3</v>
      </c>
      <c r="P1618" s="25" t="str">
        <f>IF(P1620="x","x","")</f>
        <v/>
      </c>
      <c r="Q1618" s="25" t="str">
        <f>IF(Q1620="x","x","")</f>
        <v/>
      </c>
      <c r="R1618" s="25" t="str">
        <f>IF(R1620="x","x","")</f>
        <v/>
      </c>
      <c r="S1618" s="25" t="str">
        <f>IF(S1620="x","x","")</f>
        <v/>
      </c>
      <c r="T1618" s="25" t="s">
        <v>27</v>
      </c>
      <c r="U1618" s="26"/>
      <c r="V1618" s="27"/>
    </row>
    <row r="1619" spans="1:22" x14ac:dyDescent="0.25">
      <c r="A1619" s="18" t="s">
        <v>438</v>
      </c>
      <c r="B1619" s="18" t="s">
        <v>946</v>
      </c>
      <c r="C1619" s="18" t="s">
        <v>439</v>
      </c>
      <c r="D1619" s="18" t="s">
        <v>27</v>
      </c>
      <c r="E1619" s="18" t="s">
        <v>27</v>
      </c>
      <c r="F1619" s="18" t="s">
        <v>439</v>
      </c>
      <c r="G1619" s="18" t="s">
        <v>32</v>
      </c>
      <c r="H1619" s="19">
        <v>2012</v>
      </c>
      <c r="I1619" s="18" t="s">
        <v>44</v>
      </c>
      <c r="J1619" s="101">
        <v>24</v>
      </c>
      <c r="K1619" s="20">
        <v>9000</v>
      </c>
      <c r="L1619" s="21">
        <v>26.914285714285715</v>
      </c>
      <c r="M1619" s="22" t="s">
        <v>30</v>
      </c>
      <c r="N1619" s="23">
        <v>26.914285714285715</v>
      </c>
      <c r="O1619" s="24">
        <v>2.9904761904761905E-3</v>
      </c>
      <c r="P1619" s="25" t="str">
        <f>IF(P1620="x","x","")</f>
        <v/>
      </c>
      <c r="Q1619" s="25" t="str">
        <f>IF(Q1620="x","x","")</f>
        <v/>
      </c>
      <c r="R1619" s="25" t="str">
        <f>IF(R1620="x","x","")</f>
        <v/>
      </c>
      <c r="S1619" s="25" t="str">
        <f>IF(S1620="x","x","")</f>
        <v/>
      </c>
      <c r="T1619" s="25" t="s">
        <v>27</v>
      </c>
      <c r="U1619" s="26"/>
      <c r="V1619" s="27"/>
    </row>
    <row r="1620" spans="1:22" ht="16.5" thickBot="1" x14ac:dyDescent="0.3">
      <c r="A1620" s="28" t="str">
        <f>A1619</f>
        <v>Uruguay</v>
      </c>
      <c r="B1620" s="28" t="str">
        <f>B1619</f>
        <v>Latin America and Caribbean</v>
      </c>
      <c r="C1620" s="28" t="str">
        <f>C1619</f>
        <v>P057481</v>
      </c>
      <c r="D1620" s="28" t="s">
        <v>26</v>
      </c>
      <c r="E1620" s="28" t="s">
        <v>27</v>
      </c>
      <c r="F1620" s="28" t="str">
        <f>F1619</f>
        <v>P057481</v>
      </c>
      <c r="G1620" s="28" t="s">
        <v>16</v>
      </c>
      <c r="H1620" s="29" t="str">
        <f>H1618&amp;" / "&amp;H1619</f>
        <v>2005 / 2012</v>
      </c>
      <c r="I1620" s="29" t="str">
        <f>I1619</f>
        <v>Routine Maintenance</v>
      </c>
      <c r="J1620" s="97">
        <f>IFERROR(J1619/J1618,"")</f>
        <v>1</v>
      </c>
      <c r="K1620" s="32">
        <f>K1619/K1618</f>
        <v>1</v>
      </c>
      <c r="L1620" s="32">
        <f>L1619/L1618</f>
        <v>1.3457142857142856</v>
      </c>
      <c r="M1620" s="28"/>
      <c r="N1620" s="32">
        <f>N1619/N1618</f>
        <v>1.3457142857142856</v>
      </c>
      <c r="O1620" s="32">
        <f>O1619/O1618</f>
        <v>1.3457142857142856</v>
      </c>
      <c r="P1620" s="33" t="str">
        <f>IF(K1620&lt;50%,"x","")</f>
        <v/>
      </c>
      <c r="Q1620" s="33" t="str">
        <f>IF(K1620&gt;150%,"x","")</f>
        <v/>
      </c>
      <c r="R1620" s="33" t="str">
        <f>IF(O1620&lt;50%,"x","")</f>
        <v/>
      </c>
      <c r="S1620" s="33" t="str">
        <f>IF(O1620&gt;150%,"x","")</f>
        <v/>
      </c>
      <c r="T1620" s="33" t="s">
        <v>27</v>
      </c>
      <c r="U1620" s="34" t="s">
        <v>27</v>
      </c>
      <c r="V1620" s="35" t="s">
        <v>27</v>
      </c>
    </row>
    <row r="1621" spans="1:22" ht="16.5" thickTop="1" x14ac:dyDescent="0.25">
      <c r="A1621" s="18" t="s">
        <v>438</v>
      </c>
      <c r="B1621" s="18" t="s">
        <v>946</v>
      </c>
      <c r="C1621" s="18" t="s">
        <v>439</v>
      </c>
      <c r="D1621" s="18" t="s">
        <v>26</v>
      </c>
      <c r="E1621" s="18" t="s">
        <v>36</v>
      </c>
      <c r="F1621" s="18" t="s">
        <v>441</v>
      </c>
      <c r="G1621" s="18" t="s">
        <v>29</v>
      </c>
      <c r="H1621" s="19">
        <v>2007</v>
      </c>
      <c r="I1621" s="18" t="s">
        <v>359</v>
      </c>
      <c r="J1621" s="101" t="s">
        <v>27</v>
      </c>
      <c r="K1621" s="20">
        <v>15</v>
      </c>
      <c r="L1621" s="21">
        <v>3.5920000000000001</v>
      </c>
      <c r="M1621" s="22" t="s">
        <v>30</v>
      </c>
      <c r="N1621" s="23">
        <v>3.5920000000000001</v>
      </c>
      <c r="O1621" s="24">
        <v>0.23946666666666666</v>
      </c>
      <c r="P1621" s="25" t="str">
        <f>IF(P1623="x","x","")</f>
        <v/>
      </c>
      <c r="Q1621" s="25" t="str">
        <f>IF(Q1623="x","x","")</f>
        <v/>
      </c>
      <c r="R1621" s="25" t="str">
        <f>IF(R1623="x","x","")</f>
        <v/>
      </c>
      <c r="S1621" s="25" t="str">
        <f>IF(S1623="x","x","")</f>
        <v>x</v>
      </c>
      <c r="T1621" s="25" t="s">
        <v>31</v>
      </c>
      <c r="U1621" s="26"/>
      <c r="V1621" s="27"/>
    </row>
    <row r="1622" spans="1:22" x14ac:dyDescent="0.25">
      <c r="A1622" s="18" t="s">
        <v>438</v>
      </c>
      <c r="B1622" s="18" t="s">
        <v>946</v>
      </c>
      <c r="C1622" s="18" t="s">
        <v>439</v>
      </c>
      <c r="D1622" s="18" t="s">
        <v>26</v>
      </c>
      <c r="E1622" s="18" t="s">
        <v>36</v>
      </c>
      <c r="F1622" s="18" t="s">
        <v>441</v>
      </c>
      <c r="G1622" s="18" t="s">
        <v>32</v>
      </c>
      <c r="H1622" s="19">
        <v>2012</v>
      </c>
      <c r="I1622" s="18" t="s">
        <v>359</v>
      </c>
      <c r="J1622" s="101" t="s">
        <v>27</v>
      </c>
      <c r="K1622" s="20">
        <v>15</v>
      </c>
      <c r="L1622" s="21">
        <v>5.69</v>
      </c>
      <c r="M1622" s="22" t="s">
        <v>30</v>
      </c>
      <c r="N1622" s="23">
        <v>5.69</v>
      </c>
      <c r="O1622" s="24">
        <v>0.37933333333333336</v>
      </c>
      <c r="P1622" s="25" t="str">
        <f>IF(P1623="x","x","")</f>
        <v/>
      </c>
      <c r="Q1622" s="25" t="str">
        <f>IF(Q1623="x","x","")</f>
        <v/>
      </c>
      <c r="R1622" s="25" t="str">
        <f>IF(R1623="x","x","")</f>
        <v/>
      </c>
      <c r="S1622" s="25" t="str">
        <f>IF(S1623="x","x","")</f>
        <v>x</v>
      </c>
      <c r="T1622" s="25" t="s">
        <v>31</v>
      </c>
      <c r="U1622" s="26"/>
      <c r="V1622" s="27"/>
    </row>
    <row r="1623" spans="1:22" ht="32.25" thickBot="1" x14ac:dyDescent="0.3">
      <c r="A1623" s="28" t="str">
        <f>A1622</f>
        <v>Uruguay</v>
      </c>
      <c r="B1623" s="28" t="str">
        <f>B1622</f>
        <v>Latin America and Caribbean</v>
      </c>
      <c r="C1623" s="28" t="str">
        <f>C1622</f>
        <v>P057481</v>
      </c>
      <c r="D1623" s="28" t="s">
        <v>26</v>
      </c>
      <c r="E1623" s="28" t="s">
        <v>27</v>
      </c>
      <c r="F1623" s="28" t="str">
        <f>F1622</f>
        <v>P057481C1S1</v>
      </c>
      <c r="G1623" s="28" t="s">
        <v>16</v>
      </c>
      <c r="H1623" s="29" t="str">
        <f>H1621&amp;" / "&amp;H1622</f>
        <v>2007 / 2012</v>
      </c>
      <c r="I1623" s="29" t="str">
        <f>I1622</f>
        <v>Reconstruction</v>
      </c>
      <c r="J1623" s="97" t="str">
        <f>IFERROR(J1622/J1621,"")</f>
        <v/>
      </c>
      <c r="K1623" s="32">
        <f>K1622/K1621</f>
        <v>1</v>
      </c>
      <c r="L1623" s="32">
        <f>L1622/L1621</f>
        <v>1.584075723830735</v>
      </c>
      <c r="M1623" s="28"/>
      <c r="N1623" s="32">
        <f>N1622/N1621</f>
        <v>1.584075723830735</v>
      </c>
      <c r="O1623" s="32">
        <f>O1622/O1621</f>
        <v>1.584075723830735</v>
      </c>
      <c r="P1623" s="33" t="str">
        <f>IF(K1623&lt;50%,"x","")</f>
        <v/>
      </c>
      <c r="Q1623" s="33" t="str">
        <f>IF(K1623&gt;150%,"x","")</f>
        <v/>
      </c>
      <c r="R1623" s="33" t="str">
        <f>IF(O1623&lt;50%,"x","")</f>
        <v/>
      </c>
      <c r="S1623" s="33" t="str">
        <f>IF(O1623&gt;150%,"x","")</f>
        <v>x</v>
      </c>
      <c r="T1623" s="33" t="s">
        <v>31</v>
      </c>
      <c r="U1623" s="34" t="s">
        <v>982</v>
      </c>
      <c r="V1623" s="35" t="s">
        <v>983</v>
      </c>
    </row>
    <row r="1624" spans="1:22" ht="16.5" thickTop="1" x14ac:dyDescent="0.25">
      <c r="A1624" s="18" t="s">
        <v>438</v>
      </c>
      <c r="B1624" s="18" t="s">
        <v>946</v>
      </c>
      <c r="C1624" s="18" t="s">
        <v>439</v>
      </c>
      <c r="D1624" s="18" t="s">
        <v>26</v>
      </c>
      <c r="E1624" s="18" t="s">
        <v>40</v>
      </c>
      <c r="F1624" s="18" t="s">
        <v>442</v>
      </c>
      <c r="G1624" s="18" t="s">
        <v>29</v>
      </c>
      <c r="H1624" s="19">
        <v>2007</v>
      </c>
      <c r="I1624" s="18" t="s">
        <v>359</v>
      </c>
      <c r="J1624" s="101" t="s">
        <v>27</v>
      </c>
      <c r="K1624" s="20">
        <v>12.5</v>
      </c>
      <c r="L1624" s="21">
        <v>2.4</v>
      </c>
      <c r="M1624" s="22" t="s">
        <v>30</v>
      </c>
      <c r="N1624" s="23">
        <v>2.4</v>
      </c>
      <c r="O1624" s="24">
        <v>0.192</v>
      </c>
      <c r="P1624" s="25" t="str">
        <f>IF(P1626="x","x","")</f>
        <v/>
      </c>
      <c r="Q1624" s="25" t="str">
        <f>IF(Q1626="x","x","")</f>
        <v/>
      </c>
      <c r="R1624" s="25" t="str">
        <f>IF(R1626="x","x","")</f>
        <v/>
      </c>
      <c r="S1624" s="25" t="str">
        <f>IF(S1626="x","x","")</f>
        <v/>
      </c>
      <c r="T1624" s="25" t="s">
        <v>27</v>
      </c>
      <c r="U1624" s="26"/>
      <c r="V1624" s="27"/>
    </row>
    <row r="1625" spans="1:22" x14ac:dyDescent="0.25">
      <c r="A1625" s="18" t="s">
        <v>438</v>
      </c>
      <c r="B1625" s="18" t="s">
        <v>946</v>
      </c>
      <c r="C1625" s="18" t="s">
        <v>439</v>
      </c>
      <c r="D1625" s="18" t="s">
        <v>26</v>
      </c>
      <c r="E1625" s="18" t="s">
        <v>40</v>
      </c>
      <c r="F1625" s="18" t="s">
        <v>442</v>
      </c>
      <c r="G1625" s="18" t="s">
        <v>32</v>
      </c>
      <c r="H1625" s="19">
        <v>2012</v>
      </c>
      <c r="I1625" s="18" t="s">
        <v>359</v>
      </c>
      <c r="J1625" s="101" t="s">
        <v>27</v>
      </c>
      <c r="K1625" s="20">
        <v>12.5</v>
      </c>
      <c r="L1625" s="21">
        <v>3.5</v>
      </c>
      <c r="M1625" s="22" t="s">
        <v>30</v>
      </c>
      <c r="N1625" s="23">
        <v>3.5</v>
      </c>
      <c r="O1625" s="24">
        <v>0.28000000000000003</v>
      </c>
      <c r="P1625" s="25" t="str">
        <f>IF(P1626="x","x","")</f>
        <v/>
      </c>
      <c r="Q1625" s="25" t="str">
        <f>IF(Q1626="x","x","")</f>
        <v/>
      </c>
      <c r="R1625" s="25" t="str">
        <f>IF(R1626="x","x","")</f>
        <v/>
      </c>
      <c r="S1625" s="25" t="str">
        <f>IF(S1626="x","x","")</f>
        <v/>
      </c>
      <c r="T1625" s="25" t="s">
        <v>27</v>
      </c>
      <c r="U1625" s="26"/>
      <c r="V1625" s="27"/>
    </row>
    <row r="1626" spans="1:22" ht="16.5" thickBot="1" x14ac:dyDescent="0.3">
      <c r="A1626" s="28" t="str">
        <f>A1625</f>
        <v>Uruguay</v>
      </c>
      <c r="B1626" s="28" t="str">
        <f>B1625</f>
        <v>Latin America and Caribbean</v>
      </c>
      <c r="C1626" s="28" t="str">
        <f>C1625</f>
        <v>P057481</v>
      </c>
      <c r="D1626" s="28" t="s">
        <v>26</v>
      </c>
      <c r="E1626" s="28" t="s">
        <v>27</v>
      </c>
      <c r="F1626" s="28" t="str">
        <f>F1625</f>
        <v>P057481C1S2</v>
      </c>
      <c r="G1626" s="28" t="s">
        <v>16</v>
      </c>
      <c r="H1626" s="29" t="str">
        <f>H1624&amp;" / "&amp;H1625</f>
        <v>2007 / 2012</v>
      </c>
      <c r="I1626" s="29" t="str">
        <f>I1625</f>
        <v>Reconstruction</v>
      </c>
      <c r="J1626" s="97" t="str">
        <f>IFERROR(J1625/J1624,"")</f>
        <v/>
      </c>
      <c r="K1626" s="32">
        <f>K1625/K1624</f>
        <v>1</v>
      </c>
      <c r="L1626" s="32">
        <f>L1625/L1624</f>
        <v>1.4583333333333335</v>
      </c>
      <c r="M1626" s="28"/>
      <c r="N1626" s="32">
        <f>N1625/N1624</f>
        <v>1.4583333333333335</v>
      </c>
      <c r="O1626" s="32">
        <f>O1625/O1624</f>
        <v>1.4583333333333335</v>
      </c>
      <c r="P1626" s="33" t="str">
        <f>IF(K1626&lt;50%,"x","")</f>
        <v/>
      </c>
      <c r="Q1626" s="33" t="str">
        <f>IF(K1626&gt;150%,"x","")</f>
        <v/>
      </c>
      <c r="R1626" s="33" t="str">
        <f>IF(O1626&lt;50%,"x","")</f>
        <v/>
      </c>
      <c r="S1626" s="33" t="str">
        <f>IF(O1626&gt;150%,"x","")</f>
        <v/>
      </c>
      <c r="T1626" s="33" t="s">
        <v>27</v>
      </c>
      <c r="U1626" s="34" t="s">
        <v>27</v>
      </c>
      <c r="V1626" s="35" t="s">
        <v>27</v>
      </c>
    </row>
    <row r="1627" spans="1:22" ht="16.5" thickTop="1" x14ac:dyDescent="0.25">
      <c r="A1627" s="18" t="s">
        <v>438</v>
      </c>
      <c r="B1627" s="18" t="s">
        <v>946</v>
      </c>
      <c r="C1627" s="18" t="s">
        <v>439</v>
      </c>
      <c r="D1627" s="18" t="s">
        <v>26</v>
      </c>
      <c r="E1627" s="18" t="s">
        <v>69</v>
      </c>
      <c r="F1627" s="18" t="s">
        <v>443</v>
      </c>
      <c r="G1627" s="18" t="s">
        <v>29</v>
      </c>
      <c r="H1627" s="19">
        <v>2007</v>
      </c>
      <c r="I1627" s="18" t="s">
        <v>359</v>
      </c>
      <c r="J1627" s="101" t="s">
        <v>27</v>
      </c>
      <c r="K1627" s="20">
        <v>22</v>
      </c>
      <c r="L1627" s="21">
        <v>3.74</v>
      </c>
      <c r="M1627" s="22" t="s">
        <v>30</v>
      </c>
      <c r="N1627" s="23">
        <v>3.74</v>
      </c>
      <c r="O1627" s="24">
        <v>0.17</v>
      </c>
      <c r="P1627" s="25" t="str">
        <f>IF(P1629="x","x","")</f>
        <v/>
      </c>
      <c r="Q1627" s="25" t="str">
        <f>IF(Q1629="x","x","")</f>
        <v/>
      </c>
      <c r="R1627" s="25" t="str">
        <f>IF(R1629="x","x","")</f>
        <v/>
      </c>
      <c r="S1627" s="25" t="str">
        <f>IF(S1629="x","x","")</f>
        <v>x</v>
      </c>
      <c r="T1627" s="25" t="s">
        <v>31</v>
      </c>
      <c r="U1627" s="26"/>
      <c r="V1627" s="27"/>
    </row>
    <row r="1628" spans="1:22" x14ac:dyDescent="0.25">
      <c r="A1628" s="18" t="s">
        <v>438</v>
      </c>
      <c r="B1628" s="18" t="s">
        <v>946</v>
      </c>
      <c r="C1628" s="18" t="s">
        <v>439</v>
      </c>
      <c r="D1628" s="18" t="s">
        <v>26</v>
      </c>
      <c r="E1628" s="18" t="s">
        <v>69</v>
      </c>
      <c r="F1628" s="18" t="s">
        <v>443</v>
      </c>
      <c r="G1628" s="18" t="s">
        <v>32</v>
      </c>
      <c r="H1628" s="19">
        <v>2012</v>
      </c>
      <c r="I1628" s="18" t="s">
        <v>359</v>
      </c>
      <c r="J1628" s="101" t="s">
        <v>27</v>
      </c>
      <c r="K1628" s="20">
        <v>22</v>
      </c>
      <c r="L1628" s="21">
        <v>13.257</v>
      </c>
      <c r="M1628" s="22" t="s">
        <v>30</v>
      </c>
      <c r="N1628" s="23">
        <v>13.257</v>
      </c>
      <c r="O1628" s="24">
        <v>0.60259090909090907</v>
      </c>
      <c r="P1628" s="25" t="str">
        <f>IF(P1629="x","x","")</f>
        <v/>
      </c>
      <c r="Q1628" s="25" t="str">
        <f>IF(Q1629="x","x","")</f>
        <v/>
      </c>
      <c r="R1628" s="25" t="str">
        <f>IF(R1629="x","x","")</f>
        <v/>
      </c>
      <c r="S1628" s="25" t="str">
        <f>IF(S1629="x","x","")</f>
        <v>x</v>
      </c>
      <c r="T1628" s="25" t="s">
        <v>31</v>
      </c>
      <c r="U1628" s="26"/>
      <c r="V1628" s="27"/>
    </row>
    <row r="1629" spans="1:22" ht="63.75" thickBot="1" x14ac:dyDescent="0.3">
      <c r="A1629" s="28" t="str">
        <f>A1628</f>
        <v>Uruguay</v>
      </c>
      <c r="B1629" s="28" t="str">
        <f>B1628</f>
        <v>Latin America and Caribbean</v>
      </c>
      <c r="C1629" s="28" t="str">
        <f>C1628</f>
        <v>P057481</v>
      </c>
      <c r="D1629" s="28" t="s">
        <v>26</v>
      </c>
      <c r="E1629" s="28" t="s">
        <v>27</v>
      </c>
      <c r="F1629" s="28" t="str">
        <f>F1628</f>
        <v>P057481C1S3</v>
      </c>
      <c r="G1629" s="28" t="s">
        <v>16</v>
      </c>
      <c r="H1629" s="29" t="str">
        <f>H1627&amp;" / "&amp;H1628</f>
        <v>2007 / 2012</v>
      </c>
      <c r="I1629" s="29" t="str">
        <f>I1628</f>
        <v>Reconstruction</v>
      </c>
      <c r="J1629" s="97" t="str">
        <f>IFERROR(J1628/J1627,"")</f>
        <v/>
      </c>
      <c r="K1629" s="32">
        <f>K1628/K1627</f>
        <v>1</v>
      </c>
      <c r="L1629" s="32">
        <f>L1628/L1627</f>
        <v>3.5446524064171121</v>
      </c>
      <c r="M1629" s="28"/>
      <c r="N1629" s="32">
        <f>N1628/N1627</f>
        <v>3.5446524064171121</v>
      </c>
      <c r="O1629" s="32">
        <f>O1628/O1627</f>
        <v>3.5446524064171121</v>
      </c>
      <c r="P1629" s="33" t="str">
        <f>IF(K1629&lt;50%,"x","")</f>
        <v/>
      </c>
      <c r="Q1629" s="33" t="str">
        <f>IF(K1629&gt;150%,"x","")</f>
        <v/>
      </c>
      <c r="R1629" s="33" t="str">
        <f>IF(O1629&lt;50%,"x","")</f>
        <v/>
      </c>
      <c r="S1629" s="33" t="str">
        <f>IF(O1629&gt;150%,"x","")</f>
        <v>x</v>
      </c>
      <c r="T1629" s="33" t="s">
        <v>31</v>
      </c>
      <c r="U1629" s="34" t="s">
        <v>984</v>
      </c>
      <c r="V1629" s="35" t="s">
        <v>985</v>
      </c>
    </row>
    <row r="1630" spans="1:22" ht="16.5" thickTop="1" x14ac:dyDescent="0.25">
      <c r="A1630" s="18" t="s">
        <v>53</v>
      </c>
      <c r="B1630" s="18" t="s">
        <v>945</v>
      </c>
      <c r="C1630" s="18" t="s">
        <v>54</v>
      </c>
      <c r="D1630" s="18" t="s">
        <v>26</v>
      </c>
      <c r="E1630" s="18" t="s">
        <v>27</v>
      </c>
      <c r="F1630" s="18" t="s">
        <v>55</v>
      </c>
      <c r="G1630" s="18" t="s">
        <v>29</v>
      </c>
      <c r="H1630" s="19">
        <v>2000</v>
      </c>
      <c r="I1630" s="18" t="s">
        <v>56</v>
      </c>
      <c r="J1630" s="101">
        <v>52</v>
      </c>
      <c r="K1630" s="20">
        <v>180</v>
      </c>
      <c r="L1630" s="21">
        <v>76.209999999999994</v>
      </c>
      <c r="M1630" s="22" t="s">
        <v>30</v>
      </c>
      <c r="N1630" s="23">
        <v>76.209999999999994</v>
      </c>
      <c r="O1630" s="24">
        <v>0.42338888888888887</v>
      </c>
      <c r="P1630" s="25" t="str">
        <f>IF(P1632="x","x","")</f>
        <v/>
      </c>
      <c r="Q1630" s="25" t="str">
        <f>IF(Q1632="x","x","")</f>
        <v/>
      </c>
      <c r="R1630" s="25" t="str">
        <f>IF(R1632="x","x","")</f>
        <v/>
      </c>
      <c r="S1630" s="25" t="str">
        <f>IF(S1632="x","x","")</f>
        <v>x</v>
      </c>
      <c r="T1630" s="25" t="s">
        <v>31</v>
      </c>
      <c r="U1630" s="26"/>
      <c r="V1630" s="27"/>
    </row>
    <row r="1631" spans="1:22" x14ac:dyDescent="0.25">
      <c r="A1631" s="18" t="s">
        <v>53</v>
      </c>
      <c r="B1631" s="18" t="s">
        <v>945</v>
      </c>
      <c r="C1631" s="18" t="s">
        <v>54</v>
      </c>
      <c r="D1631" s="18" t="s">
        <v>26</v>
      </c>
      <c r="E1631" s="18" t="s">
        <v>27</v>
      </c>
      <c r="F1631" s="18" t="s">
        <v>55</v>
      </c>
      <c r="G1631" s="18" t="s">
        <v>32</v>
      </c>
      <c r="H1631" s="19">
        <v>2011</v>
      </c>
      <c r="I1631" s="18" t="s">
        <v>56</v>
      </c>
      <c r="J1631" s="101">
        <v>60</v>
      </c>
      <c r="K1631" s="20">
        <v>180</v>
      </c>
      <c r="L1631" s="21">
        <v>130.93</v>
      </c>
      <c r="M1631" s="22" t="s">
        <v>30</v>
      </c>
      <c r="N1631" s="23">
        <v>130.93</v>
      </c>
      <c r="O1631" s="24">
        <v>0.72738888888888897</v>
      </c>
      <c r="P1631" s="25" t="str">
        <f>IF(P1632="x","x","")</f>
        <v/>
      </c>
      <c r="Q1631" s="25" t="str">
        <f>IF(Q1632="x","x","")</f>
        <v/>
      </c>
      <c r="R1631" s="25" t="str">
        <f>IF(R1632="x","x","")</f>
        <v/>
      </c>
      <c r="S1631" s="25" t="str">
        <f>IF(S1632="x","x","")</f>
        <v>x</v>
      </c>
      <c r="T1631" s="25" t="s">
        <v>31</v>
      </c>
      <c r="U1631" s="26"/>
      <c r="V1631" s="27"/>
    </row>
    <row r="1632" spans="1:22" ht="63.75" thickBot="1" x14ac:dyDescent="0.3">
      <c r="A1632" s="28" t="str">
        <f>A1631</f>
        <v>Vietnam</v>
      </c>
      <c r="B1632" s="28" t="str">
        <f>B1631</f>
        <v>East Asia and Pacific</v>
      </c>
      <c r="C1632" s="28" t="str">
        <f>C1631</f>
        <v>P042927</v>
      </c>
      <c r="D1632" s="28" t="s">
        <v>26</v>
      </c>
      <c r="E1632" s="28" t="s">
        <v>27</v>
      </c>
      <c r="F1632" s="28" t="str">
        <f>F1631</f>
        <v>P042927C1</v>
      </c>
      <c r="G1632" s="28" t="s">
        <v>16</v>
      </c>
      <c r="H1632" s="29" t="str">
        <f>H1630&amp;" / "&amp;H1631</f>
        <v>2000 / 2011</v>
      </c>
      <c r="I1632" s="29" t="str">
        <f>I1631</f>
        <v>Widening</v>
      </c>
      <c r="J1632" s="97">
        <f>IFERROR(J1631/J1630,"")</f>
        <v>1.1538461538461537</v>
      </c>
      <c r="K1632" s="32">
        <f>K1631/K1630</f>
        <v>1</v>
      </c>
      <c r="L1632" s="32">
        <f>L1631/L1630</f>
        <v>1.7180160083978482</v>
      </c>
      <c r="M1632" s="28"/>
      <c r="N1632" s="32">
        <f>N1631/N1630</f>
        <v>1.7180160083978482</v>
      </c>
      <c r="O1632" s="32">
        <f>O1631/O1630</f>
        <v>1.7180160083978484</v>
      </c>
      <c r="P1632" s="33" t="str">
        <f>IF(K1632&lt;50%,"x","")</f>
        <v/>
      </c>
      <c r="Q1632" s="33" t="str">
        <f>IF(K1632&gt;150%,"x","")</f>
        <v/>
      </c>
      <c r="R1632" s="33" t="str">
        <f>IF(O1632&lt;50%,"x","")</f>
        <v/>
      </c>
      <c r="S1632" s="33" t="str">
        <f>IF(O1632&gt;150%,"x","")</f>
        <v>x</v>
      </c>
      <c r="T1632" s="33" t="s">
        <v>31</v>
      </c>
      <c r="U1632" s="34" t="s">
        <v>1112</v>
      </c>
      <c r="V1632" s="35" t="s">
        <v>1113</v>
      </c>
    </row>
    <row r="1633" spans="1:22" ht="16.5" thickTop="1" x14ac:dyDescent="0.25">
      <c r="A1633" s="18" t="s">
        <v>53</v>
      </c>
      <c r="B1633" s="18" t="s">
        <v>945</v>
      </c>
      <c r="C1633" s="18" t="s">
        <v>184</v>
      </c>
      <c r="D1633" s="18" t="s">
        <v>26</v>
      </c>
      <c r="E1633" s="18" t="s">
        <v>27</v>
      </c>
      <c r="F1633" s="18" t="s">
        <v>185</v>
      </c>
      <c r="G1633" s="18" t="s">
        <v>29</v>
      </c>
      <c r="H1633" s="19">
        <v>2006</v>
      </c>
      <c r="I1633" s="18" t="s">
        <v>78</v>
      </c>
      <c r="J1633" s="101" t="s">
        <v>27</v>
      </c>
      <c r="K1633" s="20">
        <v>3150</v>
      </c>
      <c r="L1633" s="21">
        <v>127.47</v>
      </c>
      <c r="M1633" s="22" t="s">
        <v>30</v>
      </c>
      <c r="N1633" s="23">
        <v>127.47</v>
      </c>
      <c r="O1633" s="24">
        <v>4.0466666666666665E-2</v>
      </c>
      <c r="P1633" s="25" t="str">
        <f>IF(P1635="x","x","")</f>
        <v/>
      </c>
      <c r="Q1633" s="25" t="str">
        <f>IF(Q1635="x","x","")</f>
        <v/>
      </c>
      <c r="R1633" s="25" t="str">
        <f>IF(R1635="x","x","")</f>
        <v/>
      </c>
      <c r="S1633" s="25" t="str">
        <f>IF(S1635="x","x","")</f>
        <v>x</v>
      </c>
      <c r="T1633" s="25" t="s">
        <v>31</v>
      </c>
      <c r="U1633" s="26"/>
      <c r="V1633" s="27"/>
    </row>
    <row r="1634" spans="1:22" x14ac:dyDescent="0.25">
      <c r="A1634" s="18" t="s">
        <v>53</v>
      </c>
      <c r="B1634" s="18" t="s">
        <v>945</v>
      </c>
      <c r="C1634" s="18" t="s">
        <v>184</v>
      </c>
      <c r="D1634" s="18" t="s">
        <v>26</v>
      </c>
      <c r="E1634" s="18" t="s">
        <v>27</v>
      </c>
      <c r="F1634" s="18" t="s">
        <v>185</v>
      </c>
      <c r="G1634" s="18" t="s">
        <v>32</v>
      </c>
      <c r="H1634" s="19">
        <v>2014</v>
      </c>
      <c r="I1634" s="18" t="s">
        <v>78</v>
      </c>
      <c r="J1634" s="101" t="s">
        <v>27</v>
      </c>
      <c r="K1634" s="20">
        <v>3283</v>
      </c>
      <c r="L1634" s="21">
        <v>244.07</v>
      </c>
      <c r="M1634" s="22" t="s">
        <v>30</v>
      </c>
      <c r="N1634" s="23">
        <v>244.07</v>
      </c>
      <c r="O1634" s="24">
        <v>7.434358818154127E-2</v>
      </c>
      <c r="P1634" s="25" t="str">
        <f>IF(P1635="x","x","")</f>
        <v/>
      </c>
      <c r="Q1634" s="25" t="str">
        <f>IF(Q1635="x","x","")</f>
        <v/>
      </c>
      <c r="R1634" s="25" t="str">
        <f>IF(R1635="x","x","")</f>
        <v/>
      </c>
      <c r="S1634" s="25" t="str">
        <f>IF(S1635="x","x","")</f>
        <v>x</v>
      </c>
      <c r="T1634" s="25" t="s">
        <v>31</v>
      </c>
      <c r="U1634" s="26"/>
      <c r="V1634" s="27"/>
    </row>
    <row r="1635" spans="1:22" ht="95.25" thickBot="1" x14ac:dyDescent="0.3">
      <c r="A1635" s="28" t="str">
        <f>A1634</f>
        <v>Vietnam</v>
      </c>
      <c r="B1635" s="28" t="str">
        <f>B1634</f>
        <v>East Asia and Pacific</v>
      </c>
      <c r="C1635" s="28" t="str">
        <f>C1634</f>
        <v>P075407</v>
      </c>
      <c r="D1635" s="28" t="s">
        <v>26</v>
      </c>
      <c r="E1635" s="28" t="s">
        <v>27</v>
      </c>
      <c r="F1635" s="28" t="str">
        <f>F1634</f>
        <v>P075407C1</v>
      </c>
      <c r="G1635" s="28" t="s">
        <v>16</v>
      </c>
      <c r="H1635" s="29" t="str">
        <f>H1633&amp;" / "&amp;H1634</f>
        <v>2006 / 2014</v>
      </c>
      <c r="I1635" s="29" t="str">
        <f>I1634</f>
        <v>Surface Treatment Resurfacing</v>
      </c>
      <c r="J1635" s="97" t="str">
        <f>IFERROR(J1634/J1633,"")</f>
        <v/>
      </c>
      <c r="K1635" s="32">
        <f>K1634/K1633</f>
        <v>1.0422222222222222</v>
      </c>
      <c r="L1635" s="32">
        <f>L1634/L1633</f>
        <v>1.9147250333411783</v>
      </c>
      <c r="M1635" s="28"/>
      <c r="N1635" s="32">
        <f>N1634/N1633</f>
        <v>1.9147250333411783</v>
      </c>
      <c r="O1635" s="32">
        <f>O1634/O1633</f>
        <v>1.8371562153593395</v>
      </c>
      <c r="P1635" s="33" t="str">
        <f>IF(K1635&lt;50%,"x","")</f>
        <v/>
      </c>
      <c r="Q1635" s="33" t="str">
        <f>IF(K1635&gt;150%,"x","")</f>
        <v/>
      </c>
      <c r="R1635" s="33" t="str">
        <f>IF(O1635&lt;50%,"x","")</f>
        <v/>
      </c>
      <c r="S1635" s="33" t="str">
        <f>IF(O1635&gt;150%,"x","")</f>
        <v>x</v>
      </c>
      <c r="T1635" s="33" t="s">
        <v>31</v>
      </c>
      <c r="U1635" s="34" t="s">
        <v>1145</v>
      </c>
      <c r="V1635" s="35" t="s">
        <v>1146</v>
      </c>
    </row>
    <row r="1636" spans="1:22" ht="16.5" thickTop="1" x14ac:dyDescent="0.25">
      <c r="A1636" s="18" t="s">
        <v>53</v>
      </c>
      <c r="B1636" s="18" t="s">
        <v>945</v>
      </c>
      <c r="C1636" s="18" t="s">
        <v>184</v>
      </c>
      <c r="D1636" s="18" t="s">
        <v>42</v>
      </c>
      <c r="E1636" s="18" t="s">
        <v>27</v>
      </c>
      <c r="F1636" s="18" t="s">
        <v>187</v>
      </c>
      <c r="G1636" s="18" t="s">
        <v>29</v>
      </c>
      <c r="H1636" s="19">
        <v>2006</v>
      </c>
      <c r="I1636" s="18" t="s">
        <v>44</v>
      </c>
      <c r="J1636" s="101">
        <v>30</v>
      </c>
      <c r="K1636" s="20">
        <v>12000</v>
      </c>
      <c r="L1636" s="21">
        <v>12.38</v>
      </c>
      <c r="M1636" s="22" t="s">
        <v>30</v>
      </c>
      <c r="N1636" s="23">
        <v>12.38</v>
      </c>
      <c r="O1636" s="24">
        <v>1.0316666666666666E-3</v>
      </c>
      <c r="P1636" s="25" t="str">
        <f>IF(P1638="x","x","")</f>
        <v/>
      </c>
      <c r="Q1636" s="25" t="str">
        <f>IF(Q1638="x","x","")</f>
        <v>x</v>
      </c>
      <c r="R1636" s="25" t="str">
        <f>IF(R1638="x","x","")</f>
        <v/>
      </c>
      <c r="S1636" s="25" t="str">
        <f>IF(S1638="x","x","")</f>
        <v>x</v>
      </c>
      <c r="T1636" s="25" t="s">
        <v>31</v>
      </c>
      <c r="U1636" s="26"/>
      <c r="V1636" s="27"/>
    </row>
    <row r="1637" spans="1:22" x14ac:dyDescent="0.25">
      <c r="A1637" s="18" t="s">
        <v>53</v>
      </c>
      <c r="B1637" s="18" t="s">
        <v>945</v>
      </c>
      <c r="C1637" s="18" t="s">
        <v>184</v>
      </c>
      <c r="D1637" s="18" t="s">
        <v>42</v>
      </c>
      <c r="E1637" s="18" t="s">
        <v>27</v>
      </c>
      <c r="F1637" s="18" t="s">
        <v>187</v>
      </c>
      <c r="G1637" s="18" t="s">
        <v>32</v>
      </c>
      <c r="H1637" s="19">
        <v>2014</v>
      </c>
      <c r="I1637" s="18" t="s">
        <v>44</v>
      </c>
      <c r="J1637" s="101">
        <v>30</v>
      </c>
      <c r="K1637" s="20">
        <v>19902</v>
      </c>
      <c r="L1637" s="21">
        <v>39.39</v>
      </c>
      <c r="M1637" s="22" t="s">
        <v>30</v>
      </c>
      <c r="N1637" s="23">
        <v>39.39</v>
      </c>
      <c r="O1637" s="24">
        <v>1.9791980705456736E-3</v>
      </c>
      <c r="P1637" s="25" t="str">
        <f>IF(P1638="x","x","")</f>
        <v/>
      </c>
      <c r="Q1637" s="25" t="str">
        <f>IF(Q1638="x","x","")</f>
        <v>x</v>
      </c>
      <c r="R1637" s="25" t="str">
        <f>IF(R1638="x","x","")</f>
        <v/>
      </c>
      <c r="S1637" s="25" t="str">
        <f>IF(S1638="x","x","")</f>
        <v>x</v>
      </c>
      <c r="T1637" s="25" t="s">
        <v>31</v>
      </c>
      <c r="U1637" s="26"/>
      <c r="V1637" s="27"/>
    </row>
    <row r="1638" spans="1:22" ht="95.25" thickBot="1" x14ac:dyDescent="0.3">
      <c r="A1638" s="28" t="str">
        <f>A1637</f>
        <v>Vietnam</v>
      </c>
      <c r="B1638" s="28" t="str">
        <f>B1637</f>
        <v>East Asia and Pacific</v>
      </c>
      <c r="C1638" s="28" t="str">
        <f>C1637</f>
        <v>P075407</v>
      </c>
      <c r="D1638" s="28" t="s">
        <v>26</v>
      </c>
      <c r="E1638" s="28" t="s">
        <v>27</v>
      </c>
      <c r="F1638" s="28" t="str">
        <f>F1637</f>
        <v>P075407C2</v>
      </c>
      <c r="G1638" s="28" t="s">
        <v>16</v>
      </c>
      <c r="H1638" s="29" t="str">
        <f>H1636&amp;" / "&amp;H1637</f>
        <v>2006 / 2014</v>
      </c>
      <c r="I1638" s="29" t="str">
        <f>I1637</f>
        <v>Routine Maintenance</v>
      </c>
      <c r="J1638" s="97">
        <f>IFERROR(J1637/J1636,"")</f>
        <v>1</v>
      </c>
      <c r="K1638" s="32">
        <f>K1637/K1636</f>
        <v>1.6585000000000001</v>
      </c>
      <c r="L1638" s="32">
        <f>L1637/L1636</f>
        <v>3.1817447495961226</v>
      </c>
      <c r="M1638" s="28"/>
      <c r="N1638" s="32">
        <f>N1637/N1636</f>
        <v>3.1817447495961226</v>
      </c>
      <c r="O1638" s="32">
        <f>O1637/O1636</f>
        <v>1.9184472412397484</v>
      </c>
      <c r="P1638" s="33" t="str">
        <f>IF(K1638&lt;50%,"x","")</f>
        <v/>
      </c>
      <c r="Q1638" s="33" t="str">
        <f>IF(K1638&gt;150%,"x","")</f>
        <v>x</v>
      </c>
      <c r="R1638" s="33" t="str">
        <f>IF(O1638&lt;50%,"x","")</f>
        <v/>
      </c>
      <c r="S1638" s="33" t="str">
        <f>IF(O1638&gt;150%,"x","")</f>
        <v>x</v>
      </c>
      <c r="T1638" s="33" t="s">
        <v>31</v>
      </c>
      <c r="U1638" s="34" t="s">
        <v>1147</v>
      </c>
      <c r="V1638" s="35" t="s">
        <v>1148</v>
      </c>
    </row>
    <row r="1639" spans="1:22" ht="16.5" thickTop="1" x14ac:dyDescent="0.25">
      <c r="A1639" s="18" t="s">
        <v>53</v>
      </c>
      <c r="B1639" s="18" t="s">
        <v>945</v>
      </c>
      <c r="C1639" s="18" t="s">
        <v>263</v>
      </c>
      <c r="D1639" s="18" t="s">
        <v>26</v>
      </c>
      <c r="E1639" s="18" t="s">
        <v>27</v>
      </c>
      <c r="F1639" s="18" t="s">
        <v>264</v>
      </c>
      <c r="G1639" s="18" t="s">
        <v>29</v>
      </c>
      <c r="H1639" s="19">
        <v>2007</v>
      </c>
      <c r="I1639" s="18" t="s">
        <v>364</v>
      </c>
      <c r="J1639" s="101">
        <v>36</v>
      </c>
      <c r="K1639" s="20">
        <v>98</v>
      </c>
      <c r="L1639" s="21">
        <v>74.58</v>
      </c>
      <c r="M1639" s="22" t="s">
        <v>30</v>
      </c>
      <c r="N1639" s="23">
        <v>74.58</v>
      </c>
      <c r="O1639" s="24">
        <v>0.76102040816326533</v>
      </c>
      <c r="P1639" s="25" t="str">
        <f>IF(P1641="x","x","")</f>
        <v/>
      </c>
      <c r="Q1639" s="25" t="str">
        <f>IF(Q1641="x","x","")</f>
        <v/>
      </c>
      <c r="R1639" s="25" t="str">
        <f>IF(R1641="x","x","")</f>
        <v/>
      </c>
      <c r="S1639" s="25" t="str">
        <f>IF(S1641="x","x","")</f>
        <v>x</v>
      </c>
      <c r="T1639" s="25" t="s">
        <v>31</v>
      </c>
      <c r="U1639" s="26"/>
      <c r="V1639" s="27"/>
    </row>
    <row r="1640" spans="1:22" x14ac:dyDescent="0.25">
      <c r="A1640" s="18" t="s">
        <v>53</v>
      </c>
      <c r="B1640" s="18" t="s">
        <v>945</v>
      </c>
      <c r="C1640" s="18" t="s">
        <v>263</v>
      </c>
      <c r="D1640" s="18" t="s">
        <v>26</v>
      </c>
      <c r="E1640" s="18" t="s">
        <v>27</v>
      </c>
      <c r="F1640" s="18" t="s">
        <v>264</v>
      </c>
      <c r="G1640" s="18" t="s">
        <v>32</v>
      </c>
      <c r="H1640" s="19">
        <v>2017</v>
      </c>
      <c r="I1640" s="18" t="s">
        <v>364</v>
      </c>
      <c r="J1640" s="101">
        <v>79</v>
      </c>
      <c r="K1640" s="20">
        <v>61</v>
      </c>
      <c r="L1640" s="21">
        <v>75.5</v>
      </c>
      <c r="M1640" s="22" t="s">
        <v>30</v>
      </c>
      <c r="N1640" s="23">
        <v>75.5</v>
      </c>
      <c r="O1640" s="24">
        <v>1.2377049180327868</v>
      </c>
      <c r="P1640" s="25" t="str">
        <f>IF(P1641="x","x","")</f>
        <v/>
      </c>
      <c r="Q1640" s="25" t="str">
        <f>IF(Q1641="x","x","")</f>
        <v/>
      </c>
      <c r="R1640" s="25" t="str">
        <f>IF(R1641="x","x","")</f>
        <v/>
      </c>
      <c r="S1640" s="25" t="str">
        <f>IF(S1641="x","x","")</f>
        <v>x</v>
      </c>
      <c r="T1640" s="25" t="s">
        <v>31</v>
      </c>
      <c r="U1640" s="26"/>
      <c r="V1640" s="27"/>
    </row>
    <row r="1641" spans="1:22" ht="79.5" thickBot="1" x14ac:dyDescent="0.3">
      <c r="A1641" s="28" t="str">
        <f>A1640</f>
        <v>Vietnam</v>
      </c>
      <c r="B1641" s="28" t="str">
        <f>B1640</f>
        <v>East Asia and Pacific</v>
      </c>
      <c r="C1641" s="28" t="str">
        <f>C1640</f>
        <v xml:space="preserve">P083588 </v>
      </c>
      <c r="D1641" s="28" t="s">
        <v>26</v>
      </c>
      <c r="E1641" s="28" t="s">
        <v>27</v>
      </c>
      <c r="F1641" s="28" t="str">
        <f>F1640</f>
        <v>P083588 C1</v>
      </c>
      <c r="G1641" s="28" t="s">
        <v>16</v>
      </c>
      <c r="H1641" s="29" t="str">
        <f>H1639&amp;" / "&amp;H1640</f>
        <v>2007 / 2017</v>
      </c>
      <c r="I1641" s="29" t="str">
        <f>I1640</f>
        <v>Widening and Reconstruction</v>
      </c>
      <c r="J1641" s="97">
        <f>IFERROR(J1640/J1639,"")</f>
        <v>2.1944444444444446</v>
      </c>
      <c r="K1641" s="32">
        <f>K1640/K1639</f>
        <v>0.62244897959183676</v>
      </c>
      <c r="L1641" s="32">
        <f>L1640/L1639</f>
        <v>1.0123357468490213</v>
      </c>
      <c r="M1641" s="28"/>
      <c r="N1641" s="32">
        <f>N1640/N1639</f>
        <v>1.0123357468490213</v>
      </c>
      <c r="O1641" s="32">
        <f>O1640/O1639</f>
        <v>1.6263754621508864</v>
      </c>
      <c r="P1641" s="33" t="str">
        <f>IF(K1641&lt;50%,"x","")</f>
        <v/>
      </c>
      <c r="Q1641" s="33" t="str">
        <f>IF(K1641&gt;150%,"x","")</f>
        <v/>
      </c>
      <c r="R1641" s="33" t="str">
        <f>IF(O1641&lt;50%,"x","")</f>
        <v/>
      </c>
      <c r="S1641" s="33" t="str">
        <f>IF(O1641&gt;150%,"x","")</f>
        <v>x</v>
      </c>
      <c r="T1641" s="33" t="s">
        <v>31</v>
      </c>
      <c r="U1641" s="34" t="s">
        <v>1167</v>
      </c>
      <c r="V1641" s="35" t="s">
        <v>1168</v>
      </c>
    </row>
    <row r="1642" spans="1:22" ht="16.5" thickTop="1" x14ac:dyDescent="0.25">
      <c r="A1642" s="18" t="s">
        <v>53</v>
      </c>
      <c r="B1642" s="18" t="s">
        <v>945</v>
      </c>
      <c r="C1642" s="18" t="s">
        <v>464</v>
      </c>
      <c r="D1642" s="18" t="s">
        <v>26</v>
      </c>
      <c r="E1642" s="18" t="s">
        <v>36</v>
      </c>
      <c r="F1642" s="18" t="s">
        <v>465</v>
      </c>
      <c r="G1642" s="18" t="s">
        <v>29</v>
      </c>
      <c r="H1642" s="19">
        <v>2003</v>
      </c>
      <c r="I1642" s="18" t="s">
        <v>68</v>
      </c>
      <c r="J1642" s="101">
        <v>28</v>
      </c>
      <c r="K1642" s="20">
        <v>1100</v>
      </c>
      <c r="L1642" s="21">
        <v>97.2</v>
      </c>
      <c r="M1642" s="22" t="s">
        <v>30</v>
      </c>
      <c r="N1642" s="23">
        <v>97.2</v>
      </c>
      <c r="O1642" s="24">
        <v>8.8363636363636366E-2</v>
      </c>
      <c r="P1642" s="25" t="str">
        <f>IF(P1644="x","x","")</f>
        <v/>
      </c>
      <c r="Q1642" s="25" t="str">
        <f>IF(Q1644="x","x","")</f>
        <v/>
      </c>
      <c r="R1642" s="25" t="str">
        <f>IF(R1644="x","x","")</f>
        <v/>
      </c>
      <c r="S1642" s="25" t="str">
        <f>IF(S1644="x","x","")</f>
        <v/>
      </c>
      <c r="T1642" s="25" t="s">
        <v>27</v>
      </c>
      <c r="U1642" s="26"/>
      <c r="V1642" s="27"/>
    </row>
    <row r="1643" spans="1:22" x14ac:dyDescent="0.25">
      <c r="A1643" s="18" t="s">
        <v>53</v>
      </c>
      <c r="B1643" s="18" t="s">
        <v>945</v>
      </c>
      <c r="C1643" s="18" t="s">
        <v>464</v>
      </c>
      <c r="D1643" s="18" t="s">
        <v>26</v>
      </c>
      <c r="E1643" s="18" t="s">
        <v>36</v>
      </c>
      <c r="F1643" s="18" t="s">
        <v>465</v>
      </c>
      <c r="G1643" s="18" t="s">
        <v>32</v>
      </c>
      <c r="H1643" s="19">
        <v>2012</v>
      </c>
      <c r="I1643" s="18" t="s">
        <v>68</v>
      </c>
      <c r="J1643" s="101">
        <v>36.4</v>
      </c>
      <c r="K1643" s="20">
        <v>842</v>
      </c>
      <c r="L1643" s="21">
        <v>90.48</v>
      </c>
      <c r="M1643" s="22" t="s">
        <v>30</v>
      </c>
      <c r="N1643" s="23">
        <v>90.48</v>
      </c>
      <c r="O1643" s="24">
        <v>0.10745843230403801</v>
      </c>
      <c r="P1643" s="25" t="str">
        <f>IF(P1644="x","x","")</f>
        <v/>
      </c>
      <c r="Q1643" s="25" t="str">
        <f>IF(Q1644="x","x","")</f>
        <v/>
      </c>
      <c r="R1643" s="25" t="str">
        <f>IF(R1644="x","x","")</f>
        <v/>
      </c>
      <c r="S1643" s="25" t="str">
        <f>IF(S1644="x","x","")</f>
        <v/>
      </c>
      <c r="T1643" s="25" t="s">
        <v>27</v>
      </c>
      <c r="U1643" s="26"/>
      <c r="V1643" s="27"/>
    </row>
    <row r="1644" spans="1:22" ht="16.5" thickBot="1" x14ac:dyDescent="0.3">
      <c r="A1644" s="28" t="str">
        <f>A1643</f>
        <v>Vietnam</v>
      </c>
      <c r="B1644" s="28" t="str">
        <f>B1643</f>
        <v>East Asia and Pacific</v>
      </c>
      <c r="C1644" s="28" t="str">
        <f>C1643</f>
        <v>P059663</v>
      </c>
      <c r="D1644" s="28" t="s">
        <v>26</v>
      </c>
      <c r="E1644" s="28" t="s">
        <v>27</v>
      </c>
      <c r="F1644" s="28" t="str">
        <f>F1643</f>
        <v>P059663C1S1</v>
      </c>
      <c r="G1644" s="28" t="s">
        <v>16</v>
      </c>
      <c r="H1644" s="29" t="str">
        <f>H1642&amp;" / "&amp;H1643</f>
        <v>2003 / 2012</v>
      </c>
      <c r="I1644" s="29" t="str">
        <f>I1643</f>
        <v>Asphalt Mix Resurfacing</v>
      </c>
      <c r="J1644" s="97">
        <f>IFERROR(J1643/J1642,"")</f>
        <v>1.3</v>
      </c>
      <c r="K1644" s="32">
        <f>K1643/K1642</f>
        <v>0.7654545454545455</v>
      </c>
      <c r="L1644" s="32">
        <f>L1643/L1642</f>
        <v>0.93086419753086425</v>
      </c>
      <c r="M1644" s="28"/>
      <c r="N1644" s="32">
        <f>N1643/N1642</f>
        <v>0.93086419753086425</v>
      </c>
      <c r="O1644" s="32">
        <f>O1643/O1642</f>
        <v>1.2160933696959033</v>
      </c>
      <c r="P1644" s="33" t="str">
        <f>IF(K1644&lt;50%,"x","")</f>
        <v/>
      </c>
      <c r="Q1644" s="33" t="str">
        <f>IF(K1644&gt;150%,"x","")</f>
        <v/>
      </c>
      <c r="R1644" s="33" t="str">
        <f>IF(O1644&lt;50%,"x","")</f>
        <v/>
      </c>
      <c r="S1644" s="33" t="str">
        <f>IF(O1644&gt;150%,"x","")</f>
        <v/>
      </c>
      <c r="T1644" s="33" t="s">
        <v>27</v>
      </c>
      <c r="U1644" s="34" t="s">
        <v>27</v>
      </c>
      <c r="V1644" s="35" t="s">
        <v>27</v>
      </c>
    </row>
    <row r="1645" spans="1:22" ht="16.5" thickTop="1" x14ac:dyDescent="0.25">
      <c r="A1645" s="18" t="s">
        <v>53</v>
      </c>
      <c r="B1645" s="18" t="s">
        <v>945</v>
      </c>
      <c r="C1645" s="18" t="s">
        <v>464</v>
      </c>
      <c r="D1645" s="18" t="s">
        <v>26</v>
      </c>
      <c r="E1645" s="18" t="s">
        <v>40</v>
      </c>
      <c r="F1645" s="18" t="s">
        <v>466</v>
      </c>
      <c r="G1645" s="18" t="s">
        <v>29</v>
      </c>
      <c r="H1645" s="19">
        <v>2003</v>
      </c>
      <c r="I1645" s="18" t="s">
        <v>68</v>
      </c>
      <c r="J1645" s="101">
        <v>16</v>
      </c>
      <c r="K1645" s="20">
        <v>430</v>
      </c>
      <c r="L1645" s="21">
        <v>7</v>
      </c>
      <c r="M1645" s="22" t="s">
        <v>30</v>
      </c>
      <c r="N1645" s="23">
        <v>7</v>
      </c>
      <c r="O1645" s="24">
        <v>1.627906976744186E-2</v>
      </c>
      <c r="P1645" s="25" t="str">
        <f>IF(P1647="x","x","")</f>
        <v/>
      </c>
      <c r="Q1645" s="25" t="str">
        <f>IF(Q1647="x","x","")</f>
        <v/>
      </c>
      <c r="R1645" s="25" t="str">
        <f>IF(R1647="x","x","")</f>
        <v/>
      </c>
      <c r="S1645" s="25" t="str">
        <f>IF(S1647="x","x","")</f>
        <v>x</v>
      </c>
      <c r="T1645" s="25" t="s">
        <v>31</v>
      </c>
      <c r="U1645" s="26"/>
      <c r="V1645" s="27"/>
    </row>
    <row r="1646" spans="1:22" x14ac:dyDescent="0.25">
      <c r="A1646" s="18" t="s">
        <v>53</v>
      </c>
      <c r="B1646" s="18" t="s">
        <v>945</v>
      </c>
      <c r="C1646" s="18" t="s">
        <v>464</v>
      </c>
      <c r="D1646" s="18" t="s">
        <v>26</v>
      </c>
      <c r="E1646" s="18" t="s">
        <v>40</v>
      </c>
      <c r="F1646" s="18" t="s">
        <v>466</v>
      </c>
      <c r="G1646" s="18" t="s">
        <v>32</v>
      </c>
      <c r="H1646" s="19">
        <v>2012</v>
      </c>
      <c r="I1646" s="18" t="s">
        <v>68</v>
      </c>
      <c r="J1646" s="101">
        <v>36</v>
      </c>
      <c r="K1646" s="20">
        <v>302</v>
      </c>
      <c r="L1646" s="21">
        <v>23.55</v>
      </c>
      <c r="M1646" s="22" t="s">
        <v>30</v>
      </c>
      <c r="N1646" s="23">
        <v>23.55</v>
      </c>
      <c r="O1646" s="24">
        <v>7.7980132450331127E-2</v>
      </c>
      <c r="P1646" s="25" t="str">
        <f>IF(P1647="x","x","")</f>
        <v/>
      </c>
      <c r="Q1646" s="25" t="str">
        <f>IF(Q1647="x","x","")</f>
        <v/>
      </c>
      <c r="R1646" s="25" t="str">
        <f>IF(R1647="x","x","")</f>
        <v/>
      </c>
      <c r="S1646" s="25" t="str">
        <f>IF(S1647="x","x","")</f>
        <v>x</v>
      </c>
      <c r="T1646" s="25" t="s">
        <v>31</v>
      </c>
      <c r="U1646" s="26"/>
      <c r="V1646" s="27"/>
    </row>
    <row r="1647" spans="1:22" ht="63.75" thickBot="1" x14ac:dyDescent="0.3">
      <c r="A1647" s="28" t="str">
        <f>A1646</f>
        <v>Vietnam</v>
      </c>
      <c r="B1647" s="28" t="str">
        <f>B1646</f>
        <v>East Asia and Pacific</v>
      </c>
      <c r="C1647" s="28" t="str">
        <f>C1646</f>
        <v>P059663</v>
      </c>
      <c r="D1647" s="28" t="s">
        <v>26</v>
      </c>
      <c r="E1647" s="28" t="s">
        <v>27</v>
      </c>
      <c r="F1647" s="28" t="str">
        <f>F1646</f>
        <v>P059663C1S2</v>
      </c>
      <c r="G1647" s="28" t="s">
        <v>16</v>
      </c>
      <c r="H1647" s="29" t="str">
        <f>H1645&amp;" / "&amp;H1646</f>
        <v>2003 / 2012</v>
      </c>
      <c r="I1647" s="29" t="str">
        <f>I1646</f>
        <v>Asphalt Mix Resurfacing</v>
      </c>
      <c r="J1647" s="97">
        <f>IFERROR(J1646/J1645,"")</f>
        <v>2.25</v>
      </c>
      <c r="K1647" s="32">
        <f>K1646/K1645</f>
        <v>0.70232558139534884</v>
      </c>
      <c r="L1647" s="32">
        <f>L1646/L1645</f>
        <v>3.3642857142857143</v>
      </c>
      <c r="M1647" s="28"/>
      <c r="N1647" s="32">
        <f>N1646/N1645</f>
        <v>3.3642857142857143</v>
      </c>
      <c r="O1647" s="32">
        <f>O1646/O1645</f>
        <v>4.790208136234626</v>
      </c>
      <c r="P1647" s="33" t="str">
        <f>IF(K1647&lt;50%,"x","")</f>
        <v/>
      </c>
      <c r="Q1647" s="33" t="str">
        <f>IF(K1647&gt;150%,"x","")</f>
        <v/>
      </c>
      <c r="R1647" s="33" t="str">
        <f>IF(O1647&lt;50%,"x","")</f>
        <v/>
      </c>
      <c r="S1647" s="33" t="str">
        <f>IF(O1647&gt;150%,"x","")</f>
        <v>x</v>
      </c>
      <c r="T1647" s="33" t="s">
        <v>31</v>
      </c>
      <c r="U1647" s="34" t="s">
        <v>992</v>
      </c>
      <c r="V1647" s="35" t="s">
        <v>993</v>
      </c>
    </row>
    <row r="1648" spans="1:22" ht="16.5" thickTop="1" x14ac:dyDescent="0.25">
      <c r="A1648" s="18" t="s">
        <v>53</v>
      </c>
      <c r="B1648" s="18" t="s">
        <v>945</v>
      </c>
      <c r="C1648" s="18" t="s">
        <v>464</v>
      </c>
      <c r="D1648" s="18" t="s">
        <v>42</v>
      </c>
      <c r="E1648" s="18" t="s">
        <v>27</v>
      </c>
      <c r="F1648" s="18" t="s">
        <v>467</v>
      </c>
      <c r="G1648" s="18" t="s">
        <v>29</v>
      </c>
      <c r="H1648" s="19">
        <v>2003</v>
      </c>
      <c r="I1648" s="18" t="s">
        <v>364</v>
      </c>
      <c r="J1648" s="101">
        <v>40</v>
      </c>
      <c r="K1648" s="20">
        <v>600</v>
      </c>
      <c r="L1648" s="21">
        <v>144.93</v>
      </c>
      <c r="M1648" s="22" t="s">
        <v>30</v>
      </c>
      <c r="N1648" s="23">
        <v>144.93</v>
      </c>
      <c r="O1648" s="24">
        <v>0.24155000000000001</v>
      </c>
      <c r="P1648" s="25" t="str">
        <f>IF(P1650="x","x","")</f>
        <v>x</v>
      </c>
      <c r="Q1648" s="25" t="str">
        <f>IF(Q1650="x","x","")</f>
        <v/>
      </c>
      <c r="R1648" s="25" t="str">
        <f>IF(R1650="x","x","")</f>
        <v/>
      </c>
      <c r="S1648" s="25" t="str">
        <f>IF(S1650="x","x","")</f>
        <v>x</v>
      </c>
      <c r="T1648" s="25" t="s">
        <v>31</v>
      </c>
      <c r="U1648" s="26"/>
      <c r="V1648" s="27"/>
    </row>
    <row r="1649" spans="1:22" x14ac:dyDescent="0.25">
      <c r="A1649" s="18" t="s">
        <v>53</v>
      </c>
      <c r="B1649" s="18" t="s">
        <v>945</v>
      </c>
      <c r="C1649" s="18" t="s">
        <v>464</v>
      </c>
      <c r="D1649" s="18" t="s">
        <v>42</v>
      </c>
      <c r="E1649" s="18" t="s">
        <v>27</v>
      </c>
      <c r="F1649" s="18" t="s">
        <v>467</v>
      </c>
      <c r="G1649" s="18" t="s">
        <v>32</v>
      </c>
      <c r="H1649" s="19">
        <v>2012</v>
      </c>
      <c r="I1649" s="18" t="s">
        <v>364</v>
      </c>
      <c r="J1649" s="101">
        <v>64</v>
      </c>
      <c r="K1649" s="20">
        <v>265</v>
      </c>
      <c r="L1649" s="21">
        <v>212.74</v>
      </c>
      <c r="M1649" s="22" t="s">
        <v>30</v>
      </c>
      <c r="N1649" s="23">
        <v>212.74</v>
      </c>
      <c r="O1649" s="24">
        <v>0.80279245283018874</v>
      </c>
      <c r="P1649" s="25" t="str">
        <f>IF(P1650="x","x","")</f>
        <v>x</v>
      </c>
      <c r="Q1649" s="25" t="str">
        <f>IF(Q1650="x","x","")</f>
        <v/>
      </c>
      <c r="R1649" s="25" t="str">
        <f>IF(R1650="x","x","")</f>
        <v/>
      </c>
      <c r="S1649" s="25" t="str">
        <f>IF(S1650="x","x","")</f>
        <v>x</v>
      </c>
      <c r="T1649" s="25" t="s">
        <v>31</v>
      </c>
      <c r="U1649" s="26"/>
      <c r="V1649" s="27"/>
    </row>
    <row r="1650" spans="1:22" ht="95.25" thickBot="1" x14ac:dyDescent="0.3">
      <c r="A1650" s="28" t="str">
        <f>A1649</f>
        <v>Vietnam</v>
      </c>
      <c r="B1650" s="28" t="str">
        <f>B1649</f>
        <v>East Asia and Pacific</v>
      </c>
      <c r="C1650" s="28" t="str">
        <f>C1649</f>
        <v>P059663</v>
      </c>
      <c r="D1650" s="28" t="s">
        <v>26</v>
      </c>
      <c r="E1650" s="28" t="s">
        <v>27</v>
      </c>
      <c r="F1650" s="28" t="str">
        <f>F1649</f>
        <v>P059663C2</v>
      </c>
      <c r="G1650" s="28" t="s">
        <v>16</v>
      </c>
      <c r="H1650" s="29" t="str">
        <f>H1648&amp;" / "&amp;H1649</f>
        <v>2003 / 2012</v>
      </c>
      <c r="I1650" s="29" t="str">
        <f>I1649</f>
        <v>Widening and Reconstruction</v>
      </c>
      <c r="J1650" s="97">
        <f>IFERROR(J1649/J1648,"")</f>
        <v>1.6</v>
      </c>
      <c r="K1650" s="32">
        <f>K1649/K1648</f>
        <v>0.44166666666666665</v>
      </c>
      <c r="L1650" s="32">
        <f>L1649/L1648</f>
        <v>1.4678810460222176</v>
      </c>
      <c r="M1650" s="28"/>
      <c r="N1650" s="32">
        <f>N1649/N1648</f>
        <v>1.4678810460222176</v>
      </c>
      <c r="O1650" s="32">
        <f>O1649/O1648</f>
        <v>3.3235042551446439</v>
      </c>
      <c r="P1650" s="33" t="str">
        <f>IF(K1650&lt;50%,"x","")</f>
        <v>x</v>
      </c>
      <c r="Q1650" s="33" t="str">
        <f>IF(K1650&gt;150%,"x","")</f>
        <v/>
      </c>
      <c r="R1650" s="33" t="str">
        <f>IF(O1650&lt;50%,"x","")</f>
        <v/>
      </c>
      <c r="S1650" s="33" t="str">
        <f>IF(O1650&gt;150%,"x","")</f>
        <v>x</v>
      </c>
      <c r="T1650" s="33" t="s">
        <v>31</v>
      </c>
      <c r="U1650" s="34" t="s">
        <v>994</v>
      </c>
      <c r="V1650" s="35" t="s">
        <v>995</v>
      </c>
    </row>
    <row r="1651" spans="1:22" ht="16.5" thickTop="1" x14ac:dyDescent="0.25">
      <c r="A1651" s="18" t="s">
        <v>53</v>
      </c>
      <c r="B1651" s="18" t="s">
        <v>945</v>
      </c>
      <c r="C1651" s="18" t="s">
        <v>468</v>
      </c>
      <c r="D1651" s="18" t="s">
        <v>26</v>
      </c>
      <c r="E1651" s="18" t="s">
        <v>27</v>
      </c>
      <c r="F1651" s="18" t="s">
        <v>469</v>
      </c>
      <c r="G1651" s="18" t="s">
        <v>29</v>
      </c>
      <c r="H1651" s="19">
        <v>1999</v>
      </c>
      <c r="I1651" s="18" t="s">
        <v>122</v>
      </c>
      <c r="J1651" s="101">
        <v>60</v>
      </c>
      <c r="K1651" s="20">
        <v>10000</v>
      </c>
      <c r="L1651" s="21">
        <v>129.19999999999999</v>
      </c>
      <c r="M1651" s="22" t="s">
        <v>30</v>
      </c>
      <c r="N1651" s="23">
        <v>129.19999999999999</v>
      </c>
      <c r="O1651" s="24">
        <v>1.2919999999999999E-2</v>
      </c>
      <c r="P1651" s="25" t="str">
        <f>IF(P1653="x","x","")</f>
        <v/>
      </c>
      <c r="Q1651" s="25" t="str">
        <f>IF(Q1653="x","x","")</f>
        <v/>
      </c>
      <c r="R1651" s="25" t="str">
        <f>IF(R1653="x","x","")</f>
        <v/>
      </c>
      <c r="S1651" s="25" t="str">
        <f>IF(S1653="x","x","")</f>
        <v/>
      </c>
      <c r="T1651" s="25" t="s">
        <v>27</v>
      </c>
      <c r="U1651" s="26"/>
      <c r="V1651" s="27"/>
    </row>
    <row r="1652" spans="1:22" x14ac:dyDescent="0.25">
      <c r="A1652" s="18" t="s">
        <v>53</v>
      </c>
      <c r="B1652" s="18" t="s">
        <v>945</v>
      </c>
      <c r="C1652" s="18" t="s">
        <v>468</v>
      </c>
      <c r="D1652" s="18" t="s">
        <v>26</v>
      </c>
      <c r="E1652" s="18" t="s">
        <v>27</v>
      </c>
      <c r="F1652" s="18" t="s">
        <v>469</v>
      </c>
      <c r="G1652" s="18" t="s">
        <v>32</v>
      </c>
      <c r="H1652" s="19">
        <v>2007</v>
      </c>
      <c r="I1652" s="18" t="s">
        <v>122</v>
      </c>
      <c r="J1652" s="101">
        <v>60</v>
      </c>
      <c r="K1652" s="20">
        <v>7599</v>
      </c>
      <c r="L1652" s="21">
        <v>139.38</v>
      </c>
      <c r="M1652" s="22" t="s">
        <v>30</v>
      </c>
      <c r="N1652" s="23">
        <v>139.38</v>
      </c>
      <c r="O1652" s="24">
        <v>1.8341887090406631E-2</v>
      </c>
      <c r="P1652" s="25" t="str">
        <f>IF(P1653="x","x","")</f>
        <v/>
      </c>
      <c r="Q1652" s="25" t="str">
        <f>IF(Q1653="x","x","")</f>
        <v/>
      </c>
      <c r="R1652" s="25" t="str">
        <f>IF(R1653="x","x","")</f>
        <v/>
      </c>
      <c r="S1652" s="25" t="str">
        <f>IF(S1653="x","x","")</f>
        <v/>
      </c>
      <c r="T1652" s="25" t="s">
        <v>27</v>
      </c>
      <c r="U1652" s="26"/>
      <c r="V1652" s="27"/>
    </row>
    <row r="1653" spans="1:22" ht="16.5" thickBot="1" x14ac:dyDescent="0.3">
      <c r="A1653" s="28" t="str">
        <f>A1652</f>
        <v>Vietnam</v>
      </c>
      <c r="B1653" s="28" t="str">
        <f>B1652</f>
        <v>East Asia and Pacific</v>
      </c>
      <c r="C1653" s="28" t="str">
        <f>C1652</f>
        <v>P059864</v>
      </c>
      <c r="D1653" s="28" t="s">
        <v>26</v>
      </c>
      <c r="E1653" s="28" t="s">
        <v>27</v>
      </c>
      <c r="F1653" s="28" t="str">
        <f>F1652</f>
        <v>P059864C1</v>
      </c>
      <c r="G1653" s="28" t="s">
        <v>16</v>
      </c>
      <c r="H1653" s="29" t="str">
        <f>H1651&amp;" / "&amp;H1652</f>
        <v>1999 / 2007</v>
      </c>
      <c r="I1653" s="29" t="str">
        <f>I1652</f>
        <v>Gravel Resurfacing</v>
      </c>
      <c r="J1653" s="97">
        <f>IFERROR(J1652/J1651,"")</f>
        <v>1</v>
      </c>
      <c r="K1653" s="32">
        <f>K1652/K1651</f>
        <v>0.75990000000000002</v>
      </c>
      <c r="L1653" s="32">
        <f>L1652/L1651</f>
        <v>1.0787925696594427</v>
      </c>
      <c r="M1653" s="28"/>
      <c r="N1653" s="32">
        <f>N1652/N1651</f>
        <v>1.0787925696594427</v>
      </c>
      <c r="O1653" s="32">
        <f>O1652/O1651</f>
        <v>1.4196507035918446</v>
      </c>
      <c r="P1653" s="33" t="str">
        <f>IF(K1653&lt;50%,"x","")</f>
        <v/>
      </c>
      <c r="Q1653" s="33" t="str">
        <f>IF(K1653&gt;150%,"x","")</f>
        <v/>
      </c>
      <c r="R1653" s="33" t="str">
        <f>IF(O1653&lt;50%,"x","")</f>
        <v/>
      </c>
      <c r="S1653" s="33" t="str">
        <f>IF(O1653&gt;150%,"x","")</f>
        <v/>
      </c>
      <c r="T1653" s="33" t="s">
        <v>27</v>
      </c>
      <c r="U1653" s="34" t="s">
        <v>27</v>
      </c>
      <c r="V1653" s="35" t="s">
        <v>27</v>
      </c>
    </row>
    <row r="1654" spans="1:22" ht="16.5" thickTop="1" x14ac:dyDescent="0.25">
      <c r="A1654" s="18" t="s">
        <v>149</v>
      </c>
      <c r="B1654" s="18" t="s">
        <v>945</v>
      </c>
      <c r="C1654" s="18" t="s">
        <v>150</v>
      </c>
      <c r="D1654" s="18" t="s">
        <v>26</v>
      </c>
      <c r="E1654" s="18" t="s">
        <v>27</v>
      </c>
      <c r="F1654" s="18" t="s">
        <v>151</v>
      </c>
      <c r="G1654" s="18" t="s">
        <v>29</v>
      </c>
      <c r="H1654" s="19">
        <v>2001</v>
      </c>
      <c r="I1654" s="18" t="s">
        <v>359</v>
      </c>
      <c r="J1654" s="101" t="s">
        <v>27</v>
      </c>
      <c r="K1654" s="20">
        <v>114</v>
      </c>
      <c r="L1654" s="21">
        <v>12.24</v>
      </c>
      <c r="M1654" s="22" t="s">
        <v>30</v>
      </c>
      <c r="N1654" s="23">
        <v>12.24</v>
      </c>
      <c r="O1654" s="24">
        <v>0.10736842105263159</v>
      </c>
      <c r="P1654" s="25" t="str">
        <f>IF(P1656="x","x","")</f>
        <v/>
      </c>
      <c r="Q1654" s="25" t="str">
        <f>IF(Q1656="x","x","")</f>
        <v>x</v>
      </c>
      <c r="R1654" s="25" t="str">
        <f>IF(R1656="x","x","")</f>
        <v>x</v>
      </c>
      <c r="S1654" s="25" t="str">
        <f>IF(S1656="x","x","")</f>
        <v/>
      </c>
      <c r="T1654" s="25" t="s">
        <v>31</v>
      </c>
      <c r="U1654" s="26"/>
      <c r="V1654" s="27"/>
    </row>
    <row r="1655" spans="1:22" x14ac:dyDescent="0.25">
      <c r="A1655" s="18" t="s">
        <v>149</v>
      </c>
      <c r="B1655" s="18" t="s">
        <v>945</v>
      </c>
      <c r="C1655" s="18" t="s">
        <v>150</v>
      </c>
      <c r="D1655" s="18" t="s">
        <v>26</v>
      </c>
      <c r="E1655" s="18" t="s">
        <v>27</v>
      </c>
      <c r="F1655" s="18" t="s">
        <v>151</v>
      </c>
      <c r="G1655" s="18" t="s">
        <v>32</v>
      </c>
      <c r="H1655" s="19">
        <v>2007</v>
      </c>
      <c r="I1655" s="18" t="s">
        <v>359</v>
      </c>
      <c r="J1655" s="101" t="s">
        <v>27</v>
      </c>
      <c r="K1655" s="20">
        <v>229</v>
      </c>
      <c r="L1655" s="21">
        <v>10.55</v>
      </c>
      <c r="M1655" s="22" t="s">
        <v>30</v>
      </c>
      <c r="N1655" s="23">
        <v>10.55</v>
      </c>
      <c r="O1655" s="24">
        <v>4.6069868995633194E-2</v>
      </c>
      <c r="P1655" s="25" t="str">
        <f>IF(P1656="x","x","")</f>
        <v/>
      </c>
      <c r="Q1655" s="25" t="str">
        <f>IF(Q1656="x","x","")</f>
        <v>x</v>
      </c>
      <c r="R1655" s="25" t="str">
        <f>IF(R1656="x","x","")</f>
        <v>x</v>
      </c>
      <c r="S1655" s="25" t="str">
        <f>IF(S1656="x","x","")</f>
        <v/>
      </c>
      <c r="T1655" s="25" t="s">
        <v>31</v>
      </c>
      <c r="U1655" s="26"/>
      <c r="V1655" s="27"/>
    </row>
    <row r="1656" spans="1:22" ht="95.25" thickBot="1" x14ac:dyDescent="0.3">
      <c r="A1656" s="28" t="str">
        <f>A1655</f>
        <v>Yemen, Rep.</v>
      </c>
      <c r="B1656" s="28" t="str">
        <f>B1655</f>
        <v>East Asia and Pacific</v>
      </c>
      <c r="C1656" s="28" t="str">
        <f>C1655</f>
        <v>P070391</v>
      </c>
      <c r="D1656" s="28" t="s">
        <v>26</v>
      </c>
      <c r="E1656" s="28" t="s">
        <v>27</v>
      </c>
      <c r="F1656" s="28" t="str">
        <f>F1655</f>
        <v>P070391C1</v>
      </c>
      <c r="G1656" s="28" t="s">
        <v>16</v>
      </c>
      <c r="H1656" s="29" t="str">
        <f>H1654&amp;" / "&amp;H1655</f>
        <v>2001 / 2007</v>
      </c>
      <c r="I1656" s="29" t="str">
        <f>I1655</f>
        <v>Reconstruction</v>
      </c>
      <c r="J1656" s="97" t="str">
        <f>IFERROR(J1655/J1654,"")</f>
        <v/>
      </c>
      <c r="K1656" s="32">
        <f>K1655/K1654</f>
        <v>2.0087719298245612</v>
      </c>
      <c r="L1656" s="32">
        <f>L1655/L1654</f>
        <v>0.86192810457516345</v>
      </c>
      <c r="M1656" s="28"/>
      <c r="N1656" s="32">
        <f>N1655/N1654</f>
        <v>0.86192810457516345</v>
      </c>
      <c r="O1656" s="32">
        <f>O1655/O1654</f>
        <v>0.42908211319462286</v>
      </c>
      <c r="P1656" s="33" t="str">
        <f>IF(K1656&lt;50%,"x","")</f>
        <v/>
      </c>
      <c r="Q1656" s="33" t="str">
        <f>IF(K1656&gt;150%,"x","")</f>
        <v>x</v>
      </c>
      <c r="R1656" s="33" t="str">
        <f>IF(O1656&lt;50%,"x","")</f>
        <v>x</v>
      </c>
      <c r="S1656" s="33" t="str">
        <f>IF(O1656&gt;150%,"x","")</f>
        <v/>
      </c>
      <c r="T1656" s="33" t="s">
        <v>31</v>
      </c>
      <c r="U1656" s="34" t="s">
        <v>1134</v>
      </c>
      <c r="V1656" s="35" t="s">
        <v>1135</v>
      </c>
    </row>
    <row r="1657" spans="1:22" ht="16.5" thickTop="1" x14ac:dyDescent="0.25">
      <c r="A1657" s="18" t="s">
        <v>149</v>
      </c>
      <c r="B1657" s="18" t="s">
        <v>945</v>
      </c>
      <c r="C1657" s="18" t="s">
        <v>150</v>
      </c>
      <c r="D1657" s="18" t="s">
        <v>42</v>
      </c>
      <c r="E1657" s="18" t="s">
        <v>27</v>
      </c>
      <c r="F1657" s="18" t="s">
        <v>152</v>
      </c>
      <c r="G1657" s="18" t="s">
        <v>29</v>
      </c>
      <c r="H1657" s="19">
        <v>2001</v>
      </c>
      <c r="I1657" s="18" t="s">
        <v>387</v>
      </c>
      <c r="J1657" s="101" t="s">
        <v>27</v>
      </c>
      <c r="K1657" s="20">
        <v>244</v>
      </c>
      <c r="L1657" s="21">
        <v>31.6</v>
      </c>
      <c r="M1657" s="22" t="s">
        <v>30</v>
      </c>
      <c r="N1657" s="23">
        <v>31.6</v>
      </c>
      <c r="O1657" s="24">
        <v>0.12950819672131147</v>
      </c>
      <c r="P1657" s="25" t="str">
        <f>IF(P1659="x","x","")</f>
        <v/>
      </c>
      <c r="Q1657" s="25" t="str">
        <f>IF(Q1659="x","x","")</f>
        <v>x</v>
      </c>
      <c r="R1657" s="25" t="str">
        <f>IF(R1659="x","x","")</f>
        <v/>
      </c>
      <c r="S1657" s="25" t="str">
        <f>IF(S1659="x","x","")</f>
        <v/>
      </c>
      <c r="T1657" s="25" t="s">
        <v>31</v>
      </c>
      <c r="U1657" s="26"/>
      <c r="V1657" s="27"/>
    </row>
    <row r="1658" spans="1:22" x14ac:dyDescent="0.25">
      <c r="A1658" s="18" t="s">
        <v>149</v>
      </c>
      <c r="B1658" s="18" t="s">
        <v>945</v>
      </c>
      <c r="C1658" s="18" t="s">
        <v>150</v>
      </c>
      <c r="D1658" s="18" t="s">
        <v>42</v>
      </c>
      <c r="E1658" s="18" t="s">
        <v>27</v>
      </c>
      <c r="F1658" s="18" t="s">
        <v>152</v>
      </c>
      <c r="G1658" s="18" t="s">
        <v>32</v>
      </c>
      <c r="H1658" s="19">
        <v>2007</v>
      </c>
      <c r="I1658" s="18" t="s">
        <v>387</v>
      </c>
      <c r="J1658" s="101" t="s">
        <v>27</v>
      </c>
      <c r="K1658" s="20">
        <v>397</v>
      </c>
      <c r="L1658" s="21">
        <v>43.68</v>
      </c>
      <c r="M1658" s="22" t="s">
        <v>30</v>
      </c>
      <c r="N1658" s="23">
        <v>43.68</v>
      </c>
      <c r="O1658" s="24">
        <v>0.11002518891687657</v>
      </c>
      <c r="P1658" s="25" t="str">
        <f>IF(P1659="x","x","")</f>
        <v/>
      </c>
      <c r="Q1658" s="25" t="str">
        <f>IF(Q1659="x","x","")</f>
        <v>x</v>
      </c>
      <c r="R1658" s="25" t="str">
        <f>IF(R1659="x","x","")</f>
        <v/>
      </c>
      <c r="S1658" s="25" t="str">
        <f>IF(S1659="x","x","")</f>
        <v/>
      </c>
      <c r="T1658" s="25" t="s">
        <v>31</v>
      </c>
      <c r="U1658" s="26"/>
      <c r="V1658" s="27"/>
    </row>
    <row r="1659" spans="1:22" ht="63.75" thickBot="1" x14ac:dyDescent="0.3">
      <c r="A1659" s="28" t="str">
        <f>A1658</f>
        <v>Yemen, Rep.</v>
      </c>
      <c r="B1659" s="28" t="str">
        <f>B1658</f>
        <v>East Asia and Pacific</v>
      </c>
      <c r="C1659" s="28" t="str">
        <f>C1658</f>
        <v>P070391</v>
      </c>
      <c r="D1659" s="28" t="s">
        <v>26</v>
      </c>
      <c r="E1659" s="28" t="s">
        <v>27</v>
      </c>
      <c r="F1659" s="28" t="str">
        <f>F1658</f>
        <v>P070391C2</v>
      </c>
      <c r="G1659" s="28" t="s">
        <v>16</v>
      </c>
      <c r="H1659" s="29" t="str">
        <f>H1657&amp;" / "&amp;H1658</f>
        <v>2001 / 2007</v>
      </c>
      <c r="I1659" s="29" t="str">
        <f>I1658</f>
        <v>Upgrading</v>
      </c>
      <c r="J1659" s="97" t="str">
        <f>IFERROR(J1658/J1657,"")</f>
        <v/>
      </c>
      <c r="K1659" s="32">
        <f>K1658/K1657</f>
        <v>1.6270491803278688</v>
      </c>
      <c r="L1659" s="32">
        <f>L1658/L1657</f>
        <v>1.3822784810126583</v>
      </c>
      <c r="M1659" s="28"/>
      <c r="N1659" s="32">
        <f>N1658/N1657</f>
        <v>1.3822784810126583</v>
      </c>
      <c r="O1659" s="32">
        <f>O1658/O1657</f>
        <v>0.8495615853075279</v>
      </c>
      <c r="P1659" s="33" t="str">
        <f>IF(K1659&lt;50%,"x","")</f>
        <v/>
      </c>
      <c r="Q1659" s="33" t="str">
        <f>IF(K1659&gt;150%,"x","")</f>
        <v>x</v>
      </c>
      <c r="R1659" s="33" t="str">
        <f>IF(O1659&lt;50%,"x","")</f>
        <v/>
      </c>
      <c r="S1659" s="33" t="str">
        <f>IF(O1659&gt;150%,"x","")</f>
        <v/>
      </c>
      <c r="T1659" s="33" t="s">
        <v>31</v>
      </c>
      <c r="U1659" s="34" t="s">
        <v>1136</v>
      </c>
      <c r="V1659" s="35" t="s">
        <v>1137</v>
      </c>
    </row>
    <row r="1660" spans="1:22" ht="16.5" thickTop="1" x14ac:dyDescent="0.25">
      <c r="A1660" s="18" t="s">
        <v>670</v>
      </c>
      <c r="B1660" s="18" t="s">
        <v>947</v>
      </c>
      <c r="C1660" s="18" t="s">
        <v>671</v>
      </c>
      <c r="D1660" s="18" t="s">
        <v>26</v>
      </c>
      <c r="E1660" s="18" t="s">
        <v>36</v>
      </c>
      <c r="F1660" s="18" t="s">
        <v>672</v>
      </c>
      <c r="G1660" s="18" t="s">
        <v>29</v>
      </c>
      <c r="H1660" s="19">
        <v>2004</v>
      </c>
      <c r="I1660" s="18" t="s">
        <v>359</v>
      </c>
      <c r="J1660" s="101">
        <v>11</v>
      </c>
      <c r="K1660" s="20">
        <v>20.9</v>
      </c>
      <c r="L1660" s="21">
        <v>2.2000000000000002</v>
      </c>
      <c r="M1660" s="22" t="s">
        <v>30</v>
      </c>
      <c r="N1660" s="23">
        <v>2.2000000000000002</v>
      </c>
      <c r="O1660" s="24">
        <v>0.10526315789473686</v>
      </c>
      <c r="P1660" s="25" t="str">
        <f>IF(P1662="x","x","")</f>
        <v/>
      </c>
      <c r="Q1660" s="25" t="str">
        <f>IF(Q1662="x","x","")</f>
        <v/>
      </c>
      <c r="R1660" s="25" t="str">
        <f>IF(R1662="x","x","")</f>
        <v/>
      </c>
      <c r="S1660" s="25" t="str">
        <f>IF(S1662="x","x","")</f>
        <v>x</v>
      </c>
      <c r="T1660" s="25" t="s">
        <v>31</v>
      </c>
      <c r="U1660" s="26"/>
      <c r="V1660" s="27"/>
    </row>
    <row r="1661" spans="1:22" x14ac:dyDescent="0.25">
      <c r="A1661" s="18" t="s">
        <v>670</v>
      </c>
      <c r="B1661" s="18" t="s">
        <v>947</v>
      </c>
      <c r="C1661" s="18" t="s">
        <v>671</v>
      </c>
      <c r="D1661" s="18" t="s">
        <v>26</v>
      </c>
      <c r="E1661" s="18" t="s">
        <v>36</v>
      </c>
      <c r="F1661" s="18" t="s">
        <v>672</v>
      </c>
      <c r="G1661" s="18" t="s">
        <v>32</v>
      </c>
      <c r="H1661" s="19">
        <v>2013</v>
      </c>
      <c r="I1661" s="18" t="s">
        <v>359</v>
      </c>
      <c r="J1661" s="101" t="s">
        <v>27</v>
      </c>
      <c r="K1661" s="20">
        <v>20.9</v>
      </c>
      <c r="L1661" s="21">
        <v>4.17</v>
      </c>
      <c r="M1661" s="22" t="s">
        <v>30</v>
      </c>
      <c r="N1661" s="23">
        <v>4.17</v>
      </c>
      <c r="O1661" s="24">
        <v>0.19952153110047849</v>
      </c>
      <c r="P1661" s="25" t="str">
        <f>IF(P1662="x","x","")</f>
        <v/>
      </c>
      <c r="Q1661" s="25" t="str">
        <f>IF(Q1662="x","x","")</f>
        <v/>
      </c>
      <c r="R1661" s="25" t="str">
        <f>IF(R1662="x","x","")</f>
        <v/>
      </c>
      <c r="S1661" s="25" t="str">
        <f>IF(S1662="x","x","")</f>
        <v>x</v>
      </c>
      <c r="T1661" s="25" t="s">
        <v>31</v>
      </c>
      <c r="U1661" s="26"/>
      <c r="V1661" s="27"/>
    </row>
    <row r="1662" spans="1:22" ht="63.75" thickBot="1" x14ac:dyDescent="0.3">
      <c r="A1662" s="28" t="str">
        <f>A1661</f>
        <v>Yugoslavia, FR (Serbia/Montenegro)</v>
      </c>
      <c r="B1662" s="28" t="str">
        <f>B1661</f>
        <v>Europe and Central Asia</v>
      </c>
      <c r="C1662" s="28" t="str">
        <f>C1661</f>
        <v>P075207</v>
      </c>
      <c r="D1662" s="28" t="s">
        <v>26</v>
      </c>
      <c r="E1662" s="28" t="s">
        <v>27</v>
      </c>
      <c r="F1662" s="28" t="str">
        <f>F1661</f>
        <v>P075207C1S1</v>
      </c>
      <c r="G1662" s="28" t="s">
        <v>16</v>
      </c>
      <c r="H1662" s="29" t="str">
        <f>H1660&amp;" / "&amp;H1661</f>
        <v>2004 / 2013</v>
      </c>
      <c r="I1662" s="29" t="str">
        <f>I1661</f>
        <v>Reconstruction</v>
      </c>
      <c r="J1662" s="97" t="str">
        <f>IFERROR(J1661/J1660,"")</f>
        <v/>
      </c>
      <c r="K1662" s="32">
        <f>K1661/K1660</f>
        <v>1</v>
      </c>
      <c r="L1662" s="32">
        <f>L1661/L1660</f>
        <v>1.8954545454545453</v>
      </c>
      <c r="M1662" s="28"/>
      <c r="N1662" s="32">
        <f>N1661/N1660</f>
        <v>1.8954545454545453</v>
      </c>
      <c r="O1662" s="32">
        <f>O1661/O1660</f>
        <v>1.8954545454545453</v>
      </c>
      <c r="P1662" s="33" t="str">
        <f>IF(K1662&lt;50%,"x","")</f>
        <v/>
      </c>
      <c r="Q1662" s="33" t="str">
        <f>IF(K1662&gt;150%,"x","")</f>
        <v/>
      </c>
      <c r="R1662" s="33" t="str">
        <f>IF(O1662&lt;50%,"x","")</f>
        <v/>
      </c>
      <c r="S1662" s="33" t="str">
        <f>IF(O1662&gt;150%,"x","")</f>
        <v>x</v>
      </c>
      <c r="T1662" s="33" t="s">
        <v>31</v>
      </c>
      <c r="U1662" s="34" t="s">
        <v>980</v>
      </c>
      <c r="V1662" s="35" t="s">
        <v>1043</v>
      </c>
    </row>
    <row r="1663" spans="1:22" ht="16.5" thickTop="1" x14ac:dyDescent="0.25">
      <c r="A1663" s="18" t="s">
        <v>670</v>
      </c>
      <c r="B1663" s="18" t="s">
        <v>947</v>
      </c>
      <c r="C1663" s="18" t="s">
        <v>671</v>
      </c>
      <c r="D1663" s="18" t="s">
        <v>26</v>
      </c>
      <c r="E1663" s="18" t="s">
        <v>40</v>
      </c>
      <c r="F1663" s="18" t="s">
        <v>673</v>
      </c>
      <c r="G1663" s="18" t="s">
        <v>29</v>
      </c>
      <c r="H1663" s="19">
        <v>2004</v>
      </c>
      <c r="I1663" s="18" t="s">
        <v>359</v>
      </c>
      <c r="J1663" s="101">
        <v>11</v>
      </c>
      <c r="K1663" s="20">
        <v>18.8</v>
      </c>
      <c r="L1663" s="21">
        <v>1.9</v>
      </c>
      <c r="M1663" s="22" t="s">
        <v>30</v>
      </c>
      <c r="N1663" s="23">
        <v>1.9</v>
      </c>
      <c r="O1663" s="24">
        <v>0.10106382978723404</v>
      </c>
      <c r="P1663" s="25" t="str">
        <f>IF(P1665="x","x","")</f>
        <v/>
      </c>
      <c r="Q1663" s="25" t="str">
        <f>IF(Q1665="x","x","")</f>
        <v/>
      </c>
      <c r="R1663" s="25" t="str">
        <f>IF(R1665="x","x","")</f>
        <v/>
      </c>
      <c r="S1663" s="25" t="str">
        <f>IF(S1665="x","x","")</f>
        <v>x</v>
      </c>
      <c r="T1663" s="25" t="s">
        <v>31</v>
      </c>
      <c r="U1663" s="26"/>
      <c r="V1663" s="27"/>
    </row>
    <row r="1664" spans="1:22" x14ac:dyDescent="0.25">
      <c r="A1664" s="18" t="s">
        <v>670</v>
      </c>
      <c r="B1664" s="18" t="s">
        <v>947</v>
      </c>
      <c r="C1664" s="18" t="s">
        <v>671</v>
      </c>
      <c r="D1664" s="18" t="s">
        <v>26</v>
      </c>
      <c r="E1664" s="18" t="s">
        <v>40</v>
      </c>
      <c r="F1664" s="18" t="s">
        <v>673</v>
      </c>
      <c r="G1664" s="18" t="s">
        <v>32</v>
      </c>
      <c r="H1664" s="19">
        <v>2013</v>
      </c>
      <c r="I1664" s="18" t="s">
        <v>359</v>
      </c>
      <c r="J1664" s="101" t="s">
        <v>27</v>
      </c>
      <c r="K1664" s="20">
        <v>18.8</v>
      </c>
      <c r="L1664" s="21">
        <v>3.43</v>
      </c>
      <c r="M1664" s="22" t="s">
        <v>30</v>
      </c>
      <c r="N1664" s="23">
        <v>3.43</v>
      </c>
      <c r="O1664" s="24">
        <v>0.1824468085106383</v>
      </c>
      <c r="P1664" s="25" t="str">
        <f>IF(P1665="x","x","")</f>
        <v/>
      </c>
      <c r="Q1664" s="25" t="str">
        <f>IF(Q1665="x","x","")</f>
        <v/>
      </c>
      <c r="R1664" s="25" t="str">
        <f>IF(R1665="x","x","")</f>
        <v/>
      </c>
      <c r="S1664" s="25" t="str">
        <f>IF(S1665="x","x","")</f>
        <v>x</v>
      </c>
      <c r="T1664" s="25" t="s">
        <v>31</v>
      </c>
      <c r="U1664" s="26"/>
      <c r="V1664" s="27"/>
    </row>
    <row r="1665" spans="1:22" ht="63.75" thickBot="1" x14ac:dyDescent="0.3">
      <c r="A1665" s="28" t="str">
        <f>A1664</f>
        <v>Yugoslavia, FR (Serbia/Montenegro)</v>
      </c>
      <c r="B1665" s="28" t="str">
        <f>B1664</f>
        <v>Europe and Central Asia</v>
      </c>
      <c r="C1665" s="28" t="str">
        <f>C1664</f>
        <v>P075207</v>
      </c>
      <c r="D1665" s="28" t="s">
        <v>26</v>
      </c>
      <c r="E1665" s="28" t="s">
        <v>27</v>
      </c>
      <c r="F1665" s="28" t="str">
        <f>F1664</f>
        <v>P075207C1S2</v>
      </c>
      <c r="G1665" s="28" t="s">
        <v>16</v>
      </c>
      <c r="H1665" s="29" t="str">
        <f>H1663&amp;" / "&amp;H1664</f>
        <v>2004 / 2013</v>
      </c>
      <c r="I1665" s="29" t="str">
        <f>I1664</f>
        <v>Reconstruction</v>
      </c>
      <c r="J1665" s="97" t="str">
        <f>IFERROR(J1664/J1663,"")</f>
        <v/>
      </c>
      <c r="K1665" s="32">
        <f>K1664/K1663</f>
        <v>1</v>
      </c>
      <c r="L1665" s="32">
        <f>L1664/L1663</f>
        <v>1.8052631578947369</v>
      </c>
      <c r="M1665" s="28"/>
      <c r="N1665" s="32">
        <f>N1664/N1663</f>
        <v>1.8052631578947369</v>
      </c>
      <c r="O1665" s="32">
        <f>O1664/O1663</f>
        <v>1.8052631578947369</v>
      </c>
      <c r="P1665" s="33" t="str">
        <f>IF(K1665&lt;50%,"x","")</f>
        <v/>
      </c>
      <c r="Q1665" s="33" t="str">
        <f>IF(K1665&gt;150%,"x","")</f>
        <v/>
      </c>
      <c r="R1665" s="33" t="str">
        <f>IF(O1665&lt;50%,"x","")</f>
        <v/>
      </c>
      <c r="S1665" s="33" t="str">
        <f>IF(O1665&gt;150%,"x","")</f>
        <v>x</v>
      </c>
      <c r="T1665" s="33" t="s">
        <v>31</v>
      </c>
      <c r="U1665" s="34" t="s">
        <v>980</v>
      </c>
      <c r="V1665" s="35" t="s">
        <v>1043</v>
      </c>
    </row>
    <row r="1666" spans="1:22" ht="16.5" thickTop="1" x14ac:dyDescent="0.25">
      <c r="A1666" s="18" t="s">
        <v>670</v>
      </c>
      <c r="B1666" s="18" t="s">
        <v>947</v>
      </c>
      <c r="C1666" s="18" t="s">
        <v>671</v>
      </c>
      <c r="D1666" s="18" t="s">
        <v>26</v>
      </c>
      <c r="E1666" s="18" t="s">
        <v>69</v>
      </c>
      <c r="F1666" s="18" t="s">
        <v>674</v>
      </c>
      <c r="G1666" s="18" t="s">
        <v>29</v>
      </c>
      <c r="H1666" s="19">
        <v>2004</v>
      </c>
      <c r="I1666" s="18" t="s">
        <v>359</v>
      </c>
      <c r="J1666" s="101">
        <v>11</v>
      </c>
      <c r="K1666" s="20">
        <v>10.3</v>
      </c>
      <c r="L1666" s="21">
        <v>2.6</v>
      </c>
      <c r="M1666" s="22" t="s">
        <v>30</v>
      </c>
      <c r="N1666" s="23">
        <v>2.6</v>
      </c>
      <c r="O1666" s="24">
        <v>0.25242718446601942</v>
      </c>
      <c r="P1666" s="25" t="str">
        <f>IF(P1668="x","x","")</f>
        <v/>
      </c>
      <c r="Q1666" s="25" t="str">
        <f>IF(Q1668="x","x","")</f>
        <v/>
      </c>
      <c r="R1666" s="25" t="str">
        <f>IF(R1668="x","x","")</f>
        <v/>
      </c>
      <c r="S1666" s="25" t="str">
        <f>IF(S1668="x","x","")</f>
        <v/>
      </c>
      <c r="T1666" s="25" t="s">
        <v>27</v>
      </c>
      <c r="U1666" s="26"/>
      <c r="V1666" s="27"/>
    </row>
    <row r="1667" spans="1:22" x14ac:dyDescent="0.25">
      <c r="A1667" s="18" t="s">
        <v>670</v>
      </c>
      <c r="B1667" s="18" t="s">
        <v>947</v>
      </c>
      <c r="C1667" s="18" t="s">
        <v>671</v>
      </c>
      <c r="D1667" s="18" t="s">
        <v>26</v>
      </c>
      <c r="E1667" s="18" t="s">
        <v>69</v>
      </c>
      <c r="F1667" s="18" t="s">
        <v>674</v>
      </c>
      <c r="G1667" s="18" t="s">
        <v>32</v>
      </c>
      <c r="H1667" s="19">
        <v>2013</v>
      </c>
      <c r="I1667" s="18" t="s">
        <v>359</v>
      </c>
      <c r="J1667" s="101" t="s">
        <v>27</v>
      </c>
      <c r="K1667" s="20">
        <v>10.3</v>
      </c>
      <c r="L1667" s="21">
        <v>3.72</v>
      </c>
      <c r="M1667" s="22" t="s">
        <v>30</v>
      </c>
      <c r="N1667" s="23">
        <v>3.72</v>
      </c>
      <c r="O1667" s="24">
        <v>0.3611650485436893</v>
      </c>
      <c r="P1667" s="25" t="str">
        <f>IF(P1668="x","x","")</f>
        <v/>
      </c>
      <c r="Q1667" s="25" t="str">
        <f>IF(Q1668="x","x","")</f>
        <v/>
      </c>
      <c r="R1667" s="25" t="str">
        <f>IF(R1668="x","x","")</f>
        <v/>
      </c>
      <c r="S1667" s="25" t="str">
        <f>IF(S1668="x","x","")</f>
        <v/>
      </c>
      <c r="T1667" s="25" t="s">
        <v>27</v>
      </c>
      <c r="U1667" s="26"/>
      <c r="V1667" s="27"/>
    </row>
    <row r="1668" spans="1:22" ht="16.5" thickBot="1" x14ac:dyDescent="0.3">
      <c r="A1668" s="28" t="str">
        <f>A1667</f>
        <v>Yugoslavia, FR (Serbia/Montenegro)</v>
      </c>
      <c r="B1668" s="28" t="str">
        <f>B1667</f>
        <v>Europe and Central Asia</v>
      </c>
      <c r="C1668" s="28" t="str">
        <f>C1667</f>
        <v>P075207</v>
      </c>
      <c r="D1668" s="28" t="s">
        <v>26</v>
      </c>
      <c r="E1668" s="28" t="s">
        <v>27</v>
      </c>
      <c r="F1668" s="28" t="str">
        <f>F1667</f>
        <v>P075207C1S3</v>
      </c>
      <c r="G1668" s="28" t="s">
        <v>16</v>
      </c>
      <c r="H1668" s="29" t="str">
        <f>H1666&amp;" / "&amp;H1667</f>
        <v>2004 / 2013</v>
      </c>
      <c r="I1668" s="29" t="str">
        <f>I1667</f>
        <v>Reconstruction</v>
      </c>
      <c r="J1668" s="97" t="str">
        <f>IFERROR(J1667/J1666,"")</f>
        <v/>
      </c>
      <c r="K1668" s="32">
        <f>K1667/K1666</f>
        <v>1</v>
      </c>
      <c r="L1668" s="32">
        <f>L1667/L1666</f>
        <v>1.4307692307692308</v>
      </c>
      <c r="M1668" s="28"/>
      <c r="N1668" s="32">
        <f>N1667/N1666</f>
        <v>1.4307692307692308</v>
      </c>
      <c r="O1668" s="32">
        <f>O1667/O1666</f>
        <v>1.4307692307692308</v>
      </c>
      <c r="P1668" s="33" t="str">
        <f>IF(K1668&lt;50%,"x","")</f>
        <v/>
      </c>
      <c r="Q1668" s="33" t="str">
        <f>IF(K1668&gt;150%,"x","")</f>
        <v/>
      </c>
      <c r="R1668" s="33" t="str">
        <f>IF(O1668&lt;50%,"x","")</f>
        <v/>
      </c>
      <c r="S1668" s="33" t="str">
        <f>IF(O1668&gt;150%,"x","")</f>
        <v/>
      </c>
      <c r="T1668" s="33" t="s">
        <v>27</v>
      </c>
      <c r="U1668" s="34" t="s">
        <v>27</v>
      </c>
      <c r="V1668" s="35" t="s">
        <v>27</v>
      </c>
    </row>
    <row r="1669" spans="1:22" ht="16.5" thickTop="1" x14ac:dyDescent="0.25">
      <c r="A1669" s="18" t="s">
        <v>670</v>
      </c>
      <c r="B1669" s="18" t="s">
        <v>947</v>
      </c>
      <c r="C1669" s="18" t="s">
        <v>671</v>
      </c>
      <c r="D1669" s="18" t="s">
        <v>26</v>
      </c>
      <c r="E1669" s="18" t="s">
        <v>71</v>
      </c>
      <c r="F1669" s="18" t="s">
        <v>675</v>
      </c>
      <c r="G1669" s="18" t="s">
        <v>29</v>
      </c>
      <c r="H1669" s="19">
        <v>2004</v>
      </c>
      <c r="I1669" s="18" t="s">
        <v>359</v>
      </c>
      <c r="J1669" s="101">
        <v>18</v>
      </c>
      <c r="K1669" s="20">
        <v>33.9</v>
      </c>
      <c r="L1669" s="21">
        <v>6</v>
      </c>
      <c r="M1669" s="22" t="s">
        <v>30</v>
      </c>
      <c r="N1669" s="23">
        <v>6</v>
      </c>
      <c r="O1669" s="24">
        <v>0.17699115044247787</v>
      </c>
      <c r="P1669" s="25" t="str">
        <f>IF(P1671="x","x","")</f>
        <v/>
      </c>
      <c r="Q1669" s="25" t="str">
        <f>IF(Q1671="x","x","")</f>
        <v/>
      </c>
      <c r="R1669" s="25" t="str">
        <f>IF(R1671="x","x","")</f>
        <v/>
      </c>
      <c r="S1669" s="25" t="str">
        <f>IF(S1671="x","x","")</f>
        <v/>
      </c>
      <c r="T1669" s="25" t="s">
        <v>27</v>
      </c>
      <c r="U1669" s="26"/>
      <c r="V1669" s="27"/>
    </row>
    <row r="1670" spans="1:22" x14ac:dyDescent="0.25">
      <c r="A1670" s="18" t="s">
        <v>670</v>
      </c>
      <c r="B1670" s="18" t="s">
        <v>947</v>
      </c>
      <c r="C1670" s="18" t="s">
        <v>671</v>
      </c>
      <c r="D1670" s="18" t="s">
        <v>26</v>
      </c>
      <c r="E1670" s="18" t="s">
        <v>71</v>
      </c>
      <c r="F1670" s="18" t="s">
        <v>675</v>
      </c>
      <c r="G1670" s="18" t="s">
        <v>32</v>
      </c>
      <c r="H1670" s="19">
        <v>2013</v>
      </c>
      <c r="I1670" s="18" t="s">
        <v>359</v>
      </c>
      <c r="J1670" s="101" t="s">
        <v>27</v>
      </c>
      <c r="K1670" s="20">
        <v>33.9</v>
      </c>
      <c r="L1670" s="21">
        <v>4.5</v>
      </c>
      <c r="M1670" s="22" t="s">
        <v>30</v>
      </c>
      <c r="N1670" s="23">
        <v>4.5</v>
      </c>
      <c r="O1670" s="24">
        <v>0.13274336283185842</v>
      </c>
      <c r="P1670" s="25" t="str">
        <f>IF(P1671="x","x","")</f>
        <v/>
      </c>
      <c r="Q1670" s="25" t="str">
        <f>IF(Q1671="x","x","")</f>
        <v/>
      </c>
      <c r="R1670" s="25" t="str">
        <f>IF(R1671="x","x","")</f>
        <v/>
      </c>
      <c r="S1670" s="25" t="str">
        <f>IF(S1671="x","x","")</f>
        <v/>
      </c>
      <c r="T1670" s="25" t="s">
        <v>27</v>
      </c>
      <c r="U1670" s="26"/>
      <c r="V1670" s="27"/>
    </row>
    <row r="1671" spans="1:22" ht="16.5" thickBot="1" x14ac:dyDescent="0.3">
      <c r="A1671" s="28" t="str">
        <f>A1670</f>
        <v>Yugoslavia, FR (Serbia/Montenegro)</v>
      </c>
      <c r="B1671" s="28" t="str">
        <f>B1670</f>
        <v>Europe and Central Asia</v>
      </c>
      <c r="C1671" s="28" t="str">
        <f>C1670</f>
        <v>P075207</v>
      </c>
      <c r="D1671" s="28" t="s">
        <v>26</v>
      </c>
      <c r="E1671" s="28" t="s">
        <v>27</v>
      </c>
      <c r="F1671" s="28" t="str">
        <f>F1670</f>
        <v>P075207C1S4</v>
      </c>
      <c r="G1671" s="28" t="s">
        <v>16</v>
      </c>
      <c r="H1671" s="29" t="str">
        <f>H1669&amp;" / "&amp;H1670</f>
        <v>2004 / 2013</v>
      </c>
      <c r="I1671" s="29" t="str">
        <f>I1670</f>
        <v>Reconstruction</v>
      </c>
      <c r="J1671" s="97" t="str">
        <f>IFERROR(J1670/J1669,"")</f>
        <v/>
      </c>
      <c r="K1671" s="32">
        <f>K1670/K1669</f>
        <v>1</v>
      </c>
      <c r="L1671" s="32">
        <f>L1670/L1669</f>
        <v>0.75</v>
      </c>
      <c r="M1671" s="28"/>
      <c r="N1671" s="32">
        <f>N1670/N1669</f>
        <v>0.75</v>
      </c>
      <c r="O1671" s="32">
        <f>O1670/O1669</f>
        <v>0.75000000000000011</v>
      </c>
      <c r="P1671" s="33" t="str">
        <f>IF(K1671&lt;50%,"x","")</f>
        <v/>
      </c>
      <c r="Q1671" s="33" t="str">
        <f>IF(K1671&gt;150%,"x","")</f>
        <v/>
      </c>
      <c r="R1671" s="33" t="str">
        <f>IF(O1671&lt;50%,"x","")</f>
        <v/>
      </c>
      <c r="S1671" s="33" t="str">
        <f>IF(O1671&gt;150%,"x","")</f>
        <v/>
      </c>
      <c r="T1671" s="33" t="s">
        <v>27</v>
      </c>
      <c r="U1671" s="34" t="s">
        <v>27</v>
      </c>
      <c r="V1671" s="35" t="s">
        <v>27</v>
      </c>
    </row>
    <row r="1672" spans="1:22" ht="16.5" thickTop="1" x14ac:dyDescent="0.25">
      <c r="A1672" s="18" t="s">
        <v>641</v>
      </c>
      <c r="B1672" s="18" t="s">
        <v>950</v>
      </c>
      <c r="C1672" s="18" t="s">
        <v>642</v>
      </c>
      <c r="D1672" s="18" t="s">
        <v>26</v>
      </c>
      <c r="E1672" s="18" t="s">
        <v>36</v>
      </c>
      <c r="F1672" s="18" t="s">
        <v>643</v>
      </c>
      <c r="G1672" s="18" t="s">
        <v>29</v>
      </c>
      <c r="H1672" s="19">
        <v>2004</v>
      </c>
      <c r="I1672" s="18" t="s">
        <v>68</v>
      </c>
      <c r="J1672" s="101">
        <v>37</v>
      </c>
      <c r="K1672" s="20">
        <v>40</v>
      </c>
      <c r="L1672" s="21">
        <v>12.1</v>
      </c>
      <c r="M1672" s="22" t="s">
        <v>30</v>
      </c>
      <c r="N1672" s="23">
        <v>12.1</v>
      </c>
      <c r="O1672" s="24">
        <v>0.30249999999999999</v>
      </c>
      <c r="P1672" s="25" t="str">
        <f>IF(P1674="x","x","")</f>
        <v/>
      </c>
      <c r="Q1672" s="25" t="str">
        <f>IF(Q1674="x","x","")</f>
        <v/>
      </c>
      <c r="R1672" s="25" t="str">
        <f>IF(R1674="x","x","")</f>
        <v/>
      </c>
      <c r="S1672" s="25" t="str">
        <f>IF(S1674="x","x","")</f>
        <v/>
      </c>
      <c r="T1672" s="25" t="s">
        <v>27</v>
      </c>
      <c r="U1672" s="26"/>
      <c r="V1672" s="27"/>
    </row>
    <row r="1673" spans="1:22" x14ac:dyDescent="0.25">
      <c r="A1673" s="18" t="s">
        <v>641</v>
      </c>
      <c r="B1673" s="18" t="s">
        <v>950</v>
      </c>
      <c r="C1673" s="18" t="s">
        <v>642</v>
      </c>
      <c r="D1673" s="18" t="s">
        <v>26</v>
      </c>
      <c r="E1673" s="18" t="s">
        <v>36</v>
      </c>
      <c r="F1673" s="18" t="s">
        <v>643</v>
      </c>
      <c r="G1673" s="18" t="s">
        <v>32</v>
      </c>
      <c r="H1673" s="19">
        <v>2015</v>
      </c>
      <c r="I1673" s="18" t="s">
        <v>68</v>
      </c>
      <c r="J1673" s="101">
        <v>33</v>
      </c>
      <c r="K1673" s="20">
        <v>40</v>
      </c>
      <c r="L1673" s="21">
        <v>10.29</v>
      </c>
      <c r="M1673" s="22" t="s">
        <v>30</v>
      </c>
      <c r="N1673" s="23">
        <v>10.29</v>
      </c>
      <c r="O1673" s="24">
        <v>0.25724999999999998</v>
      </c>
      <c r="P1673" s="25" t="str">
        <f>IF(P1674="x","x","")</f>
        <v/>
      </c>
      <c r="Q1673" s="25" t="str">
        <f>IF(Q1674="x","x","")</f>
        <v/>
      </c>
      <c r="R1673" s="25" t="str">
        <f>IF(R1674="x","x","")</f>
        <v/>
      </c>
      <c r="S1673" s="25" t="str">
        <f>IF(S1674="x","x","")</f>
        <v/>
      </c>
      <c r="T1673" s="25" t="s">
        <v>27</v>
      </c>
      <c r="U1673" s="26"/>
      <c r="V1673" s="27"/>
    </row>
    <row r="1674" spans="1:22" ht="16.5" thickBot="1" x14ac:dyDescent="0.3">
      <c r="A1674" s="28" t="str">
        <f>A1673</f>
        <v>Zambia</v>
      </c>
      <c r="B1674" s="28" t="str">
        <f>B1673</f>
        <v>Sub-Saharan Africa</v>
      </c>
      <c r="C1674" s="28" t="str">
        <f>C1673</f>
        <v>P071985</v>
      </c>
      <c r="D1674" s="28" t="s">
        <v>26</v>
      </c>
      <c r="E1674" s="28" t="s">
        <v>27</v>
      </c>
      <c r="F1674" s="28" t="str">
        <f>F1673</f>
        <v>P071985C1S1</v>
      </c>
      <c r="G1674" s="28" t="s">
        <v>16</v>
      </c>
      <c r="H1674" s="29" t="str">
        <f>H1672&amp;" / "&amp;H1673</f>
        <v>2004 / 2015</v>
      </c>
      <c r="I1674" s="29" t="str">
        <f>I1673</f>
        <v>Asphalt Mix Resurfacing</v>
      </c>
      <c r="J1674" s="97">
        <f>IFERROR(J1673/J1672,"")</f>
        <v>0.89189189189189189</v>
      </c>
      <c r="K1674" s="32">
        <f>K1673/K1672</f>
        <v>1</v>
      </c>
      <c r="L1674" s="32">
        <f>L1673/L1672</f>
        <v>0.85041322314049583</v>
      </c>
      <c r="M1674" s="28"/>
      <c r="N1674" s="32">
        <f>N1673/N1672</f>
        <v>0.85041322314049583</v>
      </c>
      <c r="O1674" s="32">
        <f>O1673/O1672</f>
        <v>0.85041322314049583</v>
      </c>
      <c r="P1674" s="33" t="str">
        <f>IF(K1674&lt;50%,"x","")</f>
        <v/>
      </c>
      <c r="Q1674" s="33" t="str">
        <f>IF(K1674&gt;150%,"x","")</f>
        <v/>
      </c>
      <c r="R1674" s="33" t="str">
        <f>IF(O1674&lt;50%,"x","")</f>
        <v/>
      </c>
      <c r="S1674" s="33" t="str">
        <f>IF(O1674&gt;150%,"x","")</f>
        <v/>
      </c>
      <c r="T1674" s="33" t="s">
        <v>27</v>
      </c>
      <c r="U1674" s="34" t="s">
        <v>27</v>
      </c>
      <c r="V1674" s="35" t="s">
        <v>27</v>
      </c>
    </row>
    <row r="1675" spans="1:22" ht="16.5" thickTop="1" x14ac:dyDescent="0.25">
      <c r="A1675" s="18" t="s">
        <v>641</v>
      </c>
      <c r="B1675" s="18" t="s">
        <v>950</v>
      </c>
      <c r="C1675" s="18" t="s">
        <v>642</v>
      </c>
      <c r="D1675" s="18" t="s">
        <v>26</v>
      </c>
      <c r="E1675" s="18" t="s">
        <v>40</v>
      </c>
      <c r="F1675" s="18" t="s">
        <v>645</v>
      </c>
      <c r="G1675" s="18" t="s">
        <v>29</v>
      </c>
      <c r="H1675" s="19">
        <v>2004</v>
      </c>
      <c r="I1675" s="18" t="s">
        <v>68</v>
      </c>
      <c r="J1675" s="101">
        <v>18</v>
      </c>
      <c r="K1675" s="20">
        <v>45</v>
      </c>
      <c r="L1675" s="21">
        <v>9.1</v>
      </c>
      <c r="M1675" s="22" t="s">
        <v>30</v>
      </c>
      <c r="N1675" s="23">
        <v>9.1</v>
      </c>
      <c r="O1675" s="24">
        <v>0.20222222222222222</v>
      </c>
      <c r="P1675" s="25" t="str">
        <f>IF(P1677="x","x","")</f>
        <v/>
      </c>
      <c r="Q1675" s="25" t="str">
        <f>IF(Q1677="x","x","")</f>
        <v/>
      </c>
      <c r="R1675" s="25" t="str">
        <f>IF(R1677="x","x","")</f>
        <v/>
      </c>
      <c r="S1675" s="25" t="str">
        <f>IF(S1677="x","x","")</f>
        <v/>
      </c>
      <c r="T1675" s="25" t="s">
        <v>27</v>
      </c>
      <c r="U1675" s="26"/>
      <c r="V1675" s="27"/>
    </row>
    <row r="1676" spans="1:22" x14ac:dyDescent="0.25">
      <c r="A1676" s="18" t="s">
        <v>641</v>
      </c>
      <c r="B1676" s="18" t="s">
        <v>950</v>
      </c>
      <c r="C1676" s="18" t="s">
        <v>642</v>
      </c>
      <c r="D1676" s="18" t="s">
        <v>26</v>
      </c>
      <c r="E1676" s="18" t="s">
        <v>40</v>
      </c>
      <c r="F1676" s="18" t="s">
        <v>645</v>
      </c>
      <c r="G1676" s="18" t="s">
        <v>32</v>
      </c>
      <c r="H1676" s="19">
        <v>2015</v>
      </c>
      <c r="I1676" s="18" t="s">
        <v>68</v>
      </c>
      <c r="J1676" s="101">
        <v>18</v>
      </c>
      <c r="K1676" s="20">
        <v>45</v>
      </c>
      <c r="L1676" s="21">
        <v>7.3</v>
      </c>
      <c r="M1676" s="22" t="s">
        <v>30</v>
      </c>
      <c r="N1676" s="23">
        <v>7.3</v>
      </c>
      <c r="O1676" s="24">
        <v>0.16222222222222221</v>
      </c>
      <c r="P1676" s="25" t="str">
        <f>IF(P1677="x","x","")</f>
        <v/>
      </c>
      <c r="Q1676" s="25" t="str">
        <f>IF(Q1677="x","x","")</f>
        <v/>
      </c>
      <c r="R1676" s="25" t="str">
        <f>IF(R1677="x","x","")</f>
        <v/>
      </c>
      <c r="S1676" s="25" t="str">
        <f>IF(S1677="x","x","")</f>
        <v/>
      </c>
      <c r="T1676" s="25" t="s">
        <v>27</v>
      </c>
      <c r="U1676" s="26"/>
      <c r="V1676" s="27"/>
    </row>
    <row r="1677" spans="1:22" ht="16.5" thickBot="1" x14ac:dyDescent="0.3">
      <c r="A1677" s="28" t="str">
        <f>A1676</f>
        <v>Zambia</v>
      </c>
      <c r="B1677" s="28" t="str">
        <f>B1676</f>
        <v>Sub-Saharan Africa</v>
      </c>
      <c r="C1677" s="28" t="str">
        <f>C1676</f>
        <v>P071985</v>
      </c>
      <c r="D1677" s="28" t="s">
        <v>26</v>
      </c>
      <c r="E1677" s="28" t="s">
        <v>27</v>
      </c>
      <c r="F1677" s="28" t="str">
        <f>F1676</f>
        <v>P071985C1S2</v>
      </c>
      <c r="G1677" s="28" t="s">
        <v>16</v>
      </c>
      <c r="H1677" s="29" t="str">
        <f>H1675&amp;" / "&amp;H1676</f>
        <v>2004 / 2015</v>
      </c>
      <c r="I1677" s="29" t="str">
        <f>I1676</f>
        <v>Asphalt Mix Resurfacing</v>
      </c>
      <c r="J1677" s="97">
        <f>IFERROR(J1676/J1675,"")</f>
        <v>1</v>
      </c>
      <c r="K1677" s="32">
        <f>K1676/K1675</f>
        <v>1</v>
      </c>
      <c r="L1677" s="32">
        <f>L1676/L1675</f>
        <v>0.80219780219780223</v>
      </c>
      <c r="M1677" s="28"/>
      <c r="N1677" s="32">
        <f>N1676/N1675</f>
        <v>0.80219780219780223</v>
      </c>
      <c r="O1677" s="32">
        <f>O1676/O1675</f>
        <v>0.80219780219780212</v>
      </c>
      <c r="P1677" s="33" t="str">
        <f>IF(K1677&lt;50%,"x","")</f>
        <v/>
      </c>
      <c r="Q1677" s="33" t="str">
        <f>IF(K1677&gt;150%,"x","")</f>
        <v/>
      </c>
      <c r="R1677" s="33" t="str">
        <f>IF(O1677&lt;50%,"x","")</f>
        <v/>
      </c>
      <c r="S1677" s="33" t="str">
        <f>IF(O1677&gt;150%,"x","")</f>
        <v/>
      </c>
      <c r="T1677" s="33" t="s">
        <v>27</v>
      </c>
      <c r="U1677" s="34" t="s">
        <v>27</v>
      </c>
      <c r="V1677" s="35" t="s">
        <v>27</v>
      </c>
    </row>
    <row r="1678" spans="1:22" ht="16.5" thickTop="1" x14ac:dyDescent="0.25">
      <c r="A1678" s="18" t="s">
        <v>641</v>
      </c>
      <c r="B1678" s="18" t="s">
        <v>950</v>
      </c>
      <c r="C1678" s="18" t="s">
        <v>642</v>
      </c>
      <c r="D1678" s="18" t="s">
        <v>26</v>
      </c>
      <c r="E1678" s="18" t="s">
        <v>69</v>
      </c>
      <c r="F1678" s="18" t="s">
        <v>646</v>
      </c>
      <c r="G1678" s="18" t="s">
        <v>29</v>
      </c>
      <c r="H1678" s="19">
        <v>2004</v>
      </c>
      <c r="I1678" s="18" t="s">
        <v>68</v>
      </c>
      <c r="J1678" s="101">
        <v>23</v>
      </c>
      <c r="K1678" s="20">
        <v>34</v>
      </c>
      <c r="L1678" s="21">
        <v>17.5</v>
      </c>
      <c r="M1678" s="22" t="s">
        <v>30</v>
      </c>
      <c r="N1678" s="23">
        <v>17.5</v>
      </c>
      <c r="O1678" s="24">
        <v>0.51470588235294112</v>
      </c>
      <c r="P1678" s="25" t="str">
        <f>IF(P1680="x","x","")</f>
        <v/>
      </c>
      <c r="Q1678" s="25" t="str">
        <f>IF(Q1680="x","x","")</f>
        <v/>
      </c>
      <c r="R1678" s="25" t="str">
        <f>IF(R1680="x","x","")</f>
        <v>x</v>
      </c>
      <c r="S1678" s="25" t="str">
        <f>IF(S1680="x","x","")</f>
        <v/>
      </c>
      <c r="T1678" s="25" t="s">
        <v>31</v>
      </c>
      <c r="U1678" s="26"/>
      <c r="V1678" s="27"/>
    </row>
    <row r="1679" spans="1:22" x14ac:dyDescent="0.25">
      <c r="A1679" s="18" t="s">
        <v>641</v>
      </c>
      <c r="B1679" s="18" t="s">
        <v>950</v>
      </c>
      <c r="C1679" s="18" t="s">
        <v>642</v>
      </c>
      <c r="D1679" s="18" t="s">
        <v>26</v>
      </c>
      <c r="E1679" s="18" t="s">
        <v>69</v>
      </c>
      <c r="F1679" s="18" t="s">
        <v>646</v>
      </c>
      <c r="G1679" s="18" t="s">
        <v>32</v>
      </c>
      <c r="H1679" s="19">
        <v>2015</v>
      </c>
      <c r="I1679" s="18" t="s">
        <v>68</v>
      </c>
      <c r="J1679" s="101">
        <v>27</v>
      </c>
      <c r="K1679" s="20">
        <v>34</v>
      </c>
      <c r="L1679" s="21">
        <v>8.0299999999999994</v>
      </c>
      <c r="M1679" s="22" t="s">
        <v>30</v>
      </c>
      <c r="N1679" s="23">
        <v>8.0299999999999994</v>
      </c>
      <c r="O1679" s="24">
        <v>0.23617647058823527</v>
      </c>
      <c r="P1679" s="25" t="str">
        <f>IF(P1680="x","x","")</f>
        <v/>
      </c>
      <c r="Q1679" s="25" t="str">
        <f>IF(Q1680="x","x","")</f>
        <v/>
      </c>
      <c r="R1679" s="25" t="str">
        <f>IF(R1680="x","x","")</f>
        <v>x</v>
      </c>
      <c r="S1679" s="25" t="str">
        <f>IF(S1680="x","x","")</f>
        <v/>
      </c>
      <c r="T1679" s="25" t="s">
        <v>31</v>
      </c>
      <c r="U1679" s="26"/>
      <c r="V1679" s="27"/>
    </row>
    <row r="1680" spans="1:22" ht="22.9" customHeight="1" thickBot="1" x14ac:dyDescent="0.3">
      <c r="A1680" s="28" t="str">
        <f>A1679</f>
        <v>Zambia</v>
      </c>
      <c r="B1680" s="28" t="str">
        <f>B1679</f>
        <v>Sub-Saharan Africa</v>
      </c>
      <c r="C1680" s="28" t="str">
        <f>C1679</f>
        <v>P071985</v>
      </c>
      <c r="D1680" s="28" t="s">
        <v>26</v>
      </c>
      <c r="E1680" s="28" t="s">
        <v>27</v>
      </c>
      <c r="F1680" s="28" t="str">
        <f>F1679</f>
        <v>P071985C1S3</v>
      </c>
      <c r="G1680" s="28" t="s">
        <v>16</v>
      </c>
      <c r="H1680" s="29" t="str">
        <f>H1678&amp;" / "&amp;H1679</f>
        <v>2004 / 2015</v>
      </c>
      <c r="I1680" s="29" t="str">
        <f>I1679</f>
        <v>Asphalt Mix Resurfacing</v>
      </c>
      <c r="J1680" s="97">
        <f>IFERROR(J1679/J1678,"")</f>
        <v>1.173913043478261</v>
      </c>
      <c r="K1680" s="32">
        <f>K1679/K1678</f>
        <v>1</v>
      </c>
      <c r="L1680" s="32">
        <f>L1679/L1678</f>
        <v>0.4588571428571428</v>
      </c>
      <c r="M1680" s="28"/>
      <c r="N1680" s="32">
        <f>N1679/N1678</f>
        <v>0.4588571428571428</v>
      </c>
      <c r="O1680" s="32">
        <f>O1679/O1678</f>
        <v>0.45885714285714285</v>
      </c>
      <c r="P1680" s="33" t="str">
        <f>IF(K1680&lt;50%,"x","")</f>
        <v/>
      </c>
      <c r="Q1680" s="33" t="str">
        <f>IF(K1680&gt;150%,"x","")</f>
        <v/>
      </c>
      <c r="R1680" s="33" t="str">
        <f>IF(O1680&lt;50%,"x","")</f>
        <v>x</v>
      </c>
      <c r="S1680" s="33" t="str">
        <f>IF(O1680&gt;150%,"x","")</f>
        <v/>
      </c>
      <c r="T1680" s="33" t="s">
        <v>31</v>
      </c>
      <c r="U1680" s="34" t="s">
        <v>982</v>
      </c>
      <c r="V1680" s="35" t="s">
        <v>1029</v>
      </c>
    </row>
    <row r="1681" spans="1:22" ht="16.5" thickTop="1" x14ac:dyDescent="0.25">
      <c r="A1681" s="18" t="s">
        <v>641</v>
      </c>
      <c r="B1681" s="18" t="s">
        <v>950</v>
      </c>
      <c r="C1681" s="18" t="s">
        <v>642</v>
      </c>
      <c r="D1681" s="18" t="s">
        <v>26</v>
      </c>
      <c r="E1681" s="18" t="s">
        <v>71</v>
      </c>
      <c r="F1681" s="18" t="s">
        <v>647</v>
      </c>
      <c r="G1681" s="18" t="s">
        <v>29</v>
      </c>
      <c r="H1681" s="19">
        <v>2004</v>
      </c>
      <c r="I1681" s="18" t="s">
        <v>68</v>
      </c>
      <c r="J1681" s="101" t="s">
        <v>27</v>
      </c>
      <c r="K1681" s="20">
        <v>20</v>
      </c>
      <c r="L1681" s="21">
        <v>17.2</v>
      </c>
      <c r="M1681" s="22" t="s">
        <v>30</v>
      </c>
      <c r="N1681" s="23">
        <v>17.2</v>
      </c>
      <c r="O1681" s="24">
        <v>0.86</v>
      </c>
      <c r="P1681" s="25" t="str">
        <f>IF(P1683="x","x","")</f>
        <v/>
      </c>
      <c r="Q1681" s="25" t="str">
        <f>IF(Q1683="x","x","")</f>
        <v/>
      </c>
      <c r="R1681" s="25" t="str">
        <f>IF(R1683="x","x","")</f>
        <v/>
      </c>
      <c r="S1681" s="25" t="str">
        <f>IF(S1683="x","x","")</f>
        <v/>
      </c>
      <c r="T1681" s="25"/>
      <c r="U1681" s="26"/>
      <c r="V1681" s="27"/>
    </row>
    <row r="1682" spans="1:22" x14ac:dyDescent="0.25">
      <c r="A1682" s="18" t="s">
        <v>641</v>
      </c>
      <c r="B1682" s="18" t="s">
        <v>950</v>
      </c>
      <c r="C1682" s="18" t="s">
        <v>642</v>
      </c>
      <c r="D1682" s="18" t="s">
        <v>26</v>
      </c>
      <c r="E1682" s="18" t="s">
        <v>71</v>
      </c>
      <c r="F1682" s="18" t="s">
        <v>647</v>
      </c>
      <c r="G1682" s="18" t="s">
        <v>32</v>
      </c>
      <c r="H1682" s="19">
        <v>2015</v>
      </c>
      <c r="I1682" s="18" t="s">
        <v>68</v>
      </c>
      <c r="J1682" s="101" t="s">
        <v>27</v>
      </c>
      <c r="K1682" s="20">
        <v>20</v>
      </c>
      <c r="L1682" s="21">
        <v>10.7</v>
      </c>
      <c r="M1682" s="22" t="s">
        <v>30</v>
      </c>
      <c r="N1682" s="23">
        <v>10.7</v>
      </c>
      <c r="O1682" s="24">
        <v>0.53499999999999992</v>
      </c>
      <c r="P1682" s="25" t="str">
        <f>IF(P1683="x","x","")</f>
        <v/>
      </c>
      <c r="Q1682" s="25" t="str">
        <f>IF(Q1683="x","x","")</f>
        <v/>
      </c>
      <c r="R1682" s="25" t="str">
        <f>IF(R1683="x","x","")</f>
        <v/>
      </c>
      <c r="S1682" s="25" t="str">
        <f>IF(S1683="x","x","")</f>
        <v/>
      </c>
      <c r="T1682" s="25"/>
      <c r="U1682" s="26"/>
      <c r="V1682" s="27"/>
    </row>
    <row r="1683" spans="1:22" ht="16.5" thickBot="1" x14ac:dyDescent="0.3">
      <c r="A1683" s="28" t="str">
        <f>A1682</f>
        <v>Zambia</v>
      </c>
      <c r="B1683" s="28" t="str">
        <f>B1682</f>
        <v>Sub-Saharan Africa</v>
      </c>
      <c r="C1683" s="28" t="str">
        <f>C1682</f>
        <v>P071985</v>
      </c>
      <c r="D1683" s="28" t="s">
        <v>26</v>
      </c>
      <c r="E1683" s="28" t="s">
        <v>27</v>
      </c>
      <c r="F1683" s="28" t="str">
        <f>F1682</f>
        <v>P071985C1S4</v>
      </c>
      <c r="G1683" s="28" t="s">
        <v>16</v>
      </c>
      <c r="H1683" s="29" t="str">
        <f>H1681&amp;" / "&amp;H1682</f>
        <v>2004 / 2015</v>
      </c>
      <c r="I1683" s="29" t="str">
        <f>I1682</f>
        <v>Asphalt Mix Resurfacing</v>
      </c>
      <c r="J1683" s="97" t="str">
        <f>IFERROR(J1682/J1681,"")</f>
        <v/>
      </c>
      <c r="K1683" s="32">
        <f>K1682/K1681</f>
        <v>1</v>
      </c>
      <c r="L1683" s="32">
        <f>L1682/L1681</f>
        <v>0.62209302325581395</v>
      </c>
      <c r="M1683" s="28"/>
      <c r="N1683" s="32">
        <f>N1682/N1681</f>
        <v>0.62209302325581395</v>
      </c>
      <c r="O1683" s="32">
        <f>O1682/O1681</f>
        <v>0.62209302325581384</v>
      </c>
      <c r="P1683" s="33" t="str">
        <f>IF(K1683&lt;50%,"x","")</f>
        <v/>
      </c>
      <c r="Q1683" s="33" t="str">
        <f>IF(K1683&gt;150%,"x","")</f>
        <v/>
      </c>
      <c r="R1683" s="33" t="str">
        <f>IF(O1683&lt;50%,"x","")</f>
        <v/>
      </c>
      <c r="S1683" s="33" t="str">
        <f>IF(O1683&gt;150%,"x","")</f>
        <v/>
      </c>
      <c r="T1683" s="33"/>
      <c r="U1683" s="34" t="s">
        <v>27</v>
      </c>
      <c r="V1683" s="35" t="s">
        <v>27</v>
      </c>
    </row>
    <row r="1684" spans="1:22" ht="16.5" thickTop="1" x14ac:dyDescent="0.25">
      <c r="A1684" s="18" t="s">
        <v>641</v>
      </c>
      <c r="B1684" s="18" t="s">
        <v>950</v>
      </c>
      <c r="C1684" s="18" t="s">
        <v>1243</v>
      </c>
      <c r="D1684" s="18" t="s">
        <v>26</v>
      </c>
      <c r="E1684" s="18" t="s">
        <v>27</v>
      </c>
      <c r="F1684" s="18" t="s">
        <v>1272</v>
      </c>
      <c r="G1684" s="18" t="s">
        <v>29</v>
      </c>
      <c r="H1684" s="19">
        <v>2010</v>
      </c>
      <c r="I1684" s="18" t="s">
        <v>359</v>
      </c>
      <c r="J1684" s="101">
        <v>24</v>
      </c>
      <c r="K1684" s="20">
        <v>114.7</v>
      </c>
      <c r="L1684" s="21">
        <v>79.372399999999999</v>
      </c>
      <c r="M1684" s="22" t="s">
        <v>30</v>
      </c>
      <c r="N1684" s="23">
        <v>79.372399999999999</v>
      </c>
      <c r="O1684" s="24">
        <v>0.69199999999999995</v>
      </c>
      <c r="P1684" s="25" t="s">
        <v>27</v>
      </c>
      <c r="Q1684" s="25" t="s">
        <v>27</v>
      </c>
      <c r="R1684" s="25" t="s">
        <v>27</v>
      </c>
      <c r="S1684" s="25"/>
      <c r="T1684" s="25"/>
      <c r="U1684" s="26"/>
      <c r="V1684" s="27"/>
    </row>
    <row r="1685" spans="1:22" x14ac:dyDescent="0.25">
      <c r="A1685" s="18" t="s">
        <v>641</v>
      </c>
      <c r="B1685" s="18" t="s">
        <v>950</v>
      </c>
      <c r="C1685" s="18" t="s">
        <v>1243</v>
      </c>
      <c r="D1685" s="18" t="s">
        <v>26</v>
      </c>
      <c r="E1685" s="18" t="s">
        <v>27</v>
      </c>
      <c r="F1685" s="18" t="s">
        <v>1272</v>
      </c>
      <c r="G1685" s="18" t="s">
        <v>32</v>
      </c>
      <c r="H1685" s="19">
        <v>2017</v>
      </c>
      <c r="I1685" s="18" t="s">
        <v>359</v>
      </c>
      <c r="J1685" s="101">
        <v>26</v>
      </c>
      <c r="K1685" s="20">
        <v>114.7</v>
      </c>
      <c r="L1685" s="21">
        <v>74.555000000000007</v>
      </c>
      <c r="M1685" s="22" t="s">
        <v>30</v>
      </c>
      <c r="N1685" s="23">
        <v>74.555000000000007</v>
      </c>
      <c r="O1685" s="24">
        <v>0.65</v>
      </c>
      <c r="P1685" s="25" t="s">
        <v>27</v>
      </c>
      <c r="Q1685" s="25" t="s">
        <v>27</v>
      </c>
      <c r="R1685" s="25" t="s">
        <v>27</v>
      </c>
      <c r="S1685" s="25"/>
      <c r="T1685" s="25"/>
      <c r="U1685" s="26"/>
      <c r="V1685" s="27"/>
    </row>
    <row r="1686" spans="1:22" ht="16.5" thickBot="1" x14ac:dyDescent="0.3">
      <c r="A1686" s="28" t="str">
        <f>A1685</f>
        <v>Zambia</v>
      </c>
      <c r="B1686" s="28" t="str">
        <f>B1685</f>
        <v>Sub-Saharan Africa</v>
      </c>
      <c r="C1686" s="28" t="str">
        <f>C1685</f>
        <v xml:space="preserve">AfDB project - P –Z1-DB0 -063 </v>
      </c>
      <c r="D1686" s="28" t="s">
        <v>26</v>
      </c>
      <c r="E1686" s="28" t="s">
        <v>27</v>
      </c>
      <c r="F1686" s="28" t="str">
        <f>F1685</f>
        <v>AfDB project - P –Z1-DB0 -063 C1</v>
      </c>
      <c r="G1686" s="28" t="s">
        <v>16</v>
      </c>
      <c r="H1686" s="29" t="str">
        <f>H1684&amp;" / "&amp;H1685</f>
        <v>2010 / 2017</v>
      </c>
      <c r="I1686" s="29" t="str">
        <f>I1685</f>
        <v>Reconstruction</v>
      </c>
      <c r="J1686" s="97">
        <f>IFERROR(J1685/J1684,"")</f>
        <v>1.0833333333333333</v>
      </c>
      <c r="K1686" s="32">
        <f>K1685/K1684</f>
        <v>1</v>
      </c>
      <c r="L1686" s="32">
        <f>L1685/L1684</f>
        <v>0.939306358381503</v>
      </c>
      <c r="M1686" s="28"/>
      <c r="N1686" s="32">
        <f>N1685/N1684</f>
        <v>0.939306358381503</v>
      </c>
      <c r="O1686" s="32">
        <f>O1685/O1684</f>
        <v>0.939306358381503</v>
      </c>
      <c r="P1686" s="33" t="s">
        <v>27</v>
      </c>
      <c r="Q1686" s="33" t="s">
        <v>27</v>
      </c>
      <c r="R1686" s="33" t="s">
        <v>27</v>
      </c>
      <c r="S1686" s="33"/>
      <c r="T1686" s="33"/>
      <c r="U1686" s="34" t="s">
        <v>27</v>
      </c>
      <c r="V1686" s="35" t="s">
        <v>27</v>
      </c>
    </row>
    <row r="1687" spans="1:22" ht="16.5" thickTop="1" x14ac:dyDescent="0.25"/>
  </sheetData>
  <autoFilter ref="A3:V1686" xr:uid="{00000000-0009-0000-0000-000000000000}">
    <sortState ref="A4:V1686">
      <sortCondition ref="A3:A1686"/>
    </sortState>
  </autoFilter>
  <customSheetViews>
    <customSheetView guid="{78188308-F572-48A6-9ED7-74E1A1D5F9AE}" showAutoFilter="1">
      <pane xSplit="1" ySplit="1" topLeftCell="B1505" activePane="bottomRight" state="frozen"/>
      <selection pane="bottomRight" activeCell="F1515" sqref="F1515"/>
      <pageMargins left="0.7" right="0.7" top="0.75" bottom="0.75" header="0.3" footer="0.3"/>
      <pageSetup orientation="portrait" r:id="rId1"/>
      <autoFilter ref="A1:Q1" xr:uid="{00000000-0000-0000-0000-000000000000}"/>
    </customSheetView>
    <customSheetView guid="{EBEF4F14-0814-42BF-9FD9-01AC38B537C6}" showAutoFilter="1">
      <pane xSplit="1" ySplit="1" topLeftCell="B1505" activePane="bottomRight" state="frozen"/>
      <selection pane="bottomRight" activeCell="F1515" sqref="F1515"/>
      <pageMargins left="0.7" right="0.7" top="0.75" bottom="0.75" header="0.3" footer="0.3"/>
      <pageSetup orientation="portrait" r:id="rId2"/>
      <autoFilter ref="A1:Q1" xr:uid="{00000000-0000-0000-0000-000000000000}"/>
    </customSheetView>
  </customSheetViews>
  <conditionalFormatting sqref="O6">
    <cfRule type="cellIs" dxfId="4817" priority="4645" operator="lessThanOrEqual">
      <formula>0.5</formula>
    </cfRule>
    <cfRule type="cellIs" dxfId="4816" priority="4646" operator="greaterThanOrEqual">
      <formula>1.5</formula>
    </cfRule>
  </conditionalFormatting>
  <conditionalFormatting sqref="K516">
    <cfRule type="cellIs" dxfId="4815" priority="4623" operator="lessThanOrEqual">
      <formula>0.5</formula>
    </cfRule>
    <cfRule type="cellIs" dxfId="4814" priority="4624" operator="greaterThanOrEqual">
      <formula>1.5</formula>
    </cfRule>
  </conditionalFormatting>
  <conditionalFormatting sqref="O516">
    <cfRule type="cellIs" dxfId="4813" priority="4621" operator="lessThanOrEqual">
      <formula>0.5</formula>
    </cfRule>
    <cfRule type="cellIs" dxfId="4812" priority="4622" operator="greaterThanOrEqual">
      <formula>1.5</formula>
    </cfRule>
  </conditionalFormatting>
  <conditionalFormatting sqref="N6">
    <cfRule type="cellIs" dxfId="4811" priority="4603" operator="lessThanOrEqual">
      <formula>0.5</formula>
    </cfRule>
    <cfRule type="cellIs" dxfId="4810" priority="4604" operator="greaterThanOrEqual">
      <formula>1.5</formula>
    </cfRule>
  </conditionalFormatting>
  <conditionalFormatting sqref="K6">
    <cfRule type="cellIs" dxfId="4809" priority="4601" operator="lessThanOrEqual">
      <formula>0.5</formula>
    </cfRule>
    <cfRule type="cellIs" dxfId="4808" priority="4602" operator="greaterThanOrEqual">
      <formula>1.5</formula>
    </cfRule>
  </conditionalFormatting>
  <conditionalFormatting sqref="L6">
    <cfRule type="cellIs" dxfId="4807" priority="4489" operator="lessThanOrEqual">
      <formula>0.5</formula>
    </cfRule>
    <cfRule type="cellIs" dxfId="4806" priority="4490" operator="greaterThanOrEqual">
      <formula>1.5</formula>
    </cfRule>
  </conditionalFormatting>
  <conditionalFormatting sqref="O9">
    <cfRule type="cellIs" dxfId="4805" priority="4487" operator="lessThanOrEqual">
      <formula>0.5</formula>
    </cfRule>
    <cfRule type="cellIs" dxfId="4804" priority="4488" operator="greaterThanOrEqual">
      <formula>1.5</formula>
    </cfRule>
  </conditionalFormatting>
  <conditionalFormatting sqref="N9">
    <cfRule type="cellIs" dxfId="4803" priority="4485" operator="lessThanOrEqual">
      <formula>0.5</formula>
    </cfRule>
    <cfRule type="cellIs" dxfId="4802" priority="4486" operator="greaterThanOrEqual">
      <formula>1.5</formula>
    </cfRule>
  </conditionalFormatting>
  <conditionalFormatting sqref="K9">
    <cfRule type="cellIs" dxfId="4801" priority="4483" operator="lessThanOrEqual">
      <formula>0.5</formula>
    </cfRule>
    <cfRule type="cellIs" dxfId="4800" priority="4484" operator="greaterThanOrEqual">
      <formula>1.5</formula>
    </cfRule>
  </conditionalFormatting>
  <conditionalFormatting sqref="L9">
    <cfRule type="cellIs" dxfId="4799" priority="4481" operator="lessThanOrEqual">
      <formula>0.5</formula>
    </cfRule>
    <cfRule type="cellIs" dxfId="4798" priority="4482" operator="greaterThanOrEqual">
      <formula>1.5</formula>
    </cfRule>
  </conditionalFormatting>
  <conditionalFormatting sqref="O12">
    <cfRule type="cellIs" dxfId="4797" priority="4479" operator="lessThanOrEqual">
      <formula>0.5</formula>
    </cfRule>
    <cfRule type="cellIs" dxfId="4796" priority="4480" operator="greaterThanOrEqual">
      <formula>1.5</formula>
    </cfRule>
  </conditionalFormatting>
  <conditionalFormatting sqref="N12">
    <cfRule type="cellIs" dxfId="4795" priority="4477" operator="lessThanOrEqual">
      <formula>0.5</formula>
    </cfRule>
    <cfRule type="cellIs" dxfId="4794" priority="4478" operator="greaterThanOrEqual">
      <formula>1.5</formula>
    </cfRule>
  </conditionalFormatting>
  <conditionalFormatting sqref="K12">
    <cfRule type="cellIs" dxfId="4793" priority="4475" operator="lessThanOrEqual">
      <formula>0.5</formula>
    </cfRule>
    <cfRule type="cellIs" dxfId="4792" priority="4476" operator="greaterThanOrEqual">
      <formula>1.5</formula>
    </cfRule>
  </conditionalFormatting>
  <conditionalFormatting sqref="L12">
    <cfRule type="cellIs" dxfId="4791" priority="4473" operator="lessThanOrEqual">
      <formula>0.5</formula>
    </cfRule>
    <cfRule type="cellIs" dxfId="4790" priority="4474" operator="greaterThanOrEqual">
      <formula>1.5</formula>
    </cfRule>
  </conditionalFormatting>
  <conditionalFormatting sqref="O15">
    <cfRule type="cellIs" dxfId="4789" priority="4471" operator="lessThanOrEqual">
      <formula>0.5</formula>
    </cfRule>
    <cfRule type="cellIs" dxfId="4788" priority="4472" operator="greaterThanOrEqual">
      <formula>1.5</formula>
    </cfRule>
  </conditionalFormatting>
  <conditionalFormatting sqref="N15">
    <cfRule type="cellIs" dxfId="4787" priority="4469" operator="lessThanOrEqual">
      <formula>0.5</formula>
    </cfRule>
    <cfRule type="cellIs" dxfId="4786" priority="4470" operator="greaterThanOrEqual">
      <formula>1.5</formula>
    </cfRule>
  </conditionalFormatting>
  <conditionalFormatting sqref="K15">
    <cfRule type="cellIs" dxfId="4785" priority="4467" operator="lessThanOrEqual">
      <formula>0.5</formula>
    </cfRule>
    <cfRule type="cellIs" dxfId="4784" priority="4468" operator="greaterThanOrEqual">
      <formula>1.5</formula>
    </cfRule>
  </conditionalFormatting>
  <conditionalFormatting sqref="L15">
    <cfRule type="cellIs" dxfId="4783" priority="4465" operator="lessThanOrEqual">
      <formula>0.5</formula>
    </cfRule>
    <cfRule type="cellIs" dxfId="4782" priority="4466" operator="greaterThanOrEqual">
      <formula>1.5</formula>
    </cfRule>
  </conditionalFormatting>
  <conditionalFormatting sqref="O18">
    <cfRule type="cellIs" dxfId="4781" priority="4463" operator="lessThanOrEqual">
      <formula>0.5</formula>
    </cfRule>
    <cfRule type="cellIs" dxfId="4780" priority="4464" operator="greaterThanOrEqual">
      <formula>1.5</formula>
    </cfRule>
  </conditionalFormatting>
  <conditionalFormatting sqref="N18">
    <cfRule type="cellIs" dxfId="4779" priority="4461" operator="lessThanOrEqual">
      <formula>0.5</formula>
    </cfRule>
    <cfRule type="cellIs" dxfId="4778" priority="4462" operator="greaterThanOrEqual">
      <formula>1.5</formula>
    </cfRule>
  </conditionalFormatting>
  <conditionalFormatting sqref="K18">
    <cfRule type="cellIs" dxfId="4777" priority="4459" operator="lessThanOrEqual">
      <formula>0.5</formula>
    </cfRule>
    <cfRule type="cellIs" dxfId="4776" priority="4460" operator="greaterThanOrEqual">
      <formula>1.5</formula>
    </cfRule>
  </conditionalFormatting>
  <conditionalFormatting sqref="L18">
    <cfRule type="cellIs" dxfId="4775" priority="4457" operator="lessThanOrEqual">
      <formula>0.5</formula>
    </cfRule>
    <cfRule type="cellIs" dxfId="4774" priority="4458" operator="greaterThanOrEqual">
      <formula>1.5</formula>
    </cfRule>
  </conditionalFormatting>
  <conditionalFormatting sqref="O21">
    <cfRule type="cellIs" dxfId="4773" priority="4455" operator="lessThanOrEqual">
      <formula>0.5</formula>
    </cfRule>
    <cfRule type="cellIs" dxfId="4772" priority="4456" operator="greaterThanOrEqual">
      <formula>1.5</formula>
    </cfRule>
  </conditionalFormatting>
  <conditionalFormatting sqref="N21">
    <cfRule type="cellIs" dxfId="4771" priority="4453" operator="lessThanOrEqual">
      <formula>0.5</formula>
    </cfRule>
    <cfRule type="cellIs" dxfId="4770" priority="4454" operator="greaterThanOrEqual">
      <formula>1.5</formula>
    </cfRule>
  </conditionalFormatting>
  <conditionalFormatting sqref="K21">
    <cfRule type="cellIs" dxfId="4769" priority="4451" operator="lessThanOrEqual">
      <formula>0.5</formula>
    </cfRule>
    <cfRule type="cellIs" dxfId="4768" priority="4452" operator="greaterThanOrEqual">
      <formula>1.5</formula>
    </cfRule>
  </conditionalFormatting>
  <conditionalFormatting sqref="L21">
    <cfRule type="cellIs" dxfId="4767" priority="4449" operator="lessThanOrEqual">
      <formula>0.5</formula>
    </cfRule>
    <cfRule type="cellIs" dxfId="4766" priority="4450" operator="greaterThanOrEqual">
      <formula>1.5</formula>
    </cfRule>
  </conditionalFormatting>
  <conditionalFormatting sqref="O24">
    <cfRule type="cellIs" dxfId="4765" priority="4447" operator="lessThanOrEqual">
      <formula>0.5</formula>
    </cfRule>
    <cfRule type="cellIs" dxfId="4764" priority="4448" operator="greaterThanOrEqual">
      <formula>1.5</formula>
    </cfRule>
  </conditionalFormatting>
  <conditionalFormatting sqref="N24">
    <cfRule type="cellIs" dxfId="4763" priority="4445" operator="lessThanOrEqual">
      <formula>0.5</formula>
    </cfRule>
    <cfRule type="cellIs" dxfId="4762" priority="4446" operator="greaterThanOrEqual">
      <formula>1.5</formula>
    </cfRule>
  </conditionalFormatting>
  <conditionalFormatting sqref="K24">
    <cfRule type="cellIs" dxfId="4761" priority="4443" operator="lessThanOrEqual">
      <formula>0.5</formula>
    </cfRule>
    <cfRule type="cellIs" dxfId="4760" priority="4444" operator="greaterThanOrEqual">
      <formula>1.5</formula>
    </cfRule>
  </conditionalFormatting>
  <conditionalFormatting sqref="L24">
    <cfRule type="cellIs" dxfId="4759" priority="4441" operator="lessThanOrEqual">
      <formula>0.5</formula>
    </cfRule>
    <cfRule type="cellIs" dxfId="4758" priority="4442" operator="greaterThanOrEqual">
      <formula>1.5</formula>
    </cfRule>
  </conditionalFormatting>
  <conditionalFormatting sqref="O27">
    <cfRule type="cellIs" dxfId="4757" priority="4439" operator="lessThanOrEqual">
      <formula>0.5</formula>
    </cfRule>
    <cfRule type="cellIs" dxfId="4756" priority="4440" operator="greaterThanOrEqual">
      <formula>1.5</formula>
    </cfRule>
  </conditionalFormatting>
  <conditionalFormatting sqref="N27">
    <cfRule type="cellIs" dxfId="4755" priority="4437" operator="lessThanOrEqual">
      <formula>0.5</formula>
    </cfRule>
    <cfRule type="cellIs" dxfId="4754" priority="4438" operator="greaterThanOrEqual">
      <formula>1.5</formula>
    </cfRule>
  </conditionalFormatting>
  <conditionalFormatting sqref="K27">
    <cfRule type="cellIs" dxfId="4753" priority="4435" operator="lessThanOrEqual">
      <formula>0.5</formula>
    </cfRule>
    <cfRule type="cellIs" dxfId="4752" priority="4436" operator="greaterThanOrEqual">
      <formula>1.5</formula>
    </cfRule>
  </conditionalFormatting>
  <conditionalFormatting sqref="L27">
    <cfRule type="cellIs" dxfId="4751" priority="4433" operator="lessThanOrEqual">
      <formula>0.5</formula>
    </cfRule>
    <cfRule type="cellIs" dxfId="4750" priority="4434" operator="greaterThanOrEqual">
      <formula>1.5</formula>
    </cfRule>
  </conditionalFormatting>
  <conditionalFormatting sqref="O30">
    <cfRule type="cellIs" dxfId="4749" priority="4431" operator="lessThanOrEqual">
      <formula>0.5</formula>
    </cfRule>
    <cfRule type="cellIs" dxfId="4748" priority="4432" operator="greaterThanOrEqual">
      <formula>1.5</formula>
    </cfRule>
  </conditionalFormatting>
  <conditionalFormatting sqref="N30">
    <cfRule type="cellIs" dxfId="4747" priority="4429" operator="lessThanOrEqual">
      <formula>0.5</formula>
    </cfRule>
    <cfRule type="cellIs" dxfId="4746" priority="4430" operator="greaterThanOrEqual">
      <formula>1.5</formula>
    </cfRule>
  </conditionalFormatting>
  <conditionalFormatting sqref="K30">
    <cfRule type="cellIs" dxfId="4745" priority="4427" operator="lessThanOrEqual">
      <formula>0.5</formula>
    </cfRule>
    <cfRule type="cellIs" dxfId="4744" priority="4428" operator="greaterThanOrEqual">
      <formula>1.5</formula>
    </cfRule>
  </conditionalFormatting>
  <conditionalFormatting sqref="L30">
    <cfRule type="cellIs" dxfId="4743" priority="4425" operator="lessThanOrEqual">
      <formula>0.5</formula>
    </cfRule>
    <cfRule type="cellIs" dxfId="4742" priority="4426" operator="greaterThanOrEqual">
      <formula>1.5</formula>
    </cfRule>
  </conditionalFormatting>
  <conditionalFormatting sqref="O33">
    <cfRule type="cellIs" dxfId="4741" priority="4423" operator="lessThanOrEqual">
      <formula>0.5</formula>
    </cfRule>
    <cfRule type="cellIs" dxfId="4740" priority="4424" operator="greaterThanOrEqual">
      <formula>1.5</formula>
    </cfRule>
  </conditionalFormatting>
  <conditionalFormatting sqref="N33">
    <cfRule type="cellIs" dxfId="4739" priority="4421" operator="lessThanOrEqual">
      <formula>0.5</formula>
    </cfRule>
    <cfRule type="cellIs" dxfId="4738" priority="4422" operator="greaterThanOrEqual">
      <formula>1.5</formula>
    </cfRule>
  </conditionalFormatting>
  <conditionalFormatting sqref="K33">
    <cfRule type="cellIs" dxfId="4737" priority="4419" operator="lessThanOrEqual">
      <formula>0.5</formula>
    </cfRule>
    <cfRule type="cellIs" dxfId="4736" priority="4420" operator="greaterThanOrEqual">
      <formula>1.5</formula>
    </cfRule>
  </conditionalFormatting>
  <conditionalFormatting sqref="L33">
    <cfRule type="cellIs" dxfId="4735" priority="4417" operator="lessThanOrEqual">
      <formula>0.5</formula>
    </cfRule>
    <cfRule type="cellIs" dxfId="4734" priority="4418" operator="greaterThanOrEqual">
      <formula>1.5</formula>
    </cfRule>
  </conditionalFormatting>
  <conditionalFormatting sqref="O36">
    <cfRule type="cellIs" dxfId="4733" priority="4415" operator="lessThanOrEqual">
      <formula>0.5</formula>
    </cfRule>
    <cfRule type="cellIs" dxfId="4732" priority="4416" operator="greaterThanOrEqual">
      <formula>1.5</formula>
    </cfRule>
  </conditionalFormatting>
  <conditionalFormatting sqref="N36">
    <cfRule type="cellIs" dxfId="4731" priority="4413" operator="lessThanOrEqual">
      <formula>0.5</formula>
    </cfRule>
    <cfRule type="cellIs" dxfId="4730" priority="4414" operator="greaterThanOrEqual">
      <formula>1.5</formula>
    </cfRule>
  </conditionalFormatting>
  <conditionalFormatting sqref="K36">
    <cfRule type="cellIs" dxfId="4729" priority="4411" operator="lessThanOrEqual">
      <formula>0.5</formula>
    </cfRule>
    <cfRule type="cellIs" dxfId="4728" priority="4412" operator="greaterThanOrEqual">
      <formula>1.5</formula>
    </cfRule>
  </conditionalFormatting>
  <conditionalFormatting sqref="L36">
    <cfRule type="cellIs" dxfId="4727" priority="4409" operator="lessThanOrEqual">
      <formula>0.5</formula>
    </cfRule>
    <cfRule type="cellIs" dxfId="4726" priority="4410" operator="greaterThanOrEqual">
      <formula>1.5</formula>
    </cfRule>
  </conditionalFormatting>
  <conditionalFormatting sqref="O39">
    <cfRule type="cellIs" dxfId="4725" priority="4407" operator="lessThanOrEqual">
      <formula>0.5</formula>
    </cfRule>
    <cfRule type="cellIs" dxfId="4724" priority="4408" operator="greaterThanOrEqual">
      <formula>1.5</formula>
    </cfRule>
  </conditionalFormatting>
  <conditionalFormatting sqref="N39">
    <cfRule type="cellIs" dxfId="4723" priority="4405" operator="lessThanOrEqual">
      <formula>0.5</formula>
    </cfRule>
    <cfRule type="cellIs" dxfId="4722" priority="4406" operator="greaterThanOrEqual">
      <formula>1.5</formula>
    </cfRule>
  </conditionalFormatting>
  <conditionalFormatting sqref="K39">
    <cfRule type="cellIs" dxfId="4721" priority="4403" operator="lessThanOrEqual">
      <formula>0.5</formula>
    </cfRule>
    <cfRule type="cellIs" dxfId="4720" priority="4404" operator="greaterThanOrEqual">
      <formula>1.5</formula>
    </cfRule>
  </conditionalFormatting>
  <conditionalFormatting sqref="L39">
    <cfRule type="cellIs" dxfId="4719" priority="4401" operator="lessThanOrEqual">
      <formula>0.5</formula>
    </cfRule>
    <cfRule type="cellIs" dxfId="4718" priority="4402" operator="greaterThanOrEqual">
      <formula>1.5</formula>
    </cfRule>
  </conditionalFormatting>
  <conditionalFormatting sqref="O42">
    <cfRule type="cellIs" dxfId="4717" priority="4399" operator="lessThanOrEqual">
      <formula>0.5</formula>
    </cfRule>
    <cfRule type="cellIs" dxfId="4716" priority="4400" operator="greaterThanOrEqual">
      <formula>1.5</formula>
    </cfRule>
  </conditionalFormatting>
  <conditionalFormatting sqref="N42">
    <cfRule type="cellIs" dxfId="4715" priority="4397" operator="lessThanOrEqual">
      <formula>0.5</formula>
    </cfRule>
    <cfRule type="cellIs" dxfId="4714" priority="4398" operator="greaterThanOrEqual">
      <formula>1.5</formula>
    </cfRule>
  </conditionalFormatting>
  <conditionalFormatting sqref="K42">
    <cfRule type="cellIs" dxfId="4713" priority="4395" operator="lessThanOrEqual">
      <formula>0.5</formula>
    </cfRule>
    <cfRule type="cellIs" dxfId="4712" priority="4396" operator="greaterThanOrEqual">
      <formula>1.5</formula>
    </cfRule>
  </conditionalFormatting>
  <conditionalFormatting sqref="L42">
    <cfRule type="cellIs" dxfId="4711" priority="4393" operator="lessThanOrEqual">
      <formula>0.5</formula>
    </cfRule>
    <cfRule type="cellIs" dxfId="4710" priority="4394" operator="greaterThanOrEqual">
      <formula>1.5</formula>
    </cfRule>
  </conditionalFormatting>
  <conditionalFormatting sqref="O45">
    <cfRule type="cellIs" dxfId="4709" priority="4391" operator="lessThanOrEqual">
      <formula>0.5</formula>
    </cfRule>
    <cfRule type="cellIs" dxfId="4708" priority="4392" operator="greaterThanOrEqual">
      <formula>1.5</formula>
    </cfRule>
  </conditionalFormatting>
  <conditionalFormatting sqref="N45">
    <cfRule type="cellIs" dxfId="4707" priority="4389" operator="lessThanOrEqual">
      <formula>0.5</formula>
    </cfRule>
    <cfRule type="cellIs" dxfId="4706" priority="4390" operator="greaterThanOrEqual">
      <formula>1.5</formula>
    </cfRule>
  </conditionalFormatting>
  <conditionalFormatting sqref="K45">
    <cfRule type="cellIs" dxfId="4705" priority="4387" operator="lessThanOrEqual">
      <formula>0.5</formula>
    </cfRule>
    <cfRule type="cellIs" dxfId="4704" priority="4388" operator="greaterThanOrEqual">
      <formula>1.5</formula>
    </cfRule>
  </conditionalFormatting>
  <conditionalFormatting sqref="L45">
    <cfRule type="cellIs" dxfId="4703" priority="4385" operator="lessThanOrEqual">
      <formula>0.5</formula>
    </cfRule>
    <cfRule type="cellIs" dxfId="4702" priority="4386" operator="greaterThanOrEqual">
      <formula>1.5</formula>
    </cfRule>
  </conditionalFormatting>
  <conditionalFormatting sqref="O48">
    <cfRule type="cellIs" dxfId="4701" priority="4383" operator="lessThanOrEqual">
      <formula>0.5</formula>
    </cfRule>
    <cfRule type="cellIs" dxfId="4700" priority="4384" operator="greaterThanOrEqual">
      <formula>1.5</formula>
    </cfRule>
  </conditionalFormatting>
  <conditionalFormatting sqref="N48">
    <cfRule type="cellIs" dxfId="4699" priority="4381" operator="lessThanOrEqual">
      <formula>0.5</formula>
    </cfRule>
    <cfRule type="cellIs" dxfId="4698" priority="4382" operator="greaterThanOrEqual">
      <formula>1.5</formula>
    </cfRule>
  </conditionalFormatting>
  <conditionalFormatting sqref="K48">
    <cfRule type="cellIs" dxfId="4697" priority="4379" operator="lessThanOrEqual">
      <formula>0.5</formula>
    </cfRule>
    <cfRule type="cellIs" dxfId="4696" priority="4380" operator="greaterThanOrEqual">
      <formula>1.5</formula>
    </cfRule>
  </conditionalFormatting>
  <conditionalFormatting sqref="L48">
    <cfRule type="cellIs" dxfId="4695" priority="4377" operator="lessThanOrEqual">
      <formula>0.5</formula>
    </cfRule>
    <cfRule type="cellIs" dxfId="4694" priority="4378" operator="greaterThanOrEqual">
      <formula>1.5</formula>
    </cfRule>
  </conditionalFormatting>
  <conditionalFormatting sqref="O51">
    <cfRule type="cellIs" dxfId="4693" priority="4375" operator="lessThanOrEqual">
      <formula>0.5</formula>
    </cfRule>
    <cfRule type="cellIs" dxfId="4692" priority="4376" operator="greaterThanOrEqual">
      <formula>1.5</formula>
    </cfRule>
  </conditionalFormatting>
  <conditionalFormatting sqref="N51">
    <cfRule type="cellIs" dxfId="4691" priority="4373" operator="lessThanOrEqual">
      <formula>0.5</formula>
    </cfRule>
    <cfRule type="cellIs" dxfId="4690" priority="4374" operator="greaterThanOrEqual">
      <formula>1.5</formula>
    </cfRule>
  </conditionalFormatting>
  <conditionalFormatting sqref="K51">
    <cfRule type="cellIs" dxfId="4689" priority="4371" operator="lessThanOrEqual">
      <formula>0.5</formula>
    </cfRule>
    <cfRule type="cellIs" dxfId="4688" priority="4372" operator="greaterThanOrEqual">
      <formula>1.5</formula>
    </cfRule>
  </conditionalFormatting>
  <conditionalFormatting sqref="L51">
    <cfRule type="cellIs" dxfId="4687" priority="4369" operator="lessThanOrEqual">
      <formula>0.5</formula>
    </cfRule>
    <cfRule type="cellIs" dxfId="4686" priority="4370" operator="greaterThanOrEqual">
      <formula>1.5</formula>
    </cfRule>
  </conditionalFormatting>
  <conditionalFormatting sqref="O54">
    <cfRule type="cellIs" dxfId="4685" priority="4367" operator="lessThanOrEqual">
      <formula>0.5</formula>
    </cfRule>
    <cfRule type="cellIs" dxfId="4684" priority="4368" operator="greaterThanOrEqual">
      <formula>1.5</formula>
    </cfRule>
  </conditionalFormatting>
  <conditionalFormatting sqref="N54">
    <cfRule type="cellIs" dxfId="4683" priority="4365" operator="lessThanOrEqual">
      <formula>0.5</formula>
    </cfRule>
    <cfRule type="cellIs" dxfId="4682" priority="4366" operator="greaterThanOrEqual">
      <formula>1.5</formula>
    </cfRule>
  </conditionalFormatting>
  <conditionalFormatting sqref="K54">
    <cfRule type="cellIs" dxfId="4681" priority="4363" operator="lessThanOrEqual">
      <formula>0.5</formula>
    </cfRule>
    <cfRule type="cellIs" dxfId="4680" priority="4364" operator="greaterThanOrEqual">
      <formula>1.5</formula>
    </cfRule>
  </conditionalFormatting>
  <conditionalFormatting sqref="L54">
    <cfRule type="cellIs" dxfId="4679" priority="4361" operator="lessThanOrEqual">
      <formula>0.5</formula>
    </cfRule>
    <cfRule type="cellIs" dxfId="4678" priority="4362" operator="greaterThanOrEqual">
      <formula>1.5</formula>
    </cfRule>
  </conditionalFormatting>
  <conditionalFormatting sqref="O57">
    <cfRule type="cellIs" dxfId="4677" priority="4359" operator="lessThanOrEqual">
      <formula>0.5</formula>
    </cfRule>
    <cfRule type="cellIs" dxfId="4676" priority="4360" operator="greaterThanOrEqual">
      <formula>1.5</formula>
    </cfRule>
  </conditionalFormatting>
  <conditionalFormatting sqref="N57">
    <cfRule type="cellIs" dxfId="4675" priority="4357" operator="lessThanOrEqual">
      <formula>0.5</formula>
    </cfRule>
    <cfRule type="cellIs" dxfId="4674" priority="4358" operator="greaterThanOrEqual">
      <formula>1.5</formula>
    </cfRule>
  </conditionalFormatting>
  <conditionalFormatting sqref="K57">
    <cfRule type="cellIs" dxfId="4673" priority="4355" operator="lessThanOrEqual">
      <formula>0.5</formula>
    </cfRule>
    <cfRule type="cellIs" dxfId="4672" priority="4356" operator="greaterThanOrEqual">
      <formula>1.5</formula>
    </cfRule>
  </conditionalFormatting>
  <conditionalFormatting sqref="L57">
    <cfRule type="cellIs" dxfId="4671" priority="4353" operator="lessThanOrEqual">
      <formula>0.5</formula>
    </cfRule>
    <cfRule type="cellIs" dxfId="4670" priority="4354" operator="greaterThanOrEqual">
      <formula>1.5</formula>
    </cfRule>
  </conditionalFormatting>
  <conditionalFormatting sqref="O60">
    <cfRule type="cellIs" dxfId="4669" priority="4351" operator="lessThanOrEqual">
      <formula>0.5</formula>
    </cfRule>
    <cfRule type="cellIs" dxfId="4668" priority="4352" operator="greaterThanOrEqual">
      <formula>1.5</formula>
    </cfRule>
  </conditionalFormatting>
  <conditionalFormatting sqref="N60">
    <cfRule type="cellIs" dxfId="4667" priority="4349" operator="lessThanOrEqual">
      <formula>0.5</formula>
    </cfRule>
    <cfRule type="cellIs" dxfId="4666" priority="4350" operator="greaterThanOrEqual">
      <formula>1.5</formula>
    </cfRule>
  </conditionalFormatting>
  <conditionalFormatting sqref="K60">
    <cfRule type="cellIs" dxfId="4665" priority="4347" operator="lessThanOrEqual">
      <formula>0.5</formula>
    </cfRule>
    <cfRule type="cellIs" dxfId="4664" priority="4348" operator="greaterThanOrEqual">
      <formula>1.5</formula>
    </cfRule>
  </conditionalFormatting>
  <conditionalFormatting sqref="L60">
    <cfRule type="cellIs" dxfId="4663" priority="4345" operator="lessThanOrEqual">
      <formula>0.5</formula>
    </cfRule>
    <cfRule type="cellIs" dxfId="4662" priority="4346" operator="greaterThanOrEqual">
      <formula>1.5</formula>
    </cfRule>
  </conditionalFormatting>
  <conditionalFormatting sqref="O63">
    <cfRule type="cellIs" dxfId="4661" priority="4343" operator="lessThanOrEqual">
      <formula>0.5</formula>
    </cfRule>
    <cfRule type="cellIs" dxfId="4660" priority="4344" operator="greaterThanOrEqual">
      <formula>1.5</formula>
    </cfRule>
  </conditionalFormatting>
  <conditionalFormatting sqref="N63">
    <cfRule type="cellIs" dxfId="4659" priority="4341" operator="lessThanOrEqual">
      <formula>0.5</formula>
    </cfRule>
    <cfRule type="cellIs" dxfId="4658" priority="4342" operator="greaterThanOrEqual">
      <formula>1.5</formula>
    </cfRule>
  </conditionalFormatting>
  <conditionalFormatting sqref="K63">
    <cfRule type="cellIs" dxfId="4657" priority="4339" operator="lessThanOrEqual">
      <formula>0.5</formula>
    </cfRule>
    <cfRule type="cellIs" dxfId="4656" priority="4340" operator="greaterThanOrEqual">
      <formula>1.5</formula>
    </cfRule>
  </conditionalFormatting>
  <conditionalFormatting sqref="L63">
    <cfRule type="cellIs" dxfId="4655" priority="4337" operator="lessThanOrEqual">
      <formula>0.5</formula>
    </cfRule>
    <cfRule type="cellIs" dxfId="4654" priority="4338" operator="greaterThanOrEqual">
      <formula>1.5</formula>
    </cfRule>
  </conditionalFormatting>
  <conditionalFormatting sqref="O66">
    <cfRule type="cellIs" dxfId="4653" priority="4335" operator="lessThanOrEqual">
      <formula>0.5</formula>
    </cfRule>
    <cfRule type="cellIs" dxfId="4652" priority="4336" operator="greaterThanOrEqual">
      <formula>1.5</formula>
    </cfRule>
  </conditionalFormatting>
  <conditionalFormatting sqref="N66">
    <cfRule type="cellIs" dxfId="4651" priority="4333" operator="lessThanOrEqual">
      <formula>0.5</formula>
    </cfRule>
    <cfRule type="cellIs" dxfId="4650" priority="4334" operator="greaterThanOrEqual">
      <formula>1.5</formula>
    </cfRule>
  </conditionalFormatting>
  <conditionalFormatting sqref="K66">
    <cfRule type="cellIs" dxfId="4649" priority="4331" operator="lessThanOrEqual">
      <formula>0.5</formula>
    </cfRule>
    <cfRule type="cellIs" dxfId="4648" priority="4332" operator="greaterThanOrEqual">
      <formula>1.5</formula>
    </cfRule>
  </conditionalFormatting>
  <conditionalFormatting sqref="L66">
    <cfRule type="cellIs" dxfId="4647" priority="4329" operator="lessThanOrEqual">
      <formula>0.5</formula>
    </cfRule>
    <cfRule type="cellIs" dxfId="4646" priority="4330" operator="greaterThanOrEqual">
      <formula>1.5</formula>
    </cfRule>
  </conditionalFormatting>
  <conditionalFormatting sqref="O69">
    <cfRule type="cellIs" dxfId="4645" priority="4327" operator="lessThanOrEqual">
      <formula>0.5</formula>
    </cfRule>
    <cfRule type="cellIs" dxfId="4644" priority="4328" operator="greaterThanOrEqual">
      <formula>1.5</formula>
    </cfRule>
  </conditionalFormatting>
  <conditionalFormatting sqref="N69">
    <cfRule type="cellIs" dxfId="4643" priority="4325" operator="lessThanOrEqual">
      <formula>0.5</formula>
    </cfRule>
    <cfRule type="cellIs" dxfId="4642" priority="4326" operator="greaterThanOrEqual">
      <formula>1.5</formula>
    </cfRule>
  </conditionalFormatting>
  <conditionalFormatting sqref="K69">
    <cfRule type="cellIs" dxfId="4641" priority="4323" operator="lessThanOrEqual">
      <formula>0.5</formula>
    </cfRule>
    <cfRule type="cellIs" dxfId="4640" priority="4324" operator="greaterThanOrEqual">
      <formula>1.5</formula>
    </cfRule>
  </conditionalFormatting>
  <conditionalFormatting sqref="L69">
    <cfRule type="cellIs" dxfId="4639" priority="4321" operator="lessThanOrEqual">
      <formula>0.5</formula>
    </cfRule>
    <cfRule type="cellIs" dxfId="4638" priority="4322" operator="greaterThanOrEqual">
      <formula>1.5</formula>
    </cfRule>
  </conditionalFormatting>
  <conditionalFormatting sqref="O72">
    <cfRule type="cellIs" dxfId="4637" priority="4319" operator="lessThanOrEqual">
      <formula>0.5</formula>
    </cfRule>
    <cfRule type="cellIs" dxfId="4636" priority="4320" operator="greaterThanOrEqual">
      <formula>1.5</formula>
    </cfRule>
  </conditionalFormatting>
  <conditionalFormatting sqref="N72">
    <cfRule type="cellIs" dxfId="4635" priority="4317" operator="lessThanOrEqual">
      <formula>0.5</formula>
    </cfRule>
    <cfRule type="cellIs" dxfId="4634" priority="4318" operator="greaterThanOrEqual">
      <formula>1.5</formula>
    </cfRule>
  </conditionalFormatting>
  <conditionalFormatting sqref="K72">
    <cfRule type="cellIs" dxfId="4633" priority="4315" operator="lessThanOrEqual">
      <formula>0.5</formula>
    </cfRule>
    <cfRule type="cellIs" dxfId="4632" priority="4316" operator="greaterThanOrEqual">
      <formula>1.5</formula>
    </cfRule>
  </conditionalFormatting>
  <conditionalFormatting sqref="L72">
    <cfRule type="cellIs" dxfId="4631" priority="4313" operator="lessThanOrEqual">
      <formula>0.5</formula>
    </cfRule>
    <cfRule type="cellIs" dxfId="4630" priority="4314" operator="greaterThanOrEqual">
      <formula>1.5</formula>
    </cfRule>
  </conditionalFormatting>
  <conditionalFormatting sqref="O75">
    <cfRule type="cellIs" dxfId="4629" priority="4311" operator="lessThanOrEqual">
      <formula>0.5</formula>
    </cfRule>
    <cfRule type="cellIs" dxfId="4628" priority="4312" operator="greaterThanOrEqual">
      <formula>1.5</formula>
    </cfRule>
  </conditionalFormatting>
  <conditionalFormatting sqref="N75">
    <cfRule type="cellIs" dxfId="4627" priority="4309" operator="lessThanOrEqual">
      <formula>0.5</formula>
    </cfRule>
    <cfRule type="cellIs" dxfId="4626" priority="4310" operator="greaterThanOrEqual">
      <formula>1.5</formula>
    </cfRule>
  </conditionalFormatting>
  <conditionalFormatting sqref="K75">
    <cfRule type="cellIs" dxfId="4625" priority="4307" operator="lessThanOrEqual">
      <formula>0.5</formula>
    </cfRule>
    <cfRule type="cellIs" dxfId="4624" priority="4308" operator="greaterThanOrEqual">
      <formula>1.5</formula>
    </cfRule>
  </conditionalFormatting>
  <conditionalFormatting sqref="L75">
    <cfRule type="cellIs" dxfId="4623" priority="4305" operator="lessThanOrEqual">
      <formula>0.5</formula>
    </cfRule>
    <cfRule type="cellIs" dxfId="4622" priority="4306" operator="greaterThanOrEqual">
      <formula>1.5</formula>
    </cfRule>
  </conditionalFormatting>
  <conditionalFormatting sqref="O78">
    <cfRule type="cellIs" dxfId="4621" priority="4303" operator="lessThanOrEqual">
      <formula>0.5</formula>
    </cfRule>
    <cfRule type="cellIs" dxfId="4620" priority="4304" operator="greaterThanOrEqual">
      <formula>1.5</formula>
    </cfRule>
  </conditionalFormatting>
  <conditionalFormatting sqref="N78">
    <cfRule type="cellIs" dxfId="4619" priority="4301" operator="lessThanOrEqual">
      <formula>0.5</formula>
    </cfRule>
    <cfRule type="cellIs" dxfId="4618" priority="4302" operator="greaterThanOrEqual">
      <formula>1.5</formula>
    </cfRule>
  </conditionalFormatting>
  <conditionalFormatting sqref="K78">
    <cfRule type="cellIs" dxfId="4617" priority="4299" operator="lessThanOrEqual">
      <formula>0.5</formula>
    </cfRule>
    <cfRule type="cellIs" dxfId="4616" priority="4300" operator="greaterThanOrEqual">
      <formula>1.5</formula>
    </cfRule>
  </conditionalFormatting>
  <conditionalFormatting sqref="L78">
    <cfRule type="cellIs" dxfId="4615" priority="4297" operator="lessThanOrEqual">
      <formula>0.5</formula>
    </cfRule>
    <cfRule type="cellIs" dxfId="4614" priority="4298" operator="greaterThanOrEqual">
      <formula>1.5</formula>
    </cfRule>
  </conditionalFormatting>
  <conditionalFormatting sqref="O81">
    <cfRule type="cellIs" dxfId="4613" priority="4295" operator="lessThanOrEqual">
      <formula>0.5</formula>
    </cfRule>
    <cfRule type="cellIs" dxfId="4612" priority="4296" operator="greaterThanOrEqual">
      <formula>1.5</formula>
    </cfRule>
  </conditionalFormatting>
  <conditionalFormatting sqref="N81">
    <cfRule type="cellIs" dxfId="4611" priority="4293" operator="lessThanOrEqual">
      <formula>0.5</formula>
    </cfRule>
    <cfRule type="cellIs" dxfId="4610" priority="4294" operator="greaterThanOrEqual">
      <formula>1.5</formula>
    </cfRule>
  </conditionalFormatting>
  <conditionalFormatting sqref="K81">
    <cfRule type="cellIs" dxfId="4609" priority="4291" operator="lessThanOrEqual">
      <formula>0.5</formula>
    </cfRule>
    <cfRule type="cellIs" dxfId="4608" priority="4292" operator="greaterThanOrEqual">
      <formula>1.5</formula>
    </cfRule>
  </conditionalFormatting>
  <conditionalFormatting sqref="L81">
    <cfRule type="cellIs" dxfId="4607" priority="4289" operator="lessThanOrEqual">
      <formula>0.5</formula>
    </cfRule>
    <cfRule type="cellIs" dxfId="4606" priority="4290" operator="greaterThanOrEqual">
      <formula>1.5</formula>
    </cfRule>
  </conditionalFormatting>
  <conditionalFormatting sqref="O84">
    <cfRule type="cellIs" dxfId="4605" priority="4287" operator="lessThanOrEqual">
      <formula>0.5</formula>
    </cfRule>
    <cfRule type="cellIs" dxfId="4604" priority="4288" operator="greaterThanOrEqual">
      <formula>1.5</formula>
    </cfRule>
  </conditionalFormatting>
  <conditionalFormatting sqref="N84">
    <cfRule type="cellIs" dxfId="4603" priority="4285" operator="lessThanOrEqual">
      <formula>0.5</formula>
    </cfRule>
    <cfRule type="cellIs" dxfId="4602" priority="4286" operator="greaterThanOrEqual">
      <formula>1.5</formula>
    </cfRule>
  </conditionalFormatting>
  <conditionalFormatting sqref="K84">
    <cfRule type="cellIs" dxfId="4601" priority="4283" operator="lessThanOrEqual">
      <formula>0.5</formula>
    </cfRule>
    <cfRule type="cellIs" dxfId="4600" priority="4284" operator="greaterThanOrEqual">
      <formula>1.5</formula>
    </cfRule>
  </conditionalFormatting>
  <conditionalFormatting sqref="L84">
    <cfRule type="cellIs" dxfId="4599" priority="4281" operator="lessThanOrEqual">
      <formula>0.5</formula>
    </cfRule>
    <cfRule type="cellIs" dxfId="4598" priority="4282" operator="greaterThanOrEqual">
      <formula>1.5</formula>
    </cfRule>
  </conditionalFormatting>
  <conditionalFormatting sqref="O87">
    <cfRule type="cellIs" dxfId="4597" priority="4279" operator="lessThanOrEqual">
      <formula>0.5</formula>
    </cfRule>
    <cfRule type="cellIs" dxfId="4596" priority="4280" operator="greaterThanOrEqual">
      <formula>1.5</formula>
    </cfRule>
  </conditionalFormatting>
  <conditionalFormatting sqref="N87">
    <cfRule type="cellIs" dxfId="4595" priority="4277" operator="lessThanOrEqual">
      <formula>0.5</formula>
    </cfRule>
    <cfRule type="cellIs" dxfId="4594" priority="4278" operator="greaterThanOrEqual">
      <formula>1.5</formula>
    </cfRule>
  </conditionalFormatting>
  <conditionalFormatting sqref="K87">
    <cfRule type="cellIs" dxfId="4593" priority="4275" operator="lessThanOrEqual">
      <formula>0.5</formula>
    </cfRule>
    <cfRule type="cellIs" dxfId="4592" priority="4276" operator="greaterThanOrEqual">
      <formula>1.5</formula>
    </cfRule>
  </conditionalFormatting>
  <conditionalFormatting sqref="L87">
    <cfRule type="cellIs" dxfId="4591" priority="4273" operator="lessThanOrEqual">
      <formula>0.5</formula>
    </cfRule>
    <cfRule type="cellIs" dxfId="4590" priority="4274" operator="greaterThanOrEqual">
      <formula>1.5</formula>
    </cfRule>
  </conditionalFormatting>
  <conditionalFormatting sqref="O90">
    <cfRule type="cellIs" dxfId="4589" priority="4271" operator="lessThanOrEqual">
      <formula>0.5</formula>
    </cfRule>
    <cfRule type="cellIs" dxfId="4588" priority="4272" operator="greaterThanOrEqual">
      <formula>1.5</formula>
    </cfRule>
  </conditionalFormatting>
  <conditionalFormatting sqref="N90">
    <cfRule type="cellIs" dxfId="4587" priority="4269" operator="lessThanOrEqual">
      <formula>0.5</formula>
    </cfRule>
    <cfRule type="cellIs" dxfId="4586" priority="4270" operator="greaterThanOrEqual">
      <formula>1.5</formula>
    </cfRule>
  </conditionalFormatting>
  <conditionalFormatting sqref="K90">
    <cfRule type="cellIs" dxfId="4585" priority="4267" operator="lessThanOrEqual">
      <formula>0.5</formula>
    </cfRule>
    <cfRule type="cellIs" dxfId="4584" priority="4268" operator="greaterThanOrEqual">
      <formula>1.5</formula>
    </cfRule>
  </conditionalFormatting>
  <conditionalFormatting sqref="L90">
    <cfRule type="cellIs" dxfId="4583" priority="4265" operator="lessThanOrEqual">
      <formula>0.5</formula>
    </cfRule>
    <cfRule type="cellIs" dxfId="4582" priority="4266" operator="greaterThanOrEqual">
      <formula>1.5</formula>
    </cfRule>
  </conditionalFormatting>
  <conditionalFormatting sqref="O93">
    <cfRule type="cellIs" dxfId="4581" priority="4263" operator="lessThanOrEqual">
      <formula>0.5</formula>
    </cfRule>
    <cfRule type="cellIs" dxfId="4580" priority="4264" operator="greaterThanOrEqual">
      <formula>1.5</formula>
    </cfRule>
  </conditionalFormatting>
  <conditionalFormatting sqref="N93">
    <cfRule type="cellIs" dxfId="4579" priority="4261" operator="lessThanOrEqual">
      <formula>0.5</formula>
    </cfRule>
    <cfRule type="cellIs" dxfId="4578" priority="4262" operator="greaterThanOrEqual">
      <formula>1.5</formula>
    </cfRule>
  </conditionalFormatting>
  <conditionalFormatting sqref="K93">
    <cfRule type="cellIs" dxfId="4577" priority="4259" operator="lessThanOrEqual">
      <formula>0.5</formula>
    </cfRule>
    <cfRule type="cellIs" dxfId="4576" priority="4260" operator="greaterThanOrEqual">
      <formula>1.5</formula>
    </cfRule>
  </conditionalFormatting>
  <conditionalFormatting sqref="L93">
    <cfRule type="cellIs" dxfId="4575" priority="4257" operator="lessThanOrEqual">
      <formula>0.5</formula>
    </cfRule>
    <cfRule type="cellIs" dxfId="4574" priority="4258" operator="greaterThanOrEqual">
      <formula>1.5</formula>
    </cfRule>
  </conditionalFormatting>
  <conditionalFormatting sqref="O96">
    <cfRule type="cellIs" dxfId="4573" priority="4255" operator="lessThanOrEqual">
      <formula>0.5</formula>
    </cfRule>
    <cfRule type="cellIs" dxfId="4572" priority="4256" operator="greaterThanOrEqual">
      <formula>1.5</formula>
    </cfRule>
  </conditionalFormatting>
  <conditionalFormatting sqref="N96">
    <cfRule type="cellIs" dxfId="4571" priority="4253" operator="lessThanOrEqual">
      <formula>0.5</formula>
    </cfRule>
    <cfRule type="cellIs" dxfId="4570" priority="4254" operator="greaterThanOrEqual">
      <formula>1.5</formula>
    </cfRule>
  </conditionalFormatting>
  <conditionalFormatting sqref="K96">
    <cfRule type="cellIs" dxfId="4569" priority="4251" operator="lessThanOrEqual">
      <formula>0.5</formula>
    </cfRule>
    <cfRule type="cellIs" dxfId="4568" priority="4252" operator="greaterThanOrEqual">
      <formula>1.5</formula>
    </cfRule>
  </conditionalFormatting>
  <conditionalFormatting sqref="L96">
    <cfRule type="cellIs" dxfId="4567" priority="4249" operator="lessThanOrEqual">
      <formula>0.5</formula>
    </cfRule>
    <cfRule type="cellIs" dxfId="4566" priority="4250" operator="greaterThanOrEqual">
      <formula>1.5</formula>
    </cfRule>
  </conditionalFormatting>
  <conditionalFormatting sqref="O99">
    <cfRule type="cellIs" dxfId="4565" priority="4247" operator="lessThanOrEqual">
      <formula>0.5</formula>
    </cfRule>
    <cfRule type="cellIs" dxfId="4564" priority="4248" operator="greaterThanOrEqual">
      <formula>1.5</formula>
    </cfRule>
  </conditionalFormatting>
  <conditionalFormatting sqref="N99">
    <cfRule type="cellIs" dxfId="4563" priority="4245" operator="lessThanOrEqual">
      <formula>0.5</formula>
    </cfRule>
    <cfRule type="cellIs" dxfId="4562" priority="4246" operator="greaterThanOrEqual">
      <formula>1.5</formula>
    </cfRule>
  </conditionalFormatting>
  <conditionalFormatting sqref="K99">
    <cfRule type="cellIs" dxfId="4561" priority="4243" operator="lessThanOrEqual">
      <formula>0.5</formula>
    </cfRule>
    <cfRule type="cellIs" dxfId="4560" priority="4244" operator="greaterThanOrEqual">
      <formula>1.5</formula>
    </cfRule>
  </conditionalFormatting>
  <conditionalFormatting sqref="L99">
    <cfRule type="cellIs" dxfId="4559" priority="4241" operator="lessThanOrEqual">
      <formula>0.5</formula>
    </cfRule>
    <cfRule type="cellIs" dxfId="4558" priority="4242" operator="greaterThanOrEqual">
      <formula>1.5</formula>
    </cfRule>
  </conditionalFormatting>
  <conditionalFormatting sqref="O102">
    <cfRule type="cellIs" dxfId="4557" priority="4239" operator="lessThanOrEqual">
      <formula>0.5</formula>
    </cfRule>
    <cfRule type="cellIs" dxfId="4556" priority="4240" operator="greaterThanOrEqual">
      <formula>1.5</formula>
    </cfRule>
  </conditionalFormatting>
  <conditionalFormatting sqref="N102">
    <cfRule type="cellIs" dxfId="4555" priority="4237" operator="lessThanOrEqual">
      <formula>0.5</formula>
    </cfRule>
    <cfRule type="cellIs" dxfId="4554" priority="4238" operator="greaterThanOrEqual">
      <formula>1.5</formula>
    </cfRule>
  </conditionalFormatting>
  <conditionalFormatting sqref="K102">
    <cfRule type="cellIs" dxfId="4553" priority="4235" operator="lessThanOrEqual">
      <formula>0.5</formula>
    </cfRule>
    <cfRule type="cellIs" dxfId="4552" priority="4236" operator="greaterThanOrEqual">
      <formula>1.5</formula>
    </cfRule>
  </conditionalFormatting>
  <conditionalFormatting sqref="L102">
    <cfRule type="cellIs" dxfId="4551" priority="4233" operator="lessThanOrEqual">
      <formula>0.5</formula>
    </cfRule>
    <cfRule type="cellIs" dxfId="4550" priority="4234" operator="greaterThanOrEqual">
      <formula>1.5</formula>
    </cfRule>
  </conditionalFormatting>
  <conditionalFormatting sqref="O105">
    <cfRule type="cellIs" dxfId="4549" priority="4231" operator="lessThanOrEqual">
      <formula>0.5</formula>
    </cfRule>
    <cfRule type="cellIs" dxfId="4548" priority="4232" operator="greaterThanOrEqual">
      <formula>1.5</formula>
    </cfRule>
  </conditionalFormatting>
  <conditionalFormatting sqref="N105">
    <cfRule type="cellIs" dxfId="4547" priority="4229" operator="lessThanOrEqual">
      <formula>0.5</formula>
    </cfRule>
    <cfRule type="cellIs" dxfId="4546" priority="4230" operator="greaterThanOrEqual">
      <formula>1.5</formula>
    </cfRule>
  </conditionalFormatting>
  <conditionalFormatting sqref="K105">
    <cfRule type="cellIs" dxfId="4545" priority="4227" operator="lessThanOrEqual">
      <formula>0.5</formula>
    </cfRule>
    <cfRule type="cellIs" dxfId="4544" priority="4228" operator="greaterThanOrEqual">
      <formula>1.5</formula>
    </cfRule>
  </conditionalFormatting>
  <conditionalFormatting sqref="L105">
    <cfRule type="cellIs" dxfId="4543" priority="4225" operator="lessThanOrEqual">
      <formula>0.5</formula>
    </cfRule>
    <cfRule type="cellIs" dxfId="4542" priority="4226" operator="greaterThanOrEqual">
      <formula>1.5</formula>
    </cfRule>
  </conditionalFormatting>
  <conditionalFormatting sqref="O108">
    <cfRule type="cellIs" dxfId="4541" priority="4223" operator="lessThanOrEqual">
      <formula>0.5</formula>
    </cfRule>
    <cfRule type="cellIs" dxfId="4540" priority="4224" operator="greaterThanOrEqual">
      <formula>1.5</formula>
    </cfRule>
  </conditionalFormatting>
  <conditionalFormatting sqref="N108">
    <cfRule type="cellIs" dxfId="4539" priority="4221" operator="lessThanOrEqual">
      <formula>0.5</formula>
    </cfRule>
    <cfRule type="cellIs" dxfId="4538" priority="4222" operator="greaterThanOrEqual">
      <formula>1.5</formula>
    </cfRule>
  </conditionalFormatting>
  <conditionalFormatting sqref="K108">
    <cfRule type="cellIs" dxfId="4537" priority="4219" operator="lessThanOrEqual">
      <formula>0.5</formula>
    </cfRule>
    <cfRule type="cellIs" dxfId="4536" priority="4220" operator="greaterThanOrEqual">
      <formula>1.5</formula>
    </cfRule>
  </conditionalFormatting>
  <conditionalFormatting sqref="L108">
    <cfRule type="cellIs" dxfId="4535" priority="4217" operator="lessThanOrEqual">
      <formula>0.5</formula>
    </cfRule>
    <cfRule type="cellIs" dxfId="4534" priority="4218" operator="greaterThanOrEqual">
      <formula>1.5</formula>
    </cfRule>
  </conditionalFormatting>
  <conditionalFormatting sqref="O111">
    <cfRule type="cellIs" dxfId="4533" priority="4215" operator="lessThanOrEqual">
      <formula>0.5</formula>
    </cfRule>
    <cfRule type="cellIs" dxfId="4532" priority="4216" operator="greaterThanOrEqual">
      <formula>1.5</formula>
    </cfRule>
  </conditionalFormatting>
  <conditionalFormatting sqref="N111">
    <cfRule type="cellIs" dxfId="4531" priority="4213" operator="lessThanOrEqual">
      <formula>0.5</formula>
    </cfRule>
    <cfRule type="cellIs" dxfId="4530" priority="4214" operator="greaterThanOrEqual">
      <formula>1.5</formula>
    </cfRule>
  </conditionalFormatting>
  <conditionalFormatting sqref="K111">
    <cfRule type="cellIs" dxfId="4529" priority="4211" operator="lessThanOrEqual">
      <formula>0.5</formula>
    </cfRule>
    <cfRule type="cellIs" dxfId="4528" priority="4212" operator="greaterThanOrEqual">
      <formula>1.5</formula>
    </cfRule>
  </conditionalFormatting>
  <conditionalFormatting sqref="L111">
    <cfRule type="cellIs" dxfId="4527" priority="4209" operator="lessThanOrEqual">
      <formula>0.5</formula>
    </cfRule>
    <cfRule type="cellIs" dxfId="4526" priority="4210" operator="greaterThanOrEqual">
      <formula>1.5</formula>
    </cfRule>
  </conditionalFormatting>
  <conditionalFormatting sqref="O114">
    <cfRule type="cellIs" dxfId="4525" priority="4207" operator="lessThanOrEqual">
      <formula>0.5</formula>
    </cfRule>
    <cfRule type="cellIs" dxfId="4524" priority="4208" operator="greaterThanOrEqual">
      <formula>1.5</formula>
    </cfRule>
  </conditionalFormatting>
  <conditionalFormatting sqref="N114">
    <cfRule type="cellIs" dxfId="4523" priority="4205" operator="lessThanOrEqual">
      <formula>0.5</formula>
    </cfRule>
    <cfRule type="cellIs" dxfId="4522" priority="4206" operator="greaterThanOrEqual">
      <formula>1.5</formula>
    </cfRule>
  </conditionalFormatting>
  <conditionalFormatting sqref="K114">
    <cfRule type="cellIs" dxfId="4521" priority="4203" operator="lessThanOrEqual">
      <formula>0.5</formula>
    </cfRule>
    <cfRule type="cellIs" dxfId="4520" priority="4204" operator="greaterThanOrEqual">
      <formula>1.5</formula>
    </cfRule>
  </conditionalFormatting>
  <conditionalFormatting sqref="L114">
    <cfRule type="cellIs" dxfId="4519" priority="4201" operator="lessThanOrEqual">
      <formula>0.5</formula>
    </cfRule>
    <cfRule type="cellIs" dxfId="4518" priority="4202" operator="greaterThanOrEqual">
      <formula>1.5</formula>
    </cfRule>
  </conditionalFormatting>
  <conditionalFormatting sqref="O117">
    <cfRule type="cellIs" dxfId="4517" priority="4199" operator="lessThanOrEqual">
      <formula>0.5</formula>
    </cfRule>
    <cfRule type="cellIs" dxfId="4516" priority="4200" operator="greaterThanOrEqual">
      <formula>1.5</formula>
    </cfRule>
  </conditionalFormatting>
  <conditionalFormatting sqref="N117">
    <cfRule type="cellIs" dxfId="4515" priority="4197" operator="lessThanOrEqual">
      <formula>0.5</formula>
    </cfRule>
    <cfRule type="cellIs" dxfId="4514" priority="4198" operator="greaterThanOrEqual">
      <formula>1.5</formula>
    </cfRule>
  </conditionalFormatting>
  <conditionalFormatting sqref="K117">
    <cfRule type="cellIs" dxfId="4513" priority="4195" operator="lessThanOrEqual">
      <formula>0.5</formula>
    </cfRule>
    <cfRule type="cellIs" dxfId="4512" priority="4196" operator="greaterThanOrEqual">
      <formula>1.5</formula>
    </cfRule>
  </conditionalFormatting>
  <conditionalFormatting sqref="L117">
    <cfRule type="cellIs" dxfId="4511" priority="4193" operator="lessThanOrEqual">
      <formula>0.5</formula>
    </cfRule>
    <cfRule type="cellIs" dxfId="4510" priority="4194" operator="greaterThanOrEqual">
      <formula>1.5</formula>
    </cfRule>
  </conditionalFormatting>
  <conditionalFormatting sqref="O120">
    <cfRule type="cellIs" dxfId="4509" priority="4191" operator="lessThanOrEqual">
      <formula>0.5</formula>
    </cfRule>
    <cfRule type="cellIs" dxfId="4508" priority="4192" operator="greaterThanOrEqual">
      <formula>1.5</formula>
    </cfRule>
  </conditionalFormatting>
  <conditionalFormatting sqref="N120">
    <cfRule type="cellIs" dxfId="4507" priority="4189" operator="lessThanOrEqual">
      <formula>0.5</formula>
    </cfRule>
    <cfRule type="cellIs" dxfId="4506" priority="4190" operator="greaterThanOrEqual">
      <formula>1.5</formula>
    </cfRule>
  </conditionalFormatting>
  <conditionalFormatting sqref="K120">
    <cfRule type="cellIs" dxfId="4505" priority="4187" operator="lessThanOrEqual">
      <formula>0.5</formula>
    </cfRule>
    <cfRule type="cellIs" dxfId="4504" priority="4188" operator="greaterThanOrEqual">
      <formula>1.5</formula>
    </cfRule>
  </conditionalFormatting>
  <conditionalFormatting sqref="L120">
    <cfRule type="cellIs" dxfId="4503" priority="4185" operator="lessThanOrEqual">
      <formula>0.5</formula>
    </cfRule>
    <cfRule type="cellIs" dxfId="4502" priority="4186" operator="greaterThanOrEqual">
      <formula>1.5</formula>
    </cfRule>
  </conditionalFormatting>
  <conditionalFormatting sqref="O123">
    <cfRule type="cellIs" dxfId="4501" priority="4183" operator="lessThanOrEqual">
      <formula>0.5</formula>
    </cfRule>
    <cfRule type="cellIs" dxfId="4500" priority="4184" operator="greaterThanOrEqual">
      <formula>1.5</formula>
    </cfRule>
  </conditionalFormatting>
  <conditionalFormatting sqref="N123">
    <cfRule type="cellIs" dxfId="4499" priority="4181" operator="lessThanOrEqual">
      <formula>0.5</formula>
    </cfRule>
    <cfRule type="cellIs" dxfId="4498" priority="4182" operator="greaterThanOrEqual">
      <formula>1.5</formula>
    </cfRule>
  </conditionalFormatting>
  <conditionalFormatting sqref="K123">
    <cfRule type="cellIs" dxfId="4497" priority="4179" operator="lessThanOrEqual">
      <formula>0.5</formula>
    </cfRule>
    <cfRule type="cellIs" dxfId="4496" priority="4180" operator="greaterThanOrEqual">
      <formula>1.5</formula>
    </cfRule>
  </conditionalFormatting>
  <conditionalFormatting sqref="L123">
    <cfRule type="cellIs" dxfId="4495" priority="4177" operator="lessThanOrEqual">
      <formula>0.5</formula>
    </cfRule>
    <cfRule type="cellIs" dxfId="4494" priority="4178" operator="greaterThanOrEqual">
      <formula>1.5</formula>
    </cfRule>
  </conditionalFormatting>
  <conditionalFormatting sqref="O126">
    <cfRule type="cellIs" dxfId="4493" priority="4175" operator="lessThanOrEqual">
      <formula>0.5</formula>
    </cfRule>
    <cfRule type="cellIs" dxfId="4492" priority="4176" operator="greaterThanOrEqual">
      <formula>1.5</formula>
    </cfRule>
  </conditionalFormatting>
  <conditionalFormatting sqref="N126">
    <cfRule type="cellIs" dxfId="4491" priority="4173" operator="lessThanOrEqual">
      <formula>0.5</formula>
    </cfRule>
    <cfRule type="cellIs" dxfId="4490" priority="4174" operator="greaterThanOrEqual">
      <formula>1.5</formula>
    </cfRule>
  </conditionalFormatting>
  <conditionalFormatting sqref="K126">
    <cfRule type="cellIs" dxfId="4489" priority="4171" operator="lessThanOrEqual">
      <formula>0.5</formula>
    </cfRule>
    <cfRule type="cellIs" dxfId="4488" priority="4172" operator="greaterThanOrEqual">
      <formula>1.5</formula>
    </cfRule>
  </conditionalFormatting>
  <conditionalFormatting sqref="L126">
    <cfRule type="cellIs" dxfId="4487" priority="4169" operator="lessThanOrEqual">
      <formula>0.5</formula>
    </cfRule>
    <cfRule type="cellIs" dxfId="4486" priority="4170" operator="greaterThanOrEqual">
      <formula>1.5</formula>
    </cfRule>
  </conditionalFormatting>
  <conditionalFormatting sqref="O129">
    <cfRule type="cellIs" dxfId="4485" priority="4167" operator="lessThanOrEqual">
      <formula>0.5</formula>
    </cfRule>
    <cfRule type="cellIs" dxfId="4484" priority="4168" operator="greaterThanOrEqual">
      <formula>1.5</formula>
    </cfRule>
  </conditionalFormatting>
  <conditionalFormatting sqref="N129">
    <cfRule type="cellIs" dxfId="4483" priority="4165" operator="lessThanOrEqual">
      <formula>0.5</formula>
    </cfRule>
    <cfRule type="cellIs" dxfId="4482" priority="4166" operator="greaterThanOrEqual">
      <formula>1.5</formula>
    </cfRule>
  </conditionalFormatting>
  <conditionalFormatting sqref="K129">
    <cfRule type="cellIs" dxfId="4481" priority="4163" operator="lessThanOrEqual">
      <formula>0.5</formula>
    </cfRule>
    <cfRule type="cellIs" dxfId="4480" priority="4164" operator="greaterThanOrEqual">
      <formula>1.5</formula>
    </cfRule>
  </conditionalFormatting>
  <conditionalFormatting sqref="L129">
    <cfRule type="cellIs" dxfId="4479" priority="4161" operator="lessThanOrEqual">
      <formula>0.5</formula>
    </cfRule>
    <cfRule type="cellIs" dxfId="4478" priority="4162" operator="greaterThanOrEqual">
      <formula>1.5</formula>
    </cfRule>
  </conditionalFormatting>
  <conditionalFormatting sqref="O132">
    <cfRule type="cellIs" dxfId="4477" priority="4159" operator="lessThanOrEqual">
      <formula>0.5</formula>
    </cfRule>
    <cfRule type="cellIs" dxfId="4476" priority="4160" operator="greaterThanOrEqual">
      <formula>1.5</formula>
    </cfRule>
  </conditionalFormatting>
  <conditionalFormatting sqref="N132">
    <cfRule type="cellIs" dxfId="4475" priority="4157" operator="lessThanOrEqual">
      <formula>0.5</formula>
    </cfRule>
    <cfRule type="cellIs" dxfId="4474" priority="4158" operator="greaterThanOrEqual">
      <formula>1.5</formula>
    </cfRule>
  </conditionalFormatting>
  <conditionalFormatting sqref="K132">
    <cfRule type="cellIs" dxfId="4473" priority="4155" operator="lessThanOrEqual">
      <formula>0.5</formula>
    </cfRule>
    <cfRule type="cellIs" dxfId="4472" priority="4156" operator="greaterThanOrEqual">
      <formula>1.5</formula>
    </cfRule>
  </conditionalFormatting>
  <conditionalFormatting sqref="L132">
    <cfRule type="cellIs" dxfId="4471" priority="4153" operator="lessThanOrEqual">
      <formula>0.5</formula>
    </cfRule>
    <cfRule type="cellIs" dxfId="4470" priority="4154" operator="greaterThanOrEqual">
      <formula>1.5</formula>
    </cfRule>
  </conditionalFormatting>
  <conditionalFormatting sqref="O135">
    <cfRule type="cellIs" dxfId="4469" priority="4151" operator="lessThanOrEqual">
      <formula>0.5</formula>
    </cfRule>
    <cfRule type="cellIs" dxfId="4468" priority="4152" operator="greaterThanOrEqual">
      <formula>1.5</formula>
    </cfRule>
  </conditionalFormatting>
  <conditionalFormatting sqref="N135">
    <cfRule type="cellIs" dxfId="4467" priority="4149" operator="lessThanOrEqual">
      <formula>0.5</formula>
    </cfRule>
    <cfRule type="cellIs" dxfId="4466" priority="4150" operator="greaterThanOrEqual">
      <formula>1.5</formula>
    </cfRule>
  </conditionalFormatting>
  <conditionalFormatting sqref="K135">
    <cfRule type="cellIs" dxfId="4465" priority="4147" operator="lessThanOrEqual">
      <formula>0.5</formula>
    </cfRule>
    <cfRule type="cellIs" dxfId="4464" priority="4148" operator="greaterThanOrEqual">
      <formula>1.5</formula>
    </cfRule>
  </conditionalFormatting>
  <conditionalFormatting sqref="L135">
    <cfRule type="cellIs" dxfId="4463" priority="4145" operator="lessThanOrEqual">
      <formula>0.5</formula>
    </cfRule>
    <cfRule type="cellIs" dxfId="4462" priority="4146" operator="greaterThanOrEqual">
      <formula>1.5</formula>
    </cfRule>
  </conditionalFormatting>
  <conditionalFormatting sqref="O138">
    <cfRule type="cellIs" dxfId="4461" priority="4143" operator="lessThanOrEqual">
      <formula>0.5</formula>
    </cfRule>
    <cfRule type="cellIs" dxfId="4460" priority="4144" operator="greaterThanOrEqual">
      <formula>1.5</formula>
    </cfRule>
  </conditionalFormatting>
  <conditionalFormatting sqref="N138">
    <cfRule type="cellIs" dxfId="4459" priority="4141" operator="lessThanOrEqual">
      <formula>0.5</formula>
    </cfRule>
    <cfRule type="cellIs" dxfId="4458" priority="4142" operator="greaterThanOrEqual">
      <formula>1.5</formula>
    </cfRule>
  </conditionalFormatting>
  <conditionalFormatting sqref="K138">
    <cfRule type="cellIs" dxfId="4457" priority="4139" operator="lessThanOrEqual">
      <formula>0.5</formula>
    </cfRule>
    <cfRule type="cellIs" dxfId="4456" priority="4140" operator="greaterThanOrEqual">
      <formula>1.5</formula>
    </cfRule>
  </conditionalFormatting>
  <conditionalFormatting sqref="L138">
    <cfRule type="cellIs" dxfId="4455" priority="4137" operator="lessThanOrEqual">
      <formula>0.5</formula>
    </cfRule>
    <cfRule type="cellIs" dxfId="4454" priority="4138" operator="greaterThanOrEqual">
      <formula>1.5</formula>
    </cfRule>
  </conditionalFormatting>
  <conditionalFormatting sqref="O141">
    <cfRule type="cellIs" dxfId="4453" priority="4135" operator="lessThanOrEqual">
      <formula>0.5</formula>
    </cfRule>
    <cfRule type="cellIs" dxfId="4452" priority="4136" operator="greaterThanOrEqual">
      <formula>1.5</formula>
    </cfRule>
  </conditionalFormatting>
  <conditionalFormatting sqref="N141">
    <cfRule type="cellIs" dxfId="4451" priority="4133" operator="lessThanOrEqual">
      <formula>0.5</formula>
    </cfRule>
    <cfRule type="cellIs" dxfId="4450" priority="4134" operator="greaterThanOrEqual">
      <formula>1.5</formula>
    </cfRule>
  </conditionalFormatting>
  <conditionalFormatting sqref="K141">
    <cfRule type="cellIs" dxfId="4449" priority="4131" operator="lessThanOrEqual">
      <formula>0.5</formula>
    </cfRule>
    <cfRule type="cellIs" dxfId="4448" priority="4132" operator="greaterThanOrEqual">
      <formula>1.5</formula>
    </cfRule>
  </conditionalFormatting>
  <conditionalFormatting sqref="L141">
    <cfRule type="cellIs" dxfId="4447" priority="4129" operator="lessThanOrEqual">
      <formula>0.5</formula>
    </cfRule>
    <cfRule type="cellIs" dxfId="4446" priority="4130" operator="greaterThanOrEqual">
      <formula>1.5</formula>
    </cfRule>
  </conditionalFormatting>
  <conditionalFormatting sqref="O144">
    <cfRule type="cellIs" dxfId="4445" priority="4127" operator="lessThanOrEqual">
      <formula>0.5</formula>
    </cfRule>
    <cfRule type="cellIs" dxfId="4444" priority="4128" operator="greaterThanOrEqual">
      <formula>1.5</formula>
    </cfRule>
  </conditionalFormatting>
  <conditionalFormatting sqref="N144">
    <cfRule type="cellIs" dxfId="4443" priority="4125" operator="lessThanOrEqual">
      <formula>0.5</formula>
    </cfRule>
    <cfRule type="cellIs" dxfId="4442" priority="4126" operator="greaterThanOrEqual">
      <formula>1.5</formula>
    </cfRule>
  </conditionalFormatting>
  <conditionalFormatting sqref="K144">
    <cfRule type="cellIs" dxfId="4441" priority="4123" operator="lessThanOrEqual">
      <formula>0.5</formula>
    </cfRule>
    <cfRule type="cellIs" dxfId="4440" priority="4124" operator="greaterThanOrEqual">
      <formula>1.5</formula>
    </cfRule>
  </conditionalFormatting>
  <conditionalFormatting sqref="L144">
    <cfRule type="cellIs" dxfId="4439" priority="4121" operator="lessThanOrEqual">
      <formula>0.5</formula>
    </cfRule>
    <cfRule type="cellIs" dxfId="4438" priority="4122" operator="greaterThanOrEqual">
      <formula>1.5</formula>
    </cfRule>
  </conditionalFormatting>
  <conditionalFormatting sqref="O147">
    <cfRule type="cellIs" dxfId="4437" priority="4119" operator="lessThanOrEqual">
      <formula>0.5</formula>
    </cfRule>
    <cfRule type="cellIs" dxfId="4436" priority="4120" operator="greaterThanOrEqual">
      <formula>1.5</formula>
    </cfRule>
  </conditionalFormatting>
  <conditionalFormatting sqref="N147">
    <cfRule type="cellIs" dxfId="4435" priority="4117" operator="lessThanOrEqual">
      <formula>0.5</formula>
    </cfRule>
    <cfRule type="cellIs" dxfId="4434" priority="4118" operator="greaterThanOrEqual">
      <formula>1.5</formula>
    </cfRule>
  </conditionalFormatting>
  <conditionalFormatting sqref="K147">
    <cfRule type="cellIs" dxfId="4433" priority="4115" operator="lessThanOrEqual">
      <formula>0.5</formula>
    </cfRule>
    <cfRule type="cellIs" dxfId="4432" priority="4116" operator="greaterThanOrEqual">
      <formula>1.5</formula>
    </cfRule>
  </conditionalFormatting>
  <conditionalFormatting sqref="L147">
    <cfRule type="cellIs" dxfId="4431" priority="4113" operator="lessThanOrEqual">
      <formula>0.5</formula>
    </cfRule>
    <cfRule type="cellIs" dxfId="4430" priority="4114" operator="greaterThanOrEqual">
      <formula>1.5</formula>
    </cfRule>
  </conditionalFormatting>
  <conditionalFormatting sqref="O150">
    <cfRule type="cellIs" dxfId="4429" priority="4111" operator="lessThanOrEqual">
      <formula>0.5</formula>
    </cfRule>
    <cfRule type="cellIs" dxfId="4428" priority="4112" operator="greaterThanOrEqual">
      <formula>1.5</formula>
    </cfRule>
  </conditionalFormatting>
  <conditionalFormatting sqref="N150">
    <cfRule type="cellIs" dxfId="4427" priority="4109" operator="lessThanOrEqual">
      <formula>0.5</formula>
    </cfRule>
    <cfRule type="cellIs" dxfId="4426" priority="4110" operator="greaterThanOrEqual">
      <formula>1.5</formula>
    </cfRule>
  </conditionalFormatting>
  <conditionalFormatting sqref="K150">
    <cfRule type="cellIs" dxfId="4425" priority="4107" operator="lessThanOrEqual">
      <formula>0.5</formula>
    </cfRule>
    <cfRule type="cellIs" dxfId="4424" priority="4108" operator="greaterThanOrEqual">
      <formula>1.5</formula>
    </cfRule>
  </conditionalFormatting>
  <conditionalFormatting sqref="L150">
    <cfRule type="cellIs" dxfId="4423" priority="4105" operator="lessThanOrEqual">
      <formula>0.5</formula>
    </cfRule>
    <cfRule type="cellIs" dxfId="4422" priority="4106" operator="greaterThanOrEqual">
      <formula>1.5</formula>
    </cfRule>
  </conditionalFormatting>
  <conditionalFormatting sqref="O153">
    <cfRule type="cellIs" dxfId="4421" priority="4103" operator="lessThanOrEqual">
      <formula>0.5</formula>
    </cfRule>
    <cfRule type="cellIs" dxfId="4420" priority="4104" operator="greaterThanOrEqual">
      <formula>1.5</formula>
    </cfRule>
  </conditionalFormatting>
  <conditionalFormatting sqref="N153">
    <cfRule type="cellIs" dxfId="4419" priority="4101" operator="lessThanOrEqual">
      <formula>0.5</formula>
    </cfRule>
    <cfRule type="cellIs" dxfId="4418" priority="4102" operator="greaterThanOrEqual">
      <formula>1.5</formula>
    </cfRule>
  </conditionalFormatting>
  <conditionalFormatting sqref="K153">
    <cfRule type="cellIs" dxfId="4417" priority="4099" operator="lessThanOrEqual">
      <formula>0.5</formula>
    </cfRule>
    <cfRule type="cellIs" dxfId="4416" priority="4100" operator="greaterThanOrEqual">
      <formula>1.5</formula>
    </cfRule>
  </conditionalFormatting>
  <conditionalFormatting sqref="L153">
    <cfRule type="cellIs" dxfId="4415" priority="4097" operator="lessThanOrEqual">
      <formula>0.5</formula>
    </cfRule>
    <cfRule type="cellIs" dxfId="4414" priority="4098" operator="greaterThanOrEqual">
      <formula>1.5</formula>
    </cfRule>
  </conditionalFormatting>
  <conditionalFormatting sqref="O156">
    <cfRule type="cellIs" dxfId="4413" priority="4095" operator="lessThanOrEqual">
      <formula>0.5</formula>
    </cfRule>
    <cfRule type="cellIs" dxfId="4412" priority="4096" operator="greaterThanOrEqual">
      <formula>1.5</formula>
    </cfRule>
  </conditionalFormatting>
  <conditionalFormatting sqref="N156">
    <cfRule type="cellIs" dxfId="4411" priority="4093" operator="lessThanOrEqual">
      <formula>0.5</formula>
    </cfRule>
    <cfRule type="cellIs" dxfId="4410" priority="4094" operator="greaterThanOrEqual">
      <formula>1.5</formula>
    </cfRule>
  </conditionalFormatting>
  <conditionalFormatting sqref="K156">
    <cfRule type="cellIs" dxfId="4409" priority="4091" operator="lessThanOrEqual">
      <formula>0.5</formula>
    </cfRule>
    <cfRule type="cellIs" dxfId="4408" priority="4092" operator="greaterThanOrEqual">
      <formula>1.5</formula>
    </cfRule>
  </conditionalFormatting>
  <conditionalFormatting sqref="L156">
    <cfRule type="cellIs" dxfId="4407" priority="4089" operator="lessThanOrEqual">
      <formula>0.5</formula>
    </cfRule>
    <cfRule type="cellIs" dxfId="4406" priority="4090" operator="greaterThanOrEqual">
      <formula>1.5</formula>
    </cfRule>
  </conditionalFormatting>
  <conditionalFormatting sqref="O159">
    <cfRule type="cellIs" dxfId="4405" priority="4087" operator="lessThanOrEqual">
      <formula>0.5</formula>
    </cfRule>
    <cfRule type="cellIs" dxfId="4404" priority="4088" operator="greaterThanOrEqual">
      <formula>1.5</formula>
    </cfRule>
  </conditionalFormatting>
  <conditionalFormatting sqref="N159">
    <cfRule type="cellIs" dxfId="4403" priority="4085" operator="lessThanOrEqual">
      <formula>0.5</formula>
    </cfRule>
    <cfRule type="cellIs" dxfId="4402" priority="4086" operator="greaterThanOrEqual">
      <formula>1.5</formula>
    </cfRule>
  </conditionalFormatting>
  <conditionalFormatting sqref="K159">
    <cfRule type="cellIs" dxfId="4401" priority="4083" operator="lessThanOrEqual">
      <formula>0.5</formula>
    </cfRule>
    <cfRule type="cellIs" dxfId="4400" priority="4084" operator="greaterThanOrEqual">
      <formula>1.5</formula>
    </cfRule>
  </conditionalFormatting>
  <conditionalFormatting sqref="L159">
    <cfRule type="cellIs" dxfId="4399" priority="4081" operator="lessThanOrEqual">
      <formula>0.5</formula>
    </cfRule>
    <cfRule type="cellIs" dxfId="4398" priority="4082" operator="greaterThanOrEqual">
      <formula>1.5</formula>
    </cfRule>
  </conditionalFormatting>
  <conditionalFormatting sqref="O162">
    <cfRule type="cellIs" dxfId="4397" priority="4079" operator="lessThanOrEqual">
      <formula>0.5</formula>
    </cfRule>
    <cfRule type="cellIs" dxfId="4396" priority="4080" operator="greaterThanOrEqual">
      <formula>1.5</formula>
    </cfRule>
  </conditionalFormatting>
  <conditionalFormatting sqref="N162">
    <cfRule type="cellIs" dxfId="4395" priority="4077" operator="lessThanOrEqual">
      <formula>0.5</formula>
    </cfRule>
    <cfRule type="cellIs" dxfId="4394" priority="4078" operator="greaterThanOrEqual">
      <formula>1.5</formula>
    </cfRule>
  </conditionalFormatting>
  <conditionalFormatting sqref="K162">
    <cfRule type="cellIs" dxfId="4393" priority="4075" operator="lessThanOrEqual">
      <formula>0.5</formula>
    </cfRule>
    <cfRule type="cellIs" dxfId="4392" priority="4076" operator="greaterThanOrEqual">
      <formula>1.5</formula>
    </cfRule>
  </conditionalFormatting>
  <conditionalFormatting sqref="L162">
    <cfRule type="cellIs" dxfId="4391" priority="4073" operator="lessThanOrEqual">
      <formula>0.5</formula>
    </cfRule>
    <cfRule type="cellIs" dxfId="4390" priority="4074" operator="greaterThanOrEqual">
      <formula>1.5</formula>
    </cfRule>
  </conditionalFormatting>
  <conditionalFormatting sqref="O165">
    <cfRule type="cellIs" dxfId="4389" priority="4071" operator="lessThanOrEqual">
      <formula>0.5</formula>
    </cfRule>
    <cfRule type="cellIs" dxfId="4388" priority="4072" operator="greaterThanOrEqual">
      <formula>1.5</formula>
    </cfRule>
  </conditionalFormatting>
  <conditionalFormatting sqref="N165">
    <cfRule type="cellIs" dxfId="4387" priority="4069" operator="lessThanOrEqual">
      <formula>0.5</formula>
    </cfRule>
    <cfRule type="cellIs" dxfId="4386" priority="4070" operator="greaterThanOrEqual">
      <formula>1.5</formula>
    </cfRule>
  </conditionalFormatting>
  <conditionalFormatting sqref="K165">
    <cfRule type="cellIs" dxfId="4385" priority="4067" operator="lessThanOrEqual">
      <formula>0.5</formula>
    </cfRule>
    <cfRule type="cellIs" dxfId="4384" priority="4068" operator="greaterThanOrEqual">
      <formula>1.5</formula>
    </cfRule>
  </conditionalFormatting>
  <conditionalFormatting sqref="L165">
    <cfRule type="cellIs" dxfId="4383" priority="4065" operator="lessThanOrEqual">
      <formula>0.5</formula>
    </cfRule>
    <cfRule type="cellIs" dxfId="4382" priority="4066" operator="greaterThanOrEqual">
      <formula>1.5</formula>
    </cfRule>
  </conditionalFormatting>
  <conditionalFormatting sqref="O168">
    <cfRule type="cellIs" dxfId="4381" priority="4063" operator="lessThanOrEqual">
      <formula>0.5</formula>
    </cfRule>
    <cfRule type="cellIs" dxfId="4380" priority="4064" operator="greaterThanOrEqual">
      <formula>1.5</formula>
    </cfRule>
  </conditionalFormatting>
  <conditionalFormatting sqref="N168">
    <cfRule type="cellIs" dxfId="4379" priority="4061" operator="lessThanOrEqual">
      <formula>0.5</formula>
    </cfRule>
    <cfRule type="cellIs" dxfId="4378" priority="4062" operator="greaterThanOrEqual">
      <formula>1.5</formula>
    </cfRule>
  </conditionalFormatting>
  <conditionalFormatting sqref="K168">
    <cfRule type="cellIs" dxfId="4377" priority="4059" operator="lessThanOrEqual">
      <formula>0.5</formula>
    </cfRule>
    <cfRule type="cellIs" dxfId="4376" priority="4060" operator="greaterThanOrEqual">
      <formula>1.5</formula>
    </cfRule>
  </conditionalFormatting>
  <conditionalFormatting sqref="L168">
    <cfRule type="cellIs" dxfId="4375" priority="4057" operator="lessThanOrEqual">
      <formula>0.5</formula>
    </cfRule>
    <cfRule type="cellIs" dxfId="4374" priority="4058" operator="greaterThanOrEqual">
      <formula>1.5</formula>
    </cfRule>
  </conditionalFormatting>
  <conditionalFormatting sqref="O171">
    <cfRule type="cellIs" dxfId="4373" priority="4055" operator="lessThanOrEqual">
      <formula>0.5</formula>
    </cfRule>
    <cfRule type="cellIs" dxfId="4372" priority="4056" operator="greaterThanOrEqual">
      <formula>1.5</formula>
    </cfRule>
  </conditionalFormatting>
  <conditionalFormatting sqref="N171">
    <cfRule type="cellIs" dxfId="4371" priority="4053" operator="lessThanOrEqual">
      <formula>0.5</formula>
    </cfRule>
    <cfRule type="cellIs" dxfId="4370" priority="4054" operator="greaterThanOrEqual">
      <formula>1.5</formula>
    </cfRule>
  </conditionalFormatting>
  <conditionalFormatting sqref="K171">
    <cfRule type="cellIs" dxfId="4369" priority="4051" operator="lessThanOrEqual">
      <formula>0.5</formula>
    </cfRule>
    <cfRule type="cellIs" dxfId="4368" priority="4052" operator="greaterThanOrEqual">
      <formula>1.5</formula>
    </cfRule>
  </conditionalFormatting>
  <conditionalFormatting sqref="L171">
    <cfRule type="cellIs" dxfId="4367" priority="4049" operator="lessThanOrEqual">
      <formula>0.5</formula>
    </cfRule>
    <cfRule type="cellIs" dxfId="4366" priority="4050" operator="greaterThanOrEqual">
      <formula>1.5</formula>
    </cfRule>
  </conditionalFormatting>
  <conditionalFormatting sqref="O174">
    <cfRule type="cellIs" dxfId="4365" priority="4047" operator="lessThanOrEqual">
      <formula>0.5</formula>
    </cfRule>
    <cfRule type="cellIs" dxfId="4364" priority="4048" operator="greaterThanOrEqual">
      <formula>1.5</formula>
    </cfRule>
  </conditionalFormatting>
  <conditionalFormatting sqref="N174">
    <cfRule type="cellIs" dxfId="4363" priority="4045" operator="lessThanOrEqual">
      <formula>0.5</formula>
    </cfRule>
    <cfRule type="cellIs" dxfId="4362" priority="4046" operator="greaterThanOrEqual">
      <formula>1.5</formula>
    </cfRule>
  </conditionalFormatting>
  <conditionalFormatting sqref="K174">
    <cfRule type="cellIs" dxfId="4361" priority="4043" operator="lessThanOrEqual">
      <formula>0.5</formula>
    </cfRule>
    <cfRule type="cellIs" dxfId="4360" priority="4044" operator="greaterThanOrEqual">
      <formula>1.5</formula>
    </cfRule>
  </conditionalFormatting>
  <conditionalFormatting sqref="L174">
    <cfRule type="cellIs" dxfId="4359" priority="4041" operator="lessThanOrEqual">
      <formula>0.5</formula>
    </cfRule>
    <cfRule type="cellIs" dxfId="4358" priority="4042" operator="greaterThanOrEqual">
      <formula>1.5</formula>
    </cfRule>
  </conditionalFormatting>
  <conditionalFormatting sqref="O177">
    <cfRule type="cellIs" dxfId="4357" priority="4039" operator="lessThanOrEqual">
      <formula>0.5</formula>
    </cfRule>
    <cfRule type="cellIs" dxfId="4356" priority="4040" operator="greaterThanOrEqual">
      <formula>1.5</formula>
    </cfRule>
  </conditionalFormatting>
  <conditionalFormatting sqref="N177">
    <cfRule type="cellIs" dxfId="4355" priority="4037" operator="lessThanOrEqual">
      <formula>0.5</formula>
    </cfRule>
    <cfRule type="cellIs" dxfId="4354" priority="4038" operator="greaterThanOrEqual">
      <formula>1.5</formula>
    </cfRule>
  </conditionalFormatting>
  <conditionalFormatting sqref="K177">
    <cfRule type="cellIs" dxfId="4353" priority="4035" operator="lessThanOrEqual">
      <formula>0.5</formula>
    </cfRule>
    <cfRule type="cellIs" dxfId="4352" priority="4036" operator="greaterThanOrEqual">
      <formula>1.5</formula>
    </cfRule>
  </conditionalFormatting>
  <conditionalFormatting sqref="L177">
    <cfRule type="cellIs" dxfId="4351" priority="4033" operator="lessThanOrEqual">
      <formula>0.5</formula>
    </cfRule>
    <cfRule type="cellIs" dxfId="4350" priority="4034" operator="greaterThanOrEqual">
      <formula>1.5</formula>
    </cfRule>
  </conditionalFormatting>
  <conditionalFormatting sqref="O180">
    <cfRule type="cellIs" dxfId="4349" priority="4031" operator="lessThanOrEqual">
      <formula>0.5</formula>
    </cfRule>
    <cfRule type="cellIs" dxfId="4348" priority="4032" operator="greaterThanOrEqual">
      <formula>1.5</formula>
    </cfRule>
  </conditionalFormatting>
  <conditionalFormatting sqref="N180">
    <cfRule type="cellIs" dxfId="4347" priority="4029" operator="lessThanOrEqual">
      <formula>0.5</formula>
    </cfRule>
    <cfRule type="cellIs" dxfId="4346" priority="4030" operator="greaterThanOrEqual">
      <formula>1.5</formula>
    </cfRule>
  </conditionalFormatting>
  <conditionalFormatting sqref="K180">
    <cfRule type="cellIs" dxfId="4345" priority="4027" operator="lessThanOrEqual">
      <formula>0.5</formula>
    </cfRule>
    <cfRule type="cellIs" dxfId="4344" priority="4028" operator="greaterThanOrEqual">
      <formula>1.5</formula>
    </cfRule>
  </conditionalFormatting>
  <conditionalFormatting sqref="L180">
    <cfRule type="cellIs" dxfId="4343" priority="4025" operator="lessThanOrEqual">
      <formula>0.5</formula>
    </cfRule>
    <cfRule type="cellIs" dxfId="4342" priority="4026" operator="greaterThanOrEqual">
      <formula>1.5</formula>
    </cfRule>
  </conditionalFormatting>
  <conditionalFormatting sqref="O183">
    <cfRule type="cellIs" dxfId="4341" priority="4023" operator="lessThanOrEqual">
      <formula>0.5</formula>
    </cfRule>
    <cfRule type="cellIs" dxfId="4340" priority="4024" operator="greaterThanOrEqual">
      <formula>1.5</formula>
    </cfRule>
  </conditionalFormatting>
  <conditionalFormatting sqref="N183">
    <cfRule type="cellIs" dxfId="4339" priority="4021" operator="lessThanOrEqual">
      <formula>0.5</formula>
    </cfRule>
    <cfRule type="cellIs" dxfId="4338" priority="4022" operator="greaterThanOrEqual">
      <formula>1.5</formula>
    </cfRule>
  </conditionalFormatting>
  <conditionalFormatting sqref="K183">
    <cfRule type="cellIs" dxfId="4337" priority="4019" operator="lessThanOrEqual">
      <formula>0.5</formula>
    </cfRule>
    <cfRule type="cellIs" dxfId="4336" priority="4020" operator="greaterThanOrEqual">
      <formula>1.5</formula>
    </cfRule>
  </conditionalFormatting>
  <conditionalFormatting sqref="L183">
    <cfRule type="cellIs" dxfId="4335" priority="4017" operator="lessThanOrEqual">
      <formula>0.5</formula>
    </cfRule>
    <cfRule type="cellIs" dxfId="4334" priority="4018" operator="greaterThanOrEqual">
      <formula>1.5</formula>
    </cfRule>
  </conditionalFormatting>
  <conditionalFormatting sqref="O186">
    <cfRule type="cellIs" dxfId="4333" priority="4015" operator="lessThanOrEqual">
      <formula>0.5</formula>
    </cfRule>
    <cfRule type="cellIs" dxfId="4332" priority="4016" operator="greaterThanOrEqual">
      <formula>1.5</formula>
    </cfRule>
  </conditionalFormatting>
  <conditionalFormatting sqref="N186">
    <cfRule type="cellIs" dxfId="4331" priority="4013" operator="lessThanOrEqual">
      <formula>0.5</formula>
    </cfRule>
    <cfRule type="cellIs" dxfId="4330" priority="4014" operator="greaterThanOrEqual">
      <formula>1.5</formula>
    </cfRule>
  </conditionalFormatting>
  <conditionalFormatting sqref="K186">
    <cfRule type="cellIs" dxfId="4329" priority="4011" operator="lessThanOrEqual">
      <formula>0.5</formula>
    </cfRule>
    <cfRule type="cellIs" dxfId="4328" priority="4012" operator="greaterThanOrEqual">
      <formula>1.5</formula>
    </cfRule>
  </conditionalFormatting>
  <conditionalFormatting sqref="L186">
    <cfRule type="cellIs" dxfId="4327" priority="4009" operator="lessThanOrEqual">
      <formula>0.5</formula>
    </cfRule>
    <cfRule type="cellIs" dxfId="4326" priority="4010" operator="greaterThanOrEqual">
      <formula>1.5</formula>
    </cfRule>
  </conditionalFormatting>
  <conditionalFormatting sqref="O189">
    <cfRule type="cellIs" dxfId="4325" priority="4007" operator="lessThanOrEqual">
      <formula>0.5</formula>
    </cfRule>
    <cfRule type="cellIs" dxfId="4324" priority="4008" operator="greaterThanOrEqual">
      <formula>1.5</formula>
    </cfRule>
  </conditionalFormatting>
  <conditionalFormatting sqref="N189">
    <cfRule type="cellIs" dxfId="4323" priority="4005" operator="lessThanOrEqual">
      <formula>0.5</formula>
    </cfRule>
    <cfRule type="cellIs" dxfId="4322" priority="4006" operator="greaterThanOrEqual">
      <formula>1.5</formula>
    </cfRule>
  </conditionalFormatting>
  <conditionalFormatting sqref="K189">
    <cfRule type="cellIs" dxfId="4321" priority="4003" operator="lessThanOrEqual">
      <formula>0.5</formula>
    </cfRule>
    <cfRule type="cellIs" dxfId="4320" priority="4004" operator="greaterThanOrEqual">
      <formula>1.5</formula>
    </cfRule>
  </conditionalFormatting>
  <conditionalFormatting sqref="L189">
    <cfRule type="cellIs" dxfId="4319" priority="4001" operator="lessThanOrEqual">
      <formula>0.5</formula>
    </cfRule>
    <cfRule type="cellIs" dxfId="4318" priority="4002" operator="greaterThanOrEqual">
      <formula>1.5</formula>
    </cfRule>
  </conditionalFormatting>
  <conditionalFormatting sqref="O192">
    <cfRule type="cellIs" dxfId="4317" priority="3999" operator="lessThanOrEqual">
      <formula>0.5</formula>
    </cfRule>
    <cfRule type="cellIs" dxfId="4316" priority="4000" operator="greaterThanOrEqual">
      <formula>1.5</formula>
    </cfRule>
  </conditionalFormatting>
  <conditionalFormatting sqref="N192">
    <cfRule type="cellIs" dxfId="4315" priority="3997" operator="lessThanOrEqual">
      <formula>0.5</formula>
    </cfRule>
    <cfRule type="cellIs" dxfId="4314" priority="3998" operator="greaterThanOrEqual">
      <formula>1.5</formula>
    </cfRule>
  </conditionalFormatting>
  <conditionalFormatting sqref="K192">
    <cfRule type="cellIs" dxfId="4313" priority="3995" operator="lessThanOrEqual">
      <formula>0.5</formula>
    </cfRule>
    <cfRule type="cellIs" dxfId="4312" priority="3996" operator="greaterThanOrEqual">
      <formula>1.5</formula>
    </cfRule>
  </conditionalFormatting>
  <conditionalFormatting sqref="L192">
    <cfRule type="cellIs" dxfId="4311" priority="3993" operator="lessThanOrEqual">
      <formula>0.5</formula>
    </cfRule>
    <cfRule type="cellIs" dxfId="4310" priority="3994" operator="greaterThanOrEqual">
      <formula>1.5</formula>
    </cfRule>
  </conditionalFormatting>
  <conditionalFormatting sqref="O195">
    <cfRule type="cellIs" dxfId="4309" priority="3991" operator="lessThanOrEqual">
      <formula>0.5</formula>
    </cfRule>
    <cfRule type="cellIs" dxfId="4308" priority="3992" operator="greaterThanOrEqual">
      <formula>1.5</formula>
    </cfRule>
  </conditionalFormatting>
  <conditionalFormatting sqref="N195">
    <cfRule type="cellIs" dxfId="4307" priority="3989" operator="lessThanOrEqual">
      <formula>0.5</formula>
    </cfRule>
    <cfRule type="cellIs" dxfId="4306" priority="3990" operator="greaterThanOrEqual">
      <formula>1.5</formula>
    </cfRule>
  </conditionalFormatting>
  <conditionalFormatting sqref="K195">
    <cfRule type="cellIs" dxfId="4305" priority="3987" operator="lessThanOrEqual">
      <formula>0.5</formula>
    </cfRule>
    <cfRule type="cellIs" dxfId="4304" priority="3988" operator="greaterThanOrEqual">
      <formula>1.5</formula>
    </cfRule>
  </conditionalFormatting>
  <conditionalFormatting sqref="L195">
    <cfRule type="cellIs" dxfId="4303" priority="3985" operator="lessThanOrEqual">
      <formula>0.5</formula>
    </cfRule>
    <cfRule type="cellIs" dxfId="4302" priority="3986" operator="greaterThanOrEqual">
      <formula>1.5</formula>
    </cfRule>
  </conditionalFormatting>
  <conditionalFormatting sqref="O198">
    <cfRule type="cellIs" dxfId="4301" priority="3983" operator="lessThanOrEqual">
      <formula>0.5</formula>
    </cfRule>
    <cfRule type="cellIs" dxfId="4300" priority="3984" operator="greaterThanOrEqual">
      <formula>1.5</formula>
    </cfRule>
  </conditionalFormatting>
  <conditionalFormatting sqref="N198">
    <cfRule type="cellIs" dxfId="4299" priority="3981" operator="lessThanOrEqual">
      <formula>0.5</formula>
    </cfRule>
    <cfRule type="cellIs" dxfId="4298" priority="3982" operator="greaterThanOrEqual">
      <formula>1.5</formula>
    </cfRule>
  </conditionalFormatting>
  <conditionalFormatting sqref="K198">
    <cfRule type="cellIs" dxfId="4297" priority="3979" operator="lessThanOrEqual">
      <formula>0.5</formula>
    </cfRule>
    <cfRule type="cellIs" dxfId="4296" priority="3980" operator="greaterThanOrEqual">
      <formula>1.5</formula>
    </cfRule>
  </conditionalFormatting>
  <conditionalFormatting sqref="L198">
    <cfRule type="cellIs" dxfId="4295" priority="3977" operator="lessThanOrEqual">
      <formula>0.5</formula>
    </cfRule>
    <cfRule type="cellIs" dxfId="4294" priority="3978" operator="greaterThanOrEqual">
      <formula>1.5</formula>
    </cfRule>
  </conditionalFormatting>
  <conditionalFormatting sqref="O201">
    <cfRule type="cellIs" dxfId="4293" priority="3975" operator="lessThanOrEqual">
      <formula>0.5</formula>
    </cfRule>
    <cfRule type="cellIs" dxfId="4292" priority="3976" operator="greaterThanOrEqual">
      <formula>1.5</formula>
    </cfRule>
  </conditionalFormatting>
  <conditionalFormatting sqref="N201">
    <cfRule type="cellIs" dxfId="4291" priority="3973" operator="lessThanOrEqual">
      <formula>0.5</formula>
    </cfRule>
    <cfRule type="cellIs" dxfId="4290" priority="3974" operator="greaterThanOrEqual">
      <formula>1.5</formula>
    </cfRule>
  </conditionalFormatting>
  <conditionalFormatting sqref="K201">
    <cfRule type="cellIs" dxfId="4289" priority="3971" operator="lessThanOrEqual">
      <formula>0.5</formula>
    </cfRule>
    <cfRule type="cellIs" dxfId="4288" priority="3972" operator="greaterThanOrEqual">
      <formula>1.5</formula>
    </cfRule>
  </conditionalFormatting>
  <conditionalFormatting sqref="L201">
    <cfRule type="cellIs" dxfId="4287" priority="3969" operator="lessThanOrEqual">
      <formula>0.5</formula>
    </cfRule>
    <cfRule type="cellIs" dxfId="4286" priority="3970" operator="greaterThanOrEqual">
      <formula>1.5</formula>
    </cfRule>
  </conditionalFormatting>
  <conditionalFormatting sqref="O204">
    <cfRule type="cellIs" dxfId="4285" priority="3967" operator="lessThanOrEqual">
      <formula>0.5</formula>
    </cfRule>
    <cfRule type="cellIs" dxfId="4284" priority="3968" operator="greaterThanOrEqual">
      <formula>1.5</formula>
    </cfRule>
  </conditionalFormatting>
  <conditionalFormatting sqref="N204">
    <cfRule type="cellIs" dxfId="4283" priority="3965" operator="lessThanOrEqual">
      <formula>0.5</formula>
    </cfRule>
    <cfRule type="cellIs" dxfId="4282" priority="3966" operator="greaterThanOrEqual">
      <formula>1.5</formula>
    </cfRule>
  </conditionalFormatting>
  <conditionalFormatting sqref="K204">
    <cfRule type="cellIs" dxfId="4281" priority="3963" operator="lessThanOrEqual">
      <formula>0.5</formula>
    </cfRule>
    <cfRule type="cellIs" dxfId="4280" priority="3964" operator="greaterThanOrEqual">
      <formula>1.5</formula>
    </cfRule>
  </conditionalFormatting>
  <conditionalFormatting sqref="L204">
    <cfRule type="cellIs" dxfId="4279" priority="3961" operator="lessThanOrEqual">
      <formula>0.5</formula>
    </cfRule>
    <cfRule type="cellIs" dxfId="4278" priority="3962" operator="greaterThanOrEqual">
      <formula>1.5</formula>
    </cfRule>
  </conditionalFormatting>
  <conditionalFormatting sqref="O207">
    <cfRule type="cellIs" dxfId="4277" priority="3959" operator="lessThanOrEqual">
      <formula>0.5</formula>
    </cfRule>
    <cfRule type="cellIs" dxfId="4276" priority="3960" operator="greaterThanOrEqual">
      <formula>1.5</formula>
    </cfRule>
  </conditionalFormatting>
  <conditionalFormatting sqref="N207">
    <cfRule type="cellIs" dxfId="4275" priority="3957" operator="lessThanOrEqual">
      <formula>0.5</formula>
    </cfRule>
    <cfRule type="cellIs" dxfId="4274" priority="3958" operator="greaterThanOrEqual">
      <formula>1.5</formula>
    </cfRule>
  </conditionalFormatting>
  <conditionalFormatting sqref="K207">
    <cfRule type="cellIs" dxfId="4273" priority="3955" operator="lessThanOrEqual">
      <formula>0.5</formula>
    </cfRule>
    <cfRule type="cellIs" dxfId="4272" priority="3956" operator="greaterThanOrEqual">
      <formula>1.5</formula>
    </cfRule>
  </conditionalFormatting>
  <conditionalFormatting sqref="L207">
    <cfRule type="cellIs" dxfId="4271" priority="3953" operator="lessThanOrEqual">
      <formula>0.5</formula>
    </cfRule>
    <cfRule type="cellIs" dxfId="4270" priority="3954" operator="greaterThanOrEqual">
      <formula>1.5</formula>
    </cfRule>
  </conditionalFormatting>
  <conditionalFormatting sqref="O210">
    <cfRule type="cellIs" dxfId="4269" priority="3951" operator="lessThanOrEqual">
      <formula>0.5</formula>
    </cfRule>
    <cfRule type="cellIs" dxfId="4268" priority="3952" operator="greaterThanOrEqual">
      <formula>1.5</formula>
    </cfRule>
  </conditionalFormatting>
  <conditionalFormatting sqref="N210">
    <cfRule type="cellIs" dxfId="4267" priority="3949" operator="lessThanOrEqual">
      <formula>0.5</formula>
    </cfRule>
    <cfRule type="cellIs" dxfId="4266" priority="3950" operator="greaterThanOrEqual">
      <formula>1.5</formula>
    </cfRule>
  </conditionalFormatting>
  <conditionalFormatting sqref="K210">
    <cfRule type="cellIs" dxfId="4265" priority="3947" operator="lessThanOrEqual">
      <formula>0.5</formula>
    </cfRule>
    <cfRule type="cellIs" dxfId="4264" priority="3948" operator="greaterThanOrEqual">
      <formula>1.5</formula>
    </cfRule>
  </conditionalFormatting>
  <conditionalFormatting sqref="L210">
    <cfRule type="cellIs" dxfId="4263" priority="3945" operator="lessThanOrEqual">
      <formula>0.5</formula>
    </cfRule>
    <cfRule type="cellIs" dxfId="4262" priority="3946" operator="greaterThanOrEqual">
      <formula>1.5</formula>
    </cfRule>
  </conditionalFormatting>
  <conditionalFormatting sqref="O213">
    <cfRule type="cellIs" dxfId="4261" priority="3943" operator="lessThanOrEqual">
      <formula>0.5</formula>
    </cfRule>
    <cfRule type="cellIs" dxfId="4260" priority="3944" operator="greaterThanOrEqual">
      <formula>1.5</formula>
    </cfRule>
  </conditionalFormatting>
  <conditionalFormatting sqref="N213">
    <cfRule type="cellIs" dxfId="4259" priority="3941" operator="lessThanOrEqual">
      <formula>0.5</formula>
    </cfRule>
    <cfRule type="cellIs" dxfId="4258" priority="3942" operator="greaterThanOrEqual">
      <formula>1.5</formula>
    </cfRule>
  </conditionalFormatting>
  <conditionalFormatting sqref="K213">
    <cfRule type="cellIs" dxfId="4257" priority="3939" operator="lessThanOrEqual">
      <formula>0.5</formula>
    </cfRule>
    <cfRule type="cellIs" dxfId="4256" priority="3940" operator="greaterThanOrEqual">
      <formula>1.5</formula>
    </cfRule>
  </conditionalFormatting>
  <conditionalFormatting sqref="L213">
    <cfRule type="cellIs" dxfId="4255" priority="3937" operator="lessThanOrEqual">
      <formula>0.5</formula>
    </cfRule>
    <cfRule type="cellIs" dxfId="4254" priority="3938" operator="greaterThanOrEqual">
      <formula>1.5</formula>
    </cfRule>
  </conditionalFormatting>
  <conditionalFormatting sqref="O216">
    <cfRule type="cellIs" dxfId="4253" priority="3935" operator="lessThanOrEqual">
      <formula>0.5</formula>
    </cfRule>
    <cfRule type="cellIs" dxfId="4252" priority="3936" operator="greaterThanOrEqual">
      <formula>1.5</formula>
    </cfRule>
  </conditionalFormatting>
  <conditionalFormatting sqref="N216">
    <cfRule type="cellIs" dxfId="4251" priority="3933" operator="lessThanOrEqual">
      <formula>0.5</formula>
    </cfRule>
    <cfRule type="cellIs" dxfId="4250" priority="3934" operator="greaterThanOrEqual">
      <formula>1.5</formula>
    </cfRule>
  </conditionalFormatting>
  <conditionalFormatting sqref="K216">
    <cfRule type="cellIs" dxfId="4249" priority="3931" operator="lessThanOrEqual">
      <formula>0.5</formula>
    </cfRule>
    <cfRule type="cellIs" dxfId="4248" priority="3932" operator="greaterThanOrEqual">
      <formula>1.5</formula>
    </cfRule>
  </conditionalFormatting>
  <conditionalFormatting sqref="L216">
    <cfRule type="cellIs" dxfId="4247" priority="3929" operator="lessThanOrEqual">
      <formula>0.5</formula>
    </cfRule>
    <cfRule type="cellIs" dxfId="4246" priority="3930" operator="greaterThanOrEqual">
      <formula>1.5</formula>
    </cfRule>
  </conditionalFormatting>
  <conditionalFormatting sqref="O219">
    <cfRule type="cellIs" dxfId="4245" priority="3927" operator="lessThanOrEqual">
      <formula>0.5</formula>
    </cfRule>
    <cfRule type="cellIs" dxfId="4244" priority="3928" operator="greaterThanOrEqual">
      <formula>1.5</formula>
    </cfRule>
  </conditionalFormatting>
  <conditionalFormatting sqref="N219">
    <cfRule type="cellIs" dxfId="4243" priority="3925" operator="lessThanOrEqual">
      <formula>0.5</formula>
    </cfRule>
    <cfRule type="cellIs" dxfId="4242" priority="3926" operator="greaterThanOrEqual">
      <formula>1.5</formula>
    </cfRule>
  </conditionalFormatting>
  <conditionalFormatting sqref="K219">
    <cfRule type="cellIs" dxfId="4241" priority="3923" operator="lessThanOrEqual">
      <formula>0.5</formula>
    </cfRule>
    <cfRule type="cellIs" dxfId="4240" priority="3924" operator="greaterThanOrEqual">
      <formula>1.5</formula>
    </cfRule>
  </conditionalFormatting>
  <conditionalFormatting sqref="L219">
    <cfRule type="cellIs" dxfId="4239" priority="3921" operator="lessThanOrEqual">
      <formula>0.5</formula>
    </cfRule>
    <cfRule type="cellIs" dxfId="4238" priority="3922" operator="greaterThanOrEqual">
      <formula>1.5</formula>
    </cfRule>
  </conditionalFormatting>
  <conditionalFormatting sqref="O222">
    <cfRule type="cellIs" dxfId="4237" priority="3919" operator="lessThanOrEqual">
      <formula>0.5</formula>
    </cfRule>
    <cfRule type="cellIs" dxfId="4236" priority="3920" operator="greaterThanOrEqual">
      <formula>1.5</formula>
    </cfRule>
  </conditionalFormatting>
  <conditionalFormatting sqref="N222">
    <cfRule type="cellIs" dxfId="4235" priority="3917" operator="lessThanOrEqual">
      <formula>0.5</formula>
    </cfRule>
    <cfRule type="cellIs" dxfId="4234" priority="3918" operator="greaterThanOrEqual">
      <formula>1.5</formula>
    </cfRule>
  </conditionalFormatting>
  <conditionalFormatting sqref="K222">
    <cfRule type="cellIs" dxfId="4233" priority="3915" operator="lessThanOrEqual">
      <formula>0.5</formula>
    </cfRule>
    <cfRule type="cellIs" dxfId="4232" priority="3916" operator="greaterThanOrEqual">
      <formula>1.5</formula>
    </cfRule>
  </conditionalFormatting>
  <conditionalFormatting sqref="L222">
    <cfRule type="cellIs" dxfId="4231" priority="3913" operator="lessThanOrEqual">
      <formula>0.5</formula>
    </cfRule>
    <cfRule type="cellIs" dxfId="4230" priority="3914" operator="greaterThanOrEqual">
      <formula>1.5</formula>
    </cfRule>
  </conditionalFormatting>
  <conditionalFormatting sqref="O225">
    <cfRule type="cellIs" dxfId="4229" priority="3911" operator="lessThanOrEqual">
      <formula>0.5</formula>
    </cfRule>
    <cfRule type="cellIs" dxfId="4228" priority="3912" operator="greaterThanOrEqual">
      <formula>1.5</formula>
    </cfRule>
  </conditionalFormatting>
  <conditionalFormatting sqref="N225">
    <cfRule type="cellIs" dxfId="4227" priority="3909" operator="lessThanOrEqual">
      <formula>0.5</formula>
    </cfRule>
    <cfRule type="cellIs" dxfId="4226" priority="3910" operator="greaterThanOrEqual">
      <formula>1.5</formula>
    </cfRule>
  </conditionalFormatting>
  <conditionalFormatting sqref="K225">
    <cfRule type="cellIs" dxfId="4225" priority="3907" operator="lessThanOrEqual">
      <formula>0.5</formula>
    </cfRule>
    <cfRule type="cellIs" dxfId="4224" priority="3908" operator="greaterThanOrEqual">
      <formula>1.5</formula>
    </cfRule>
  </conditionalFormatting>
  <conditionalFormatting sqref="L225">
    <cfRule type="cellIs" dxfId="4223" priority="3905" operator="lessThanOrEqual">
      <formula>0.5</formula>
    </cfRule>
    <cfRule type="cellIs" dxfId="4222" priority="3906" operator="greaterThanOrEqual">
      <formula>1.5</formula>
    </cfRule>
  </conditionalFormatting>
  <conditionalFormatting sqref="O228">
    <cfRule type="cellIs" dxfId="4221" priority="3903" operator="lessThanOrEqual">
      <formula>0.5</formula>
    </cfRule>
    <cfRule type="cellIs" dxfId="4220" priority="3904" operator="greaterThanOrEqual">
      <formula>1.5</formula>
    </cfRule>
  </conditionalFormatting>
  <conditionalFormatting sqref="N228">
    <cfRule type="cellIs" dxfId="4219" priority="3901" operator="lessThanOrEqual">
      <formula>0.5</formula>
    </cfRule>
    <cfRule type="cellIs" dxfId="4218" priority="3902" operator="greaterThanOrEqual">
      <formula>1.5</formula>
    </cfRule>
  </conditionalFormatting>
  <conditionalFormatting sqref="K228">
    <cfRule type="cellIs" dxfId="4217" priority="3899" operator="lessThanOrEqual">
      <formula>0.5</formula>
    </cfRule>
    <cfRule type="cellIs" dxfId="4216" priority="3900" operator="greaterThanOrEqual">
      <formula>1.5</formula>
    </cfRule>
  </conditionalFormatting>
  <conditionalFormatting sqref="L228">
    <cfRule type="cellIs" dxfId="4215" priority="3897" operator="lessThanOrEqual">
      <formula>0.5</formula>
    </cfRule>
    <cfRule type="cellIs" dxfId="4214" priority="3898" operator="greaterThanOrEqual">
      <formula>1.5</formula>
    </cfRule>
  </conditionalFormatting>
  <conditionalFormatting sqref="O231">
    <cfRule type="cellIs" dxfId="4213" priority="3895" operator="lessThanOrEqual">
      <formula>0.5</formula>
    </cfRule>
    <cfRule type="cellIs" dxfId="4212" priority="3896" operator="greaterThanOrEqual">
      <formula>1.5</formula>
    </cfRule>
  </conditionalFormatting>
  <conditionalFormatting sqref="N231">
    <cfRule type="cellIs" dxfId="4211" priority="3893" operator="lessThanOrEqual">
      <formula>0.5</formula>
    </cfRule>
    <cfRule type="cellIs" dxfId="4210" priority="3894" operator="greaterThanOrEqual">
      <formula>1.5</formula>
    </cfRule>
  </conditionalFormatting>
  <conditionalFormatting sqref="K231">
    <cfRule type="cellIs" dxfId="4209" priority="3891" operator="lessThanOrEqual">
      <formula>0.5</formula>
    </cfRule>
    <cfRule type="cellIs" dxfId="4208" priority="3892" operator="greaterThanOrEqual">
      <formula>1.5</formula>
    </cfRule>
  </conditionalFormatting>
  <conditionalFormatting sqref="L231">
    <cfRule type="cellIs" dxfId="4207" priority="3889" operator="lessThanOrEqual">
      <formula>0.5</formula>
    </cfRule>
    <cfRule type="cellIs" dxfId="4206" priority="3890" operator="greaterThanOrEqual">
      <formula>1.5</formula>
    </cfRule>
  </conditionalFormatting>
  <conditionalFormatting sqref="O234">
    <cfRule type="cellIs" dxfId="4205" priority="3887" operator="lessThanOrEqual">
      <formula>0.5</formula>
    </cfRule>
    <cfRule type="cellIs" dxfId="4204" priority="3888" operator="greaterThanOrEqual">
      <formula>1.5</formula>
    </cfRule>
  </conditionalFormatting>
  <conditionalFormatting sqref="N234">
    <cfRule type="cellIs" dxfId="4203" priority="3885" operator="lessThanOrEqual">
      <formula>0.5</formula>
    </cfRule>
    <cfRule type="cellIs" dxfId="4202" priority="3886" operator="greaterThanOrEqual">
      <formula>1.5</formula>
    </cfRule>
  </conditionalFormatting>
  <conditionalFormatting sqref="K234">
    <cfRule type="cellIs" dxfId="4201" priority="3883" operator="lessThanOrEqual">
      <formula>0.5</formula>
    </cfRule>
    <cfRule type="cellIs" dxfId="4200" priority="3884" operator="greaterThanOrEqual">
      <formula>1.5</formula>
    </cfRule>
  </conditionalFormatting>
  <conditionalFormatting sqref="L234">
    <cfRule type="cellIs" dxfId="4199" priority="3881" operator="lessThanOrEqual">
      <formula>0.5</formula>
    </cfRule>
    <cfRule type="cellIs" dxfId="4198" priority="3882" operator="greaterThanOrEqual">
      <formula>1.5</formula>
    </cfRule>
  </conditionalFormatting>
  <conditionalFormatting sqref="O237">
    <cfRule type="cellIs" dxfId="4197" priority="3879" operator="lessThanOrEqual">
      <formula>0.5</formula>
    </cfRule>
    <cfRule type="cellIs" dxfId="4196" priority="3880" operator="greaterThanOrEqual">
      <formula>1.5</formula>
    </cfRule>
  </conditionalFormatting>
  <conditionalFormatting sqref="N237">
    <cfRule type="cellIs" dxfId="4195" priority="3877" operator="lessThanOrEqual">
      <formula>0.5</formula>
    </cfRule>
    <cfRule type="cellIs" dxfId="4194" priority="3878" operator="greaterThanOrEqual">
      <formula>1.5</formula>
    </cfRule>
  </conditionalFormatting>
  <conditionalFormatting sqref="K237">
    <cfRule type="cellIs" dxfId="4193" priority="3875" operator="lessThanOrEqual">
      <formula>0.5</formula>
    </cfRule>
    <cfRule type="cellIs" dxfId="4192" priority="3876" operator="greaterThanOrEqual">
      <formula>1.5</formula>
    </cfRule>
  </conditionalFormatting>
  <conditionalFormatting sqref="L237">
    <cfRule type="cellIs" dxfId="4191" priority="3873" operator="lessThanOrEqual">
      <formula>0.5</formula>
    </cfRule>
    <cfRule type="cellIs" dxfId="4190" priority="3874" operator="greaterThanOrEqual">
      <formula>1.5</formula>
    </cfRule>
  </conditionalFormatting>
  <conditionalFormatting sqref="O240">
    <cfRule type="cellIs" dxfId="4189" priority="3871" operator="lessThanOrEqual">
      <formula>0.5</formula>
    </cfRule>
    <cfRule type="cellIs" dxfId="4188" priority="3872" operator="greaterThanOrEqual">
      <formula>1.5</formula>
    </cfRule>
  </conditionalFormatting>
  <conditionalFormatting sqref="N240">
    <cfRule type="cellIs" dxfId="4187" priority="3869" operator="lessThanOrEqual">
      <formula>0.5</formula>
    </cfRule>
    <cfRule type="cellIs" dxfId="4186" priority="3870" operator="greaterThanOrEqual">
      <formula>1.5</formula>
    </cfRule>
  </conditionalFormatting>
  <conditionalFormatting sqref="K240">
    <cfRule type="cellIs" dxfId="4185" priority="3867" operator="lessThanOrEqual">
      <formula>0.5</formula>
    </cfRule>
    <cfRule type="cellIs" dxfId="4184" priority="3868" operator="greaterThanOrEqual">
      <formula>1.5</formula>
    </cfRule>
  </conditionalFormatting>
  <conditionalFormatting sqref="L240">
    <cfRule type="cellIs" dxfId="4183" priority="3865" operator="lessThanOrEqual">
      <formula>0.5</formula>
    </cfRule>
    <cfRule type="cellIs" dxfId="4182" priority="3866" operator="greaterThanOrEqual">
      <formula>1.5</formula>
    </cfRule>
  </conditionalFormatting>
  <conditionalFormatting sqref="O243">
    <cfRule type="cellIs" dxfId="4181" priority="3863" operator="lessThanOrEqual">
      <formula>0.5</formula>
    </cfRule>
    <cfRule type="cellIs" dxfId="4180" priority="3864" operator="greaterThanOrEqual">
      <formula>1.5</formula>
    </cfRule>
  </conditionalFormatting>
  <conditionalFormatting sqref="N243">
    <cfRule type="cellIs" dxfId="4179" priority="3861" operator="lessThanOrEqual">
      <formula>0.5</formula>
    </cfRule>
    <cfRule type="cellIs" dxfId="4178" priority="3862" operator="greaterThanOrEqual">
      <formula>1.5</formula>
    </cfRule>
  </conditionalFormatting>
  <conditionalFormatting sqref="K243">
    <cfRule type="cellIs" dxfId="4177" priority="3859" operator="lessThanOrEqual">
      <formula>0.5</formula>
    </cfRule>
    <cfRule type="cellIs" dxfId="4176" priority="3860" operator="greaterThanOrEqual">
      <formula>1.5</formula>
    </cfRule>
  </conditionalFormatting>
  <conditionalFormatting sqref="L243">
    <cfRule type="cellIs" dxfId="4175" priority="3857" operator="lessThanOrEqual">
      <formula>0.5</formula>
    </cfRule>
    <cfRule type="cellIs" dxfId="4174" priority="3858" operator="greaterThanOrEqual">
      <formula>1.5</formula>
    </cfRule>
  </conditionalFormatting>
  <conditionalFormatting sqref="O246">
    <cfRule type="cellIs" dxfId="4173" priority="3855" operator="lessThanOrEqual">
      <formula>0.5</formula>
    </cfRule>
    <cfRule type="cellIs" dxfId="4172" priority="3856" operator="greaterThanOrEqual">
      <formula>1.5</formula>
    </cfRule>
  </conditionalFormatting>
  <conditionalFormatting sqref="N246">
    <cfRule type="cellIs" dxfId="4171" priority="3853" operator="lessThanOrEqual">
      <formula>0.5</formula>
    </cfRule>
    <cfRule type="cellIs" dxfId="4170" priority="3854" operator="greaterThanOrEqual">
      <formula>1.5</formula>
    </cfRule>
  </conditionalFormatting>
  <conditionalFormatting sqref="K246">
    <cfRule type="cellIs" dxfId="4169" priority="3851" operator="lessThanOrEqual">
      <formula>0.5</formula>
    </cfRule>
    <cfRule type="cellIs" dxfId="4168" priority="3852" operator="greaterThanOrEqual">
      <formula>1.5</formula>
    </cfRule>
  </conditionalFormatting>
  <conditionalFormatting sqref="L246">
    <cfRule type="cellIs" dxfId="4167" priority="3849" operator="lessThanOrEqual">
      <formula>0.5</formula>
    </cfRule>
    <cfRule type="cellIs" dxfId="4166" priority="3850" operator="greaterThanOrEqual">
      <formula>1.5</formula>
    </cfRule>
  </conditionalFormatting>
  <conditionalFormatting sqref="O249">
    <cfRule type="cellIs" dxfId="4165" priority="3847" operator="lessThanOrEqual">
      <formula>0.5</formula>
    </cfRule>
    <cfRule type="cellIs" dxfId="4164" priority="3848" operator="greaterThanOrEqual">
      <formula>1.5</formula>
    </cfRule>
  </conditionalFormatting>
  <conditionalFormatting sqref="N249">
    <cfRule type="cellIs" dxfId="4163" priority="3845" operator="lessThanOrEqual">
      <formula>0.5</formula>
    </cfRule>
    <cfRule type="cellIs" dxfId="4162" priority="3846" operator="greaterThanOrEqual">
      <formula>1.5</formula>
    </cfRule>
  </conditionalFormatting>
  <conditionalFormatting sqref="K249">
    <cfRule type="cellIs" dxfId="4161" priority="3843" operator="lessThanOrEqual">
      <formula>0.5</formula>
    </cfRule>
    <cfRule type="cellIs" dxfId="4160" priority="3844" operator="greaterThanOrEqual">
      <formula>1.5</formula>
    </cfRule>
  </conditionalFormatting>
  <conditionalFormatting sqref="L249">
    <cfRule type="cellIs" dxfId="4159" priority="3841" operator="lessThanOrEqual">
      <formula>0.5</formula>
    </cfRule>
    <cfRule type="cellIs" dxfId="4158" priority="3842" operator="greaterThanOrEqual">
      <formula>1.5</formula>
    </cfRule>
  </conditionalFormatting>
  <conditionalFormatting sqref="O252">
    <cfRule type="cellIs" dxfId="4157" priority="3839" operator="lessThanOrEqual">
      <formula>0.5</formula>
    </cfRule>
    <cfRule type="cellIs" dxfId="4156" priority="3840" operator="greaterThanOrEqual">
      <formula>1.5</formula>
    </cfRule>
  </conditionalFormatting>
  <conditionalFormatting sqref="N252">
    <cfRule type="cellIs" dxfId="4155" priority="3837" operator="lessThanOrEqual">
      <formula>0.5</formula>
    </cfRule>
    <cfRule type="cellIs" dxfId="4154" priority="3838" operator="greaterThanOrEqual">
      <formula>1.5</formula>
    </cfRule>
  </conditionalFormatting>
  <conditionalFormatting sqref="K252">
    <cfRule type="cellIs" dxfId="4153" priority="3835" operator="lessThanOrEqual">
      <formula>0.5</formula>
    </cfRule>
    <cfRule type="cellIs" dxfId="4152" priority="3836" operator="greaterThanOrEqual">
      <formula>1.5</formula>
    </cfRule>
  </conditionalFormatting>
  <conditionalFormatting sqref="L252">
    <cfRule type="cellIs" dxfId="4151" priority="3833" operator="lessThanOrEqual">
      <formula>0.5</formula>
    </cfRule>
    <cfRule type="cellIs" dxfId="4150" priority="3834" operator="greaterThanOrEqual">
      <formula>1.5</formula>
    </cfRule>
  </conditionalFormatting>
  <conditionalFormatting sqref="O255">
    <cfRule type="cellIs" dxfId="4149" priority="3831" operator="lessThanOrEqual">
      <formula>0.5</formula>
    </cfRule>
    <cfRule type="cellIs" dxfId="4148" priority="3832" operator="greaterThanOrEqual">
      <formula>1.5</formula>
    </cfRule>
  </conditionalFormatting>
  <conditionalFormatting sqref="N255">
    <cfRule type="cellIs" dxfId="4147" priority="3829" operator="lessThanOrEqual">
      <formula>0.5</formula>
    </cfRule>
    <cfRule type="cellIs" dxfId="4146" priority="3830" operator="greaterThanOrEqual">
      <formula>1.5</formula>
    </cfRule>
  </conditionalFormatting>
  <conditionalFormatting sqref="K255">
    <cfRule type="cellIs" dxfId="4145" priority="3827" operator="lessThanOrEqual">
      <formula>0.5</formula>
    </cfRule>
    <cfRule type="cellIs" dxfId="4144" priority="3828" operator="greaterThanOrEqual">
      <formula>1.5</formula>
    </cfRule>
  </conditionalFormatting>
  <conditionalFormatting sqref="L255">
    <cfRule type="cellIs" dxfId="4143" priority="3825" operator="lessThanOrEqual">
      <formula>0.5</formula>
    </cfRule>
    <cfRule type="cellIs" dxfId="4142" priority="3826" operator="greaterThanOrEqual">
      <formula>1.5</formula>
    </cfRule>
  </conditionalFormatting>
  <conditionalFormatting sqref="O258">
    <cfRule type="cellIs" dxfId="4141" priority="3823" operator="lessThanOrEqual">
      <formula>0.5</formula>
    </cfRule>
    <cfRule type="cellIs" dxfId="4140" priority="3824" operator="greaterThanOrEqual">
      <formula>1.5</formula>
    </cfRule>
  </conditionalFormatting>
  <conditionalFormatting sqref="N258">
    <cfRule type="cellIs" dxfId="4139" priority="3821" operator="lessThanOrEqual">
      <formula>0.5</formula>
    </cfRule>
    <cfRule type="cellIs" dxfId="4138" priority="3822" operator="greaterThanOrEqual">
      <formula>1.5</formula>
    </cfRule>
  </conditionalFormatting>
  <conditionalFormatting sqref="K258">
    <cfRule type="cellIs" dxfId="4137" priority="3819" operator="lessThanOrEqual">
      <formula>0.5</formula>
    </cfRule>
    <cfRule type="cellIs" dxfId="4136" priority="3820" operator="greaterThanOrEqual">
      <formula>1.5</formula>
    </cfRule>
  </conditionalFormatting>
  <conditionalFormatting sqref="L258">
    <cfRule type="cellIs" dxfId="4135" priority="3817" operator="lessThanOrEqual">
      <formula>0.5</formula>
    </cfRule>
    <cfRule type="cellIs" dxfId="4134" priority="3818" operator="greaterThanOrEqual">
      <formula>1.5</formula>
    </cfRule>
  </conditionalFormatting>
  <conditionalFormatting sqref="O261">
    <cfRule type="cellIs" dxfId="4133" priority="3815" operator="lessThanOrEqual">
      <formula>0.5</formula>
    </cfRule>
    <cfRule type="cellIs" dxfId="4132" priority="3816" operator="greaterThanOrEqual">
      <formula>1.5</formula>
    </cfRule>
  </conditionalFormatting>
  <conditionalFormatting sqref="N261">
    <cfRule type="cellIs" dxfId="4131" priority="3813" operator="lessThanOrEqual">
      <formula>0.5</formula>
    </cfRule>
    <cfRule type="cellIs" dxfId="4130" priority="3814" operator="greaterThanOrEqual">
      <formula>1.5</formula>
    </cfRule>
  </conditionalFormatting>
  <conditionalFormatting sqref="K261">
    <cfRule type="cellIs" dxfId="4129" priority="3811" operator="lessThanOrEqual">
      <formula>0.5</formula>
    </cfRule>
    <cfRule type="cellIs" dxfId="4128" priority="3812" operator="greaterThanOrEqual">
      <formula>1.5</formula>
    </cfRule>
  </conditionalFormatting>
  <conditionalFormatting sqref="L261">
    <cfRule type="cellIs" dxfId="4127" priority="3809" operator="lessThanOrEqual">
      <formula>0.5</formula>
    </cfRule>
    <cfRule type="cellIs" dxfId="4126" priority="3810" operator="greaterThanOrEqual">
      <formula>1.5</formula>
    </cfRule>
  </conditionalFormatting>
  <conditionalFormatting sqref="O264">
    <cfRule type="cellIs" dxfId="4125" priority="3807" operator="lessThanOrEqual">
      <formula>0.5</formula>
    </cfRule>
    <cfRule type="cellIs" dxfId="4124" priority="3808" operator="greaterThanOrEqual">
      <formula>1.5</formula>
    </cfRule>
  </conditionalFormatting>
  <conditionalFormatting sqref="N264">
    <cfRule type="cellIs" dxfId="4123" priority="3805" operator="lessThanOrEqual">
      <formula>0.5</formula>
    </cfRule>
    <cfRule type="cellIs" dxfId="4122" priority="3806" operator="greaterThanOrEqual">
      <formula>1.5</formula>
    </cfRule>
  </conditionalFormatting>
  <conditionalFormatting sqref="K264">
    <cfRule type="cellIs" dxfId="4121" priority="3803" operator="lessThanOrEqual">
      <formula>0.5</formula>
    </cfRule>
    <cfRule type="cellIs" dxfId="4120" priority="3804" operator="greaterThanOrEqual">
      <formula>1.5</formula>
    </cfRule>
  </conditionalFormatting>
  <conditionalFormatting sqref="L264">
    <cfRule type="cellIs" dxfId="4119" priority="3801" operator="lessThanOrEqual">
      <formula>0.5</formula>
    </cfRule>
    <cfRule type="cellIs" dxfId="4118" priority="3802" operator="greaterThanOrEqual">
      <formula>1.5</formula>
    </cfRule>
  </conditionalFormatting>
  <conditionalFormatting sqref="O267">
    <cfRule type="cellIs" dxfId="4117" priority="3799" operator="lessThanOrEqual">
      <formula>0.5</formula>
    </cfRule>
    <cfRule type="cellIs" dxfId="4116" priority="3800" operator="greaterThanOrEqual">
      <formula>1.5</formula>
    </cfRule>
  </conditionalFormatting>
  <conditionalFormatting sqref="N267">
    <cfRule type="cellIs" dxfId="4115" priority="3797" operator="lessThanOrEqual">
      <formula>0.5</formula>
    </cfRule>
    <cfRule type="cellIs" dxfId="4114" priority="3798" operator="greaterThanOrEqual">
      <formula>1.5</formula>
    </cfRule>
  </conditionalFormatting>
  <conditionalFormatting sqref="K267">
    <cfRule type="cellIs" dxfId="4113" priority="3795" operator="lessThanOrEqual">
      <formula>0.5</formula>
    </cfRule>
    <cfRule type="cellIs" dxfId="4112" priority="3796" operator="greaterThanOrEqual">
      <formula>1.5</formula>
    </cfRule>
  </conditionalFormatting>
  <conditionalFormatting sqref="L267">
    <cfRule type="cellIs" dxfId="4111" priority="3793" operator="lessThanOrEqual">
      <formula>0.5</formula>
    </cfRule>
    <cfRule type="cellIs" dxfId="4110" priority="3794" operator="greaterThanOrEqual">
      <formula>1.5</formula>
    </cfRule>
  </conditionalFormatting>
  <conditionalFormatting sqref="O270">
    <cfRule type="cellIs" dxfId="4109" priority="3791" operator="lessThanOrEqual">
      <formula>0.5</formula>
    </cfRule>
    <cfRule type="cellIs" dxfId="4108" priority="3792" operator="greaterThanOrEqual">
      <formula>1.5</formula>
    </cfRule>
  </conditionalFormatting>
  <conditionalFormatting sqref="N270">
    <cfRule type="cellIs" dxfId="4107" priority="3789" operator="lessThanOrEqual">
      <formula>0.5</formula>
    </cfRule>
    <cfRule type="cellIs" dxfId="4106" priority="3790" operator="greaterThanOrEqual">
      <formula>1.5</formula>
    </cfRule>
  </conditionalFormatting>
  <conditionalFormatting sqref="K270">
    <cfRule type="cellIs" dxfId="4105" priority="3787" operator="lessThanOrEqual">
      <formula>0.5</formula>
    </cfRule>
    <cfRule type="cellIs" dxfId="4104" priority="3788" operator="greaterThanOrEqual">
      <formula>1.5</formula>
    </cfRule>
  </conditionalFormatting>
  <conditionalFormatting sqref="L270">
    <cfRule type="cellIs" dxfId="4103" priority="3785" operator="lessThanOrEqual">
      <formula>0.5</formula>
    </cfRule>
    <cfRule type="cellIs" dxfId="4102" priority="3786" operator="greaterThanOrEqual">
      <formula>1.5</formula>
    </cfRule>
  </conditionalFormatting>
  <conditionalFormatting sqref="O273">
    <cfRule type="cellIs" dxfId="4101" priority="3783" operator="lessThanOrEqual">
      <formula>0.5</formula>
    </cfRule>
    <cfRule type="cellIs" dxfId="4100" priority="3784" operator="greaterThanOrEqual">
      <formula>1.5</formula>
    </cfRule>
  </conditionalFormatting>
  <conditionalFormatting sqref="N273">
    <cfRule type="cellIs" dxfId="4099" priority="3781" operator="lessThanOrEqual">
      <formula>0.5</formula>
    </cfRule>
    <cfRule type="cellIs" dxfId="4098" priority="3782" operator="greaterThanOrEqual">
      <formula>1.5</formula>
    </cfRule>
  </conditionalFormatting>
  <conditionalFormatting sqref="K273">
    <cfRule type="cellIs" dxfId="4097" priority="3779" operator="lessThanOrEqual">
      <formula>0.5</formula>
    </cfRule>
    <cfRule type="cellIs" dxfId="4096" priority="3780" operator="greaterThanOrEqual">
      <formula>1.5</formula>
    </cfRule>
  </conditionalFormatting>
  <conditionalFormatting sqref="L273">
    <cfRule type="cellIs" dxfId="4095" priority="3777" operator="lessThanOrEqual">
      <formula>0.5</formula>
    </cfRule>
    <cfRule type="cellIs" dxfId="4094" priority="3778" operator="greaterThanOrEqual">
      <formula>1.5</formula>
    </cfRule>
  </conditionalFormatting>
  <conditionalFormatting sqref="O276">
    <cfRule type="cellIs" dxfId="4093" priority="3775" operator="lessThanOrEqual">
      <formula>0.5</formula>
    </cfRule>
    <cfRule type="cellIs" dxfId="4092" priority="3776" operator="greaterThanOrEqual">
      <formula>1.5</formula>
    </cfRule>
  </conditionalFormatting>
  <conditionalFormatting sqref="N276">
    <cfRule type="cellIs" dxfId="4091" priority="3773" operator="lessThanOrEqual">
      <formula>0.5</formula>
    </cfRule>
    <cfRule type="cellIs" dxfId="4090" priority="3774" operator="greaterThanOrEqual">
      <formula>1.5</formula>
    </cfRule>
  </conditionalFormatting>
  <conditionalFormatting sqref="K276">
    <cfRule type="cellIs" dxfId="4089" priority="3771" operator="lessThanOrEqual">
      <formula>0.5</formula>
    </cfRule>
    <cfRule type="cellIs" dxfId="4088" priority="3772" operator="greaterThanOrEqual">
      <formula>1.5</formula>
    </cfRule>
  </conditionalFormatting>
  <conditionalFormatting sqref="L276">
    <cfRule type="cellIs" dxfId="4087" priority="3769" operator="lessThanOrEqual">
      <formula>0.5</formula>
    </cfRule>
    <cfRule type="cellIs" dxfId="4086" priority="3770" operator="greaterThanOrEqual">
      <formula>1.5</formula>
    </cfRule>
  </conditionalFormatting>
  <conditionalFormatting sqref="O279">
    <cfRule type="cellIs" dxfId="4085" priority="3767" operator="lessThanOrEqual">
      <formula>0.5</formula>
    </cfRule>
    <cfRule type="cellIs" dxfId="4084" priority="3768" operator="greaterThanOrEqual">
      <formula>1.5</formula>
    </cfRule>
  </conditionalFormatting>
  <conditionalFormatting sqref="N279">
    <cfRule type="cellIs" dxfId="4083" priority="3765" operator="lessThanOrEqual">
      <formula>0.5</formula>
    </cfRule>
    <cfRule type="cellIs" dxfId="4082" priority="3766" operator="greaterThanOrEqual">
      <formula>1.5</formula>
    </cfRule>
  </conditionalFormatting>
  <conditionalFormatting sqref="K279">
    <cfRule type="cellIs" dxfId="4081" priority="3763" operator="lessThanOrEqual">
      <formula>0.5</formula>
    </cfRule>
    <cfRule type="cellIs" dxfId="4080" priority="3764" operator="greaterThanOrEqual">
      <formula>1.5</formula>
    </cfRule>
  </conditionalFormatting>
  <conditionalFormatting sqref="L279">
    <cfRule type="cellIs" dxfId="4079" priority="3761" operator="lessThanOrEqual">
      <formula>0.5</formula>
    </cfRule>
    <cfRule type="cellIs" dxfId="4078" priority="3762" operator="greaterThanOrEqual">
      <formula>1.5</formula>
    </cfRule>
  </conditionalFormatting>
  <conditionalFormatting sqref="O282">
    <cfRule type="cellIs" dxfId="4077" priority="3759" operator="lessThanOrEqual">
      <formula>0.5</formula>
    </cfRule>
    <cfRule type="cellIs" dxfId="4076" priority="3760" operator="greaterThanOrEqual">
      <formula>1.5</formula>
    </cfRule>
  </conditionalFormatting>
  <conditionalFormatting sqref="N282">
    <cfRule type="cellIs" dxfId="4075" priority="3757" operator="lessThanOrEqual">
      <formula>0.5</formula>
    </cfRule>
    <cfRule type="cellIs" dxfId="4074" priority="3758" operator="greaterThanOrEqual">
      <formula>1.5</formula>
    </cfRule>
  </conditionalFormatting>
  <conditionalFormatting sqref="K282">
    <cfRule type="cellIs" dxfId="4073" priority="3755" operator="lessThanOrEqual">
      <formula>0.5</formula>
    </cfRule>
    <cfRule type="cellIs" dxfId="4072" priority="3756" operator="greaterThanOrEqual">
      <formula>1.5</formula>
    </cfRule>
  </conditionalFormatting>
  <conditionalFormatting sqref="L282">
    <cfRule type="cellIs" dxfId="4071" priority="3753" operator="lessThanOrEqual">
      <formula>0.5</formula>
    </cfRule>
    <cfRule type="cellIs" dxfId="4070" priority="3754" operator="greaterThanOrEqual">
      <formula>1.5</formula>
    </cfRule>
  </conditionalFormatting>
  <conditionalFormatting sqref="O285">
    <cfRule type="cellIs" dxfId="4069" priority="3751" operator="lessThanOrEqual">
      <formula>0.5</formula>
    </cfRule>
    <cfRule type="cellIs" dxfId="4068" priority="3752" operator="greaterThanOrEqual">
      <formula>1.5</formula>
    </cfRule>
  </conditionalFormatting>
  <conditionalFormatting sqref="N285">
    <cfRule type="cellIs" dxfId="4067" priority="3749" operator="lessThanOrEqual">
      <formula>0.5</formula>
    </cfRule>
    <cfRule type="cellIs" dxfId="4066" priority="3750" operator="greaterThanOrEqual">
      <formula>1.5</formula>
    </cfRule>
  </conditionalFormatting>
  <conditionalFormatting sqref="K285">
    <cfRule type="cellIs" dxfId="4065" priority="3747" operator="lessThanOrEqual">
      <formula>0.5</formula>
    </cfRule>
    <cfRule type="cellIs" dxfId="4064" priority="3748" operator="greaterThanOrEqual">
      <formula>1.5</formula>
    </cfRule>
  </conditionalFormatting>
  <conditionalFormatting sqref="L285">
    <cfRule type="cellIs" dxfId="4063" priority="3745" operator="lessThanOrEqual">
      <formula>0.5</formula>
    </cfRule>
    <cfRule type="cellIs" dxfId="4062" priority="3746" operator="greaterThanOrEqual">
      <formula>1.5</formula>
    </cfRule>
  </conditionalFormatting>
  <conditionalFormatting sqref="O288">
    <cfRule type="cellIs" dxfId="4061" priority="3743" operator="lessThanOrEqual">
      <formula>0.5</formula>
    </cfRule>
    <cfRule type="cellIs" dxfId="4060" priority="3744" operator="greaterThanOrEqual">
      <formula>1.5</formula>
    </cfRule>
  </conditionalFormatting>
  <conditionalFormatting sqref="N288">
    <cfRule type="cellIs" dxfId="4059" priority="3741" operator="lessThanOrEqual">
      <formula>0.5</formula>
    </cfRule>
    <cfRule type="cellIs" dxfId="4058" priority="3742" operator="greaterThanOrEqual">
      <formula>1.5</formula>
    </cfRule>
  </conditionalFormatting>
  <conditionalFormatting sqref="K288">
    <cfRule type="cellIs" dxfId="4057" priority="3739" operator="lessThanOrEqual">
      <formula>0.5</formula>
    </cfRule>
    <cfRule type="cellIs" dxfId="4056" priority="3740" operator="greaterThanOrEqual">
      <formula>1.5</formula>
    </cfRule>
  </conditionalFormatting>
  <conditionalFormatting sqref="L288">
    <cfRule type="cellIs" dxfId="4055" priority="3737" operator="lessThanOrEqual">
      <formula>0.5</formula>
    </cfRule>
    <cfRule type="cellIs" dxfId="4054" priority="3738" operator="greaterThanOrEqual">
      <formula>1.5</formula>
    </cfRule>
  </conditionalFormatting>
  <conditionalFormatting sqref="O291">
    <cfRule type="cellIs" dxfId="4053" priority="3735" operator="lessThanOrEqual">
      <formula>0.5</formula>
    </cfRule>
    <cfRule type="cellIs" dxfId="4052" priority="3736" operator="greaterThanOrEqual">
      <formula>1.5</formula>
    </cfRule>
  </conditionalFormatting>
  <conditionalFormatting sqref="N291">
    <cfRule type="cellIs" dxfId="4051" priority="3733" operator="lessThanOrEqual">
      <formula>0.5</formula>
    </cfRule>
    <cfRule type="cellIs" dxfId="4050" priority="3734" operator="greaterThanOrEqual">
      <formula>1.5</formula>
    </cfRule>
  </conditionalFormatting>
  <conditionalFormatting sqref="K291">
    <cfRule type="cellIs" dxfId="4049" priority="3731" operator="lessThanOrEqual">
      <formula>0.5</formula>
    </cfRule>
    <cfRule type="cellIs" dxfId="4048" priority="3732" operator="greaterThanOrEqual">
      <formula>1.5</formula>
    </cfRule>
  </conditionalFormatting>
  <conditionalFormatting sqref="L291">
    <cfRule type="cellIs" dxfId="4047" priority="3729" operator="lessThanOrEqual">
      <formula>0.5</formula>
    </cfRule>
    <cfRule type="cellIs" dxfId="4046" priority="3730" operator="greaterThanOrEqual">
      <formula>1.5</formula>
    </cfRule>
  </conditionalFormatting>
  <conditionalFormatting sqref="O294">
    <cfRule type="cellIs" dxfId="4045" priority="3727" operator="lessThanOrEqual">
      <formula>0.5</formula>
    </cfRule>
    <cfRule type="cellIs" dxfId="4044" priority="3728" operator="greaterThanOrEqual">
      <formula>1.5</formula>
    </cfRule>
  </conditionalFormatting>
  <conditionalFormatting sqref="N294">
    <cfRule type="cellIs" dxfId="4043" priority="3725" operator="lessThanOrEqual">
      <formula>0.5</formula>
    </cfRule>
    <cfRule type="cellIs" dxfId="4042" priority="3726" operator="greaterThanOrEqual">
      <formula>1.5</formula>
    </cfRule>
  </conditionalFormatting>
  <conditionalFormatting sqref="K294">
    <cfRule type="cellIs" dxfId="4041" priority="3723" operator="lessThanOrEqual">
      <formula>0.5</formula>
    </cfRule>
    <cfRule type="cellIs" dxfId="4040" priority="3724" operator="greaterThanOrEqual">
      <formula>1.5</formula>
    </cfRule>
  </conditionalFormatting>
  <conditionalFormatting sqref="L294">
    <cfRule type="cellIs" dxfId="4039" priority="3721" operator="lessThanOrEqual">
      <formula>0.5</formula>
    </cfRule>
    <cfRule type="cellIs" dxfId="4038" priority="3722" operator="greaterThanOrEqual">
      <formula>1.5</formula>
    </cfRule>
  </conditionalFormatting>
  <conditionalFormatting sqref="O297">
    <cfRule type="cellIs" dxfId="4037" priority="3719" operator="lessThanOrEqual">
      <formula>0.5</formula>
    </cfRule>
    <cfRule type="cellIs" dxfId="4036" priority="3720" operator="greaterThanOrEqual">
      <formula>1.5</formula>
    </cfRule>
  </conditionalFormatting>
  <conditionalFormatting sqref="N297">
    <cfRule type="cellIs" dxfId="4035" priority="3717" operator="lessThanOrEqual">
      <formula>0.5</formula>
    </cfRule>
    <cfRule type="cellIs" dxfId="4034" priority="3718" operator="greaterThanOrEqual">
      <formula>1.5</formula>
    </cfRule>
  </conditionalFormatting>
  <conditionalFormatting sqref="K297">
    <cfRule type="cellIs" dxfId="4033" priority="3715" operator="lessThanOrEqual">
      <formula>0.5</formula>
    </cfRule>
    <cfRule type="cellIs" dxfId="4032" priority="3716" operator="greaterThanOrEqual">
      <formula>1.5</formula>
    </cfRule>
  </conditionalFormatting>
  <conditionalFormatting sqref="L297">
    <cfRule type="cellIs" dxfId="4031" priority="3713" operator="lessThanOrEqual">
      <formula>0.5</formula>
    </cfRule>
    <cfRule type="cellIs" dxfId="4030" priority="3714" operator="greaterThanOrEqual">
      <formula>1.5</formula>
    </cfRule>
  </conditionalFormatting>
  <conditionalFormatting sqref="O300">
    <cfRule type="cellIs" dxfId="4029" priority="3711" operator="lessThanOrEqual">
      <formula>0.5</formula>
    </cfRule>
    <cfRule type="cellIs" dxfId="4028" priority="3712" operator="greaterThanOrEqual">
      <formula>1.5</formula>
    </cfRule>
  </conditionalFormatting>
  <conditionalFormatting sqref="N300">
    <cfRule type="cellIs" dxfId="4027" priority="3709" operator="lessThanOrEqual">
      <formula>0.5</formula>
    </cfRule>
    <cfRule type="cellIs" dxfId="4026" priority="3710" operator="greaterThanOrEqual">
      <formula>1.5</formula>
    </cfRule>
  </conditionalFormatting>
  <conditionalFormatting sqref="K300">
    <cfRule type="cellIs" dxfId="4025" priority="3707" operator="lessThanOrEqual">
      <formula>0.5</formula>
    </cfRule>
    <cfRule type="cellIs" dxfId="4024" priority="3708" operator="greaterThanOrEqual">
      <formula>1.5</formula>
    </cfRule>
  </conditionalFormatting>
  <conditionalFormatting sqref="L300">
    <cfRule type="cellIs" dxfId="4023" priority="3705" operator="lessThanOrEqual">
      <formula>0.5</formula>
    </cfRule>
    <cfRule type="cellIs" dxfId="4022" priority="3706" operator="greaterThanOrEqual">
      <formula>1.5</formula>
    </cfRule>
  </conditionalFormatting>
  <conditionalFormatting sqref="O303">
    <cfRule type="cellIs" dxfId="4021" priority="3703" operator="lessThanOrEqual">
      <formula>0.5</formula>
    </cfRule>
    <cfRule type="cellIs" dxfId="4020" priority="3704" operator="greaterThanOrEqual">
      <formula>1.5</formula>
    </cfRule>
  </conditionalFormatting>
  <conditionalFormatting sqref="N303">
    <cfRule type="cellIs" dxfId="4019" priority="3701" operator="lessThanOrEqual">
      <formula>0.5</formula>
    </cfRule>
    <cfRule type="cellIs" dxfId="4018" priority="3702" operator="greaterThanOrEqual">
      <formula>1.5</formula>
    </cfRule>
  </conditionalFormatting>
  <conditionalFormatting sqref="K303">
    <cfRule type="cellIs" dxfId="4017" priority="3699" operator="lessThanOrEqual">
      <formula>0.5</formula>
    </cfRule>
    <cfRule type="cellIs" dxfId="4016" priority="3700" operator="greaterThanOrEqual">
      <formula>1.5</formula>
    </cfRule>
  </conditionalFormatting>
  <conditionalFormatting sqref="L303">
    <cfRule type="cellIs" dxfId="4015" priority="3697" operator="lessThanOrEqual">
      <formula>0.5</formula>
    </cfRule>
    <cfRule type="cellIs" dxfId="4014" priority="3698" operator="greaterThanOrEqual">
      <formula>1.5</formula>
    </cfRule>
  </conditionalFormatting>
  <conditionalFormatting sqref="O306">
    <cfRule type="cellIs" dxfId="4013" priority="3695" operator="lessThanOrEqual">
      <formula>0.5</formula>
    </cfRule>
    <cfRule type="cellIs" dxfId="4012" priority="3696" operator="greaterThanOrEqual">
      <formula>1.5</formula>
    </cfRule>
  </conditionalFormatting>
  <conditionalFormatting sqref="N306">
    <cfRule type="cellIs" dxfId="4011" priority="3693" operator="lessThanOrEqual">
      <formula>0.5</formula>
    </cfRule>
    <cfRule type="cellIs" dxfId="4010" priority="3694" operator="greaterThanOrEqual">
      <formula>1.5</formula>
    </cfRule>
  </conditionalFormatting>
  <conditionalFormatting sqref="K306">
    <cfRule type="cellIs" dxfId="4009" priority="3691" operator="lessThanOrEqual">
      <formula>0.5</formula>
    </cfRule>
    <cfRule type="cellIs" dxfId="4008" priority="3692" operator="greaterThanOrEqual">
      <formula>1.5</formula>
    </cfRule>
  </conditionalFormatting>
  <conditionalFormatting sqref="L306">
    <cfRule type="cellIs" dxfId="4007" priority="3689" operator="lessThanOrEqual">
      <formula>0.5</formula>
    </cfRule>
    <cfRule type="cellIs" dxfId="4006" priority="3690" operator="greaterThanOrEqual">
      <formula>1.5</formula>
    </cfRule>
  </conditionalFormatting>
  <conditionalFormatting sqref="O309">
    <cfRule type="cellIs" dxfId="4005" priority="3687" operator="lessThanOrEqual">
      <formula>0.5</formula>
    </cfRule>
    <cfRule type="cellIs" dxfId="4004" priority="3688" operator="greaterThanOrEqual">
      <formula>1.5</formula>
    </cfRule>
  </conditionalFormatting>
  <conditionalFormatting sqref="N309">
    <cfRule type="cellIs" dxfId="4003" priority="3685" operator="lessThanOrEqual">
      <formula>0.5</formula>
    </cfRule>
    <cfRule type="cellIs" dxfId="4002" priority="3686" operator="greaterThanOrEqual">
      <formula>1.5</formula>
    </cfRule>
  </conditionalFormatting>
  <conditionalFormatting sqref="K309">
    <cfRule type="cellIs" dxfId="4001" priority="3683" operator="lessThanOrEqual">
      <formula>0.5</formula>
    </cfRule>
    <cfRule type="cellIs" dxfId="4000" priority="3684" operator="greaterThanOrEqual">
      <formula>1.5</formula>
    </cfRule>
  </conditionalFormatting>
  <conditionalFormatting sqref="L309">
    <cfRule type="cellIs" dxfId="3999" priority="3681" operator="lessThanOrEqual">
      <formula>0.5</formula>
    </cfRule>
    <cfRule type="cellIs" dxfId="3998" priority="3682" operator="greaterThanOrEqual">
      <formula>1.5</formula>
    </cfRule>
  </conditionalFormatting>
  <conditionalFormatting sqref="O312">
    <cfRule type="cellIs" dxfId="3997" priority="3679" operator="lessThanOrEqual">
      <formula>0.5</formula>
    </cfRule>
    <cfRule type="cellIs" dxfId="3996" priority="3680" operator="greaterThanOrEqual">
      <formula>1.5</formula>
    </cfRule>
  </conditionalFormatting>
  <conditionalFormatting sqref="N312">
    <cfRule type="cellIs" dxfId="3995" priority="3677" operator="lessThanOrEqual">
      <formula>0.5</formula>
    </cfRule>
    <cfRule type="cellIs" dxfId="3994" priority="3678" operator="greaterThanOrEqual">
      <formula>1.5</formula>
    </cfRule>
  </conditionalFormatting>
  <conditionalFormatting sqref="K312">
    <cfRule type="cellIs" dxfId="3993" priority="3675" operator="lessThanOrEqual">
      <formula>0.5</formula>
    </cfRule>
    <cfRule type="cellIs" dxfId="3992" priority="3676" operator="greaterThanOrEqual">
      <formula>1.5</formula>
    </cfRule>
  </conditionalFormatting>
  <conditionalFormatting sqref="L312">
    <cfRule type="cellIs" dxfId="3991" priority="3673" operator="lessThanOrEqual">
      <formula>0.5</formula>
    </cfRule>
    <cfRule type="cellIs" dxfId="3990" priority="3674" operator="greaterThanOrEqual">
      <formula>1.5</formula>
    </cfRule>
  </conditionalFormatting>
  <conditionalFormatting sqref="O315">
    <cfRule type="cellIs" dxfId="3989" priority="3671" operator="lessThanOrEqual">
      <formula>0.5</formula>
    </cfRule>
    <cfRule type="cellIs" dxfId="3988" priority="3672" operator="greaterThanOrEqual">
      <formula>1.5</formula>
    </cfRule>
  </conditionalFormatting>
  <conditionalFormatting sqref="N315">
    <cfRule type="cellIs" dxfId="3987" priority="3669" operator="lessThanOrEqual">
      <formula>0.5</formula>
    </cfRule>
    <cfRule type="cellIs" dxfId="3986" priority="3670" operator="greaterThanOrEqual">
      <formula>1.5</formula>
    </cfRule>
  </conditionalFormatting>
  <conditionalFormatting sqref="K315">
    <cfRule type="cellIs" dxfId="3985" priority="3667" operator="lessThanOrEqual">
      <formula>0.5</formula>
    </cfRule>
    <cfRule type="cellIs" dxfId="3984" priority="3668" operator="greaterThanOrEqual">
      <formula>1.5</formula>
    </cfRule>
  </conditionalFormatting>
  <conditionalFormatting sqref="L315">
    <cfRule type="cellIs" dxfId="3983" priority="3665" operator="lessThanOrEqual">
      <formula>0.5</formula>
    </cfRule>
    <cfRule type="cellIs" dxfId="3982" priority="3666" operator="greaterThanOrEqual">
      <formula>1.5</formula>
    </cfRule>
  </conditionalFormatting>
  <conditionalFormatting sqref="O318">
    <cfRule type="cellIs" dxfId="3981" priority="3663" operator="lessThanOrEqual">
      <formula>0.5</formula>
    </cfRule>
    <cfRule type="cellIs" dxfId="3980" priority="3664" operator="greaterThanOrEqual">
      <formula>1.5</formula>
    </cfRule>
  </conditionalFormatting>
  <conditionalFormatting sqref="N318">
    <cfRule type="cellIs" dxfId="3979" priority="3661" operator="lessThanOrEqual">
      <formula>0.5</formula>
    </cfRule>
    <cfRule type="cellIs" dxfId="3978" priority="3662" operator="greaterThanOrEqual">
      <formula>1.5</formula>
    </cfRule>
  </conditionalFormatting>
  <conditionalFormatting sqref="K318">
    <cfRule type="cellIs" dxfId="3977" priority="3659" operator="lessThanOrEqual">
      <formula>0.5</formula>
    </cfRule>
    <cfRule type="cellIs" dxfId="3976" priority="3660" operator="greaterThanOrEqual">
      <formula>1.5</formula>
    </cfRule>
  </conditionalFormatting>
  <conditionalFormatting sqref="L318">
    <cfRule type="cellIs" dxfId="3975" priority="3657" operator="lessThanOrEqual">
      <formula>0.5</formula>
    </cfRule>
    <cfRule type="cellIs" dxfId="3974" priority="3658" operator="greaterThanOrEqual">
      <formula>1.5</formula>
    </cfRule>
  </conditionalFormatting>
  <conditionalFormatting sqref="O321">
    <cfRule type="cellIs" dxfId="3973" priority="3655" operator="lessThanOrEqual">
      <formula>0.5</formula>
    </cfRule>
    <cfRule type="cellIs" dxfId="3972" priority="3656" operator="greaterThanOrEqual">
      <formula>1.5</formula>
    </cfRule>
  </conditionalFormatting>
  <conditionalFormatting sqref="N321">
    <cfRule type="cellIs" dxfId="3971" priority="3653" operator="lessThanOrEqual">
      <formula>0.5</formula>
    </cfRule>
    <cfRule type="cellIs" dxfId="3970" priority="3654" operator="greaterThanOrEqual">
      <formula>1.5</formula>
    </cfRule>
  </conditionalFormatting>
  <conditionalFormatting sqref="K321">
    <cfRule type="cellIs" dxfId="3969" priority="3651" operator="lessThanOrEqual">
      <formula>0.5</formula>
    </cfRule>
    <cfRule type="cellIs" dxfId="3968" priority="3652" operator="greaterThanOrEqual">
      <formula>1.5</formula>
    </cfRule>
  </conditionalFormatting>
  <conditionalFormatting sqref="L321">
    <cfRule type="cellIs" dxfId="3967" priority="3649" operator="lessThanOrEqual">
      <formula>0.5</formula>
    </cfRule>
    <cfRule type="cellIs" dxfId="3966" priority="3650" operator="greaterThanOrEqual">
      <formula>1.5</formula>
    </cfRule>
  </conditionalFormatting>
  <conditionalFormatting sqref="O324">
    <cfRule type="cellIs" dxfId="3965" priority="3647" operator="lessThanOrEqual">
      <formula>0.5</formula>
    </cfRule>
    <cfRule type="cellIs" dxfId="3964" priority="3648" operator="greaterThanOrEqual">
      <formula>1.5</formula>
    </cfRule>
  </conditionalFormatting>
  <conditionalFormatting sqref="N324">
    <cfRule type="cellIs" dxfId="3963" priority="3645" operator="lessThanOrEqual">
      <formula>0.5</formula>
    </cfRule>
    <cfRule type="cellIs" dxfId="3962" priority="3646" operator="greaterThanOrEqual">
      <formula>1.5</formula>
    </cfRule>
  </conditionalFormatting>
  <conditionalFormatting sqref="K324">
    <cfRule type="cellIs" dxfId="3961" priority="3643" operator="lessThanOrEqual">
      <formula>0.5</formula>
    </cfRule>
    <cfRule type="cellIs" dxfId="3960" priority="3644" operator="greaterThanOrEqual">
      <formula>1.5</formula>
    </cfRule>
  </conditionalFormatting>
  <conditionalFormatting sqref="L324">
    <cfRule type="cellIs" dxfId="3959" priority="3641" operator="lessThanOrEqual">
      <formula>0.5</formula>
    </cfRule>
    <cfRule type="cellIs" dxfId="3958" priority="3642" operator="greaterThanOrEqual">
      <formula>1.5</formula>
    </cfRule>
  </conditionalFormatting>
  <conditionalFormatting sqref="O327">
    <cfRule type="cellIs" dxfId="3957" priority="3639" operator="lessThanOrEqual">
      <formula>0.5</formula>
    </cfRule>
    <cfRule type="cellIs" dxfId="3956" priority="3640" operator="greaterThanOrEqual">
      <formula>1.5</formula>
    </cfRule>
  </conditionalFormatting>
  <conditionalFormatting sqref="N327">
    <cfRule type="cellIs" dxfId="3955" priority="3637" operator="lessThanOrEqual">
      <formula>0.5</formula>
    </cfRule>
    <cfRule type="cellIs" dxfId="3954" priority="3638" operator="greaterThanOrEqual">
      <formula>1.5</formula>
    </cfRule>
  </conditionalFormatting>
  <conditionalFormatting sqref="K327">
    <cfRule type="cellIs" dxfId="3953" priority="3635" operator="lessThanOrEqual">
      <formula>0.5</formula>
    </cfRule>
    <cfRule type="cellIs" dxfId="3952" priority="3636" operator="greaterThanOrEqual">
      <formula>1.5</formula>
    </cfRule>
  </conditionalFormatting>
  <conditionalFormatting sqref="L327">
    <cfRule type="cellIs" dxfId="3951" priority="3633" operator="lessThanOrEqual">
      <formula>0.5</formula>
    </cfRule>
    <cfRule type="cellIs" dxfId="3950" priority="3634" operator="greaterThanOrEqual">
      <formula>1.5</formula>
    </cfRule>
  </conditionalFormatting>
  <conditionalFormatting sqref="O330">
    <cfRule type="cellIs" dxfId="3949" priority="3631" operator="lessThanOrEqual">
      <formula>0.5</formula>
    </cfRule>
    <cfRule type="cellIs" dxfId="3948" priority="3632" operator="greaterThanOrEqual">
      <formula>1.5</formula>
    </cfRule>
  </conditionalFormatting>
  <conditionalFormatting sqref="N330">
    <cfRule type="cellIs" dxfId="3947" priority="3629" operator="lessThanOrEqual">
      <formula>0.5</formula>
    </cfRule>
    <cfRule type="cellIs" dxfId="3946" priority="3630" operator="greaterThanOrEqual">
      <formula>1.5</formula>
    </cfRule>
  </conditionalFormatting>
  <conditionalFormatting sqref="K330">
    <cfRule type="cellIs" dxfId="3945" priority="3627" operator="lessThanOrEqual">
      <formula>0.5</formula>
    </cfRule>
    <cfRule type="cellIs" dxfId="3944" priority="3628" operator="greaterThanOrEqual">
      <formula>1.5</formula>
    </cfRule>
  </conditionalFormatting>
  <conditionalFormatting sqref="L330">
    <cfRule type="cellIs" dxfId="3943" priority="3625" operator="lessThanOrEqual">
      <formula>0.5</formula>
    </cfRule>
    <cfRule type="cellIs" dxfId="3942" priority="3626" operator="greaterThanOrEqual">
      <formula>1.5</formula>
    </cfRule>
  </conditionalFormatting>
  <conditionalFormatting sqref="O333">
    <cfRule type="cellIs" dxfId="3941" priority="3623" operator="lessThanOrEqual">
      <formula>0.5</formula>
    </cfRule>
    <cfRule type="cellIs" dxfId="3940" priority="3624" operator="greaterThanOrEqual">
      <formula>1.5</formula>
    </cfRule>
  </conditionalFormatting>
  <conditionalFormatting sqref="N333">
    <cfRule type="cellIs" dxfId="3939" priority="3621" operator="lessThanOrEqual">
      <formula>0.5</formula>
    </cfRule>
    <cfRule type="cellIs" dxfId="3938" priority="3622" operator="greaterThanOrEqual">
      <formula>1.5</formula>
    </cfRule>
  </conditionalFormatting>
  <conditionalFormatting sqref="K333">
    <cfRule type="cellIs" dxfId="3937" priority="3619" operator="lessThanOrEqual">
      <formula>0.5</formula>
    </cfRule>
    <cfRule type="cellIs" dxfId="3936" priority="3620" operator="greaterThanOrEqual">
      <formula>1.5</formula>
    </cfRule>
  </conditionalFormatting>
  <conditionalFormatting sqref="L333">
    <cfRule type="cellIs" dxfId="3935" priority="3617" operator="lessThanOrEqual">
      <formula>0.5</formula>
    </cfRule>
    <cfRule type="cellIs" dxfId="3934" priority="3618" operator="greaterThanOrEqual">
      <formula>1.5</formula>
    </cfRule>
  </conditionalFormatting>
  <conditionalFormatting sqref="O336">
    <cfRule type="cellIs" dxfId="3933" priority="3615" operator="lessThanOrEqual">
      <formula>0.5</formula>
    </cfRule>
    <cfRule type="cellIs" dxfId="3932" priority="3616" operator="greaterThanOrEqual">
      <formula>1.5</formula>
    </cfRule>
  </conditionalFormatting>
  <conditionalFormatting sqref="N336">
    <cfRule type="cellIs" dxfId="3931" priority="3613" operator="lessThanOrEqual">
      <formula>0.5</formula>
    </cfRule>
    <cfRule type="cellIs" dxfId="3930" priority="3614" operator="greaterThanOrEqual">
      <formula>1.5</formula>
    </cfRule>
  </conditionalFormatting>
  <conditionalFormatting sqref="K336">
    <cfRule type="cellIs" dxfId="3929" priority="3611" operator="lessThanOrEqual">
      <formula>0.5</formula>
    </cfRule>
    <cfRule type="cellIs" dxfId="3928" priority="3612" operator="greaterThanOrEqual">
      <formula>1.5</formula>
    </cfRule>
  </conditionalFormatting>
  <conditionalFormatting sqref="L336">
    <cfRule type="cellIs" dxfId="3927" priority="3609" operator="lessThanOrEqual">
      <formula>0.5</formula>
    </cfRule>
    <cfRule type="cellIs" dxfId="3926" priority="3610" operator="greaterThanOrEqual">
      <formula>1.5</formula>
    </cfRule>
  </conditionalFormatting>
  <conditionalFormatting sqref="O339">
    <cfRule type="cellIs" dxfId="3925" priority="3607" operator="lessThanOrEqual">
      <formula>0.5</formula>
    </cfRule>
    <cfRule type="cellIs" dxfId="3924" priority="3608" operator="greaterThanOrEqual">
      <formula>1.5</formula>
    </cfRule>
  </conditionalFormatting>
  <conditionalFormatting sqref="N339">
    <cfRule type="cellIs" dxfId="3923" priority="3605" operator="lessThanOrEqual">
      <formula>0.5</formula>
    </cfRule>
    <cfRule type="cellIs" dxfId="3922" priority="3606" operator="greaterThanOrEqual">
      <formula>1.5</formula>
    </cfRule>
  </conditionalFormatting>
  <conditionalFormatting sqref="K339">
    <cfRule type="cellIs" dxfId="3921" priority="3603" operator="lessThanOrEqual">
      <formula>0.5</formula>
    </cfRule>
    <cfRule type="cellIs" dxfId="3920" priority="3604" operator="greaterThanOrEqual">
      <formula>1.5</formula>
    </cfRule>
  </conditionalFormatting>
  <conditionalFormatting sqref="L339">
    <cfRule type="cellIs" dxfId="3919" priority="3601" operator="lessThanOrEqual">
      <formula>0.5</formula>
    </cfRule>
    <cfRule type="cellIs" dxfId="3918" priority="3602" operator="greaterThanOrEqual">
      <formula>1.5</formula>
    </cfRule>
  </conditionalFormatting>
  <conditionalFormatting sqref="O342">
    <cfRule type="cellIs" dxfId="3917" priority="3599" operator="lessThanOrEqual">
      <formula>0.5</formula>
    </cfRule>
    <cfRule type="cellIs" dxfId="3916" priority="3600" operator="greaterThanOrEqual">
      <formula>1.5</formula>
    </cfRule>
  </conditionalFormatting>
  <conditionalFormatting sqref="N342">
    <cfRule type="cellIs" dxfId="3915" priority="3597" operator="lessThanOrEqual">
      <formula>0.5</formula>
    </cfRule>
    <cfRule type="cellIs" dxfId="3914" priority="3598" operator="greaterThanOrEqual">
      <formula>1.5</formula>
    </cfRule>
  </conditionalFormatting>
  <conditionalFormatting sqref="K342">
    <cfRule type="cellIs" dxfId="3913" priority="3595" operator="lessThanOrEqual">
      <formula>0.5</formula>
    </cfRule>
    <cfRule type="cellIs" dxfId="3912" priority="3596" operator="greaterThanOrEqual">
      <formula>1.5</formula>
    </cfRule>
  </conditionalFormatting>
  <conditionalFormatting sqref="L342">
    <cfRule type="cellIs" dxfId="3911" priority="3593" operator="lessThanOrEqual">
      <formula>0.5</formula>
    </cfRule>
    <cfRule type="cellIs" dxfId="3910" priority="3594" operator="greaterThanOrEqual">
      <formula>1.5</formula>
    </cfRule>
  </conditionalFormatting>
  <conditionalFormatting sqref="O345">
    <cfRule type="cellIs" dxfId="3909" priority="3591" operator="lessThanOrEqual">
      <formula>0.5</formula>
    </cfRule>
    <cfRule type="cellIs" dxfId="3908" priority="3592" operator="greaterThanOrEqual">
      <formula>1.5</formula>
    </cfRule>
  </conditionalFormatting>
  <conditionalFormatting sqref="N345">
    <cfRule type="cellIs" dxfId="3907" priority="3589" operator="lessThanOrEqual">
      <formula>0.5</formula>
    </cfRule>
    <cfRule type="cellIs" dxfId="3906" priority="3590" operator="greaterThanOrEqual">
      <formula>1.5</formula>
    </cfRule>
  </conditionalFormatting>
  <conditionalFormatting sqref="K345">
    <cfRule type="cellIs" dxfId="3905" priority="3587" operator="lessThanOrEqual">
      <formula>0.5</formula>
    </cfRule>
    <cfRule type="cellIs" dxfId="3904" priority="3588" operator="greaterThanOrEqual">
      <formula>1.5</formula>
    </cfRule>
  </conditionalFormatting>
  <conditionalFormatting sqref="L345">
    <cfRule type="cellIs" dxfId="3903" priority="3585" operator="lessThanOrEqual">
      <formula>0.5</formula>
    </cfRule>
    <cfRule type="cellIs" dxfId="3902" priority="3586" operator="greaterThanOrEqual">
      <formula>1.5</formula>
    </cfRule>
  </conditionalFormatting>
  <conditionalFormatting sqref="O348">
    <cfRule type="cellIs" dxfId="3901" priority="3583" operator="lessThanOrEqual">
      <formula>0.5</formula>
    </cfRule>
    <cfRule type="cellIs" dxfId="3900" priority="3584" operator="greaterThanOrEqual">
      <formula>1.5</formula>
    </cfRule>
  </conditionalFormatting>
  <conditionalFormatting sqref="N348">
    <cfRule type="cellIs" dxfId="3899" priority="3581" operator="lessThanOrEqual">
      <formula>0.5</formula>
    </cfRule>
    <cfRule type="cellIs" dxfId="3898" priority="3582" operator="greaterThanOrEqual">
      <formula>1.5</formula>
    </cfRule>
  </conditionalFormatting>
  <conditionalFormatting sqref="K348">
    <cfRule type="cellIs" dxfId="3897" priority="3579" operator="lessThanOrEqual">
      <formula>0.5</formula>
    </cfRule>
    <cfRule type="cellIs" dxfId="3896" priority="3580" operator="greaterThanOrEqual">
      <formula>1.5</formula>
    </cfRule>
  </conditionalFormatting>
  <conditionalFormatting sqref="L348">
    <cfRule type="cellIs" dxfId="3895" priority="3577" operator="lessThanOrEqual">
      <formula>0.5</formula>
    </cfRule>
    <cfRule type="cellIs" dxfId="3894" priority="3578" operator="greaterThanOrEqual">
      <formula>1.5</formula>
    </cfRule>
  </conditionalFormatting>
  <conditionalFormatting sqref="O351">
    <cfRule type="cellIs" dxfId="3893" priority="3575" operator="lessThanOrEqual">
      <formula>0.5</formula>
    </cfRule>
    <cfRule type="cellIs" dxfId="3892" priority="3576" operator="greaterThanOrEqual">
      <formula>1.5</formula>
    </cfRule>
  </conditionalFormatting>
  <conditionalFormatting sqref="N351">
    <cfRule type="cellIs" dxfId="3891" priority="3573" operator="lessThanOrEqual">
      <formula>0.5</formula>
    </cfRule>
    <cfRule type="cellIs" dxfId="3890" priority="3574" operator="greaterThanOrEqual">
      <formula>1.5</formula>
    </cfRule>
  </conditionalFormatting>
  <conditionalFormatting sqref="K351">
    <cfRule type="cellIs" dxfId="3889" priority="3571" operator="lessThanOrEqual">
      <formula>0.5</formula>
    </cfRule>
    <cfRule type="cellIs" dxfId="3888" priority="3572" operator="greaterThanOrEqual">
      <formula>1.5</formula>
    </cfRule>
  </conditionalFormatting>
  <conditionalFormatting sqref="L351">
    <cfRule type="cellIs" dxfId="3887" priority="3569" operator="lessThanOrEqual">
      <formula>0.5</formula>
    </cfRule>
    <cfRule type="cellIs" dxfId="3886" priority="3570" operator="greaterThanOrEqual">
      <formula>1.5</formula>
    </cfRule>
  </conditionalFormatting>
  <conditionalFormatting sqref="O354">
    <cfRule type="cellIs" dxfId="3885" priority="3567" operator="lessThanOrEqual">
      <formula>0.5</formula>
    </cfRule>
    <cfRule type="cellIs" dxfId="3884" priority="3568" operator="greaterThanOrEqual">
      <formula>1.5</formula>
    </cfRule>
  </conditionalFormatting>
  <conditionalFormatting sqref="N354">
    <cfRule type="cellIs" dxfId="3883" priority="3565" operator="lessThanOrEqual">
      <formula>0.5</formula>
    </cfRule>
    <cfRule type="cellIs" dxfId="3882" priority="3566" operator="greaterThanOrEqual">
      <formula>1.5</formula>
    </cfRule>
  </conditionalFormatting>
  <conditionalFormatting sqref="K354">
    <cfRule type="cellIs" dxfId="3881" priority="3563" operator="lessThanOrEqual">
      <formula>0.5</formula>
    </cfRule>
    <cfRule type="cellIs" dxfId="3880" priority="3564" operator="greaterThanOrEqual">
      <formula>1.5</formula>
    </cfRule>
  </conditionalFormatting>
  <conditionalFormatting sqref="L354">
    <cfRule type="cellIs" dxfId="3879" priority="3561" operator="lessThanOrEqual">
      <formula>0.5</formula>
    </cfRule>
    <cfRule type="cellIs" dxfId="3878" priority="3562" operator="greaterThanOrEqual">
      <formula>1.5</formula>
    </cfRule>
  </conditionalFormatting>
  <conditionalFormatting sqref="O357">
    <cfRule type="cellIs" dxfId="3877" priority="3559" operator="lessThanOrEqual">
      <formula>0.5</formula>
    </cfRule>
    <cfRule type="cellIs" dxfId="3876" priority="3560" operator="greaterThanOrEqual">
      <formula>1.5</formula>
    </cfRule>
  </conditionalFormatting>
  <conditionalFormatting sqref="N357">
    <cfRule type="cellIs" dxfId="3875" priority="3557" operator="lessThanOrEqual">
      <formula>0.5</formula>
    </cfRule>
    <cfRule type="cellIs" dxfId="3874" priority="3558" operator="greaterThanOrEqual">
      <formula>1.5</formula>
    </cfRule>
  </conditionalFormatting>
  <conditionalFormatting sqref="K357">
    <cfRule type="cellIs" dxfId="3873" priority="3555" operator="lessThanOrEqual">
      <formula>0.5</formula>
    </cfRule>
    <cfRule type="cellIs" dxfId="3872" priority="3556" operator="greaterThanOrEqual">
      <formula>1.5</formula>
    </cfRule>
  </conditionalFormatting>
  <conditionalFormatting sqref="L357">
    <cfRule type="cellIs" dxfId="3871" priority="3553" operator="lessThanOrEqual">
      <formula>0.5</formula>
    </cfRule>
    <cfRule type="cellIs" dxfId="3870" priority="3554" operator="greaterThanOrEqual">
      <formula>1.5</formula>
    </cfRule>
  </conditionalFormatting>
  <conditionalFormatting sqref="O360">
    <cfRule type="cellIs" dxfId="3869" priority="3551" operator="lessThanOrEqual">
      <formula>0.5</formula>
    </cfRule>
    <cfRule type="cellIs" dxfId="3868" priority="3552" operator="greaterThanOrEqual">
      <formula>1.5</formula>
    </cfRule>
  </conditionalFormatting>
  <conditionalFormatting sqref="N360">
    <cfRule type="cellIs" dxfId="3867" priority="3549" operator="lessThanOrEqual">
      <formula>0.5</formula>
    </cfRule>
    <cfRule type="cellIs" dxfId="3866" priority="3550" operator="greaterThanOrEqual">
      <formula>1.5</formula>
    </cfRule>
  </conditionalFormatting>
  <conditionalFormatting sqref="K360">
    <cfRule type="cellIs" dxfId="3865" priority="3547" operator="lessThanOrEqual">
      <formula>0.5</formula>
    </cfRule>
    <cfRule type="cellIs" dxfId="3864" priority="3548" operator="greaterThanOrEqual">
      <formula>1.5</formula>
    </cfRule>
  </conditionalFormatting>
  <conditionalFormatting sqref="L360">
    <cfRule type="cellIs" dxfId="3863" priority="3545" operator="lessThanOrEqual">
      <formula>0.5</formula>
    </cfRule>
    <cfRule type="cellIs" dxfId="3862" priority="3546" operator="greaterThanOrEqual">
      <formula>1.5</formula>
    </cfRule>
  </conditionalFormatting>
  <conditionalFormatting sqref="O363">
    <cfRule type="cellIs" dxfId="3861" priority="3543" operator="lessThanOrEqual">
      <formula>0.5</formula>
    </cfRule>
    <cfRule type="cellIs" dxfId="3860" priority="3544" operator="greaterThanOrEqual">
      <formula>1.5</formula>
    </cfRule>
  </conditionalFormatting>
  <conditionalFormatting sqref="N363">
    <cfRule type="cellIs" dxfId="3859" priority="3541" operator="lessThanOrEqual">
      <formula>0.5</formula>
    </cfRule>
    <cfRule type="cellIs" dxfId="3858" priority="3542" operator="greaterThanOrEqual">
      <formula>1.5</formula>
    </cfRule>
  </conditionalFormatting>
  <conditionalFormatting sqref="K363">
    <cfRule type="cellIs" dxfId="3857" priority="3539" operator="lessThanOrEqual">
      <formula>0.5</formula>
    </cfRule>
    <cfRule type="cellIs" dxfId="3856" priority="3540" operator="greaterThanOrEqual">
      <formula>1.5</formula>
    </cfRule>
  </conditionalFormatting>
  <conditionalFormatting sqref="L363">
    <cfRule type="cellIs" dxfId="3855" priority="3537" operator="lessThanOrEqual">
      <formula>0.5</formula>
    </cfRule>
    <cfRule type="cellIs" dxfId="3854" priority="3538" operator="greaterThanOrEqual">
      <formula>1.5</formula>
    </cfRule>
  </conditionalFormatting>
  <conditionalFormatting sqref="O366">
    <cfRule type="cellIs" dxfId="3853" priority="3535" operator="lessThanOrEqual">
      <formula>0.5</formula>
    </cfRule>
    <cfRule type="cellIs" dxfId="3852" priority="3536" operator="greaterThanOrEqual">
      <formula>1.5</formula>
    </cfRule>
  </conditionalFormatting>
  <conditionalFormatting sqref="N366">
    <cfRule type="cellIs" dxfId="3851" priority="3533" operator="lessThanOrEqual">
      <formula>0.5</formula>
    </cfRule>
    <cfRule type="cellIs" dxfId="3850" priority="3534" operator="greaterThanOrEqual">
      <formula>1.5</formula>
    </cfRule>
  </conditionalFormatting>
  <conditionalFormatting sqref="K366">
    <cfRule type="cellIs" dxfId="3849" priority="3531" operator="lessThanOrEqual">
      <formula>0.5</formula>
    </cfRule>
    <cfRule type="cellIs" dxfId="3848" priority="3532" operator="greaterThanOrEqual">
      <formula>1.5</formula>
    </cfRule>
  </conditionalFormatting>
  <conditionalFormatting sqref="L366">
    <cfRule type="cellIs" dxfId="3847" priority="3529" operator="lessThanOrEqual">
      <formula>0.5</formula>
    </cfRule>
    <cfRule type="cellIs" dxfId="3846" priority="3530" operator="greaterThanOrEqual">
      <formula>1.5</formula>
    </cfRule>
  </conditionalFormatting>
  <conditionalFormatting sqref="O369">
    <cfRule type="cellIs" dxfId="3845" priority="3527" operator="lessThanOrEqual">
      <formula>0.5</formula>
    </cfRule>
    <cfRule type="cellIs" dxfId="3844" priority="3528" operator="greaterThanOrEqual">
      <formula>1.5</formula>
    </cfRule>
  </conditionalFormatting>
  <conditionalFormatting sqref="N369">
    <cfRule type="cellIs" dxfId="3843" priority="3525" operator="lessThanOrEqual">
      <formula>0.5</formula>
    </cfRule>
    <cfRule type="cellIs" dxfId="3842" priority="3526" operator="greaterThanOrEqual">
      <formula>1.5</formula>
    </cfRule>
  </conditionalFormatting>
  <conditionalFormatting sqref="K369">
    <cfRule type="cellIs" dxfId="3841" priority="3523" operator="lessThanOrEqual">
      <formula>0.5</formula>
    </cfRule>
    <cfRule type="cellIs" dxfId="3840" priority="3524" operator="greaterThanOrEqual">
      <formula>1.5</formula>
    </cfRule>
  </conditionalFormatting>
  <conditionalFormatting sqref="L369">
    <cfRule type="cellIs" dxfId="3839" priority="3521" operator="lessThanOrEqual">
      <formula>0.5</formula>
    </cfRule>
    <cfRule type="cellIs" dxfId="3838" priority="3522" operator="greaterThanOrEqual">
      <formula>1.5</formula>
    </cfRule>
  </conditionalFormatting>
  <conditionalFormatting sqref="O372">
    <cfRule type="cellIs" dxfId="3837" priority="3519" operator="lessThanOrEqual">
      <formula>0.5</formula>
    </cfRule>
    <cfRule type="cellIs" dxfId="3836" priority="3520" operator="greaterThanOrEqual">
      <formula>1.5</formula>
    </cfRule>
  </conditionalFormatting>
  <conditionalFormatting sqref="N372">
    <cfRule type="cellIs" dxfId="3835" priority="3517" operator="lessThanOrEqual">
      <formula>0.5</formula>
    </cfRule>
    <cfRule type="cellIs" dxfId="3834" priority="3518" operator="greaterThanOrEqual">
      <formula>1.5</formula>
    </cfRule>
  </conditionalFormatting>
  <conditionalFormatting sqref="K372">
    <cfRule type="cellIs" dxfId="3833" priority="3515" operator="lessThanOrEqual">
      <formula>0.5</formula>
    </cfRule>
    <cfRule type="cellIs" dxfId="3832" priority="3516" operator="greaterThanOrEqual">
      <formula>1.5</formula>
    </cfRule>
  </conditionalFormatting>
  <conditionalFormatting sqref="L372">
    <cfRule type="cellIs" dxfId="3831" priority="3513" operator="lessThanOrEqual">
      <formula>0.5</formula>
    </cfRule>
    <cfRule type="cellIs" dxfId="3830" priority="3514" operator="greaterThanOrEqual">
      <formula>1.5</formula>
    </cfRule>
  </conditionalFormatting>
  <conditionalFormatting sqref="O375">
    <cfRule type="cellIs" dxfId="3829" priority="3511" operator="lessThanOrEqual">
      <formula>0.5</formula>
    </cfRule>
    <cfRule type="cellIs" dxfId="3828" priority="3512" operator="greaterThanOrEqual">
      <formula>1.5</formula>
    </cfRule>
  </conditionalFormatting>
  <conditionalFormatting sqref="N375">
    <cfRule type="cellIs" dxfId="3827" priority="3509" operator="lessThanOrEqual">
      <formula>0.5</formula>
    </cfRule>
    <cfRule type="cellIs" dxfId="3826" priority="3510" operator="greaterThanOrEqual">
      <formula>1.5</formula>
    </cfRule>
  </conditionalFormatting>
  <conditionalFormatting sqref="K375">
    <cfRule type="cellIs" dxfId="3825" priority="3507" operator="lessThanOrEqual">
      <formula>0.5</formula>
    </cfRule>
    <cfRule type="cellIs" dxfId="3824" priority="3508" operator="greaterThanOrEqual">
      <formula>1.5</formula>
    </cfRule>
  </conditionalFormatting>
  <conditionalFormatting sqref="L375">
    <cfRule type="cellIs" dxfId="3823" priority="3505" operator="lessThanOrEqual">
      <formula>0.5</formula>
    </cfRule>
    <cfRule type="cellIs" dxfId="3822" priority="3506" operator="greaterThanOrEqual">
      <formula>1.5</formula>
    </cfRule>
  </conditionalFormatting>
  <conditionalFormatting sqref="O378">
    <cfRule type="cellIs" dxfId="3821" priority="3503" operator="lessThanOrEqual">
      <formula>0.5</formula>
    </cfRule>
    <cfRule type="cellIs" dxfId="3820" priority="3504" operator="greaterThanOrEqual">
      <formula>1.5</formula>
    </cfRule>
  </conditionalFormatting>
  <conditionalFormatting sqref="N378">
    <cfRule type="cellIs" dxfId="3819" priority="3501" operator="lessThanOrEqual">
      <formula>0.5</formula>
    </cfRule>
    <cfRule type="cellIs" dxfId="3818" priority="3502" operator="greaterThanOrEqual">
      <formula>1.5</formula>
    </cfRule>
  </conditionalFormatting>
  <conditionalFormatting sqref="K378">
    <cfRule type="cellIs" dxfId="3817" priority="3499" operator="lessThanOrEqual">
      <formula>0.5</formula>
    </cfRule>
    <cfRule type="cellIs" dxfId="3816" priority="3500" operator="greaterThanOrEqual">
      <formula>1.5</formula>
    </cfRule>
  </conditionalFormatting>
  <conditionalFormatting sqref="L378">
    <cfRule type="cellIs" dxfId="3815" priority="3497" operator="lessThanOrEqual">
      <formula>0.5</formula>
    </cfRule>
    <cfRule type="cellIs" dxfId="3814" priority="3498" operator="greaterThanOrEqual">
      <formula>1.5</formula>
    </cfRule>
  </conditionalFormatting>
  <conditionalFormatting sqref="O381">
    <cfRule type="cellIs" dxfId="3813" priority="3495" operator="lessThanOrEqual">
      <formula>0.5</formula>
    </cfRule>
    <cfRule type="cellIs" dxfId="3812" priority="3496" operator="greaterThanOrEqual">
      <formula>1.5</formula>
    </cfRule>
  </conditionalFormatting>
  <conditionalFormatting sqref="N381">
    <cfRule type="cellIs" dxfId="3811" priority="3493" operator="lessThanOrEqual">
      <formula>0.5</formula>
    </cfRule>
    <cfRule type="cellIs" dxfId="3810" priority="3494" operator="greaterThanOrEqual">
      <formula>1.5</formula>
    </cfRule>
  </conditionalFormatting>
  <conditionalFormatting sqref="K381">
    <cfRule type="cellIs" dxfId="3809" priority="3491" operator="lessThanOrEqual">
      <formula>0.5</formula>
    </cfRule>
    <cfRule type="cellIs" dxfId="3808" priority="3492" operator="greaterThanOrEqual">
      <formula>1.5</formula>
    </cfRule>
  </conditionalFormatting>
  <conditionalFormatting sqref="L381">
    <cfRule type="cellIs" dxfId="3807" priority="3489" operator="lessThanOrEqual">
      <formula>0.5</formula>
    </cfRule>
    <cfRule type="cellIs" dxfId="3806" priority="3490" operator="greaterThanOrEqual">
      <formula>1.5</formula>
    </cfRule>
  </conditionalFormatting>
  <conditionalFormatting sqref="O384">
    <cfRule type="cellIs" dxfId="3805" priority="3487" operator="lessThanOrEqual">
      <formula>0.5</formula>
    </cfRule>
    <cfRule type="cellIs" dxfId="3804" priority="3488" operator="greaterThanOrEqual">
      <formula>1.5</formula>
    </cfRule>
  </conditionalFormatting>
  <conditionalFormatting sqref="N384">
    <cfRule type="cellIs" dxfId="3803" priority="3485" operator="lessThanOrEqual">
      <formula>0.5</formula>
    </cfRule>
    <cfRule type="cellIs" dxfId="3802" priority="3486" operator="greaterThanOrEqual">
      <formula>1.5</formula>
    </cfRule>
  </conditionalFormatting>
  <conditionalFormatting sqref="K384">
    <cfRule type="cellIs" dxfId="3801" priority="3483" operator="lessThanOrEqual">
      <formula>0.5</formula>
    </cfRule>
    <cfRule type="cellIs" dxfId="3800" priority="3484" operator="greaterThanOrEqual">
      <formula>1.5</formula>
    </cfRule>
  </conditionalFormatting>
  <conditionalFormatting sqref="L384">
    <cfRule type="cellIs" dxfId="3799" priority="3481" operator="lessThanOrEqual">
      <formula>0.5</formula>
    </cfRule>
    <cfRule type="cellIs" dxfId="3798" priority="3482" operator="greaterThanOrEqual">
      <formula>1.5</formula>
    </cfRule>
  </conditionalFormatting>
  <conditionalFormatting sqref="O387">
    <cfRule type="cellIs" dxfId="3797" priority="3479" operator="lessThanOrEqual">
      <formula>0.5</formula>
    </cfRule>
    <cfRule type="cellIs" dxfId="3796" priority="3480" operator="greaterThanOrEqual">
      <formula>1.5</formula>
    </cfRule>
  </conditionalFormatting>
  <conditionalFormatting sqref="N387">
    <cfRule type="cellIs" dxfId="3795" priority="3477" operator="lessThanOrEqual">
      <formula>0.5</formula>
    </cfRule>
    <cfRule type="cellIs" dxfId="3794" priority="3478" operator="greaterThanOrEqual">
      <formula>1.5</formula>
    </cfRule>
  </conditionalFormatting>
  <conditionalFormatting sqref="K387">
    <cfRule type="cellIs" dxfId="3793" priority="3475" operator="lessThanOrEqual">
      <formula>0.5</formula>
    </cfRule>
    <cfRule type="cellIs" dxfId="3792" priority="3476" operator="greaterThanOrEqual">
      <formula>1.5</formula>
    </cfRule>
  </conditionalFormatting>
  <conditionalFormatting sqref="L387">
    <cfRule type="cellIs" dxfId="3791" priority="3473" operator="lessThanOrEqual">
      <formula>0.5</formula>
    </cfRule>
    <cfRule type="cellIs" dxfId="3790" priority="3474" operator="greaterThanOrEqual">
      <formula>1.5</formula>
    </cfRule>
  </conditionalFormatting>
  <conditionalFormatting sqref="O390">
    <cfRule type="cellIs" dxfId="3789" priority="3471" operator="lessThanOrEqual">
      <formula>0.5</formula>
    </cfRule>
    <cfRule type="cellIs" dxfId="3788" priority="3472" operator="greaterThanOrEqual">
      <formula>1.5</formula>
    </cfRule>
  </conditionalFormatting>
  <conditionalFormatting sqref="N390">
    <cfRule type="cellIs" dxfId="3787" priority="3469" operator="lessThanOrEqual">
      <formula>0.5</formula>
    </cfRule>
    <cfRule type="cellIs" dxfId="3786" priority="3470" operator="greaterThanOrEqual">
      <formula>1.5</formula>
    </cfRule>
  </conditionalFormatting>
  <conditionalFormatting sqref="K390">
    <cfRule type="cellIs" dxfId="3785" priority="3467" operator="lessThanOrEqual">
      <formula>0.5</formula>
    </cfRule>
    <cfRule type="cellIs" dxfId="3784" priority="3468" operator="greaterThanOrEqual">
      <formula>1.5</formula>
    </cfRule>
  </conditionalFormatting>
  <conditionalFormatting sqref="L390">
    <cfRule type="cellIs" dxfId="3783" priority="3465" operator="lessThanOrEqual">
      <formula>0.5</formula>
    </cfRule>
    <cfRule type="cellIs" dxfId="3782" priority="3466" operator="greaterThanOrEqual">
      <formula>1.5</formula>
    </cfRule>
  </conditionalFormatting>
  <conditionalFormatting sqref="O393">
    <cfRule type="cellIs" dxfId="3781" priority="3463" operator="lessThanOrEqual">
      <formula>0.5</formula>
    </cfRule>
    <cfRule type="cellIs" dxfId="3780" priority="3464" operator="greaterThanOrEqual">
      <formula>1.5</formula>
    </cfRule>
  </conditionalFormatting>
  <conditionalFormatting sqref="N393">
    <cfRule type="cellIs" dxfId="3779" priority="3461" operator="lessThanOrEqual">
      <formula>0.5</formula>
    </cfRule>
    <cfRule type="cellIs" dxfId="3778" priority="3462" operator="greaterThanOrEqual">
      <formula>1.5</formula>
    </cfRule>
  </conditionalFormatting>
  <conditionalFormatting sqref="K393">
    <cfRule type="cellIs" dxfId="3777" priority="3459" operator="lessThanOrEqual">
      <formula>0.5</formula>
    </cfRule>
    <cfRule type="cellIs" dxfId="3776" priority="3460" operator="greaterThanOrEqual">
      <formula>1.5</formula>
    </cfRule>
  </conditionalFormatting>
  <conditionalFormatting sqref="L393">
    <cfRule type="cellIs" dxfId="3775" priority="3457" operator="lessThanOrEqual">
      <formula>0.5</formula>
    </cfRule>
    <cfRule type="cellIs" dxfId="3774" priority="3458" operator="greaterThanOrEqual">
      <formula>1.5</formula>
    </cfRule>
  </conditionalFormatting>
  <conditionalFormatting sqref="O396">
    <cfRule type="cellIs" dxfId="3773" priority="3455" operator="lessThanOrEqual">
      <formula>0.5</formula>
    </cfRule>
    <cfRule type="cellIs" dxfId="3772" priority="3456" operator="greaterThanOrEqual">
      <formula>1.5</formula>
    </cfRule>
  </conditionalFormatting>
  <conditionalFormatting sqref="N396">
    <cfRule type="cellIs" dxfId="3771" priority="3453" operator="lessThanOrEqual">
      <formula>0.5</formula>
    </cfRule>
    <cfRule type="cellIs" dxfId="3770" priority="3454" operator="greaterThanOrEqual">
      <formula>1.5</formula>
    </cfRule>
  </conditionalFormatting>
  <conditionalFormatting sqref="K396">
    <cfRule type="cellIs" dxfId="3769" priority="3451" operator="lessThanOrEqual">
      <formula>0.5</formula>
    </cfRule>
    <cfRule type="cellIs" dxfId="3768" priority="3452" operator="greaterThanOrEqual">
      <formula>1.5</formula>
    </cfRule>
  </conditionalFormatting>
  <conditionalFormatting sqref="L396">
    <cfRule type="cellIs" dxfId="3767" priority="3449" operator="lessThanOrEqual">
      <formula>0.5</formula>
    </cfRule>
    <cfRule type="cellIs" dxfId="3766" priority="3450" operator="greaterThanOrEqual">
      <formula>1.5</formula>
    </cfRule>
  </conditionalFormatting>
  <conditionalFormatting sqref="O399">
    <cfRule type="cellIs" dxfId="3765" priority="3447" operator="lessThanOrEqual">
      <formula>0.5</formula>
    </cfRule>
    <cfRule type="cellIs" dxfId="3764" priority="3448" operator="greaterThanOrEqual">
      <formula>1.5</formula>
    </cfRule>
  </conditionalFormatting>
  <conditionalFormatting sqref="N399">
    <cfRule type="cellIs" dxfId="3763" priority="3445" operator="lessThanOrEqual">
      <formula>0.5</formula>
    </cfRule>
    <cfRule type="cellIs" dxfId="3762" priority="3446" operator="greaterThanOrEqual">
      <formula>1.5</formula>
    </cfRule>
  </conditionalFormatting>
  <conditionalFormatting sqref="K399">
    <cfRule type="cellIs" dxfId="3761" priority="3443" operator="lessThanOrEqual">
      <formula>0.5</formula>
    </cfRule>
    <cfRule type="cellIs" dxfId="3760" priority="3444" operator="greaterThanOrEqual">
      <formula>1.5</formula>
    </cfRule>
  </conditionalFormatting>
  <conditionalFormatting sqref="L399">
    <cfRule type="cellIs" dxfId="3759" priority="3441" operator="lessThanOrEqual">
      <formula>0.5</formula>
    </cfRule>
    <cfRule type="cellIs" dxfId="3758" priority="3442" operator="greaterThanOrEqual">
      <formula>1.5</formula>
    </cfRule>
  </conditionalFormatting>
  <conditionalFormatting sqref="O402">
    <cfRule type="cellIs" dxfId="3757" priority="3439" operator="lessThanOrEqual">
      <formula>0.5</formula>
    </cfRule>
    <cfRule type="cellIs" dxfId="3756" priority="3440" operator="greaterThanOrEqual">
      <formula>1.5</formula>
    </cfRule>
  </conditionalFormatting>
  <conditionalFormatting sqref="N402">
    <cfRule type="cellIs" dxfId="3755" priority="3437" operator="lessThanOrEqual">
      <formula>0.5</formula>
    </cfRule>
    <cfRule type="cellIs" dxfId="3754" priority="3438" operator="greaterThanOrEqual">
      <formula>1.5</formula>
    </cfRule>
  </conditionalFormatting>
  <conditionalFormatting sqref="K402">
    <cfRule type="cellIs" dxfId="3753" priority="3435" operator="lessThanOrEqual">
      <formula>0.5</formula>
    </cfRule>
    <cfRule type="cellIs" dxfId="3752" priority="3436" operator="greaterThanOrEqual">
      <formula>1.5</formula>
    </cfRule>
  </conditionalFormatting>
  <conditionalFormatting sqref="L402">
    <cfRule type="cellIs" dxfId="3751" priority="3433" operator="lessThanOrEqual">
      <formula>0.5</formula>
    </cfRule>
    <cfRule type="cellIs" dxfId="3750" priority="3434" operator="greaterThanOrEqual">
      <formula>1.5</formula>
    </cfRule>
  </conditionalFormatting>
  <conditionalFormatting sqref="O405">
    <cfRule type="cellIs" dxfId="3749" priority="3431" operator="lessThanOrEqual">
      <formula>0.5</formula>
    </cfRule>
    <cfRule type="cellIs" dxfId="3748" priority="3432" operator="greaterThanOrEqual">
      <formula>1.5</formula>
    </cfRule>
  </conditionalFormatting>
  <conditionalFormatting sqref="N405">
    <cfRule type="cellIs" dxfId="3747" priority="3429" operator="lessThanOrEqual">
      <formula>0.5</formula>
    </cfRule>
    <cfRule type="cellIs" dxfId="3746" priority="3430" operator="greaterThanOrEqual">
      <formula>1.5</formula>
    </cfRule>
  </conditionalFormatting>
  <conditionalFormatting sqref="K405">
    <cfRule type="cellIs" dxfId="3745" priority="3427" operator="lessThanOrEqual">
      <formula>0.5</formula>
    </cfRule>
    <cfRule type="cellIs" dxfId="3744" priority="3428" operator="greaterThanOrEqual">
      <formula>1.5</formula>
    </cfRule>
  </conditionalFormatting>
  <conditionalFormatting sqref="L405">
    <cfRule type="cellIs" dxfId="3743" priority="3425" operator="lessThanOrEqual">
      <formula>0.5</formula>
    </cfRule>
    <cfRule type="cellIs" dxfId="3742" priority="3426" operator="greaterThanOrEqual">
      <formula>1.5</formula>
    </cfRule>
  </conditionalFormatting>
  <conditionalFormatting sqref="O408">
    <cfRule type="cellIs" dxfId="3741" priority="3423" operator="lessThanOrEqual">
      <formula>0.5</formula>
    </cfRule>
    <cfRule type="cellIs" dxfId="3740" priority="3424" operator="greaterThanOrEqual">
      <formula>1.5</formula>
    </cfRule>
  </conditionalFormatting>
  <conditionalFormatting sqref="N408">
    <cfRule type="cellIs" dxfId="3739" priority="3421" operator="lessThanOrEqual">
      <formula>0.5</formula>
    </cfRule>
    <cfRule type="cellIs" dxfId="3738" priority="3422" operator="greaterThanOrEqual">
      <formula>1.5</formula>
    </cfRule>
  </conditionalFormatting>
  <conditionalFormatting sqref="K408">
    <cfRule type="cellIs" dxfId="3737" priority="3419" operator="lessThanOrEqual">
      <formula>0.5</formula>
    </cfRule>
    <cfRule type="cellIs" dxfId="3736" priority="3420" operator="greaterThanOrEqual">
      <formula>1.5</formula>
    </cfRule>
  </conditionalFormatting>
  <conditionalFormatting sqref="L408">
    <cfRule type="cellIs" dxfId="3735" priority="3417" operator="lessThanOrEqual">
      <formula>0.5</formula>
    </cfRule>
    <cfRule type="cellIs" dxfId="3734" priority="3418" operator="greaterThanOrEqual">
      <formula>1.5</formula>
    </cfRule>
  </conditionalFormatting>
  <conditionalFormatting sqref="O411">
    <cfRule type="cellIs" dxfId="3733" priority="3415" operator="lessThanOrEqual">
      <formula>0.5</formula>
    </cfRule>
    <cfRule type="cellIs" dxfId="3732" priority="3416" operator="greaterThanOrEqual">
      <formula>1.5</formula>
    </cfRule>
  </conditionalFormatting>
  <conditionalFormatting sqref="N411">
    <cfRule type="cellIs" dxfId="3731" priority="3413" operator="lessThanOrEqual">
      <formula>0.5</formula>
    </cfRule>
    <cfRule type="cellIs" dxfId="3730" priority="3414" operator="greaterThanOrEqual">
      <formula>1.5</formula>
    </cfRule>
  </conditionalFormatting>
  <conditionalFormatting sqref="K411">
    <cfRule type="cellIs" dxfId="3729" priority="3411" operator="lessThanOrEqual">
      <formula>0.5</formula>
    </cfRule>
    <cfRule type="cellIs" dxfId="3728" priority="3412" operator="greaterThanOrEqual">
      <formula>1.5</formula>
    </cfRule>
  </conditionalFormatting>
  <conditionalFormatting sqref="L411">
    <cfRule type="cellIs" dxfId="3727" priority="3409" operator="lessThanOrEqual">
      <formula>0.5</formula>
    </cfRule>
    <cfRule type="cellIs" dxfId="3726" priority="3410" operator="greaterThanOrEqual">
      <formula>1.5</formula>
    </cfRule>
  </conditionalFormatting>
  <conditionalFormatting sqref="O414">
    <cfRule type="cellIs" dxfId="3725" priority="3407" operator="lessThanOrEqual">
      <formula>0.5</formula>
    </cfRule>
    <cfRule type="cellIs" dxfId="3724" priority="3408" operator="greaterThanOrEqual">
      <formula>1.5</formula>
    </cfRule>
  </conditionalFormatting>
  <conditionalFormatting sqref="N414">
    <cfRule type="cellIs" dxfId="3723" priority="3405" operator="lessThanOrEqual">
      <formula>0.5</formula>
    </cfRule>
    <cfRule type="cellIs" dxfId="3722" priority="3406" operator="greaterThanOrEqual">
      <formula>1.5</formula>
    </cfRule>
  </conditionalFormatting>
  <conditionalFormatting sqref="K414">
    <cfRule type="cellIs" dxfId="3721" priority="3403" operator="lessThanOrEqual">
      <formula>0.5</formula>
    </cfRule>
    <cfRule type="cellIs" dxfId="3720" priority="3404" operator="greaterThanOrEqual">
      <formula>1.5</formula>
    </cfRule>
  </conditionalFormatting>
  <conditionalFormatting sqref="L414">
    <cfRule type="cellIs" dxfId="3719" priority="3401" operator="lessThanOrEqual">
      <formula>0.5</formula>
    </cfRule>
    <cfRule type="cellIs" dxfId="3718" priority="3402" operator="greaterThanOrEqual">
      <formula>1.5</formula>
    </cfRule>
  </conditionalFormatting>
  <conditionalFormatting sqref="O417">
    <cfRule type="cellIs" dxfId="3717" priority="3399" operator="lessThanOrEqual">
      <formula>0.5</formula>
    </cfRule>
    <cfRule type="cellIs" dxfId="3716" priority="3400" operator="greaterThanOrEqual">
      <formula>1.5</formula>
    </cfRule>
  </conditionalFormatting>
  <conditionalFormatting sqref="N417">
    <cfRule type="cellIs" dxfId="3715" priority="3397" operator="lessThanOrEqual">
      <formula>0.5</formula>
    </cfRule>
    <cfRule type="cellIs" dxfId="3714" priority="3398" operator="greaterThanOrEqual">
      <formula>1.5</formula>
    </cfRule>
  </conditionalFormatting>
  <conditionalFormatting sqref="K417">
    <cfRule type="cellIs" dxfId="3713" priority="3395" operator="lessThanOrEqual">
      <formula>0.5</formula>
    </cfRule>
    <cfRule type="cellIs" dxfId="3712" priority="3396" operator="greaterThanOrEqual">
      <formula>1.5</formula>
    </cfRule>
  </conditionalFormatting>
  <conditionalFormatting sqref="L417">
    <cfRule type="cellIs" dxfId="3711" priority="3393" operator="lessThanOrEqual">
      <formula>0.5</formula>
    </cfRule>
    <cfRule type="cellIs" dxfId="3710" priority="3394" operator="greaterThanOrEqual">
      <formula>1.5</formula>
    </cfRule>
  </conditionalFormatting>
  <conditionalFormatting sqref="O420">
    <cfRule type="cellIs" dxfId="3709" priority="3391" operator="lessThanOrEqual">
      <formula>0.5</formula>
    </cfRule>
    <cfRule type="cellIs" dxfId="3708" priority="3392" operator="greaterThanOrEqual">
      <formula>1.5</formula>
    </cfRule>
  </conditionalFormatting>
  <conditionalFormatting sqref="N420">
    <cfRule type="cellIs" dxfId="3707" priority="3389" operator="lessThanOrEqual">
      <formula>0.5</formula>
    </cfRule>
    <cfRule type="cellIs" dxfId="3706" priority="3390" operator="greaterThanOrEqual">
      <formula>1.5</formula>
    </cfRule>
  </conditionalFormatting>
  <conditionalFormatting sqref="K420">
    <cfRule type="cellIs" dxfId="3705" priority="3387" operator="lessThanOrEqual">
      <formula>0.5</formula>
    </cfRule>
    <cfRule type="cellIs" dxfId="3704" priority="3388" operator="greaterThanOrEqual">
      <formula>1.5</formula>
    </cfRule>
  </conditionalFormatting>
  <conditionalFormatting sqref="L420">
    <cfRule type="cellIs" dxfId="3703" priority="3385" operator="lessThanOrEqual">
      <formula>0.5</formula>
    </cfRule>
    <cfRule type="cellIs" dxfId="3702" priority="3386" operator="greaterThanOrEqual">
      <formula>1.5</formula>
    </cfRule>
  </conditionalFormatting>
  <conditionalFormatting sqref="O423">
    <cfRule type="cellIs" dxfId="3701" priority="3383" operator="lessThanOrEqual">
      <formula>0.5</formula>
    </cfRule>
    <cfRule type="cellIs" dxfId="3700" priority="3384" operator="greaterThanOrEqual">
      <formula>1.5</formula>
    </cfRule>
  </conditionalFormatting>
  <conditionalFormatting sqref="N423">
    <cfRule type="cellIs" dxfId="3699" priority="3381" operator="lessThanOrEqual">
      <formula>0.5</formula>
    </cfRule>
    <cfRule type="cellIs" dxfId="3698" priority="3382" operator="greaterThanOrEqual">
      <formula>1.5</formula>
    </cfRule>
  </conditionalFormatting>
  <conditionalFormatting sqref="K423">
    <cfRule type="cellIs" dxfId="3697" priority="3379" operator="lessThanOrEqual">
      <formula>0.5</formula>
    </cfRule>
    <cfRule type="cellIs" dxfId="3696" priority="3380" operator="greaterThanOrEqual">
      <formula>1.5</formula>
    </cfRule>
  </conditionalFormatting>
  <conditionalFormatting sqref="L423">
    <cfRule type="cellIs" dxfId="3695" priority="3377" operator="lessThanOrEqual">
      <formula>0.5</formula>
    </cfRule>
    <cfRule type="cellIs" dxfId="3694" priority="3378" operator="greaterThanOrEqual">
      <formula>1.5</formula>
    </cfRule>
  </conditionalFormatting>
  <conditionalFormatting sqref="O426">
    <cfRule type="cellIs" dxfId="3693" priority="3375" operator="lessThanOrEqual">
      <formula>0.5</formula>
    </cfRule>
    <cfRule type="cellIs" dxfId="3692" priority="3376" operator="greaterThanOrEqual">
      <formula>1.5</formula>
    </cfRule>
  </conditionalFormatting>
  <conditionalFormatting sqref="N426">
    <cfRule type="cellIs" dxfId="3691" priority="3373" operator="lessThanOrEqual">
      <formula>0.5</formula>
    </cfRule>
    <cfRule type="cellIs" dxfId="3690" priority="3374" operator="greaterThanOrEqual">
      <formula>1.5</formula>
    </cfRule>
  </conditionalFormatting>
  <conditionalFormatting sqref="K426">
    <cfRule type="cellIs" dxfId="3689" priority="3371" operator="lessThanOrEqual">
      <formula>0.5</formula>
    </cfRule>
    <cfRule type="cellIs" dxfId="3688" priority="3372" operator="greaterThanOrEqual">
      <formula>1.5</formula>
    </cfRule>
  </conditionalFormatting>
  <conditionalFormatting sqref="L426">
    <cfRule type="cellIs" dxfId="3687" priority="3369" operator="lessThanOrEqual">
      <formula>0.5</formula>
    </cfRule>
    <cfRule type="cellIs" dxfId="3686" priority="3370" operator="greaterThanOrEqual">
      <formula>1.5</formula>
    </cfRule>
  </conditionalFormatting>
  <conditionalFormatting sqref="O429">
    <cfRule type="cellIs" dxfId="3685" priority="3367" operator="lessThanOrEqual">
      <formula>0.5</formula>
    </cfRule>
    <cfRule type="cellIs" dxfId="3684" priority="3368" operator="greaterThanOrEqual">
      <formula>1.5</formula>
    </cfRule>
  </conditionalFormatting>
  <conditionalFormatting sqref="N429">
    <cfRule type="cellIs" dxfId="3683" priority="3365" operator="lessThanOrEqual">
      <formula>0.5</formula>
    </cfRule>
    <cfRule type="cellIs" dxfId="3682" priority="3366" operator="greaterThanOrEqual">
      <formula>1.5</formula>
    </cfRule>
  </conditionalFormatting>
  <conditionalFormatting sqref="K429">
    <cfRule type="cellIs" dxfId="3681" priority="3363" operator="lessThanOrEqual">
      <formula>0.5</formula>
    </cfRule>
    <cfRule type="cellIs" dxfId="3680" priority="3364" operator="greaterThanOrEqual">
      <formula>1.5</formula>
    </cfRule>
  </conditionalFormatting>
  <conditionalFormatting sqref="L429">
    <cfRule type="cellIs" dxfId="3679" priority="3361" operator="lessThanOrEqual">
      <formula>0.5</formula>
    </cfRule>
    <cfRule type="cellIs" dxfId="3678" priority="3362" operator="greaterThanOrEqual">
      <formula>1.5</formula>
    </cfRule>
  </conditionalFormatting>
  <conditionalFormatting sqref="O432">
    <cfRule type="cellIs" dxfId="3677" priority="3359" operator="lessThanOrEqual">
      <formula>0.5</formula>
    </cfRule>
    <cfRule type="cellIs" dxfId="3676" priority="3360" operator="greaterThanOrEqual">
      <formula>1.5</formula>
    </cfRule>
  </conditionalFormatting>
  <conditionalFormatting sqref="N432">
    <cfRule type="cellIs" dxfId="3675" priority="3357" operator="lessThanOrEqual">
      <formula>0.5</formula>
    </cfRule>
    <cfRule type="cellIs" dxfId="3674" priority="3358" operator="greaterThanOrEqual">
      <formula>1.5</formula>
    </cfRule>
  </conditionalFormatting>
  <conditionalFormatting sqref="K432">
    <cfRule type="cellIs" dxfId="3673" priority="3355" operator="lessThanOrEqual">
      <formula>0.5</formula>
    </cfRule>
    <cfRule type="cellIs" dxfId="3672" priority="3356" operator="greaterThanOrEqual">
      <formula>1.5</formula>
    </cfRule>
  </conditionalFormatting>
  <conditionalFormatting sqref="L432">
    <cfRule type="cellIs" dxfId="3671" priority="3353" operator="lessThanOrEqual">
      <formula>0.5</formula>
    </cfRule>
    <cfRule type="cellIs" dxfId="3670" priority="3354" operator="greaterThanOrEqual">
      <formula>1.5</formula>
    </cfRule>
  </conditionalFormatting>
  <conditionalFormatting sqref="O435">
    <cfRule type="cellIs" dxfId="3669" priority="3351" operator="lessThanOrEqual">
      <formula>0.5</formula>
    </cfRule>
    <cfRule type="cellIs" dxfId="3668" priority="3352" operator="greaterThanOrEqual">
      <formula>1.5</formula>
    </cfRule>
  </conditionalFormatting>
  <conditionalFormatting sqref="N435">
    <cfRule type="cellIs" dxfId="3667" priority="3349" operator="lessThanOrEqual">
      <formula>0.5</formula>
    </cfRule>
    <cfRule type="cellIs" dxfId="3666" priority="3350" operator="greaterThanOrEqual">
      <formula>1.5</formula>
    </cfRule>
  </conditionalFormatting>
  <conditionalFormatting sqref="K435">
    <cfRule type="cellIs" dxfId="3665" priority="3347" operator="lessThanOrEqual">
      <formula>0.5</formula>
    </cfRule>
    <cfRule type="cellIs" dxfId="3664" priority="3348" operator="greaterThanOrEqual">
      <formula>1.5</formula>
    </cfRule>
  </conditionalFormatting>
  <conditionalFormatting sqref="L435">
    <cfRule type="cellIs" dxfId="3663" priority="3345" operator="lessThanOrEqual">
      <formula>0.5</formula>
    </cfRule>
    <cfRule type="cellIs" dxfId="3662" priority="3346" operator="greaterThanOrEqual">
      <formula>1.5</formula>
    </cfRule>
  </conditionalFormatting>
  <conditionalFormatting sqref="O438">
    <cfRule type="cellIs" dxfId="3661" priority="3343" operator="lessThanOrEqual">
      <formula>0.5</formula>
    </cfRule>
    <cfRule type="cellIs" dxfId="3660" priority="3344" operator="greaterThanOrEqual">
      <formula>1.5</formula>
    </cfRule>
  </conditionalFormatting>
  <conditionalFormatting sqref="N438">
    <cfRule type="cellIs" dxfId="3659" priority="3341" operator="lessThanOrEqual">
      <formula>0.5</formula>
    </cfRule>
    <cfRule type="cellIs" dxfId="3658" priority="3342" operator="greaterThanOrEqual">
      <formula>1.5</formula>
    </cfRule>
  </conditionalFormatting>
  <conditionalFormatting sqref="K438">
    <cfRule type="cellIs" dxfId="3657" priority="3339" operator="lessThanOrEqual">
      <formula>0.5</formula>
    </cfRule>
    <cfRule type="cellIs" dxfId="3656" priority="3340" operator="greaterThanOrEqual">
      <formula>1.5</formula>
    </cfRule>
  </conditionalFormatting>
  <conditionalFormatting sqref="L438">
    <cfRule type="cellIs" dxfId="3655" priority="3337" operator="lessThanOrEqual">
      <formula>0.5</formula>
    </cfRule>
    <cfRule type="cellIs" dxfId="3654" priority="3338" operator="greaterThanOrEqual">
      <formula>1.5</formula>
    </cfRule>
  </conditionalFormatting>
  <conditionalFormatting sqref="O441">
    <cfRule type="cellIs" dxfId="3653" priority="3335" operator="lessThanOrEqual">
      <formula>0.5</formula>
    </cfRule>
    <cfRule type="cellIs" dxfId="3652" priority="3336" operator="greaterThanOrEqual">
      <formula>1.5</formula>
    </cfRule>
  </conditionalFormatting>
  <conditionalFormatting sqref="N441">
    <cfRule type="cellIs" dxfId="3651" priority="3333" operator="lessThanOrEqual">
      <formula>0.5</formula>
    </cfRule>
    <cfRule type="cellIs" dxfId="3650" priority="3334" operator="greaterThanOrEqual">
      <formula>1.5</formula>
    </cfRule>
  </conditionalFormatting>
  <conditionalFormatting sqref="K441">
    <cfRule type="cellIs" dxfId="3649" priority="3331" operator="lessThanOrEqual">
      <formula>0.5</formula>
    </cfRule>
    <cfRule type="cellIs" dxfId="3648" priority="3332" operator="greaterThanOrEqual">
      <formula>1.5</formula>
    </cfRule>
  </conditionalFormatting>
  <conditionalFormatting sqref="L441">
    <cfRule type="cellIs" dxfId="3647" priority="3329" operator="lessThanOrEqual">
      <formula>0.5</formula>
    </cfRule>
    <cfRule type="cellIs" dxfId="3646" priority="3330" operator="greaterThanOrEqual">
      <formula>1.5</formula>
    </cfRule>
  </conditionalFormatting>
  <conditionalFormatting sqref="O444">
    <cfRule type="cellIs" dxfId="3645" priority="3327" operator="lessThanOrEqual">
      <formula>0.5</formula>
    </cfRule>
    <cfRule type="cellIs" dxfId="3644" priority="3328" operator="greaterThanOrEqual">
      <formula>1.5</formula>
    </cfRule>
  </conditionalFormatting>
  <conditionalFormatting sqref="N444">
    <cfRule type="cellIs" dxfId="3643" priority="3325" operator="lessThanOrEqual">
      <formula>0.5</formula>
    </cfRule>
    <cfRule type="cellIs" dxfId="3642" priority="3326" operator="greaterThanOrEqual">
      <formula>1.5</formula>
    </cfRule>
  </conditionalFormatting>
  <conditionalFormatting sqref="K444">
    <cfRule type="cellIs" dxfId="3641" priority="3323" operator="lessThanOrEqual">
      <formula>0.5</formula>
    </cfRule>
    <cfRule type="cellIs" dxfId="3640" priority="3324" operator="greaterThanOrEqual">
      <formula>1.5</formula>
    </cfRule>
  </conditionalFormatting>
  <conditionalFormatting sqref="L444">
    <cfRule type="cellIs" dxfId="3639" priority="3321" operator="lessThanOrEqual">
      <formula>0.5</formula>
    </cfRule>
    <cfRule type="cellIs" dxfId="3638" priority="3322" operator="greaterThanOrEqual">
      <formula>1.5</formula>
    </cfRule>
  </conditionalFormatting>
  <conditionalFormatting sqref="O447">
    <cfRule type="cellIs" dxfId="3637" priority="3319" operator="lessThanOrEqual">
      <formula>0.5</formula>
    </cfRule>
    <cfRule type="cellIs" dxfId="3636" priority="3320" operator="greaterThanOrEqual">
      <formula>1.5</formula>
    </cfRule>
  </conditionalFormatting>
  <conditionalFormatting sqref="N447">
    <cfRule type="cellIs" dxfId="3635" priority="3317" operator="lessThanOrEqual">
      <formula>0.5</formula>
    </cfRule>
    <cfRule type="cellIs" dxfId="3634" priority="3318" operator="greaterThanOrEqual">
      <formula>1.5</formula>
    </cfRule>
  </conditionalFormatting>
  <conditionalFormatting sqref="K447">
    <cfRule type="cellIs" dxfId="3633" priority="3315" operator="lessThanOrEqual">
      <formula>0.5</formula>
    </cfRule>
    <cfRule type="cellIs" dxfId="3632" priority="3316" operator="greaterThanOrEqual">
      <formula>1.5</formula>
    </cfRule>
  </conditionalFormatting>
  <conditionalFormatting sqref="L447">
    <cfRule type="cellIs" dxfId="3631" priority="3313" operator="lessThanOrEqual">
      <formula>0.5</formula>
    </cfRule>
    <cfRule type="cellIs" dxfId="3630" priority="3314" operator="greaterThanOrEqual">
      <formula>1.5</formula>
    </cfRule>
  </conditionalFormatting>
  <conditionalFormatting sqref="O450">
    <cfRule type="cellIs" dxfId="3629" priority="3311" operator="lessThanOrEqual">
      <formula>0.5</formula>
    </cfRule>
    <cfRule type="cellIs" dxfId="3628" priority="3312" operator="greaterThanOrEqual">
      <formula>1.5</formula>
    </cfRule>
  </conditionalFormatting>
  <conditionalFormatting sqref="N450">
    <cfRule type="cellIs" dxfId="3627" priority="3309" operator="lessThanOrEqual">
      <formula>0.5</formula>
    </cfRule>
    <cfRule type="cellIs" dxfId="3626" priority="3310" operator="greaterThanOrEqual">
      <formula>1.5</formula>
    </cfRule>
  </conditionalFormatting>
  <conditionalFormatting sqref="K450">
    <cfRule type="cellIs" dxfId="3625" priority="3307" operator="lessThanOrEqual">
      <formula>0.5</formula>
    </cfRule>
    <cfRule type="cellIs" dxfId="3624" priority="3308" operator="greaterThanOrEqual">
      <formula>1.5</formula>
    </cfRule>
  </conditionalFormatting>
  <conditionalFormatting sqref="L450">
    <cfRule type="cellIs" dxfId="3623" priority="3305" operator="lessThanOrEqual">
      <formula>0.5</formula>
    </cfRule>
    <cfRule type="cellIs" dxfId="3622" priority="3306" operator="greaterThanOrEqual">
      <formula>1.5</formula>
    </cfRule>
  </conditionalFormatting>
  <conditionalFormatting sqref="O453">
    <cfRule type="cellIs" dxfId="3621" priority="3303" operator="lessThanOrEqual">
      <formula>0.5</formula>
    </cfRule>
    <cfRule type="cellIs" dxfId="3620" priority="3304" operator="greaterThanOrEqual">
      <formula>1.5</formula>
    </cfRule>
  </conditionalFormatting>
  <conditionalFormatting sqref="N453">
    <cfRule type="cellIs" dxfId="3619" priority="3301" operator="lessThanOrEqual">
      <formula>0.5</formula>
    </cfRule>
    <cfRule type="cellIs" dxfId="3618" priority="3302" operator="greaterThanOrEqual">
      <formula>1.5</formula>
    </cfRule>
  </conditionalFormatting>
  <conditionalFormatting sqref="K453">
    <cfRule type="cellIs" dxfId="3617" priority="3299" operator="lessThanOrEqual">
      <formula>0.5</formula>
    </cfRule>
    <cfRule type="cellIs" dxfId="3616" priority="3300" operator="greaterThanOrEqual">
      <formula>1.5</formula>
    </cfRule>
  </conditionalFormatting>
  <conditionalFormatting sqref="L453">
    <cfRule type="cellIs" dxfId="3615" priority="3297" operator="lessThanOrEqual">
      <formula>0.5</formula>
    </cfRule>
    <cfRule type="cellIs" dxfId="3614" priority="3298" operator="greaterThanOrEqual">
      <formula>1.5</formula>
    </cfRule>
  </conditionalFormatting>
  <conditionalFormatting sqref="O456">
    <cfRule type="cellIs" dxfId="3613" priority="3295" operator="lessThanOrEqual">
      <formula>0.5</formula>
    </cfRule>
    <cfRule type="cellIs" dxfId="3612" priority="3296" operator="greaterThanOrEqual">
      <formula>1.5</formula>
    </cfRule>
  </conditionalFormatting>
  <conditionalFormatting sqref="N456">
    <cfRule type="cellIs" dxfId="3611" priority="3293" operator="lessThanOrEqual">
      <formula>0.5</formula>
    </cfRule>
    <cfRule type="cellIs" dxfId="3610" priority="3294" operator="greaterThanOrEqual">
      <formula>1.5</formula>
    </cfRule>
  </conditionalFormatting>
  <conditionalFormatting sqref="K456">
    <cfRule type="cellIs" dxfId="3609" priority="3291" operator="lessThanOrEqual">
      <formula>0.5</formula>
    </cfRule>
    <cfRule type="cellIs" dxfId="3608" priority="3292" operator="greaterThanOrEqual">
      <formula>1.5</formula>
    </cfRule>
  </conditionalFormatting>
  <conditionalFormatting sqref="L456">
    <cfRule type="cellIs" dxfId="3607" priority="3289" operator="lessThanOrEqual">
      <formula>0.5</formula>
    </cfRule>
    <cfRule type="cellIs" dxfId="3606" priority="3290" operator="greaterThanOrEqual">
      <formula>1.5</formula>
    </cfRule>
  </conditionalFormatting>
  <conditionalFormatting sqref="O459">
    <cfRule type="cellIs" dxfId="3605" priority="3287" operator="lessThanOrEqual">
      <formula>0.5</formula>
    </cfRule>
    <cfRule type="cellIs" dxfId="3604" priority="3288" operator="greaterThanOrEqual">
      <formula>1.5</formula>
    </cfRule>
  </conditionalFormatting>
  <conditionalFormatting sqref="N459">
    <cfRule type="cellIs" dxfId="3603" priority="3285" operator="lessThanOrEqual">
      <formula>0.5</formula>
    </cfRule>
    <cfRule type="cellIs" dxfId="3602" priority="3286" operator="greaterThanOrEqual">
      <formula>1.5</formula>
    </cfRule>
  </conditionalFormatting>
  <conditionalFormatting sqref="K459">
    <cfRule type="cellIs" dxfId="3601" priority="3283" operator="lessThanOrEqual">
      <formula>0.5</formula>
    </cfRule>
    <cfRule type="cellIs" dxfId="3600" priority="3284" operator="greaterThanOrEqual">
      <formula>1.5</formula>
    </cfRule>
  </conditionalFormatting>
  <conditionalFormatting sqref="L459">
    <cfRule type="cellIs" dxfId="3599" priority="3281" operator="lessThanOrEqual">
      <formula>0.5</formula>
    </cfRule>
    <cfRule type="cellIs" dxfId="3598" priority="3282" operator="greaterThanOrEqual">
      <formula>1.5</formula>
    </cfRule>
  </conditionalFormatting>
  <conditionalFormatting sqref="O462">
    <cfRule type="cellIs" dxfId="3597" priority="3279" operator="lessThanOrEqual">
      <formula>0.5</formula>
    </cfRule>
    <cfRule type="cellIs" dxfId="3596" priority="3280" operator="greaterThanOrEqual">
      <formula>1.5</formula>
    </cfRule>
  </conditionalFormatting>
  <conditionalFormatting sqref="N462">
    <cfRule type="cellIs" dxfId="3595" priority="3277" operator="lessThanOrEqual">
      <formula>0.5</formula>
    </cfRule>
    <cfRule type="cellIs" dxfId="3594" priority="3278" operator="greaterThanOrEqual">
      <formula>1.5</formula>
    </cfRule>
  </conditionalFormatting>
  <conditionalFormatting sqref="K462">
    <cfRule type="cellIs" dxfId="3593" priority="3275" operator="lessThanOrEqual">
      <formula>0.5</formula>
    </cfRule>
    <cfRule type="cellIs" dxfId="3592" priority="3276" operator="greaterThanOrEqual">
      <formula>1.5</formula>
    </cfRule>
  </conditionalFormatting>
  <conditionalFormatting sqref="L462">
    <cfRule type="cellIs" dxfId="3591" priority="3273" operator="lessThanOrEqual">
      <formula>0.5</formula>
    </cfRule>
    <cfRule type="cellIs" dxfId="3590" priority="3274" operator="greaterThanOrEqual">
      <formula>1.5</formula>
    </cfRule>
  </conditionalFormatting>
  <conditionalFormatting sqref="O465">
    <cfRule type="cellIs" dxfId="3589" priority="3271" operator="lessThanOrEqual">
      <formula>0.5</formula>
    </cfRule>
    <cfRule type="cellIs" dxfId="3588" priority="3272" operator="greaterThanOrEqual">
      <formula>1.5</formula>
    </cfRule>
  </conditionalFormatting>
  <conditionalFormatting sqref="N465">
    <cfRule type="cellIs" dxfId="3587" priority="3269" operator="lessThanOrEqual">
      <formula>0.5</formula>
    </cfRule>
    <cfRule type="cellIs" dxfId="3586" priority="3270" operator="greaterThanOrEqual">
      <formula>1.5</formula>
    </cfRule>
  </conditionalFormatting>
  <conditionalFormatting sqref="K465">
    <cfRule type="cellIs" dxfId="3585" priority="3267" operator="lessThanOrEqual">
      <formula>0.5</formula>
    </cfRule>
    <cfRule type="cellIs" dxfId="3584" priority="3268" operator="greaterThanOrEqual">
      <formula>1.5</formula>
    </cfRule>
  </conditionalFormatting>
  <conditionalFormatting sqref="L465">
    <cfRule type="cellIs" dxfId="3583" priority="3265" operator="lessThanOrEqual">
      <formula>0.5</formula>
    </cfRule>
    <cfRule type="cellIs" dxfId="3582" priority="3266" operator="greaterThanOrEqual">
      <formula>1.5</formula>
    </cfRule>
  </conditionalFormatting>
  <conditionalFormatting sqref="O468">
    <cfRule type="cellIs" dxfId="3581" priority="3263" operator="lessThanOrEqual">
      <formula>0.5</formula>
    </cfRule>
    <cfRule type="cellIs" dxfId="3580" priority="3264" operator="greaterThanOrEqual">
      <formula>1.5</formula>
    </cfRule>
  </conditionalFormatting>
  <conditionalFormatting sqref="N468">
    <cfRule type="cellIs" dxfId="3579" priority="3261" operator="lessThanOrEqual">
      <formula>0.5</formula>
    </cfRule>
    <cfRule type="cellIs" dxfId="3578" priority="3262" operator="greaterThanOrEqual">
      <formula>1.5</formula>
    </cfRule>
  </conditionalFormatting>
  <conditionalFormatting sqref="K468">
    <cfRule type="cellIs" dxfId="3577" priority="3259" operator="lessThanOrEqual">
      <formula>0.5</formula>
    </cfRule>
    <cfRule type="cellIs" dxfId="3576" priority="3260" operator="greaterThanOrEqual">
      <formula>1.5</formula>
    </cfRule>
  </conditionalFormatting>
  <conditionalFormatting sqref="L468">
    <cfRule type="cellIs" dxfId="3575" priority="3257" operator="lessThanOrEqual">
      <formula>0.5</formula>
    </cfRule>
    <cfRule type="cellIs" dxfId="3574" priority="3258" operator="greaterThanOrEqual">
      <formula>1.5</formula>
    </cfRule>
  </conditionalFormatting>
  <conditionalFormatting sqref="O471">
    <cfRule type="cellIs" dxfId="3573" priority="3255" operator="lessThanOrEqual">
      <formula>0.5</formula>
    </cfRule>
    <cfRule type="cellIs" dxfId="3572" priority="3256" operator="greaterThanOrEqual">
      <formula>1.5</formula>
    </cfRule>
  </conditionalFormatting>
  <conditionalFormatting sqref="N471">
    <cfRule type="cellIs" dxfId="3571" priority="3253" operator="lessThanOrEqual">
      <formula>0.5</formula>
    </cfRule>
    <cfRule type="cellIs" dxfId="3570" priority="3254" operator="greaterThanOrEqual">
      <formula>1.5</formula>
    </cfRule>
  </conditionalFormatting>
  <conditionalFormatting sqref="K471">
    <cfRule type="cellIs" dxfId="3569" priority="3251" operator="lessThanOrEqual">
      <formula>0.5</formula>
    </cfRule>
    <cfRule type="cellIs" dxfId="3568" priority="3252" operator="greaterThanOrEqual">
      <formula>1.5</formula>
    </cfRule>
  </conditionalFormatting>
  <conditionalFormatting sqref="L471">
    <cfRule type="cellIs" dxfId="3567" priority="3249" operator="lessThanOrEqual">
      <formula>0.5</formula>
    </cfRule>
    <cfRule type="cellIs" dxfId="3566" priority="3250" operator="greaterThanOrEqual">
      <formula>1.5</formula>
    </cfRule>
  </conditionalFormatting>
  <conditionalFormatting sqref="O474">
    <cfRule type="cellIs" dxfId="3565" priority="3247" operator="lessThanOrEqual">
      <formula>0.5</formula>
    </cfRule>
    <cfRule type="cellIs" dxfId="3564" priority="3248" operator="greaterThanOrEqual">
      <formula>1.5</formula>
    </cfRule>
  </conditionalFormatting>
  <conditionalFormatting sqref="N474">
    <cfRule type="cellIs" dxfId="3563" priority="3245" operator="lessThanOrEqual">
      <formula>0.5</formula>
    </cfRule>
    <cfRule type="cellIs" dxfId="3562" priority="3246" operator="greaterThanOrEqual">
      <formula>1.5</formula>
    </cfRule>
  </conditionalFormatting>
  <conditionalFormatting sqref="K474">
    <cfRule type="cellIs" dxfId="3561" priority="3243" operator="lessThanOrEqual">
      <formula>0.5</formula>
    </cfRule>
    <cfRule type="cellIs" dxfId="3560" priority="3244" operator="greaterThanOrEqual">
      <formula>1.5</formula>
    </cfRule>
  </conditionalFormatting>
  <conditionalFormatting sqref="L474">
    <cfRule type="cellIs" dxfId="3559" priority="3241" operator="lessThanOrEqual">
      <formula>0.5</formula>
    </cfRule>
    <cfRule type="cellIs" dxfId="3558" priority="3242" operator="greaterThanOrEqual">
      <formula>1.5</formula>
    </cfRule>
  </conditionalFormatting>
  <conditionalFormatting sqref="O477">
    <cfRule type="cellIs" dxfId="3557" priority="3239" operator="lessThanOrEqual">
      <formula>0.5</formula>
    </cfRule>
    <cfRule type="cellIs" dxfId="3556" priority="3240" operator="greaterThanOrEqual">
      <formula>1.5</formula>
    </cfRule>
  </conditionalFormatting>
  <conditionalFormatting sqref="N477">
    <cfRule type="cellIs" dxfId="3555" priority="3237" operator="lessThanOrEqual">
      <formula>0.5</formula>
    </cfRule>
    <cfRule type="cellIs" dxfId="3554" priority="3238" operator="greaterThanOrEqual">
      <formula>1.5</formula>
    </cfRule>
  </conditionalFormatting>
  <conditionalFormatting sqref="K477">
    <cfRule type="cellIs" dxfId="3553" priority="3235" operator="lessThanOrEqual">
      <formula>0.5</formula>
    </cfRule>
    <cfRule type="cellIs" dxfId="3552" priority="3236" operator="greaterThanOrEqual">
      <formula>1.5</formula>
    </cfRule>
  </conditionalFormatting>
  <conditionalFormatting sqref="L477">
    <cfRule type="cellIs" dxfId="3551" priority="3233" operator="lessThanOrEqual">
      <formula>0.5</formula>
    </cfRule>
    <cfRule type="cellIs" dxfId="3550" priority="3234" operator="greaterThanOrEqual">
      <formula>1.5</formula>
    </cfRule>
  </conditionalFormatting>
  <conditionalFormatting sqref="O480">
    <cfRule type="cellIs" dxfId="3549" priority="3231" operator="lessThanOrEqual">
      <formula>0.5</formula>
    </cfRule>
    <cfRule type="cellIs" dxfId="3548" priority="3232" operator="greaterThanOrEqual">
      <formula>1.5</formula>
    </cfRule>
  </conditionalFormatting>
  <conditionalFormatting sqref="N480">
    <cfRule type="cellIs" dxfId="3547" priority="3229" operator="lessThanOrEqual">
      <formula>0.5</formula>
    </cfRule>
    <cfRule type="cellIs" dxfId="3546" priority="3230" operator="greaterThanOrEqual">
      <formula>1.5</formula>
    </cfRule>
  </conditionalFormatting>
  <conditionalFormatting sqref="K480">
    <cfRule type="cellIs" dxfId="3545" priority="3227" operator="lessThanOrEqual">
      <formula>0.5</formula>
    </cfRule>
    <cfRule type="cellIs" dxfId="3544" priority="3228" operator="greaterThanOrEqual">
      <formula>1.5</formula>
    </cfRule>
  </conditionalFormatting>
  <conditionalFormatting sqref="L480">
    <cfRule type="cellIs" dxfId="3543" priority="3225" operator="lessThanOrEqual">
      <formula>0.5</formula>
    </cfRule>
    <cfRule type="cellIs" dxfId="3542" priority="3226" operator="greaterThanOrEqual">
      <formula>1.5</formula>
    </cfRule>
  </conditionalFormatting>
  <conditionalFormatting sqref="O483">
    <cfRule type="cellIs" dxfId="3541" priority="3223" operator="lessThanOrEqual">
      <formula>0.5</formula>
    </cfRule>
    <cfRule type="cellIs" dxfId="3540" priority="3224" operator="greaterThanOrEqual">
      <formula>1.5</formula>
    </cfRule>
  </conditionalFormatting>
  <conditionalFormatting sqref="N483">
    <cfRule type="cellIs" dxfId="3539" priority="3221" operator="lessThanOrEqual">
      <formula>0.5</formula>
    </cfRule>
    <cfRule type="cellIs" dxfId="3538" priority="3222" operator="greaterThanOrEqual">
      <formula>1.5</formula>
    </cfRule>
  </conditionalFormatting>
  <conditionalFormatting sqref="K483">
    <cfRule type="cellIs" dxfId="3537" priority="3219" operator="lessThanOrEqual">
      <formula>0.5</formula>
    </cfRule>
    <cfRule type="cellIs" dxfId="3536" priority="3220" operator="greaterThanOrEqual">
      <formula>1.5</formula>
    </cfRule>
  </conditionalFormatting>
  <conditionalFormatting sqref="L483">
    <cfRule type="cellIs" dxfId="3535" priority="3217" operator="lessThanOrEqual">
      <formula>0.5</formula>
    </cfRule>
    <cfRule type="cellIs" dxfId="3534" priority="3218" operator="greaterThanOrEqual">
      <formula>1.5</formula>
    </cfRule>
  </conditionalFormatting>
  <conditionalFormatting sqref="O486">
    <cfRule type="cellIs" dxfId="3533" priority="3215" operator="lessThanOrEqual">
      <formula>0.5</formula>
    </cfRule>
    <cfRule type="cellIs" dxfId="3532" priority="3216" operator="greaterThanOrEqual">
      <formula>1.5</formula>
    </cfRule>
  </conditionalFormatting>
  <conditionalFormatting sqref="N486">
    <cfRule type="cellIs" dxfId="3531" priority="3213" operator="lessThanOrEqual">
      <formula>0.5</formula>
    </cfRule>
    <cfRule type="cellIs" dxfId="3530" priority="3214" operator="greaterThanOrEqual">
      <formula>1.5</formula>
    </cfRule>
  </conditionalFormatting>
  <conditionalFormatting sqref="K486">
    <cfRule type="cellIs" dxfId="3529" priority="3211" operator="lessThanOrEqual">
      <formula>0.5</formula>
    </cfRule>
    <cfRule type="cellIs" dxfId="3528" priority="3212" operator="greaterThanOrEqual">
      <formula>1.5</formula>
    </cfRule>
  </conditionalFormatting>
  <conditionalFormatting sqref="L486">
    <cfRule type="cellIs" dxfId="3527" priority="3209" operator="lessThanOrEqual">
      <formula>0.5</formula>
    </cfRule>
    <cfRule type="cellIs" dxfId="3526" priority="3210" operator="greaterThanOrEqual">
      <formula>1.5</formula>
    </cfRule>
  </conditionalFormatting>
  <conditionalFormatting sqref="O489">
    <cfRule type="cellIs" dxfId="3525" priority="3207" operator="lessThanOrEqual">
      <formula>0.5</formula>
    </cfRule>
    <cfRule type="cellIs" dxfId="3524" priority="3208" operator="greaterThanOrEqual">
      <formula>1.5</formula>
    </cfRule>
  </conditionalFormatting>
  <conditionalFormatting sqref="N489">
    <cfRule type="cellIs" dxfId="3523" priority="3205" operator="lessThanOrEqual">
      <formula>0.5</formula>
    </cfRule>
    <cfRule type="cellIs" dxfId="3522" priority="3206" operator="greaterThanOrEqual">
      <formula>1.5</formula>
    </cfRule>
  </conditionalFormatting>
  <conditionalFormatting sqref="K489">
    <cfRule type="cellIs" dxfId="3521" priority="3203" operator="lessThanOrEqual">
      <formula>0.5</formula>
    </cfRule>
    <cfRule type="cellIs" dxfId="3520" priority="3204" operator="greaterThanOrEqual">
      <formula>1.5</formula>
    </cfRule>
  </conditionalFormatting>
  <conditionalFormatting sqref="L489">
    <cfRule type="cellIs" dxfId="3519" priority="3201" operator="lessThanOrEqual">
      <formula>0.5</formula>
    </cfRule>
    <cfRule type="cellIs" dxfId="3518" priority="3202" operator="greaterThanOrEqual">
      <formula>1.5</formula>
    </cfRule>
  </conditionalFormatting>
  <conditionalFormatting sqref="O492">
    <cfRule type="cellIs" dxfId="3517" priority="3199" operator="lessThanOrEqual">
      <formula>0.5</formula>
    </cfRule>
    <cfRule type="cellIs" dxfId="3516" priority="3200" operator="greaterThanOrEqual">
      <formula>1.5</formula>
    </cfRule>
  </conditionalFormatting>
  <conditionalFormatting sqref="N492">
    <cfRule type="cellIs" dxfId="3515" priority="3197" operator="lessThanOrEqual">
      <formula>0.5</formula>
    </cfRule>
    <cfRule type="cellIs" dxfId="3514" priority="3198" operator="greaterThanOrEqual">
      <formula>1.5</formula>
    </cfRule>
  </conditionalFormatting>
  <conditionalFormatting sqref="K492">
    <cfRule type="cellIs" dxfId="3513" priority="3195" operator="lessThanOrEqual">
      <formula>0.5</formula>
    </cfRule>
    <cfRule type="cellIs" dxfId="3512" priority="3196" operator="greaterThanOrEqual">
      <formula>1.5</formula>
    </cfRule>
  </conditionalFormatting>
  <conditionalFormatting sqref="L492">
    <cfRule type="cellIs" dxfId="3511" priority="3193" operator="lessThanOrEqual">
      <formula>0.5</formula>
    </cfRule>
    <cfRule type="cellIs" dxfId="3510" priority="3194" operator="greaterThanOrEqual">
      <formula>1.5</formula>
    </cfRule>
  </conditionalFormatting>
  <conditionalFormatting sqref="O495">
    <cfRule type="cellIs" dxfId="3509" priority="3191" operator="lessThanOrEqual">
      <formula>0.5</formula>
    </cfRule>
    <cfRule type="cellIs" dxfId="3508" priority="3192" operator="greaterThanOrEqual">
      <formula>1.5</formula>
    </cfRule>
  </conditionalFormatting>
  <conditionalFormatting sqref="N495">
    <cfRule type="cellIs" dxfId="3507" priority="3189" operator="lessThanOrEqual">
      <formula>0.5</formula>
    </cfRule>
    <cfRule type="cellIs" dxfId="3506" priority="3190" operator="greaterThanOrEqual">
      <formula>1.5</formula>
    </cfRule>
  </conditionalFormatting>
  <conditionalFormatting sqref="K495">
    <cfRule type="cellIs" dxfId="3505" priority="3187" operator="lessThanOrEqual">
      <formula>0.5</formula>
    </cfRule>
    <cfRule type="cellIs" dxfId="3504" priority="3188" operator="greaterThanOrEqual">
      <formula>1.5</formula>
    </cfRule>
  </conditionalFormatting>
  <conditionalFormatting sqref="L495">
    <cfRule type="cellIs" dxfId="3503" priority="3185" operator="lessThanOrEqual">
      <formula>0.5</formula>
    </cfRule>
    <cfRule type="cellIs" dxfId="3502" priority="3186" operator="greaterThanOrEqual">
      <formula>1.5</formula>
    </cfRule>
  </conditionalFormatting>
  <conditionalFormatting sqref="O498">
    <cfRule type="cellIs" dxfId="3501" priority="3183" operator="lessThanOrEqual">
      <formula>0.5</formula>
    </cfRule>
    <cfRule type="cellIs" dxfId="3500" priority="3184" operator="greaterThanOrEqual">
      <formula>1.5</formula>
    </cfRule>
  </conditionalFormatting>
  <conditionalFormatting sqref="N498">
    <cfRule type="cellIs" dxfId="3499" priority="3181" operator="lessThanOrEqual">
      <formula>0.5</formula>
    </cfRule>
    <cfRule type="cellIs" dxfId="3498" priority="3182" operator="greaterThanOrEqual">
      <formula>1.5</formula>
    </cfRule>
  </conditionalFormatting>
  <conditionalFormatting sqref="K498">
    <cfRule type="cellIs" dxfId="3497" priority="3179" operator="lessThanOrEqual">
      <formula>0.5</formula>
    </cfRule>
    <cfRule type="cellIs" dxfId="3496" priority="3180" operator="greaterThanOrEqual">
      <formula>1.5</formula>
    </cfRule>
  </conditionalFormatting>
  <conditionalFormatting sqref="L498">
    <cfRule type="cellIs" dxfId="3495" priority="3177" operator="lessThanOrEqual">
      <formula>0.5</formula>
    </cfRule>
    <cfRule type="cellIs" dxfId="3494" priority="3178" operator="greaterThanOrEqual">
      <formula>1.5</formula>
    </cfRule>
  </conditionalFormatting>
  <conditionalFormatting sqref="O501">
    <cfRule type="cellIs" dxfId="3493" priority="3175" operator="lessThanOrEqual">
      <formula>0.5</formula>
    </cfRule>
    <cfRule type="cellIs" dxfId="3492" priority="3176" operator="greaterThanOrEqual">
      <formula>1.5</formula>
    </cfRule>
  </conditionalFormatting>
  <conditionalFormatting sqref="N501">
    <cfRule type="cellIs" dxfId="3491" priority="3173" operator="lessThanOrEqual">
      <formula>0.5</formula>
    </cfRule>
    <cfRule type="cellIs" dxfId="3490" priority="3174" operator="greaterThanOrEqual">
      <formula>1.5</formula>
    </cfRule>
  </conditionalFormatting>
  <conditionalFormatting sqref="K501">
    <cfRule type="cellIs" dxfId="3489" priority="3171" operator="lessThanOrEqual">
      <formula>0.5</formula>
    </cfRule>
    <cfRule type="cellIs" dxfId="3488" priority="3172" operator="greaterThanOrEqual">
      <formula>1.5</formula>
    </cfRule>
  </conditionalFormatting>
  <conditionalFormatting sqref="L501">
    <cfRule type="cellIs" dxfId="3487" priority="3169" operator="lessThanOrEqual">
      <formula>0.5</formula>
    </cfRule>
    <cfRule type="cellIs" dxfId="3486" priority="3170" operator="greaterThanOrEqual">
      <formula>1.5</formula>
    </cfRule>
  </conditionalFormatting>
  <conditionalFormatting sqref="O504">
    <cfRule type="cellIs" dxfId="3485" priority="3167" operator="lessThanOrEqual">
      <formula>0.5</formula>
    </cfRule>
    <cfRule type="cellIs" dxfId="3484" priority="3168" operator="greaterThanOrEqual">
      <formula>1.5</formula>
    </cfRule>
  </conditionalFormatting>
  <conditionalFormatting sqref="N504">
    <cfRule type="cellIs" dxfId="3483" priority="3165" operator="lessThanOrEqual">
      <formula>0.5</formula>
    </cfRule>
    <cfRule type="cellIs" dxfId="3482" priority="3166" operator="greaterThanOrEqual">
      <formula>1.5</formula>
    </cfRule>
  </conditionalFormatting>
  <conditionalFormatting sqref="K504">
    <cfRule type="cellIs" dxfId="3481" priority="3163" operator="lessThanOrEqual">
      <formula>0.5</formula>
    </cfRule>
    <cfRule type="cellIs" dxfId="3480" priority="3164" operator="greaterThanOrEqual">
      <formula>1.5</formula>
    </cfRule>
  </conditionalFormatting>
  <conditionalFormatting sqref="L504">
    <cfRule type="cellIs" dxfId="3479" priority="3161" operator="lessThanOrEqual">
      <formula>0.5</formula>
    </cfRule>
    <cfRule type="cellIs" dxfId="3478" priority="3162" operator="greaterThanOrEqual">
      <formula>1.5</formula>
    </cfRule>
  </conditionalFormatting>
  <conditionalFormatting sqref="O507">
    <cfRule type="cellIs" dxfId="3477" priority="3159" operator="lessThanOrEqual">
      <formula>0.5</formula>
    </cfRule>
    <cfRule type="cellIs" dxfId="3476" priority="3160" operator="greaterThanOrEqual">
      <formula>1.5</formula>
    </cfRule>
  </conditionalFormatting>
  <conditionalFormatting sqref="N507">
    <cfRule type="cellIs" dxfId="3475" priority="3157" operator="lessThanOrEqual">
      <formula>0.5</formula>
    </cfRule>
    <cfRule type="cellIs" dxfId="3474" priority="3158" operator="greaterThanOrEqual">
      <formula>1.5</formula>
    </cfRule>
  </conditionalFormatting>
  <conditionalFormatting sqref="K507">
    <cfRule type="cellIs" dxfId="3473" priority="3155" operator="lessThanOrEqual">
      <formula>0.5</formula>
    </cfRule>
    <cfRule type="cellIs" dxfId="3472" priority="3156" operator="greaterThanOrEqual">
      <formula>1.5</formula>
    </cfRule>
  </conditionalFormatting>
  <conditionalFormatting sqref="L507">
    <cfRule type="cellIs" dxfId="3471" priority="3153" operator="lessThanOrEqual">
      <formula>0.5</formula>
    </cfRule>
    <cfRule type="cellIs" dxfId="3470" priority="3154" operator="greaterThanOrEqual">
      <formula>1.5</formula>
    </cfRule>
  </conditionalFormatting>
  <conditionalFormatting sqref="O510">
    <cfRule type="cellIs" dxfId="3469" priority="3151" operator="lessThanOrEqual">
      <formula>0.5</formula>
    </cfRule>
    <cfRule type="cellIs" dxfId="3468" priority="3152" operator="greaterThanOrEqual">
      <formula>1.5</formula>
    </cfRule>
  </conditionalFormatting>
  <conditionalFormatting sqref="N510">
    <cfRule type="cellIs" dxfId="3467" priority="3149" operator="lessThanOrEqual">
      <formula>0.5</formula>
    </cfRule>
    <cfRule type="cellIs" dxfId="3466" priority="3150" operator="greaterThanOrEqual">
      <formula>1.5</formula>
    </cfRule>
  </conditionalFormatting>
  <conditionalFormatting sqref="K510">
    <cfRule type="cellIs" dxfId="3465" priority="3147" operator="lessThanOrEqual">
      <formula>0.5</formula>
    </cfRule>
    <cfRule type="cellIs" dxfId="3464" priority="3148" operator="greaterThanOrEqual">
      <formula>1.5</formula>
    </cfRule>
  </conditionalFormatting>
  <conditionalFormatting sqref="L510">
    <cfRule type="cellIs" dxfId="3463" priority="3145" operator="lessThanOrEqual">
      <formula>0.5</formula>
    </cfRule>
    <cfRule type="cellIs" dxfId="3462" priority="3146" operator="greaterThanOrEqual">
      <formula>1.5</formula>
    </cfRule>
  </conditionalFormatting>
  <conditionalFormatting sqref="O513">
    <cfRule type="cellIs" dxfId="3461" priority="3143" operator="lessThanOrEqual">
      <formula>0.5</formula>
    </cfRule>
    <cfRule type="cellIs" dxfId="3460" priority="3144" operator="greaterThanOrEqual">
      <formula>1.5</formula>
    </cfRule>
  </conditionalFormatting>
  <conditionalFormatting sqref="N513">
    <cfRule type="cellIs" dxfId="3459" priority="3141" operator="lessThanOrEqual">
      <formula>0.5</formula>
    </cfRule>
    <cfRule type="cellIs" dxfId="3458" priority="3142" operator="greaterThanOrEqual">
      <formula>1.5</formula>
    </cfRule>
  </conditionalFormatting>
  <conditionalFormatting sqref="K513">
    <cfRule type="cellIs" dxfId="3457" priority="3139" operator="lessThanOrEqual">
      <formula>0.5</formula>
    </cfRule>
    <cfRule type="cellIs" dxfId="3456" priority="3140" operator="greaterThanOrEqual">
      <formula>1.5</formula>
    </cfRule>
  </conditionalFormatting>
  <conditionalFormatting sqref="L513">
    <cfRule type="cellIs" dxfId="3455" priority="3137" operator="lessThanOrEqual">
      <formula>0.5</formula>
    </cfRule>
    <cfRule type="cellIs" dxfId="3454" priority="3138" operator="greaterThanOrEqual">
      <formula>1.5</formula>
    </cfRule>
  </conditionalFormatting>
  <conditionalFormatting sqref="O519">
    <cfRule type="cellIs" dxfId="3453" priority="3135" operator="lessThanOrEqual">
      <formula>0.5</formula>
    </cfRule>
    <cfRule type="cellIs" dxfId="3452" priority="3136" operator="greaterThanOrEqual">
      <formula>1.5</formula>
    </cfRule>
  </conditionalFormatting>
  <conditionalFormatting sqref="N519">
    <cfRule type="cellIs" dxfId="3451" priority="3133" operator="lessThanOrEqual">
      <formula>0.5</formula>
    </cfRule>
    <cfRule type="cellIs" dxfId="3450" priority="3134" operator="greaterThanOrEqual">
      <formula>1.5</formula>
    </cfRule>
  </conditionalFormatting>
  <conditionalFormatting sqref="K519">
    <cfRule type="cellIs" dxfId="3449" priority="3131" operator="lessThanOrEqual">
      <formula>0.5</formula>
    </cfRule>
    <cfRule type="cellIs" dxfId="3448" priority="3132" operator="greaterThanOrEqual">
      <formula>1.5</formula>
    </cfRule>
  </conditionalFormatting>
  <conditionalFormatting sqref="L519">
    <cfRule type="cellIs" dxfId="3447" priority="3129" operator="lessThanOrEqual">
      <formula>0.5</formula>
    </cfRule>
    <cfRule type="cellIs" dxfId="3446" priority="3130" operator="greaterThanOrEqual">
      <formula>1.5</formula>
    </cfRule>
  </conditionalFormatting>
  <conditionalFormatting sqref="O522">
    <cfRule type="cellIs" dxfId="3445" priority="3127" operator="lessThanOrEqual">
      <formula>0.5</formula>
    </cfRule>
    <cfRule type="cellIs" dxfId="3444" priority="3128" operator="greaterThanOrEqual">
      <formula>1.5</formula>
    </cfRule>
  </conditionalFormatting>
  <conditionalFormatting sqref="N522">
    <cfRule type="cellIs" dxfId="3443" priority="3125" operator="lessThanOrEqual">
      <formula>0.5</formula>
    </cfRule>
    <cfRule type="cellIs" dxfId="3442" priority="3126" operator="greaterThanOrEqual">
      <formula>1.5</formula>
    </cfRule>
  </conditionalFormatting>
  <conditionalFormatting sqref="K522">
    <cfRule type="cellIs" dxfId="3441" priority="3123" operator="lessThanOrEqual">
      <formula>0.5</formula>
    </cfRule>
    <cfRule type="cellIs" dxfId="3440" priority="3124" operator="greaterThanOrEqual">
      <formula>1.5</formula>
    </cfRule>
  </conditionalFormatting>
  <conditionalFormatting sqref="L522">
    <cfRule type="cellIs" dxfId="3439" priority="3121" operator="lessThanOrEqual">
      <formula>0.5</formula>
    </cfRule>
    <cfRule type="cellIs" dxfId="3438" priority="3122" operator="greaterThanOrEqual">
      <formula>1.5</formula>
    </cfRule>
  </conditionalFormatting>
  <conditionalFormatting sqref="O525">
    <cfRule type="cellIs" dxfId="3437" priority="3119" operator="lessThanOrEqual">
      <formula>0.5</formula>
    </cfRule>
    <cfRule type="cellIs" dxfId="3436" priority="3120" operator="greaterThanOrEqual">
      <formula>1.5</formula>
    </cfRule>
  </conditionalFormatting>
  <conditionalFormatting sqref="N525">
    <cfRule type="cellIs" dxfId="3435" priority="3117" operator="lessThanOrEqual">
      <formula>0.5</formula>
    </cfRule>
    <cfRule type="cellIs" dxfId="3434" priority="3118" operator="greaterThanOrEqual">
      <formula>1.5</formula>
    </cfRule>
  </conditionalFormatting>
  <conditionalFormatting sqref="K525">
    <cfRule type="cellIs" dxfId="3433" priority="3115" operator="lessThanOrEqual">
      <formula>0.5</formula>
    </cfRule>
    <cfRule type="cellIs" dxfId="3432" priority="3116" operator="greaterThanOrEqual">
      <formula>1.5</formula>
    </cfRule>
  </conditionalFormatting>
  <conditionalFormatting sqref="L525">
    <cfRule type="cellIs" dxfId="3431" priority="3113" operator="lessThanOrEqual">
      <formula>0.5</formula>
    </cfRule>
    <cfRule type="cellIs" dxfId="3430" priority="3114" operator="greaterThanOrEqual">
      <formula>1.5</formula>
    </cfRule>
  </conditionalFormatting>
  <conditionalFormatting sqref="O528">
    <cfRule type="cellIs" dxfId="3429" priority="3111" operator="lessThanOrEqual">
      <formula>0.5</formula>
    </cfRule>
    <cfRule type="cellIs" dxfId="3428" priority="3112" operator="greaterThanOrEqual">
      <formula>1.5</formula>
    </cfRule>
  </conditionalFormatting>
  <conditionalFormatting sqref="N528">
    <cfRule type="cellIs" dxfId="3427" priority="3109" operator="lessThanOrEqual">
      <formula>0.5</formula>
    </cfRule>
    <cfRule type="cellIs" dxfId="3426" priority="3110" operator="greaterThanOrEqual">
      <formula>1.5</formula>
    </cfRule>
  </conditionalFormatting>
  <conditionalFormatting sqref="K528">
    <cfRule type="cellIs" dxfId="3425" priority="3107" operator="lessThanOrEqual">
      <formula>0.5</formula>
    </cfRule>
    <cfRule type="cellIs" dxfId="3424" priority="3108" operator="greaterThanOrEqual">
      <formula>1.5</formula>
    </cfRule>
  </conditionalFormatting>
  <conditionalFormatting sqref="L528">
    <cfRule type="cellIs" dxfId="3423" priority="3105" operator="lessThanOrEqual">
      <formula>0.5</formula>
    </cfRule>
    <cfRule type="cellIs" dxfId="3422" priority="3106" operator="greaterThanOrEqual">
      <formula>1.5</formula>
    </cfRule>
  </conditionalFormatting>
  <conditionalFormatting sqref="O531">
    <cfRule type="cellIs" dxfId="3421" priority="3103" operator="lessThanOrEqual">
      <formula>0.5</formula>
    </cfRule>
    <cfRule type="cellIs" dxfId="3420" priority="3104" operator="greaterThanOrEqual">
      <formula>1.5</formula>
    </cfRule>
  </conditionalFormatting>
  <conditionalFormatting sqref="N531">
    <cfRule type="cellIs" dxfId="3419" priority="3101" operator="lessThanOrEqual">
      <formula>0.5</formula>
    </cfRule>
    <cfRule type="cellIs" dxfId="3418" priority="3102" operator="greaterThanOrEqual">
      <formula>1.5</formula>
    </cfRule>
  </conditionalFormatting>
  <conditionalFormatting sqref="K531">
    <cfRule type="cellIs" dxfId="3417" priority="3099" operator="lessThanOrEqual">
      <formula>0.5</formula>
    </cfRule>
    <cfRule type="cellIs" dxfId="3416" priority="3100" operator="greaterThanOrEqual">
      <formula>1.5</formula>
    </cfRule>
  </conditionalFormatting>
  <conditionalFormatting sqref="L531">
    <cfRule type="cellIs" dxfId="3415" priority="3097" operator="lessThanOrEqual">
      <formula>0.5</formula>
    </cfRule>
    <cfRule type="cellIs" dxfId="3414" priority="3098" operator="greaterThanOrEqual">
      <formula>1.5</formula>
    </cfRule>
  </conditionalFormatting>
  <conditionalFormatting sqref="O534">
    <cfRule type="cellIs" dxfId="3413" priority="3095" operator="lessThanOrEqual">
      <formula>0.5</formula>
    </cfRule>
    <cfRule type="cellIs" dxfId="3412" priority="3096" operator="greaterThanOrEqual">
      <formula>1.5</formula>
    </cfRule>
  </conditionalFormatting>
  <conditionalFormatting sqref="N534">
    <cfRule type="cellIs" dxfId="3411" priority="3093" operator="lessThanOrEqual">
      <formula>0.5</formula>
    </cfRule>
    <cfRule type="cellIs" dxfId="3410" priority="3094" operator="greaterThanOrEqual">
      <formula>1.5</formula>
    </cfRule>
  </conditionalFormatting>
  <conditionalFormatting sqref="K534">
    <cfRule type="cellIs" dxfId="3409" priority="3091" operator="lessThanOrEqual">
      <formula>0.5</formula>
    </cfRule>
    <cfRule type="cellIs" dxfId="3408" priority="3092" operator="greaterThanOrEqual">
      <formula>1.5</formula>
    </cfRule>
  </conditionalFormatting>
  <conditionalFormatting sqref="L534">
    <cfRule type="cellIs" dxfId="3407" priority="3089" operator="lessThanOrEqual">
      <formula>0.5</formula>
    </cfRule>
    <cfRule type="cellIs" dxfId="3406" priority="3090" operator="greaterThanOrEqual">
      <formula>1.5</formula>
    </cfRule>
  </conditionalFormatting>
  <conditionalFormatting sqref="O537">
    <cfRule type="cellIs" dxfId="3405" priority="3087" operator="lessThanOrEqual">
      <formula>0.5</formula>
    </cfRule>
    <cfRule type="cellIs" dxfId="3404" priority="3088" operator="greaterThanOrEqual">
      <formula>1.5</formula>
    </cfRule>
  </conditionalFormatting>
  <conditionalFormatting sqref="N537">
    <cfRule type="cellIs" dxfId="3403" priority="3085" operator="lessThanOrEqual">
      <formula>0.5</formula>
    </cfRule>
    <cfRule type="cellIs" dxfId="3402" priority="3086" operator="greaterThanOrEqual">
      <formula>1.5</formula>
    </cfRule>
  </conditionalFormatting>
  <conditionalFormatting sqref="K537">
    <cfRule type="cellIs" dxfId="3401" priority="3083" operator="lessThanOrEqual">
      <formula>0.5</formula>
    </cfRule>
    <cfRule type="cellIs" dxfId="3400" priority="3084" operator="greaterThanOrEqual">
      <formula>1.5</formula>
    </cfRule>
  </conditionalFormatting>
  <conditionalFormatting sqref="L537">
    <cfRule type="cellIs" dxfId="3399" priority="3081" operator="lessThanOrEqual">
      <formula>0.5</formula>
    </cfRule>
    <cfRule type="cellIs" dxfId="3398" priority="3082" operator="greaterThanOrEqual">
      <formula>1.5</formula>
    </cfRule>
  </conditionalFormatting>
  <conditionalFormatting sqref="O540">
    <cfRule type="cellIs" dxfId="3397" priority="3079" operator="lessThanOrEqual">
      <formula>0.5</formula>
    </cfRule>
    <cfRule type="cellIs" dxfId="3396" priority="3080" operator="greaterThanOrEqual">
      <formula>1.5</formula>
    </cfRule>
  </conditionalFormatting>
  <conditionalFormatting sqref="N540">
    <cfRule type="cellIs" dxfId="3395" priority="3077" operator="lessThanOrEqual">
      <formula>0.5</formula>
    </cfRule>
    <cfRule type="cellIs" dxfId="3394" priority="3078" operator="greaterThanOrEqual">
      <formula>1.5</formula>
    </cfRule>
  </conditionalFormatting>
  <conditionalFormatting sqref="K540">
    <cfRule type="cellIs" dxfId="3393" priority="3075" operator="lessThanOrEqual">
      <formula>0.5</formula>
    </cfRule>
    <cfRule type="cellIs" dxfId="3392" priority="3076" operator="greaterThanOrEqual">
      <formula>1.5</formula>
    </cfRule>
  </conditionalFormatting>
  <conditionalFormatting sqref="L540">
    <cfRule type="cellIs" dxfId="3391" priority="3073" operator="lessThanOrEqual">
      <formula>0.5</formula>
    </cfRule>
    <cfRule type="cellIs" dxfId="3390" priority="3074" operator="greaterThanOrEqual">
      <formula>1.5</formula>
    </cfRule>
  </conditionalFormatting>
  <conditionalFormatting sqref="O543">
    <cfRule type="cellIs" dxfId="3389" priority="3071" operator="lessThanOrEqual">
      <formula>0.5</formula>
    </cfRule>
    <cfRule type="cellIs" dxfId="3388" priority="3072" operator="greaterThanOrEqual">
      <formula>1.5</formula>
    </cfRule>
  </conditionalFormatting>
  <conditionalFormatting sqref="N543">
    <cfRule type="cellIs" dxfId="3387" priority="3069" operator="lessThanOrEqual">
      <formula>0.5</formula>
    </cfRule>
    <cfRule type="cellIs" dxfId="3386" priority="3070" operator="greaterThanOrEqual">
      <formula>1.5</formula>
    </cfRule>
  </conditionalFormatting>
  <conditionalFormatting sqref="K543">
    <cfRule type="cellIs" dxfId="3385" priority="3067" operator="lessThanOrEqual">
      <formula>0.5</formula>
    </cfRule>
    <cfRule type="cellIs" dxfId="3384" priority="3068" operator="greaterThanOrEqual">
      <formula>1.5</formula>
    </cfRule>
  </conditionalFormatting>
  <conditionalFormatting sqref="L543">
    <cfRule type="cellIs" dxfId="3383" priority="3065" operator="lessThanOrEqual">
      <formula>0.5</formula>
    </cfRule>
    <cfRule type="cellIs" dxfId="3382" priority="3066" operator="greaterThanOrEqual">
      <formula>1.5</formula>
    </cfRule>
  </conditionalFormatting>
  <conditionalFormatting sqref="O546">
    <cfRule type="cellIs" dxfId="3381" priority="3063" operator="lessThanOrEqual">
      <formula>0.5</formula>
    </cfRule>
    <cfRule type="cellIs" dxfId="3380" priority="3064" operator="greaterThanOrEqual">
      <formula>1.5</formula>
    </cfRule>
  </conditionalFormatting>
  <conditionalFormatting sqref="N546">
    <cfRule type="cellIs" dxfId="3379" priority="3061" operator="lessThanOrEqual">
      <formula>0.5</formula>
    </cfRule>
    <cfRule type="cellIs" dxfId="3378" priority="3062" operator="greaterThanOrEqual">
      <formula>1.5</formula>
    </cfRule>
  </conditionalFormatting>
  <conditionalFormatting sqref="K546">
    <cfRule type="cellIs" dxfId="3377" priority="3059" operator="lessThanOrEqual">
      <formula>0.5</formula>
    </cfRule>
    <cfRule type="cellIs" dxfId="3376" priority="3060" operator="greaterThanOrEqual">
      <formula>1.5</formula>
    </cfRule>
  </conditionalFormatting>
  <conditionalFormatting sqref="L546">
    <cfRule type="cellIs" dxfId="3375" priority="3057" operator="lessThanOrEqual">
      <formula>0.5</formula>
    </cfRule>
    <cfRule type="cellIs" dxfId="3374" priority="3058" operator="greaterThanOrEqual">
      <formula>1.5</formula>
    </cfRule>
  </conditionalFormatting>
  <conditionalFormatting sqref="O549">
    <cfRule type="cellIs" dxfId="3373" priority="3055" operator="lessThanOrEqual">
      <formula>0.5</formula>
    </cfRule>
    <cfRule type="cellIs" dxfId="3372" priority="3056" operator="greaterThanOrEqual">
      <formula>1.5</formula>
    </cfRule>
  </conditionalFormatting>
  <conditionalFormatting sqref="N549">
    <cfRule type="cellIs" dxfId="3371" priority="3053" operator="lessThanOrEqual">
      <formula>0.5</formula>
    </cfRule>
    <cfRule type="cellIs" dxfId="3370" priority="3054" operator="greaterThanOrEqual">
      <formula>1.5</formula>
    </cfRule>
  </conditionalFormatting>
  <conditionalFormatting sqref="K549">
    <cfRule type="cellIs" dxfId="3369" priority="3051" operator="lessThanOrEqual">
      <formula>0.5</formula>
    </cfRule>
    <cfRule type="cellIs" dxfId="3368" priority="3052" operator="greaterThanOrEqual">
      <formula>1.5</formula>
    </cfRule>
  </conditionalFormatting>
  <conditionalFormatting sqref="L549">
    <cfRule type="cellIs" dxfId="3367" priority="3049" operator="lessThanOrEqual">
      <formula>0.5</formula>
    </cfRule>
    <cfRule type="cellIs" dxfId="3366" priority="3050" operator="greaterThanOrEqual">
      <formula>1.5</formula>
    </cfRule>
  </conditionalFormatting>
  <conditionalFormatting sqref="O552">
    <cfRule type="cellIs" dxfId="3365" priority="3047" operator="lessThanOrEqual">
      <formula>0.5</formula>
    </cfRule>
    <cfRule type="cellIs" dxfId="3364" priority="3048" operator="greaterThanOrEqual">
      <formula>1.5</formula>
    </cfRule>
  </conditionalFormatting>
  <conditionalFormatting sqref="N552">
    <cfRule type="cellIs" dxfId="3363" priority="3045" operator="lessThanOrEqual">
      <formula>0.5</formula>
    </cfRule>
    <cfRule type="cellIs" dxfId="3362" priority="3046" operator="greaterThanOrEqual">
      <formula>1.5</formula>
    </cfRule>
  </conditionalFormatting>
  <conditionalFormatting sqref="K552">
    <cfRule type="cellIs" dxfId="3361" priority="3043" operator="lessThanOrEqual">
      <formula>0.5</formula>
    </cfRule>
    <cfRule type="cellIs" dxfId="3360" priority="3044" operator="greaterThanOrEqual">
      <formula>1.5</formula>
    </cfRule>
  </conditionalFormatting>
  <conditionalFormatting sqref="L552">
    <cfRule type="cellIs" dxfId="3359" priority="3041" operator="lessThanOrEqual">
      <formula>0.5</formula>
    </cfRule>
    <cfRule type="cellIs" dxfId="3358" priority="3042" operator="greaterThanOrEqual">
      <formula>1.5</formula>
    </cfRule>
  </conditionalFormatting>
  <conditionalFormatting sqref="O555">
    <cfRule type="cellIs" dxfId="3357" priority="3039" operator="lessThanOrEqual">
      <formula>0.5</formula>
    </cfRule>
    <cfRule type="cellIs" dxfId="3356" priority="3040" operator="greaterThanOrEqual">
      <formula>1.5</formula>
    </cfRule>
  </conditionalFormatting>
  <conditionalFormatting sqref="N555">
    <cfRule type="cellIs" dxfId="3355" priority="3037" operator="lessThanOrEqual">
      <formula>0.5</formula>
    </cfRule>
    <cfRule type="cellIs" dxfId="3354" priority="3038" operator="greaterThanOrEqual">
      <formula>1.5</formula>
    </cfRule>
  </conditionalFormatting>
  <conditionalFormatting sqref="K555">
    <cfRule type="cellIs" dxfId="3353" priority="3035" operator="lessThanOrEqual">
      <formula>0.5</formula>
    </cfRule>
    <cfRule type="cellIs" dxfId="3352" priority="3036" operator="greaterThanOrEqual">
      <formula>1.5</formula>
    </cfRule>
  </conditionalFormatting>
  <conditionalFormatting sqref="L555">
    <cfRule type="cellIs" dxfId="3351" priority="3033" operator="lessThanOrEqual">
      <formula>0.5</formula>
    </cfRule>
    <cfRule type="cellIs" dxfId="3350" priority="3034" operator="greaterThanOrEqual">
      <formula>1.5</formula>
    </cfRule>
  </conditionalFormatting>
  <conditionalFormatting sqref="O558">
    <cfRule type="cellIs" dxfId="3349" priority="3031" operator="lessThanOrEqual">
      <formula>0.5</formula>
    </cfRule>
    <cfRule type="cellIs" dxfId="3348" priority="3032" operator="greaterThanOrEqual">
      <formula>1.5</formula>
    </cfRule>
  </conditionalFormatting>
  <conditionalFormatting sqref="N558">
    <cfRule type="cellIs" dxfId="3347" priority="3029" operator="lessThanOrEqual">
      <formula>0.5</formula>
    </cfRule>
    <cfRule type="cellIs" dxfId="3346" priority="3030" operator="greaterThanOrEqual">
      <formula>1.5</formula>
    </cfRule>
  </conditionalFormatting>
  <conditionalFormatting sqref="K558">
    <cfRule type="cellIs" dxfId="3345" priority="3027" operator="lessThanOrEqual">
      <formula>0.5</formula>
    </cfRule>
    <cfRule type="cellIs" dxfId="3344" priority="3028" operator="greaterThanOrEqual">
      <formula>1.5</formula>
    </cfRule>
  </conditionalFormatting>
  <conditionalFormatting sqref="L558">
    <cfRule type="cellIs" dxfId="3343" priority="3025" operator="lessThanOrEqual">
      <formula>0.5</formula>
    </cfRule>
    <cfRule type="cellIs" dxfId="3342" priority="3026" operator="greaterThanOrEqual">
      <formula>1.5</formula>
    </cfRule>
  </conditionalFormatting>
  <conditionalFormatting sqref="O561">
    <cfRule type="cellIs" dxfId="3341" priority="3023" operator="lessThanOrEqual">
      <formula>0.5</formula>
    </cfRule>
    <cfRule type="cellIs" dxfId="3340" priority="3024" operator="greaterThanOrEqual">
      <formula>1.5</formula>
    </cfRule>
  </conditionalFormatting>
  <conditionalFormatting sqref="N561">
    <cfRule type="cellIs" dxfId="3339" priority="3021" operator="lessThanOrEqual">
      <formula>0.5</formula>
    </cfRule>
    <cfRule type="cellIs" dxfId="3338" priority="3022" operator="greaterThanOrEqual">
      <formula>1.5</formula>
    </cfRule>
  </conditionalFormatting>
  <conditionalFormatting sqref="K561">
    <cfRule type="cellIs" dxfId="3337" priority="3019" operator="lessThanOrEqual">
      <formula>0.5</formula>
    </cfRule>
    <cfRule type="cellIs" dxfId="3336" priority="3020" operator="greaterThanOrEqual">
      <formula>1.5</formula>
    </cfRule>
  </conditionalFormatting>
  <conditionalFormatting sqref="L561">
    <cfRule type="cellIs" dxfId="3335" priority="3017" operator="lessThanOrEqual">
      <formula>0.5</formula>
    </cfRule>
    <cfRule type="cellIs" dxfId="3334" priority="3018" operator="greaterThanOrEqual">
      <formula>1.5</formula>
    </cfRule>
  </conditionalFormatting>
  <conditionalFormatting sqref="O564">
    <cfRule type="cellIs" dxfId="3333" priority="3015" operator="lessThanOrEqual">
      <formula>0.5</formula>
    </cfRule>
    <cfRule type="cellIs" dxfId="3332" priority="3016" operator="greaterThanOrEqual">
      <formula>1.5</formula>
    </cfRule>
  </conditionalFormatting>
  <conditionalFormatting sqref="N564">
    <cfRule type="cellIs" dxfId="3331" priority="3013" operator="lessThanOrEqual">
      <formula>0.5</formula>
    </cfRule>
    <cfRule type="cellIs" dxfId="3330" priority="3014" operator="greaterThanOrEqual">
      <formula>1.5</formula>
    </cfRule>
  </conditionalFormatting>
  <conditionalFormatting sqref="K564">
    <cfRule type="cellIs" dxfId="3329" priority="3011" operator="lessThanOrEqual">
      <formula>0.5</formula>
    </cfRule>
    <cfRule type="cellIs" dxfId="3328" priority="3012" operator="greaterThanOrEqual">
      <formula>1.5</formula>
    </cfRule>
  </conditionalFormatting>
  <conditionalFormatting sqref="L564">
    <cfRule type="cellIs" dxfId="3327" priority="3009" operator="lessThanOrEqual">
      <formula>0.5</formula>
    </cfRule>
    <cfRule type="cellIs" dxfId="3326" priority="3010" operator="greaterThanOrEqual">
      <formula>1.5</formula>
    </cfRule>
  </conditionalFormatting>
  <conditionalFormatting sqref="O567">
    <cfRule type="cellIs" dxfId="3325" priority="3007" operator="lessThanOrEqual">
      <formula>0.5</formula>
    </cfRule>
    <cfRule type="cellIs" dxfId="3324" priority="3008" operator="greaterThanOrEqual">
      <formula>1.5</formula>
    </cfRule>
  </conditionalFormatting>
  <conditionalFormatting sqref="N567">
    <cfRule type="cellIs" dxfId="3323" priority="3005" operator="lessThanOrEqual">
      <formula>0.5</formula>
    </cfRule>
    <cfRule type="cellIs" dxfId="3322" priority="3006" operator="greaterThanOrEqual">
      <formula>1.5</formula>
    </cfRule>
  </conditionalFormatting>
  <conditionalFormatting sqref="K567">
    <cfRule type="cellIs" dxfId="3321" priority="3003" operator="lessThanOrEqual">
      <formula>0.5</formula>
    </cfRule>
    <cfRule type="cellIs" dxfId="3320" priority="3004" operator="greaterThanOrEqual">
      <formula>1.5</formula>
    </cfRule>
  </conditionalFormatting>
  <conditionalFormatting sqref="L567">
    <cfRule type="cellIs" dxfId="3319" priority="3001" operator="lessThanOrEqual">
      <formula>0.5</formula>
    </cfRule>
    <cfRule type="cellIs" dxfId="3318" priority="3002" operator="greaterThanOrEqual">
      <formula>1.5</formula>
    </cfRule>
  </conditionalFormatting>
  <conditionalFormatting sqref="O570">
    <cfRule type="cellIs" dxfId="3317" priority="2999" operator="lessThanOrEqual">
      <formula>0.5</formula>
    </cfRule>
    <cfRule type="cellIs" dxfId="3316" priority="3000" operator="greaterThanOrEqual">
      <formula>1.5</formula>
    </cfRule>
  </conditionalFormatting>
  <conditionalFormatting sqref="N570">
    <cfRule type="cellIs" dxfId="3315" priority="2997" operator="lessThanOrEqual">
      <formula>0.5</formula>
    </cfRule>
    <cfRule type="cellIs" dxfId="3314" priority="2998" operator="greaterThanOrEqual">
      <formula>1.5</formula>
    </cfRule>
  </conditionalFormatting>
  <conditionalFormatting sqref="K570">
    <cfRule type="cellIs" dxfId="3313" priority="2995" operator="lessThanOrEqual">
      <formula>0.5</formula>
    </cfRule>
    <cfRule type="cellIs" dxfId="3312" priority="2996" operator="greaterThanOrEqual">
      <formula>1.5</formula>
    </cfRule>
  </conditionalFormatting>
  <conditionalFormatting sqref="L570">
    <cfRule type="cellIs" dxfId="3311" priority="2993" operator="lessThanOrEqual">
      <formula>0.5</formula>
    </cfRule>
    <cfRule type="cellIs" dxfId="3310" priority="2994" operator="greaterThanOrEqual">
      <formula>1.5</formula>
    </cfRule>
  </conditionalFormatting>
  <conditionalFormatting sqref="O573">
    <cfRule type="cellIs" dxfId="3309" priority="2991" operator="lessThanOrEqual">
      <formula>0.5</formula>
    </cfRule>
    <cfRule type="cellIs" dxfId="3308" priority="2992" operator="greaterThanOrEqual">
      <formula>1.5</formula>
    </cfRule>
  </conditionalFormatting>
  <conditionalFormatting sqref="N573">
    <cfRule type="cellIs" dxfId="3307" priority="2989" operator="lessThanOrEqual">
      <formula>0.5</formula>
    </cfRule>
    <cfRule type="cellIs" dxfId="3306" priority="2990" operator="greaterThanOrEqual">
      <formula>1.5</formula>
    </cfRule>
  </conditionalFormatting>
  <conditionalFormatting sqref="K573">
    <cfRule type="cellIs" dxfId="3305" priority="2987" operator="lessThanOrEqual">
      <formula>0.5</formula>
    </cfRule>
    <cfRule type="cellIs" dxfId="3304" priority="2988" operator="greaterThanOrEqual">
      <formula>1.5</formula>
    </cfRule>
  </conditionalFormatting>
  <conditionalFormatting sqref="L573">
    <cfRule type="cellIs" dxfId="3303" priority="2985" operator="lessThanOrEqual">
      <formula>0.5</formula>
    </cfRule>
    <cfRule type="cellIs" dxfId="3302" priority="2986" operator="greaterThanOrEqual">
      <formula>1.5</formula>
    </cfRule>
  </conditionalFormatting>
  <conditionalFormatting sqref="O576">
    <cfRule type="cellIs" dxfId="3301" priority="2983" operator="lessThanOrEqual">
      <formula>0.5</formula>
    </cfRule>
    <cfRule type="cellIs" dxfId="3300" priority="2984" operator="greaterThanOrEqual">
      <formula>1.5</formula>
    </cfRule>
  </conditionalFormatting>
  <conditionalFormatting sqref="N576">
    <cfRule type="cellIs" dxfId="3299" priority="2981" operator="lessThanOrEqual">
      <formula>0.5</formula>
    </cfRule>
    <cfRule type="cellIs" dxfId="3298" priority="2982" operator="greaterThanOrEqual">
      <formula>1.5</formula>
    </cfRule>
  </conditionalFormatting>
  <conditionalFormatting sqref="K576">
    <cfRule type="cellIs" dxfId="3297" priority="2979" operator="lessThanOrEqual">
      <formula>0.5</formula>
    </cfRule>
    <cfRule type="cellIs" dxfId="3296" priority="2980" operator="greaterThanOrEqual">
      <formula>1.5</formula>
    </cfRule>
  </conditionalFormatting>
  <conditionalFormatting sqref="L576">
    <cfRule type="cellIs" dxfId="3295" priority="2977" operator="lessThanOrEqual">
      <formula>0.5</formula>
    </cfRule>
    <cfRule type="cellIs" dxfId="3294" priority="2978" operator="greaterThanOrEqual">
      <formula>1.5</formula>
    </cfRule>
  </conditionalFormatting>
  <conditionalFormatting sqref="O579">
    <cfRule type="cellIs" dxfId="3293" priority="2975" operator="lessThanOrEqual">
      <formula>0.5</formula>
    </cfRule>
    <cfRule type="cellIs" dxfId="3292" priority="2976" operator="greaterThanOrEqual">
      <formula>1.5</formula>
    </cfRule>
  </conditionalFormatting>
  <conditionalFormatting sqref="N579">
    <cfRule type="cellIs" dxfId="3291" priority="2973" operator="lessThanOrEqual">
      <formula>0.5</formula>
    </cfRule>
    <cfRule type="cellIs" dxfId="3290" priority="2974" operator="greaterThanOrEqual">
      <formula>1.5</formula>
    </cfRule>
  </conditionalFormatting>
  <conditionalFormatting sqref="K579">
    <cfRule type="cellIs" dxfId="3289" priority="2971" operator="lessThanOrEqual">
      <formula>0.5</formula>
    </cfRule>
    <cfRule type="cellIs" dxfId="3288" priority="2972" operator="greaterThanOrEqual">
      <formula>1.5</formula>
    </cfRule>
  </conditionalFormatting>
  <conditionalFormatting sqref="L579">
    <cfRule type="cellIs" dxfId="3287" priority="2969" operator="lessThanOrEqual">
      <formula>0.5</formula>
    </cfRule>
    <cfRule type="cellIs" dxfId="3286" priority="2970" operator="greaterThanOrEqual">
      <formula>1.5</formula>
    </cfRule>
  </conditionalFormatting>
  <conditionalFormatting sqref="O582">
    <cfRule type="cellIs" dxfId="3285" priority="2967" operator="lessThanOrEqual">
      <formula>0.5</formula>
    </cfRule>
    <cfRule type="cellIs" dxfId="3284" priority="2968" operator="greaterThanOrEqual">
      <formula>1.5</formula>
    </cfRule>
  </conditionalFormatting>
  <conditionalFormatting sqref="N582">
    <cfRule type="cellIs" dxfId="3283" priority="2965" operator="lessThanOrEqual">
      <formula>0.5</formula>
    </cfRule>
    <cfRule type="cellIs" dxfId="3282" priority="2966" operator="greaterThanOrEqual">
      <formula>1.5</formula>
    </cfRule>
  </conditionalFormatting>
  <conditionalFormatting sqref="K582">
    <cfRule type="cellIs" dxfId="3281" priority="2963" operator="lessThanOrEqual">
      <formula>0.5</formula>
    </cfRule>
    <cfRule type="cellIs" dxfId="3280" priority="2964" operator="greaterThanOrEqual">
      <formula>1.5</formula>
    </cfRule>
  </conditionalFormatting>
  <conditionalFormatting sqref="L582">
    <cfRule type="cellIs" dxfId="3279" priority="2961" operator="lessThanOrEqual">
      <formula>0.5</formula>
    </cfRule>
    <cfRule type="cellIs" dxfId="3278" priority="2962" operator="greaterThanOrEqual">
      <formula>1.5</formula>
    </cfRule>
  </conditionalFormatting>
  <conditionalFormatting sqref="O585">
    <cfRule type="cellIs" dxfId="3277" priority="2959" operator="lessThanOrEqual">
      <formula>0.5</formula>
    </cfRule>
    <cfRule type="cellIs" dxfId="3276" priority="2960" operator="greaterThanOrEqual">
      <formula>1.5</formula>
    </cfRule>
  </conditionalFormatting>
  <conditionalFormatting sqref="N585">
    <cfRule type="cellIs" dxfId="3275" priority="2957" operator="lessThanOrEqual">
      <formula>0.5</formula>
    </cfRule>
    <cfRule type="cellIs" dxfId="3274" priority="2958" operator="greaterThanOrEqual">
      <formula>1.5</formula>
    </cfRule>
  </conditionalFormatting>
  <conditionalFormatting sqref="K585">
    <cfRule type="cellIs" dxfId="3273" priority="2955" operator="lessThanOrEqual">
      <formula>0.5</formula>
    </cfRule>
    <cfRule type="cellIs" dxfId="3272" priority="2956" operator="greaterThanOrEqual">
      <formula>1.5</formula>
    </cfRule>
  </conditionalFormatting>
  <conditionalFormatting sqref="L585">
    <cfRule type="cellIs" dxfId="3271" priority="2953" operator="lessThanOrEqual">
      <formula>0.5</formula>
    </cfRule>
    <cfRule type="cellIs" dxfId="3270" priority="2954" operator="greaterThanOrEqual">
      <formula>1.5</formula>
    </cfRule>
  </conditionalFormatting>
  <conditionalFormatting sqref="O588">
    <cfRule type="cellIs" dxfId="3269" priority="2951" operator="lessThanOrEqual">
      <formula>0.5</formula>
    </cfRule>
    <cfRule type="cellIs" dxfId="3268" priority="2952" operator="greaterThanOrEqual">
      <formula>1.5</formula>
    </cfRule>
  </conditionalFormatting>
  <conditionalFormatting sqref="N588">
    <cfRule type="cellIs" dxfId="3267" priority="2949" operator="lessThanOrEqual">
      <formula>0.5</formula>
    </cfRule>
    <cfRule type="cellIs" dxfId="3266" priority="2950" operator="greaterThanOrEqual">
      <formula>1.5</formula>
    </cfRule>
  </conditionalFormatting>
  <conditionalFormatting sqref="K588">
    <cfRule type="cellIs" dxfId="3265" priority="2947" operator="lessThanOrEqual">
      <formula>0.5</formula>
    </cfRule>
    <cfRule type="cellIs" dxfId="3264" priority="2948" operator="greaterThanOrEqual">
      <formula>1.5</formula>
    </cfRule>
  </conditionalFormatting>
  <conditionalFormatting sqref="L588">
    <cfRule type="cellIs" dxfId="3263" priority="2945" operator="lessThanOrEqual">
      <formula>0.5</formula>
    </cfRule>
    <cfRule type="cellIs" dxfId="3262" priority="2946" operator="greaterThanOrEqual">
      <formula>1.5</formula>
    </cfRule>
  </conditionalFormatting>
  <conditionalFormatting sqref="O591">
    <cfRule type="cellIs" dxfId="3261" priority="2943" operator="lessThanOrEqual">
      <formula>0.5</formula>
    </cfRule>
    <cfRule type="cellIs" dxfId="3260" priority="2944" operator="greaterThanOrEqual">
      <formula>1.5</formula>
    </cfRule>
  </conditionalFormatting>
  <conditionalFormatting sqref="N591">
    <cfRule type="cellIs" dxfId="3259" priority="2941" operator="lessThanOrEqual">
      <formula>0.5</formula>
    </cfRule>
    <cfRule type="cellIs" dxfId="3258" priority="2942" operator="greaterThanOrEqual">
      <formula>1.5</formula>
    </cfRule>
  </conditionalFormatting>
  <conditionalFormatting sqref="K591">
    <cfRule type="cellIs" dxfId="3257" priority="2939" operator="lessThanOrEqual">
      <formula>0.5</formula>
    </cfRule>
    <cfRule type="cellIs" dxfId="3256" priority="2940" operator="greaterThanOrEqual">
      <formula>1.5</formula>
    </cfRule>
  </conditionalFormatting>
  <conditionalFormatting sqref="L591">
    <cfRule type="cellIs" dxfId="3255" priority="2937" operator="lessThanOrEqual">
      <formula>0.5</formula>
    </cfRule>
    <cfRule type="cellIs" dxfId="3254" priority="2938" operator="greaterThanOrEqual">
      <formula>1.5</formula>
    </cfRule>
  </conditionalFormatting>
  <conditionalFormatting sqref="O594">
    <cfRule type="cellIs" dxfId="3253" priority="2935" operator="lessThanOrEqual">
      <formula>0.5</formula>
    </cfRule>
    <cfRule type="cellIs" dxfId="3252" priority="2936" operator="greaterThanOrEqual">
      <formula>1.5</formula>
    </cfRule>
  </conditionalFormatting>
  <conditionalFormatting sqref="N594">
    <cfRule type="cellIs" dxfId="3251" priority="2933" operator="lessThanOrEqual">
      <formula>0.5</formula>
    </cfRule>
    <cfRule type="cellIs" dxfId="3250" priority="2934" operator="greaterThanOrEqual">
      <formula>1.5</formula>
    </cfRule>
  </conditionalFormatting>
  <conditionalFormatting sqref="K594">
    <cfRule type="cellIs" dxfId="3249" priority="2931" operator="lessThanOrEqual">
      <formula>0.5</formula>
    </cfRule>
    <cfRule type="cellIs" dxfId="3248" priority="2932" operator="greaterThanOrEqual">
      <formula>1.5</formula>
    </cfRule>
  </conditionalFormatting>
  <conditionalFormatting sqref="L594">
    <cfRule type="cellIs" dxfId="3247" priority="2929" operator="lessThanOrEqual">
      <formula>0.5</formula>
    </cfRule>
    <cfRule type="cellIs" dxfId="3246" priority="2930" operator="greaterThanOrEqual">
      <formula>1.5</formula>
    </cfRule>
  </conditionalFormatting>
  <conditionalFormatting sqref="O597">
    <cfRule type="cellIs" dxfId="3245" priority="2927" operator="lessThanOrEqual">
      <formula>0.5</formula>
    </cfRule>
    <cfRule type="cellIs" dxfId="3244" priority="2928" operator="greaterThanOrEqual">
      <formula>1.5</formula>
    </cfRule>
  </conditionalFormatting>
  <conditionalFormatting sqref="N597">
    <cfRule type="cellIs" dxfId="3243" priority="2925" operator="lessThanOrEqual">
      <formula>0.5</formula>
    </cfRule>
    <cfRule type="cellIs" dxfId="3242" priority="2926" operator="greaterThanOrEqual">
      <formula>1.5</formula>
    </cfRule>
  </conditionalFormatting>
  <conditionalFormatting sqref="K597">
    <cfRule type="cellIs" dxfId="3241" priority="2923" operator="lessThanOrEqual">
      <formula>0.5</formula>
    </cfRule>
    <cfRule type="cellIs" dxfId="3240" priority="2924" operator="greaterThanOrEqual">
      <formula>1.5</formula>
    </cfRule>
  </conditionalFormatting>
  <conditionalFormatting sqref="L597">
    <cfRule type="cellIs" dxfId="3239" priority="2921" operator="lessThanOrEqual">
      <formula>0.5</formula>
    </cfRule>
    <cfRule type="cellIs" dxfId="3238" priority="2922" operator="greaterThanOrEqual">
      <formula>1.5</formula>
    </cfRule>
  </conditionalFormatting>
  <conditionalFormatting sqref="O600">
    <cfRule type="cellIs" dxfId="3237" priority="2919" operator="lessThanOrEqual">
      <formula>0.5</formula>
    </cfRule>
    <cfRule type="cellIs" dxfId="3236" priority="2920" operator="greaterThanOrEqual">
      <formula>1.5</formula>
    </cfRule>
  </conditionalFormatting>
  <conditionalFormatting sqref="N600">
    <cfRule type="cellIs" dxfId="3235" priority="2917" operator="lessThanOrEqual">
      <formula>0.5</formula>
    </cfRule>
    <cfRule type="cellIs" dxfId="3234" priority="2918" operator="greaterThanOrEqual">
      <formula>1.5</formula>
    </cfRule>
  </conditionalFormatting>
  <conditionalFormatting sqref="K600">
    <cfRule type="cellIs" dxfId="3233" priority="2915" operator="lessThanOrEqual">
      <formula>0.5</formula>
    </cfRule>
    <cfRule type="cellIs" dxfId="3232" priority="2916" operator="greaterThanOrEqual">
      <formula>1.5</formula>
    </cfRule>
  </conditionalFormatting>
  <conditionalFormatting sqref="L600">
    <cfRule type="cellIs" dxfId="3231" priority="2913" operator="lessThanOrEqual">
      <formula>0.5</formula>
    </cfRule>
    <cfRule type="cellIs" dxfId="3230" priority="2914" operator="greaterThanOrEqual">
      <formula>1.5</formula>
    </cfRule>
  </conditionalFormatting>
  <conditionalFormatting sqref="O603">
    <cfRule type="cellIs" dxfId="3229" priority="2911" operator="lessThanOrEqual">
      <formula>0.5</formula>
    </cfRule>
    <cfRule type="cellIs" dxfId="3228" priority="2912" operator="greaterThanOrEqual">
      <formula>1.5</formula>
    </cfRule>
  </conditionalFormatting>
  <conditionalFormatting sqref="N603">
    <cfRule type="cellIs" dxfId="3227" priority="2909" operator="lessThanOrEqual">
      <formula>0.5</formula>
    </cfRule>
    <cfRule type="cellIs" dxfId="3226" priority="2910" operator="greaterThanOrEqual">
      <formula>1.5</formula>
    </cfRule>
  </conditionalFormatting>
  <conditionalFormatting sqref="K603">
    <cfRule type="cellIs" dxfId="3225" priority="2907" operator="lessThanOrEqual">
      <formula>0.5</formula>
    </cfRule>
    <cfRule type="cellIs" dxfId="3224" priority="2908" operator="greaterThanOrEqual">
      <formula>1.5</formula>
    </cfRule>
  </conditionalFormatting>
  <conditionalFormatting sqref="L603">
    <cfRule type="cellIs" dxfId="3223" priority="2905" operator="lessThanOrEqual">
      <formula>0.5</formula>
    </cfRule>
    <cfRule type="cellIs" dxfId="3222" priority="2906" operator="greaterThanOrEqual">
      <formula>1.5</formula>
    </cfRule>
  </conditionalFormatting>
  <conditionalFormatting sqref="O606">
    <cfRule type="cellIs" dxfId="3221" priority="2903" operator="lessThanOrEqual">
      <formula>0.5</formula>
    </cfRule>
    <cfRule type="cellIs" dxfId="3220" priority="2904" operator="greaterThanOrEqual">
      <formula>1.5</formula>
    </cfRule>
  </conditionalFormatting>
  <conditionalFormatting sqref="N606">
    <cfRule type="cellIs" dxfId="3219" priority="2901" operator="lessThanOrEqual">
      <formula>0.5</formula>
    </cfRule>
    <cfRule type="cellIs" dxfId="3218" priority="2902" operator="greaterThanOrEqual">
      <formula>1.5</formula>
    </cfRule>
  </conditionalFormatting>
  <conditionalFormatting sqref="K606">
    <cfRule type="cellIs" dxfId="3217" priority="2899" operator="lessThanOrEqual">
      <formula>0.5</formula>
    </cfRule>
    <cfRule type="cellIs" dxfId="3216" priority="2900" operator="greaterThanOrEqual">
      <formula>1.5</formula>
    </cfRule>
  </conditionalFormatting>
  <conditionalFormatting sqref="L606">
    <cfRule type="cellIs" dxfId="3215" priority="2897" operator="lessThanOrEqual">
      <formula>0.5</formula>
    </cfRule>
    <cfRule type="cellIs" dxfId="3214" priority="2898" operator="greaterThanOrEqual">
      <formula>1.5</formula>
    </cfRule>
  </conditionalFormatting>
  <conditionalFormatting sqref="O609">
    <cfRule type="cellIs" dxfId="3213" priority="2895" operator="lessThanOrEqual">
      <formula>0.5</formula>
    </cfRule>
    <cfRule type="cellIs" dxfId="3212" priority="2896" operator="greaterThanOrEqual">
      <formula>1.5</formula>
    </cfRule>
  </conditionalFormatting>
  <conditionalFormatting sqref="N609">
    <cfRule type="cellIs" dxfId="3211" priority="2893" operator="lessThanOrEqual">
      <formula>0.5</formula>
    </cfRule>
    <cfRule type="cellIs" dxfId="3210" priority="2894" operator="greaterThanOrEqual">
      <formula>1.5</formula>
    </cfRule>
  </conditionalFormatting>
  <conditionalFormatting sqref="K609">
    <cfRule type="cellIs" dxfId="3209" priority="2891" operator="lessThanOrEqual">
      <formula>0.5</formula>
    </cfRule>
    <cfRule type="cellIs" dxfId="3208" priority="2892" operator="greaterThanOrEqual">
      <formula>1.5</formula>
    </cfRule>
  </conditionalFormatting>
  <conditionalFormatting sqref="L609">
    <cfRule type="cellIs" dxfId="3207" priority="2889" operator="lessThanOrEqual">
      <formula>0.5</formula>
    </cfRule>
    <cfRule type="cellIs" dxfId="3206" priority="2890" operator="greaterThanOrEqual">
      <formula>1.5</formula>
    </cfRule>
  </conditionalFormatting>
  <conditionalFormatting sqref="O612">
    <cfRule type="cellIs" dxfId="3205" priority="2887" operator="lessThanOrEqual">
      <formula>0.5</formula>
    </cfRule>
    <cfRule type="cellIs" dxfId="3204" priority="2888" operator="greaterThanOrEqual">
      <formula>1.5</formula>
    </cfRule>
  </conditionalFormatting>
  <conditionalFormatting sqref="N612">
    <cfRule type="cellIs" dxfId="3203" priority="2885" operator="lessThanOrEqual">
      <formula>0.5</formula>
    </cfRule>
    <cfRule type="cellIs" dxfId="3202" priority="2886" operator="greaterThanOrEqual">
      <formula>1.5</formula>
    </cfRule>
  </conditionalFormatting>
  <conditionalFormatting sqref="K612">
    <cfRule type="cellIs" dxfId="3201" priority="2883" operator="lessThanOrEqual">
      <formula>0.5</formula>
    </cfRule>
    <cfRule type="cellIs" dxfId="3200" priority="2884" operator="greaterThanOrEqual">
      <formula>1.5</formula>
    </cfRule>
  </conditionalFormatting>
  <conditionalFormatting sqref="L612">
    <cfRule type="cellIs" dxfId="3199" priority="2881" operator="lessThanOrEqual">
      <formula>0.5</formula>
    </cfRule>
    <cfRule type="cellIs" dxfId="3198" priority="2882" operator="greaterThanOrEqual">
      <formula>1.5</formula>
    </cfRule>
  </conditionalFormatting>
  <conditionalFormatting sqref="O615">
    <cfRule type="cellIs" dxfId="3197" priority="2879" operator="lessThanOrEqual">
      <formula>0.5</formula>
    </cfRule>
    <cfRule type="cellIs" dxfId="3196" priority="2880" operator="greaterThanOrEqual">
      <formula>1.5</formula>
    </cfRule>
  </conditionalFormatting>
  <conditionalFormatting sqref="N615">
    <cfRule type="cellIs" dxfId="3195" priority="2877" operator="lessThanOrEqual">
      <formula>0.5</formula>
    </cfRule>
    <cfRule type="cellIs" dxfId="3194" priority="2878" operator="greaterThanOrEqual">
      <formula>1.5</formula>
    </cfRule>
  </conditionalFormatting>
  <conditionalFormatting sqref="K615">
    <cfRule type="cellIs" dxfId="3193" priority="2875" operator="lessThanOrEqual">
      <formula>0.5</formula>
    </cfRule>
    <cfRule type="cellIs" dxfId="3192" priority="2876" operator="greaterThanOrEqual">
      <formula>1.5</formula>
    </cfRule>
  </conditionalFormatting>
  <conditionalFormatting sqref="L615">
    <cfRule type="cellIs" dxfId="3191" priority="2873" operator="lessThanOrEqual">
      <formula>0.5</formula>
    </cfRule>
    <cfRule type="cellIs" dxfId="3190" priority="2874" operator="greaterThanOrEqual">
      <formula>1.5</formula>
    </cfRule>
  </conditionalFormatting>
  <conditionalFormatting sqref="O618">
    <cfRule type="cellIs" dxfId="3189" priority="2871" operator="lessThanOrEqual">
      <formula>0.5</formula>
    </cfRule>
    <cfRule type="cellIs" dxfId="3188" priority="2872" operator="greaterThanOrEqual">
      <formula>1.5</formula>
    </cfRule>
  </conditionalFormatting>
  <conditionalFormatting sqref="N618">
    <cfRule type="cellIs" dxfId="3187" priority="2869" operator="lessThanOrEqual">
      <formula>0.5</formula>
    </cfRule>
    <cfRule type="cellIs" dxfId="3186" priority="2870" operator="greaterThanOrEqual">
      <formula>1.5</formula>
    </cfRule>
  </conditionalFormatting>
  <conditionalFormatting sqref="K618">
    <cfRule type="cellIs" dxfId="3185" priority="2867" operator="lessThanOrEqual">
      <formula>0.5</formula>
    </cfRule>
    <cfRule type="cellIs" dxfId="3184" priority="2868" operator="greaterThanOrEqual">
      <formula>1.5</formula>
    </cfRule>
  </conditionalFormatting>
  <conditionalFormatting sqref="L618">
    <cfRule type="cellIs" dxfId="3183" priority="2865" operator="lessThanOrEqual">
      <formula>0.5</formula>
    </cfRule>
    <cfRule type="cellIs" dxfId="3182" priority="2866" operator="greaterThanOrEqual">
      <formula>1.5</formula>
    </cfRule>
  </conditionalFormatting>
  <conditionalFormatting sqref="O621">
    <cfRule type="cellIs" dxfId="3181" priority="2863" operator="lessThanOrEqual">
      <formula>0.5</formula>
    </cfRule>
    <cfRule type="cellIs" dxfId="3180" priority="2864" operator="greaterThanOrEqual">
      <formula>1.5</formula>
    </cfRule>
  </conditionalFormatting>
  <conditionalFormatting sqref="N621">
    <cfRule type="cellIs" dxfId="3179" priority="2861" operator="lessThanOrEqual">
      <formula>0.5</formula>
    </cfRule>
    <cfRule type="cellIs" dxfId="3178" priority="2862" operator="greaterThanOrEqual">
      <formula>1.5</formula>
    </cfRule>
  </conditionalFormatting>
  <conditionalFormatting sqref="K621">
    <cfRule type="cellIs" dxfId="3177" priority="2859" operator="lessThanOrEqual">
      <formula>0.5</formula>
    </cfRule>
    <cfRule type="cellIs" dxfId="3176" priority="2860" operator="greaterThanOrEqual">
      <formula>1.5</formula>
    </cfRule>
  </conditionalFormatting>
  <conditionalFormatting sqref="L621">
    <cfRule type="cellIs" dxfId="3175" priority="2857" operator="lessThanOrEqual">
      <formula>0.5</formula>
    </cfRule>
    <cfRule type="cellIs" dxfId="3174" priority="2858" operator="greaterThanOrEqual">
      <formula>1.5</formula>
    </cfRule>
  </conditionalFormatting>
  <conditionalFormatting sqref="O624">
    <cfRule type="cellIs" dxfId="3173" priority="2855" operator="lessThanOrEqual">
      <formula>0.5</formula>
    </cfRule>
    <cfRule type="cellIs" dxfId="3172" priority="2856" operator="greaterThanOrEqual">
      <formula>1.5</formula>
    </cfRule>
  </conditionalFormatting>
  <conditionalFormatting sqref="N624">
    <cfRule type="cellIs" dxfId="3171" priority="2853" operator="lessThanOrEqual">
      <formula>0.5</formula>
    </cfRule>
    <cfRule type="cellIs" dxfId="3170" priority="2854" operator="greaterThanOrEqual">
      <formula>1.5</formula>
    </cfRule>
  </conditionalFormatting>
  <conditionalFormatting sqref="K624">
    <cfRule type="cellIs" dxfId="3169" priority="2851" operator="lessThanOrEqual">
      <formula>0.5</formula>
    </cfRule>
    <cfRule type="cellIs" dxfId="3168" priority="2852" operator="greaterThanOrEqual">
      <formula>1.5</formula>
    </cfRule>
  </conditionalFormatting>
  <conditionalFormatting sqref="L624">
    <cfRule type="cellIs" dxfId="3167" priority="2849" operator="lessThanOrEqual">
      <formula>0.5</formula>
    </cfRule>
    <cfRule type="cellIs" dxfId="3166" priority="2850" operator="greaterThanOrEqual">
      <formula>1.5</formula>
    </cfRule>
  </conditionalFormatting>
  <conditionalFormatting sqref="O627">
    <cfRule type="cellIs" dxfId="3165" priority="2847" operator="lessThanOrEqual">
      <formula>0.5</formula>
    </cfRule>
    <cfRule type="cellIs" dxfId="3164" priority="2848" operator="greaterThanOrEqual">
      <formula>1.5</formula>
    </cfRule>
  </conditionalFormatting>
  <conditionalFormatting sqref="N627">
    <cfRule type="cellIs" dxfId="3163" priority="2845" operator="lessThanOrEqual">
      <formula>0.5</formula>
    </cfRule>
    <cfRule type="cellIs" dxfId="3162" priority="2846" operator="greaterThanOrEqual">
      <formula>1.5</formula>
    </cfRule>
  </conditionalFormatting>
  <conditionalFormatting sqref="K627">
    <cfRule type="cellIs" dxfId="3161" priority="2843" operator="lessThanOrEqual">
      <formula>0.5</formula>
    </cfRule>
    <cfRule type="cellIs" dxfId="3160" priority="2844" operator="greaterThanOrEqual">
      <formula>1.5</formula>
    </cfRule>
  </conditionalFormatting>
  <conditionalFormatting sqref="L627">
    <cfRule type="cellIs" dxfId="3159" priority="2841" operator="lessThanOrEqual">
      <formula>0.5</formula>
    </cfRule>
    <cfRule type="cellIs" dxfId="3158" priority="2842" operator="greaterThanOrEqual">
      <formula>1.5</formula>
    </cfRule>
  </conditionalFormatting>
  <conditionalFormatting sqref="O630">
    <cfRule type="cellIs" dxfId="3157" priority="2839" operator="lessThanOrEqual">
      <formula>0.5</formula>
    </cfRule>
    <cfRule type="cellIs" dxfId="3156" priority="2840" operator="greaterThanOrEqual">
      <formula>1.5</formula>
    </cfRule>
  </conditionalFormatting>
  <conditionalFormatting sqref="N630">
    <cfRule type="cellIs" dxfId="3155" priority="2837" operator="lessThanOrEqual">
      <formula>0.5</formula>
    </cfRule>
    <cfRule type="cellIs" dxfId="3154" priority="2838" operator="greaterThanOrEqual">
      <formula>1.5</formula>
    </cfRule>
  </conditionalFormatting>
  <conditionalFormatting sqref="K630">
    <cfRule type="cellIs" dxfId="3153" priority="2835" operator="lessThanOrEqual">
      <formula>0.5</formula>
    </cfRule>
    <cfRule type="cellIs" dxfId="3152" priority="2836" operator="greaterThanOrEqual">
      <formula>1.5</formula>
    </cfRule>
  </conditionalFormatting>
  <conditionalFormatting sqref="L630">
    <cfRule type="cellIs" dxfId="3151" priority="2833" operator="lessThanOrEqual">
      <formula>0.5</formula>
    </cfRule>
    <cfRule type="cellIs" dxfId="3150" priority="2834" operator="greaterThanOrEqual">
      <formula>1.5</formula>
    </cfRule>
  </conditionalFormatting>
  <conditionalFormatting sqref="O633">
    <cfRule type="cellIs" dxfId="3149" priority="2831" operator="lessThanOrEqual">
      <formula>0.5</formula>
    </cfRule>
    <cfRule type="cellIs" dxfId="3148" priority="2832" operator="greaterThanOrEqual">
      <formula>1.5</formula>
    </cfRule>
  </conditionalFormatting>
  <conditionalFormatting sqref="N633">
    <cfRule type="cellIs" dxfId="3147" priority="2829" operator="lessThanOrEqual">
      <formula>0.5</formula>
    </cfRule>
    <cfRule type="cellIs" dxfId="3146" priority="2830" operator="greaterThanOrEqual">
      <formula>1.5</formula>
    </cfRule>
  </conditionalFormatting>
  <conditionalFormatting sqref="K633">
    <cfRule type="cellIs" dxfId="3145" priority="2827" operator="lessThanOrEqual">
      <formula>0.5</formula>
    </cfRule>
    <cfRule type="cellIs" dxfId="3144" priority="2828" operator="greaterThanOrEqual">
      <formula>1.5</formula>
    </cfRule>
  </conditionalFormatting>
  <conditionalFormatting sqref="L633">
    <cfRule type="cellIs" dxfId="3143" priority="2825" operator="lessThanOrEqual">
      <formula>0.5</formula>
    </cfRule>
    <cfRule type="cellIs" dxfId="3142" priority="2826" operator="greaterThanOrEqual">
      <formula>1.5</formula>
    </cfRule>
  </conditionalFormatting>
  <conditionalFormatting sqref="O636">
    <cfRule type="cellIs" dxfId="3141" priority="2823" operator="lessThanOrEqual">
      <formula>0.5</formula>
    </cfRule>
    <cfRule type="cellIs" dxfId="3140" priority="2824" operator="greaterThanOrEqual">
      <formula>1.5</formula>
    </cfRule>
  </conditionalFormatting>
  <conditionalFormatting sqref="N636">
    <cfRule type="cellIs" dxfId="3139" priority="2821" operator="lessThanOrEqual">
      <formula>0.5</formula>
    </cfRule>
    <cfRule type="cellIs" dxfId="3138" priority="2822" operator="greaterThanOrEqual">
      <formula>1.5</formula>
    </cfRule>
  </conditionalFormatting>
  <conditionalFormatting sqref="K636">
    <cfRule type="cellIs" dxfId="3137" priority="2819" operator="lessThanOrEqual">
      <formula>0.5</formula>
    </cfRule>
    <cfRule type="cellIs" dxfId="3136" priority="2820" operator="greaterThanOrEqual">
      <formula>1.5</formula>
    </cfRule>
  </conditionalFormatting>
  <conditionalFormatting sqref="L636">
    <cfRule type="cellIs" dxfId="3135" priority="2817" operator="lessThanOrEqual">
      <formula>0.5</formula>
    </cfRule>
    <cfRule type="cellIs" dxfId="3134" priority="2818" operator="greaterThanOrEqual">
      <formula>1.5</formula>
    </cfRule>
  </conditionalFormatting>
  <conditionalFormatting sqref="O639">
    <cfRule type="cellIs" dxfId="3133" priority="2815" operator="lessThanOrEqual">
      <formula>0.5</formula>
    </cfRule>
    <cfRule type="cellIs" dxfId="3132" priority="2816" operator="greaterThanOrEqual">
      <formula>1.5</formula>
    </cfRule>
  </conditionalFormatting>
  <conditionalFormatting sqref="N639">
    <cfRule type="cellIs" dxfId="3131" priority="2813" operator="lessThanOrEqual">
      <formula>0.5</formula>
    </cfRule>
    <cfRule type="cellIs" dxfId="3130" priority="2814" operator="greaterThanOrEqual">
      <formula>1.5</formula>
    </cfRule>
  </conditionalFormatting>
  <conditionalFormatting sqref="K639">
    <cfRule type="cellIs" dxfId="3129" priority="2811" operator="lessThanOrEqual">
      <formula>0.5</formula>
    </cfRule>
    <cfRule type="cellIs" dxfId="3128" priority="2812" operator="greaterThanOrEqual">
      <formula>1.5</formula>
    </cfRule>
  </conditionalFormatting>
  <conditionalFormatting sqref="L639">
    <cfRule type="cellIs" dxfId="3127" priority="2809" operator="lessThanOrEqual">
      <formula>0.5</formula>
    </cfRule>
    <cfRule type="cellIs" dxfId="3126" priority="2810" operator="greaterThanOrEqual">
      <formula>1.5</formula>
    </cfRule>
  </conditionalFormatting>
  <conditionalFormatting sqref="O642">
    <cfRule type="cellIs" dxfId="3125" priority="2807" operator="lessThanOrEqual">
      <formula>0.5</formula>
    </cfRule>
    <cfRule type="cellIs" dxfId="3124" priority="2808" operator="greaterThanOrEqual">
      <formula>1.5</formula>
    </cfRule>
  </conditionalFormatting>
  <conditionalFormatting sqref="N642">
    <cfRule type="cellIs" dxfId="3123" priority="2805" operator="lessThanOrEqual">
      <formula>0.5</formula>
    </cfRule>
    <cfRule type="cellIs" dxfId="3122" priority="2806" operator="greaterThanOrEqual">
      <formula>1.5</formula>
    </cfRule>
  </conditionalFormatting>
  <conditionalFormatting sqref="K642">
    <cfRule type="cellIs" dxfId="3121" priority="2803" operator="lessThanOrEqual">
      <formula>0.5</formula>
    </cfRule>
    <cfRule type="cellIs" dxfId="3120" priority="2804" operator="greaterThanOrEqual">
      <formula>1.5</formula>
    </cfRule>
  </conditionalFormatting>
  <conditionalFormatting sqref="L642">
    <cfRule type="cellIs" dxfId="3119" priority="2801" operator="lessThanOrEqual">
      <formula>0.5</formula>
    </cfRule>
    <cfRule type="cellIs" dxfId="3118" priority="2802" operator="greaterThanOrEqual">
      <formula>1.5</formula>
    </cfRule>
  </conditionalFormatting>
  <conditionalFormatting sqref="O645">
    <cfRule type="cellIs" dxfId="3117" priority="2799" operator="lessThanOrEqual">
      <formula>0.5</formula>
    </cfRule>
    <cfRule type="cellIs" dxfId="3116" priority="2800" operator="greaterThanOrEqual">
      <formula>1.5</formula>
    </cfRule>
  </conditionalFormatting>
  <conditionalFormatting sqref="N645">
    <cfRule type="cellIs" dxfId="3115" priority="2797" operator="lessThanOrEqual">
      <formula>0.5</formula>
    </cfRule>
    <cfRule type="cellIs" dxfId="3114" priority="2798" operator="greaterThanOrEqual">
      <formula>1.5</formula>
    </cfRule>
  </conditionalFormatting>
  <conditionalFormatting sqref="K645">
    <cfRule type="cellIs" dxfId="3113" priority="2795" operator="lessThanOrEqual">
      <formula>0.5</formula>
    </cfRule>
    <cfRule type="cellIs" dxfId="3112" priority="2796" operator="greaterThanOrEqual">
      <formula>1.5</formula>
    </cfRule>
  </conditionalFormatting>
  <conditionalFormatting sqref="L645">
    <cfRule type="cellIs" dxfId="3111" priority="2793" operator="lessThanOrEqual">
      <formula>0.5</formula>
    </cfRule>
    <cfRule type="cellIs" dxfId="3110" priority="2794" operator="greaterThanOrEqual">
      <formula>1.5</formula>
    </cfRule>
  </conditionalFormatting>
  <conditionalFormatting sqref="O648">
    <cfRule type="cellIs" dxfId="3109" priority="2791" operator="lessThanOrEqual">
      <formula>0.5</formula>
    </cfRule>
    <cfRule type="cellIs" dxfId="3108" priority="2792" operator="greaterThanOrEqual">
      <formula>1.5</formula>
    </cfRule>
  </conditionalFormatting>
  <conditionalFormatting sqref="N648">
    <cfRule type="cellIs" dxfId="3107" priority="2789" operator="lessThanOrEqual">
      <formula>0.5</formula>
    </cfRule>
    <cfRule type="cellIs" dxfId="3106" priority="2790" operator="greaterThanOrEqual">
      <formula>1.5</formula>
    </cfRule>
  </conditionalFormatting>
  <conditionalFormatting sqref="K648">
    <cfRule type="cellIs" dxfId="3105" priority="2787" operator="lessThanOrEqual">
      <formula>0.5</formula>
    </cfRule>
    <cfRule type="cellIs" dxfId="3104" priority="2788" operator="greaterThanOrEqual">
      <formula>1.5</formula>
    </cfRule>
  </conditionalFormatting>
  <conditionalFormatting sqref="L648">
    <cfRule type="cellIs" dxfId="3103" priority="2785" operator="lessThanOrEqual">
      <formula>0.5</formula>
    </cfRule>
    <cfRule type="cellIs" dxfId="3102" priority="2786" operator="greaterThanOrEqual">
      <formula>1.5</formula>
    </cfRule>
  </conditionalFormatting>
  <conditionalFormatting sqref="O651">
    <cfRule type="cellIs" dxfId="3101" priority="2783" operator="lessThanOrEqual">
      <formula>0.5</formula>
    </cfRule>
    <cfRule type="cellIs" dxfId="3100" priority="2784" operator="greaterThanOrEqual">
      <formula>1.5</formula>
    </cfRule>
  </conditionalFormatting>
  <conditionalFormatting sqref="N651">
    <cfRule type="cellIs" dxfId="3099" priority="2781" operator="lessThanOrEqual">
      <formula>0.5</formula>
    </cfRule>
    <cfRule type="cellIs" dxfId="3098" priority="2782" operator="greaterThanOrEqual">
      <formula>1.5</formula>
    </cfRule>
  </conditionalFormatting>
  <conditionalFormatting sqref="K651">
    <cfRule type="cellIs" dxfId="3097" priority="2779" operator="lessThanOrEqual">
      <formula>0.5</formula>
    </cfRule>
    <cfRule type="cellIs" dxfId="3096" priority="2780" operator="greaterThanOrEqual">
      <formula>1.5</formula>
    </cfRule>
  </conditionalFormatting>
  <conditionalFormatting sqref="L651">
    <cfRule type="cellIs" dxfId="3095" priority="2777" operator="lessThanOrEqual">
      <formula>0.5</formula>
    </cfRule>
    <cfRule type="cellIs" dxfId="3094" priority="2778" operator="greaterThanOrEqual">
      <formula>1.5</formula>
    </cfRule>
  </conditionalFormatting>
  <conditionalFormatting sqref="O654">
    <cfRule type="cellIs" dxfId="3093" priority="2775" operator="lessThanOrEqual">
      <formula>0.5</formula>
    </cfRule>
    <cfRule type="cellIs" dxfId="3092" priority="2776" operator="greaterThanOrEqual">
      <formula>1.5</formula>
    </cfRule>
  </conditionalFormatting>
  <conditionalFormatting sqref="N654">
    <cfRule type="cellIs" dxfId="3091" priority="2773" operator="lessThanOrEqual">
      <formula>0.5</formula>
    </cfRule>
    <cfRule type="cellIs" dxfId="3090" priority="2774" operator="greaterThanOrEqual">
      <formula>1.5</formula>
    </cfRule>
  </conditionalFormatting>
  <conditionalFormatting sqref="K654">
    <cfRule type="cellIs" dxfId="3089" priority="2771" operator="lessThanOrEqual">
      <formula>0.5</formula>
    </cfRule>
    <cfRule type="cellIs" dxfId="3088" priority="2772" operator="greaterThanOrEqual">
      <formula>1.5</formula>
    </cfRule>
  </conditionalFormatting>
  <conditionalFormatting sqref="L654">
    <cfRule type="cellIs" dxfId="3087" priority="2769" operator="lessThanOrEqual">
      <formula>0.5</formula>
    </cfRule>
    <cfRule type="cellIs" dxfId="3086" priority="2770" operator="greaterThanOrEqual">
      <formula>1.5</formula>
    </cfRule>
  </conditionalFormatting>
  <conditionalFormatting sqref="O657">
    <cfRule type="cellIs" dxfId="3085" priority="2767" operator="lessThanOrEqual">
      <formula>0.5</formula>
    </cfRule>
    <cfRule type="cellIs" dxfId="3084" priority="2768" operator="greaterThanOrEqual">
      <formula>1.5</formula>
    </cfRule>
  </conditionalFormatting>
  <conditionalFormatting sqref="N657">
    <cfRule type="cellIs" dxfId="3083" priority="2765" operator="lessThanOrEqual">
      <formula>0.5</formula>
    </cfRule>
    <cfRule type="cellIs" dxfId="3082" priority="2766" operator="greaterThanOrEqual">
      <formula>1.5</formula>
    </cfRule>
  </conditionalFormatting>
  <conditionalFormatting sqref="K657">
    <cfRule type="cellIs" dxfId="3081" priority="2763" operator="lessThanOrEqual">
      <formula>0.5</formula>
    </cfRule>
    <cfRule type="cellIs" dxfId="3080" priority="2764" operator="greaterThanOrEqual">
      <formula>1.5</formula>
    </cfRule>
  </conditionalFormatting>
  <conditionalFormatting sqref="L657">
    <cfRule type="cellIs" dxfId="3079" priority="2761" operator="lessThanOrEqual">
      <formula>0.5</formula>
    </cfRule>
    <cfRule type="cellIs" dxfId="3078" priority="2762" operator="greaterThanOrEqual">
      <formula>1.5</formula>
    </cfRule>
  </conditionalFormatting>
  <conditionalFormatting sqref="O660">
    <cfRule type="cellIs" dxfId="3077" priority="2759" operator="lessThanOrEqual">
      <formula>0.5</formula>
    </cfRule>
    <cfRule type="cellIs" dxfId="3076" priority="2760" operator="greaterThanOrEqual">
      <formula>1.5</formula>
    </cfRule>
  </conditionalFormatting>
  <conditionalFormatting sqref="N660">
    <cfRule type="cellIs" dxfId="3075" priority="2757" operator="lessThanOrEqual">
      <formula>0.5</formula>
    </cfRule>
    <cfRule type="cellIs" dxfId="3074" priority="2758" operator="greaterThanOrEqual">
      <formula>1.5</formula>
    </cfRule>
  </conditionalFormatting>
  <conditionalFormatting sqref="K660">
    <cfRule type="cellIs" dxfId="3073" priority="2755" operator="lessThanOrEqual">
      <formula>0.5</formula>
    </cfRule>
    <cfRule type="cellIs" dxfId="3072" priority="2756" operator="greaterThanOrEqual">
      <formula>1.5</formula>
    </cfRule>
  </conditionalFormatting>
  <conditionalFormatting sqref="L660">
    <cfRule type="cellIs" dxfId="3071" priority="2753" operator="lessThanOrEqual">
      <formula>0.5</formula>
    </cfRule>
    <cfRule type="cellIs" dxfId="3070" priority="2754" operator="greaterThanOrEqual">
      <formula>1.5</formula>
    </cfRule>
  </conditionalFormatting>
  <conditionalFormatting sqref="O663">
    <cfRule type="cellIs" dxfId="3069" priority="2751" operator="lessThanOrEqual">
      <formula>0.5</formula>
    </cfRule>
    <cfRule type="cellIs" dxfId="3068" priority="2752" operator="greaterThanOrEqual">
      <formula>1.5</formula>
    </cfRule>
  </conditionalFormatting>
  <conditionalFormatting sqref="N663">
    <cfRule type="cellIs" dxfId="3067" priority="2749" operator="lessThanOrEqual">
      <formula>0.5</formula>
    </cfRule>
    <cfRule type="cellIs" dxfId="3066" priority="2750" operator="greaterThanOrEqual">
      <formula>1.5</formula>
    </cfRule>
  </conditionalFormatting>
  <conditionalFormatting sqref="K663">
    <cfRule type="cellIs" dxfId="3065" priority="2747" operator="lessThanOrEqual">
      <formula>0.5</formula>
    </cfRule>
    <cfRule type="cellIs" dxfId="3064" priority="2748" operator="greaterThanOrEqual">
      <formula>1.5</formula>
    </cfRule>
  </conditionalFormatting>
  <conditionalFormatting sqref="L663">
    <cfRule type="cellIs" dxfId="3063" priority="2745" operator="lessThanOrEqual">
      <formula>0.5</formula>
    </cfRule>
    <cfRule type="cellIs" dxfId="3062" priority="2746" operator="greaterThanOrEqual">
      <formula>1.5</formula>
    </cfRule>
  </conditionalFormatting>
  <conditionalFormatting sqref="O666">
    <cfRule type="cellIs" dxfId="3061" priority="2743" operator="lessThanOrEqual">
      <formula>0.5</formula>
    </cfRule>
    <cfRule type="cellIs" dxfId="3060" priority="2744" operator="greaterThanOrEqual">
      <formula>1.5</formula>
    </cfRule>
  </conditionalFormatting>
  <conditionalFormatting sqref="N666">
    <cfRule type="cellIs" dxfId="3059" priority="2741" operator="lessThanOrEqual">
      <formula>0.5</formula>
    </cfRule>
    <cfRule type="cellIs" dxfId="3058" priority="2742" operator="greaterThanOrEqual">
      <formula>1.5</formula>
    </cfRule>
  </conditionalFormatting>
  <conditionalFormatting sqref="K666">
    <cfRule type="cellIs" dxfId="3057" priority="2739" operator="lessThanOrEqual">
      <formula>0.5</formula>
    </cfRule>
    <cfRule type="cellIs" dxfId="3056" priority="2740" operator="greaterThanOrEqual">
      <formula>1.5</formula>
    </cfRule>
  </conditionalFormatting>
  <conditionalFormatting sqref="L666">
    <cfRule type="cellIs" dxfId="3055" priority="2737" operator="lessThanOrEqual">
      <formula>0.5</formula>
    </cfRule>
    <cfRule type="cellIs" dxfId="3054" priority="2738" operator="greaterThanOrEqual">
      <formula>1.5</formula>
    </cfRule>
  </conditionalFormatting>
  <conditionalFormatting sqref="O669">
    <cfRule type="cellIs" dxfId="3053" priority="2735" operator="lessThanOrEqual">
      <formula>0.5</formula>
    </cfRule>
    <cfRule type="cellIs" dxfId="3052" priority="2736" operator="greaterThanOrEqual">
      <formula>1.5</formula>
    </cfRule>
  </conditionalFormatting>
  <conditionalFormatting sqref="N669">
    <cfRule type="cellIs" dxfId="3051" priority="2733" operator="lessThanOrEqual">
      <formula>0.5</formula>
    </cfRule>
    <cfRule type="cellIs" dxfId="3050" priority="2734" operator="greaterThanOrEqual">
      <formula>1.5</formula>
    </cfRule>
  </conditionalFormatting>
  <conditionalFormatting sqref="K669">
    <cfRule type="cellIs" dxfId="3049" priority="2731" operator="lessThanOrEqual">
      <formula>0.5</formula>
    </cfRule>
    <cfRule type="cellIs" dxfId="3048" priority="2732" operator="greaterThanOrEqual">
      <formula>1.5</formula>
    </cfRule>
  </conditionalFormatting>
  <conditionalFormatting sqref="L669">
    <cfRule type="cellIs" dxfId="3047" priority="2729" operator="lessThanOrEqual">
      <formula>0.5</formula>
    </cfRule>
    <cfRule type="cellIs" dxfId="3046" priority="2730" operator="greaterThanOrEqual">
      <formula>1.5</formula>
    </cfRule>
  </conditionalFormatting>
  <conditionalFormatting sqref="O672">
    <cfRule type="cellIs" dxfId="3045" priority="2727" operator="lessThanOrEqual">
      <formula>0.5</formula>
    </cfRule>
    <cfRule type="cellIs" dxfId="3044" priority="2728" operator="greaterThanOrEqual">
      <formula>1.5</formula>
    </cfRule>
  </conditionalFormatting>
  <conditionalFormatting sqref="N672">
    <cfRule type="cellIs" dxfId="3043" priority="2725" operator="lessThanOrEqual">
      <formula>0.5</formula>
    </cfRule>
    <cfRule type="cellIs" dxfId="3042" priority="2726" operator="greaterThanOrEqual">
      <formula>1.5</formula>
    </cfRule>
  </conditionalFormatting>
  <conditionalFormatting sqref="K672">
    <cfRule type="cellIs" dxfId="3041" priority="2723" operator="lessThanOrEqual">
      <formula>0.5</formula>
    </cfRule>
    <cfRule type="cellIs" dxfId="3040" priority="2724" operator="greaterThanOrEqual">
      <formula>1.5</formula>
    </cfRule>
  </conditionalFormatting>
  <conditionalFormatting sqref="L672">
    <cfRule type="cellIs" dxfId="3039" priority="2721" operator="lessThanOrEqual">
      <formula>0.5</formula>
    </cfRule>
    <cfRule type="cellIs" dxfId="3038" priority="2722" operator="greaterThanOrEqual">
      <formula>1.5</formula>
    </cfRule>
  </conditionalFormatting>
  <conditionalFormatting sqref="O675">
    <cfRule type="cellIs" dxfId="3037" priority="2719" operator="lessThanOrEqual">
      <formula>0.5</formula>
    </cfRule>
    <cfRule type="cellIs" dxfId="3036" priority="2720" operator="greaterThanOrEqual">
      <formula>1.5</formula>
    </cfRule>
  </conditionalFormatting>
  <conditionalFormatting sqref="N675">
    <cfRule type="cellIs" dxfId="3035" priority="2717" operator="lessThanOrEqual">
      <formula>0.5</formula>
    </cfRule>
    <cfRule type="cellIs" dxfId="3034" priority="2718" operator="greaterThanOrEqual">
      <formula>1.5</formula>
    </cfRule>
  </conditionalFormatting>
  <conditionalFormatting sqref="K675">
    <cfRule type="cellIs" dxfId="3033" priority="2715" operator="lessThanOrEqual">
      <formula>0.5</formula>
    </cfRule>
    <cfRule type="cellIs" dxfId="3032" priority="2716" operator="greaterThanOrEqual">
      <formula>1.5</formula>
    </cfRule>
  </conditionalFormatting>
  <conditionalFormatting sqref="L675">
    <cfRule type="cellIs" dxfId="3031" priority="2713" operator="lessThanOrEqual">
      <formula>0.5</formula>
    </cfRule>
    <cfRule type="cellIs" dxfId="3030" priority="2714" operator="greaterThanOrEqual">
      <formula>1.5</formula>
    </cfRule>
  </conditionalFormatting>
  <conditionalFormatting sqref="O678">
    <cfRule type="cellIs" dxfId="3029" priority="2711" operator="lessThanOrEqual">
      <formula>0.5</formula>
    </cfRule>
    <cfRule type="cellIs" dxfId="3028" priority="2712" operator="greaterThanOrEqual">
      <formula>1.5</formula>
    </cfRule>
  </conditionalFormatting>
  <conditionalFormatting sqref="N678">
    <cfRule type="cellIs" dxfId="3027" priority="2709" operator="lessThanOrEqual">
      <formula>0.5</formula>
    </cfRule>
    <cfRule type="cellIs" dxfId="3026" priority="2710" operator="greaterThanOrEqual">
      <formula>1.5</formula>
    </cfRule>
  </conditionalFormatting>
  <conditionalFormatting sqref="K678">
    <cfRule type="cellIs" dxfId="3025" priority="2707" operator="lessThanOrEqual">
      <formula>0.5</formula>
    </cfRule>
    <cfRule type="cellIs" dxfId="3024" priority="2708" operator="greaterThanOrEqual">
      <formula>1.5</formula>
    </cfRule>
  </conditionalFormatting>
  <conditionalFormatting sqref="L678">
    <cfRule type="cellIs" dxfId="3023" priority="2705" operator="lessThanOrEqual">
      <formula>0.5</formula>
    </cfRule>
    <cfRule type="cellIs" dxfId="3022" priority="2706" operator="greaterThanOrEqual">
      <formula>1.5</formula>
    </cfRule>
  </conditionalFormatting>
  <conditionalFormatting sqref="O681">
    <cfRule type="cellIs" dxfId="3021" priority="2703" operator="lessThanOrEqual">
      <formula>0.5</formula>
    </cfRule>
    <cfRule type="cellIs" dxfId="3020" priority="2704" operator="greaterThanOrEqual">
      <formula>1.5</formula>
    </cfRule>
  </conditionalFormatting>
  <conditionalFormatting sqref="N681">
    <cfRule type="cellIs" dxfId="3019" priority="2701" operator="lessThanOrEqual">
      <formula>0.5</formula>
    </cfRule>
    <cfRule type="cellIs" dxfId="3018" priority="2702" operator="greaterThanOrEqual">
      <formula>1.5</formula>
    </cfRule>
  </conditionalFormatting>
  <conditionalFormatting sqref="K681">
    <cfRule type="cellIs" dxfId="3017" priority="2699" operator="lessThanOrEqual">
      <formula>0.5</formula>
    </cfRule>
    <cfRule type="cellIs" dxfId="3016" priority="2700" operator="greaterThanOrEqual">
      <formula>1.5</formula>
    </cfRule>
  </conditionalFormatting>
  <conditionalFormatting sqref="L681">
    <cfRule type="cellIs" dxfId="3015" priority="2697" operator="lessThanOrEqual">
      <formula>0.5</formula>
    </cfRule>
    <cfRule type="cellIs" dxfId="3014" priority="2698" operator="greaterThanOrEqual">
      <formula>1.5</formula>
    </cfRule>
  </conditionalFormatting>
  <conditionalFormatting sqref="O684">
    <cfRule type="cellIs" dxfId="3013" priority="2695" operator="lessThanOrEqual">
      <formula>0.5</formula>
    </cfRule>
    <cfRule type="cellIs" dxfId="3012" priority="2696" operator="greaterThanOrEqual">
      <formula>1.5</formula>
    </cfRule>
  </conditionalFormatting>
  <conditionalFormatting sqref="N684">
    <cfRule type="cellIs" dxfId="3011" priority="2693" operator="lessThanOrEqual">
      <formula>0.5</formula>
    </cfRule>
    <cfRule type="cellIs" dxfId="3010" priority="2694" operator="greaterThanOrEqual">
      <formula>1.5</formula>
    </cfRule>
  </conditionalFormatting>
  <conditionalFormatting sqref="K684">
    <cfRule type="cellIs" dxfId="3009" priority="2691" operator="lessThanOrEqual">
      <formula>0.5</formula>
    </cfRule>
    <cfRule type="cellIs" dxfId="3008" priority="2692" operator="greaterThanOrEqual">
      <formula>1.5</formula>
    </cfRule>
  </conditionalFormatting>
  <conditionalFormatting sqref="L684">
    <cfRule type="cellIs" dxfId="3007" priority="2689" operator="lessThanOrEqual">
      <formula>0.5</formula>
    </cfRule>
    <cfRule type="cellIs" dxfId="3006" priority="2690" operator="greaterThanOrEqual">
      <formula>1.5</formula>
    </cfRule>
  </conditionalFormatting>
  <conditionalFormatting sqref="O687">
    <cfRule type="cellIs" dxfId="3005" priority="2687" operator="lessThanOrEqual">
      <formula>0.5</formula>
    </cfRule>
    <cfRule type="cellIs" dxfId="3004" priority="2688" operator="greaterThanOrEqual">
      <formula>1.5</formula>
    </cfRule>
  </conditionalFormatting>
  <conditionalFormatting sqref="N687">
    <cfRule type="cellIs" dxfId="3003" priority="2685" operator="lessThanOrEqual">
      <formula>0.5</formula>
    </cfRule>
    <cfRule type="cellIs" dxfId="3002" priority="2686" operator="greaterThanOrEqual">
      <formula>1.5</formula>
    </cfRule>
  </conditionalFormatting>
  <conditionalFormatting sqref="K687">
    <cfRule type="cellIs" dxfId="3001" priority="2683" operator="lessThanOrEqual">
      <formula>0.5</formula>
    </cfRule>
    <cfRule type="cellIs" dxfId="3000" priority="2684" operator="greaterThanOrEqual">
      <formula>1.5</formula>
    </cfRule>
  </conditionalFormatting>
  <conditionalFormatting sqref="L687">
    <cfRule type="cellIs" dxfId="2999" priority="2681" operator="lessThanOrEqual">
      <formula>0.5</formula>
    </cfRule>
    <cfRule type="cellIs" dxfId="2998" priority="2682" operator="greaterThanOrEqual">
      <formula>1.5</formula>
    </cfRule>
  </conditionalFormatting>
  <conditionalFormatting sqref="O690">
    <cfRule type="cellIs" dxfId="2997" priority="2679" operator="lessThanOrEqual">
      <formula>0.5</formula>
    </cfRule>
    <cfRule type="cellIs" dxfId="2996" priority="2680" operator="greaterThanOrEqual">
      <formula>1.5</formula>
    </cfRule>
  </conditionalFormatting>
  <conditionalFormatting sqref="N690">
    <cfRule type="cellIs" dxfId="2995" priority="2677" operator="lessThanOrEqual">
      <formula>0.5</formula>
    </cfRule>
    <cfRule type="cellIs" dxfId="2994" priority="2678" operator="greaterThanOrEqual">
      <formula>1.5</formula>
    </cfRule>
  </conditionalFormatting>
  <conditionalFormatting sqref="K690">
    <cfRule type="cellIs" dxfId="2993" priority="2675" operator="lessThanOrEqual">
      <formula>0.5</formula>
    </cfRule>
    <cfRule type="cellIs" dxfId="2992" priority="2676" operator="greaterThanOrEqual">
      <formula>1.5</formula>
    </cfRule>
  </conditionalFormatting>
  <conditionalFormatting sqref="L690">
    <cfRule type="cellIs" dxfId="2991" priority="2673" operator="lessThanOrEqual">
      <formula>0.5</formula>
    </cfRule>
    <cfRule type="cellIs" dxfId="2990" priority="2674" operator="greaterThanOrEqual">
      <formula>1.5</formula>
    </cfRule>
  </conditionalFormatting>
  <conditionalFormatting sqref="O693">
    <cfRule type="cellIs" dxfId="2989" priority="2671" operator="lessThanOrEqual">
      <formula>0.5</formula>
    </cfRule>
    <cfRule type="cellIs" dxfId="2988" priority="2672" operator="greaterThanOrEqual">
      <formula>1.5</formula>
    </cfRule>
  </conditionalFormatting>
  <conditionalFormatting sqref="N693">
    <cfRule type="cellIs" dxfId="2987" priority="2669" operator="lessThanOrEqual">
      <formula>0.5</formula>
    </cfRule>
    <cfRule type="cellIs" dxfId="2986" priority="2670" operator="greaterThanOrEqual">
      <formula>1.5</formula>
    </cfRule>
  </conditionalFormatting>
  <conditionalFormatting sqref="K693">
    <cfRule type="cellIs" dxfId="2985" priority="2667" operator="lessThanOrEqual">
      <formula>0.5</formula>
    </cfRule>
    <cfRule type="cellIs" dxfId="2984" priority="2668" operator="greaterThanOrEqual">
      <formula>1.5</formula>
    </cfRule>
  </conditionalFormatting>
  <conditionalFormatting sqref="L693">
    <cfRule type="cellIs" dxfId="2983" priority="2665" operator="lessThanOrEqual">
      <formula>0.5</formula>
    </cfRule>
    <cfRule type="cellIs" dxfId="2982" priority="2666" operator="greaterThanOrEqual">
      <formula>1.5</formula>
    </cfRule>
  </conditionalFormatting>
  <conditionalFormatting sqref="O696">
    <cfRule type="cellIs" dxfId="2981" priority="2663" operator="lessThanOrEqual">
      <formula>0.5</formula>
    </cfRule>
    <cfRule type="cellIs" dxfId="2980" priority="2664" operator="greaterThanOrEqual">
      <formula>1.5</formula>
    </cfRule>
  </conditionalFormatting>
  <conditionalFormatting sqref="N696">
    <cfRule type="cellIs" dxfId="2979" priority="2661" operator="lessThanOrEqual">
      <formula>0.5</formula>
    </cfRule>
    <cfRule type="cellIs" dxfId="2978" priority="2662" operator="greaterThanOrEqual">
      <formula>1.5</formula>
    </cfRule>
  </conditionalFormatting>
  <conditionalFormatting sqref="K696">
    <cfRule type="cellIs" dxfId="2977" priority="2659" operator="lessThanOrEqual">
      <formula>0.5</formula>
    </cfRule>
    <cfRule type="cellIs" dxfId="2976" priority="2660" operator="greaterThanOrEqual">
      <formula>1.5</formula>
    </cfRule>
  </conditionalFormatting>
  <conditionalFormatting sqref="L696">
    <cfRule type="cellIs" dxfId="2975" priority="2657" operator="lessThanOrEqual">
      <formula>0.5</formula>
    </cfRule>
    <cfRule type="cellIs" dxfId="2974" priority="2658" operator="greaterThanOrEqual">
      <formula>1.5</formula>
    </cfRule>
  </conditionalFormatting>
  <conditionalFormatting sqref="O699">
    <cfRule type="cellIs" dxfId="2973" priority="2655" operator="lessThanOrEqual">
      <formula>0.5</formula>
    </cfRule>
    <cfRule type="cellIs" dxfId="2972" priority="2656" operator="greaterThanOrEqual">
      <formula>1.5</formula>
    </cfRule>
  </conditionalFormatting>
  <conditionalFormatting sqref="N699">
    <cfRule type="cellIs" dxfId="2971" priority="2653" operator="lessThanOrEqual">
      <formula>0.5</formula>
    </cfRule>
    <cfRule type="cellIs" dxfId="2970" priority="2654" operator="greaterThanOrEqual">
      <formula>1.5</formula>
    </cfRule>
  </conditionalFormatting>
  <conditionalFormatting sqref="K699">
    <cfRule type="cellIs" dxfId="2969" priority="2651" operator="lessThanOrEqual">
      <formula>0.5</formula>
    </cfRule>
    <cfRule type="cellIs" dxfId="2968" priority="2652" operator="greaterThanOrEqual">
      <formula>1.5</formula>
    </cfRule>
  </conditionalFormatting>
  <conditionalFormatting sqref="L699">
    <cfRule type="cellIs" dxfId="2967" priority="2649" operator="lessThanOrEqual">
      <formula>0.5</formula>
    </cfRule>
    <cfRule type="cellIs" dxfId="2966" priority="2650" operator="greaterThanOrEqual">
      <formula>1.5</formula>
    </cfRule>
  </conditionalFormatting>
  <conditionalFormatting sqref="O702">
    <cfRule type="cellIs" dxfId="2965" priority="2647" operator="lessThanOrEqual">
      <formula>0.5</formula>
    </cfRule>
    <cfRule type="cellIs" dxfId="2964" priority="2648" operator="greaterThanOrEqual">
      <formula>1.5</formula>
    </cfRule>
  </conditionalFormatting>
  <conditionalFormatting sqref="N702">
    <cfRule type="cellIs" dxfId="2963" priority="2645" operator="lessThanOrEqual">
      <formula>0.5</formula>
    </cfRule>
    <cfRule type="cellIs" dxfId="2962" priority="2646" operator="greaterThanOrEqual">
      <formula>1.5</formula>
    </cfRule>
  </conditionalFormatting>
  <conditionalFormatting sqref="K702">
    <cfRule type="cellIs" dxfId="2961" priority="2643" operator="lessThanOrEqual">
      <formula>0.5</formula>
    </cfRule>
    <cfRule type="cellIs" dxfId="2960" priority="2644" operator="greaterThanOrEqual">
      <formula>1.5</formula>
    </cfRule>
  </conditionalFormatting>
  <conditionalFormatting sqref="L702">
    <cfRule type="cellIs" dxfId="2959" priority="2641" operator="lessThanOrEqual">
      <formula>0.5</formula>
    </cfRule>
    <cfRule type="cellIs" dxfId="2958" priority="2642" operator="greaterThanOrEqual">
      <formula>1.5</formula>
    </cfRule>
  </conditionalFormatting>
  <conditionalFormatting sqref="O705">
    <cfRule type="cellIs" dxfId="2957" priority="2639" operator="lessThanOrEqual">
      <formula>0.5</formula>
    </cfRule>
    <cfRule type="cellIs" dxfId="2956" priority="2640" operator="greaterThanOrEqual">
      <formula>1.5</formula>
    </cfRule>
  </conditionalFormatting>
  <conditionalFormatting sqref="N705">
    <cfRule type="cellIs" dxfId="2955" priority="2637" operator="lessThanOrEqual">
      <formula>0.5</formula>
    </cfRule>
    <cfRule type="cellIs" dxfId="2954" priority="2638" operator="greaterThanOrEqual">
      <formula>1.5</formula>
    </cfRule>
  </conditionalFormatting>
  <conditionalFormatting sqref="K705">
    <cfRule type="cellIs" dxfId="2953" priority="2635" operator="lessThanOrEqual">
      <formula>0.5</formula>
    </cfRule>
    <cfRule type="cellIs" dxfId="2952" priority="2636" operator="greaterThanOrEqual">
      <formula>1.5</formula>
    </cfRule>
  </conditionalFormatting>
  <conditionalFormatting sqref="L705">
    <cfRule type="cellIs" dxfId="2951" priority="2633" operator="lessThanOrEqual">
      <formula>0.5</formula>
    </cfRule>
    <cfRule type="cellIs" dxfId="2950" priority="2634" operator="greaterThanOrEqual">
      <formula>1.5</formula>
    </cfRule>
  </conditionalFormatting>
  <conditionalFormatting sqref="O708">
    <cfRule type="cellIs" dxfId="2949" priority="2631" operator="lessThanOrEqual">
      <formula>0.5</formula>
    </cfRule>
    <cfRule type="cellIs" dxfId="2948" priority="2632" operator="greaterThanOrEqual">
      <formula>1.5</formula>
    </cfRule>
  </conditionalFormatting>
  <conditionalFormatting sqref="N708">
    <cfRule type="cellIs" dxfId="2947" priority="2629" operator="lessThanOrEqual">
      <formula>0.5</formula>
    </cfRule>
    <cfRule type="cellIs" dxfId="2946" priority="2630" operator="greaterThanOrEqual">
      <formula>1.5</formula>
    </cfRule>
  </conditionalFormatting>
  <conditionalFormatting sqref="K708">
    <cfRule type="cellIs" dxfId="2945" priority="2627" operator="lessThanOrEqual">
      <formula>0.5</formula>
    </cfRule>
    <cfRule type="cellIs" dxfId="2944" priority="2628" operator="greaterThanOrEqual">
      <formula>1.5</formula>
    </cfRule>
  </conditionalFormatting>
  <conditionalFormatting sqref="L708">
    <cfRule type="cellIs" dxfId="2943" priority="2625" operator="lessThanOrEqual">
      <formula>0.5</formula>
    </cfRule>
    <cfRule type="cellIs" dxfId="2942" priority="2626" operator="greaterThanOrEqual">
      <formula>1.5</formula>
    </cfRule>
  </conditionalFormatting>
  <conditionalFormatting sqref="O711">
    <cfRule type="cellIs" dxfId="2941" priority="2623" operator="lessThanOrEqual">
      <formula>0.5</formula>
    </cfRule>
    <cfRule type="cellIs" dxfId="2940" priority="2624" operator="greaterThanOrEqual">
      <formula>1.5</formula>
    </cfRule>
  </conditionalFormatting>
  <conditionalFormatting sqref="N711">
    <cfRule type="cellIs" dxfId="2939" priority="2621" operator="lessThanOrEqual">
      <formula>0.5</formula>
    </cfRule>
    <cfRule type="cellIs" dxfId="2938" priority="2622" operator="greaterThanOrEqual">
      <formula>1.5</formula>
    </cfRule>
  </conditionalFormatting>
  <conditionalFormatting sqref="K711">
    <cfRule type="cellIs" dxfId="2937" priority="2619" operator="lessThanOrEqual">
      <formula>0.5</formula>
    </cfRule>
    <cfRule type="cellIs" dxfId="2936" priority="2620" operator="greaterThanOrEqual">
      <formula>1.5</formula>
    </cfRule>
  </conditionalFormatting>
  <conditionalFormatting sqref="L711">
    <cfRule type="cellIs" dxfId="2935" priority="2617" operator="lessThanOrEqual">
      <formula>0.5</formula>
    </cfRule>
    <cfRule type="cellIs" dxfId="2934" priority="2618" operator="greaterThanOrEqual">
      <formula>1.5</formula>
    </cfRule>
  </conditionalFormatting>
  <conditionalFormatting sqref="O714">
    <cfRule type="cellIs" dxfId="2933" priority="2615" operator="lessThanOrEqual">
      <formula>0.5</formula>
    </cfRule>
    <cfRule type="cellIs" dxfId="2932" priority="2616" operator="greaterThanOrEqual">
      <formula>1.5</formula>
    </cfRule>
  </conditionalFormatting>
  <conditionalFormatting sqref="N714">
    <cfRule type="cellIs" dxfId="2931" priority="2613" operator="lessThanOrEqual">
      <formula>0.5</formula>
    </cfRule>
    <cfRule type="cellIs" dxfId="2930" priority="2614" operator="greaterThanOrEqual">
      <formula>1.5</formula>
    </cfRule>
  </conditionalFormatting>
  <conditionalFormatting sqref="K714">
    <cfRule type="cellIs" dxfId="2929" priority="2611" operator="lessThanOrEqual">
      <formula>0.5</formula>
    </cfRule>
    <cfRule type="cellIs" dxfId="2928" priority="2612" operator="greaterThanOrEqual">
      <formula>1.5</formula>
    </cfRule>
  </conditionalFormatting>
  <conditionalFormatting sqref="L714">
    <cfRule type="cellIs" dxfId="2927" priority="2609" operator="lessThanOrEqual">
      <formula>0.5</formula>
    </cfRule>
    <cfRule type="cellIs" dxfId="2926" priority="2610" operator="greaterThanOrEqual">
      <formula>1.5</formula>
    </cfRule>
  </conditionalFormatting>
  <conditionalFormatting sqref="O717">
    <cfRule type="cellIs" dxfId="2925" priority="2607" operator="lessThanOrEqual">
      <formula>0.5</formula>
    </cfRule>
    <cfRule type="cellIs" dxfId="2924" priority="2608" operator="greaterThanOrEqual">
      <formula>1.5</formula>
    </cfRule>
  </conditionalFormatting>
  <conditionalFormatting sqref="N717">
    <cfRule type="cellIs" dxfId="2923" priority="2605" operator="lessThanOrEqual">
      <formula>0.5</formula>
    </cfRule>
    <cfRule type="cellIs" dxfId="2922" priority="2606" operator="greaterThanOrEqual">
      <formula>1.5</formula>
    </cfRule>
  </conditionalFormatting>
  <conditionalFormatting sqref="K717">
    <cfRule type="cellIs" dxfId="2921" priority="2603" operator="lessThanOrEqual">
      <formula>0.5</formula>
    </cfRule>
    <cfRule type="cellIs" dxfId="2920" priority="2604" operator="greaterThanOrEqual">
      <formula>1.5</formula>
    </cfRule>
  </conditionalFormatting>
  <conditionalFormatting sqref="L717">
    <cfRule type="cellIs" dxfId="2919" priority="2601" operator="lessThanOrEqual">
      <formula>0.5</formula>
    </cfRule>
    <cfRule type="cellIs" dxfId="2918" priority="2602" operator="greaterThanOrEqual">
      <formula>1.5</formula>
    </cfRule>
  </conditionalFormatting>
  <conditionalFormatting sqref="O720">
    <cfRule type="cellIs" dxfId="2917" priority="2599" operator="lessThanOrEqual">
      <formula>0.5</formula>
    </cfRule>
    <cfRule type="cellIs" dxfId="2916" priority="2600" operator="greaterThanOrEqual">
      <formula>1.5</formula>
    </cfRule>
  </conditionalFormatting>
  <conditionalFormatting sqref="N720">
    <cfRule type="cellIs" dxfId="2915" priority="2597" operator="lessThanOrEqual">
      <formula>0.5</formula>
    </cfRule>
    <cfRule type="cellIs" dxfId="2914" priority="2598" operator="greaterThanOrEqual">
      <formula>1.5</formula>
    </cfRule>
  </conditionalFormatting>
  <conditionalFormatting sqref="K720">
    <cfRule type="cellIs" dxfId="2913" priority="2595" operator="lessThanOrEqual">
      <formula>0.5</formula>
    </cfRule>
    <cfRule type="cellIs" dxfId="2912" priority="2596" operator="greaterThanOrEqual">
      <formula>1.5</formula>
    </cfRule>
  </conditionalFormatting>
  <conditionalFormatting sqref="L720">
    <cfRule type="cellIs" dxfId="2911" priority="2593" operator="lessThanOrEqual">
      <formula>0.5</formula>
    </cfRule>
    <cfRule type="cellIs" dxfId="2910" priority="2594" operator="greaterThanOrEqual">
      <formula>1.5</formula>
    </cfRule>
  </conditionalFormatting>
  <conditionalFormatting sqref="O723">
    <cfRule type="cellIs" dxfId="2909" priority="2591" operator="lessThanOrEqual">
      <formula>0.5</formula>
    </cfRule>
    <cfRule type="cellIs" dxfId="2908" priority="2592" operator="greaterThanOrEqual">
      <formula>1.5</formula>
    </cfRule>
  </conditionalFormatting>
  <conditionalFormatting sqref="N723">
    <cfRule type="cellIs" dxfId="2907" priority="2589" operator="lessThanOrEqual">
      <formula>0.5</formula>
    </cfRule>
    <cfRule type="cellIs" dxfId="2906" priority="2590" operator="greaterThanOrEqual">
      <formula>1.5</formula>
    </cfRule>
  </conditionalFormatting>
  <conditionalFormatting sqref="K723">
    <cfRule type="cellIs" dxfId="2905" priority="2587" operator="lessThanOrEqual">
      <formula>0.5</formula>
    </cfRule>
    <cfRule type="cellIs" dxfId="2904" priority="2588" operator="greaterThanOrEqual">
      <formula>1.5</formula>
    </cfRule>
  </conditionalFormatting>
  <conditionalFormatting sqref="L723">
    <cfRule type="cellIs" dxfId="2903" priority="2585" operator="lessThanOrEqual">
      <formula>0.5</formula>
    </cfRule>
    <cfRule type="cellIs" dxfId="2902" priority="2586" operator="greaterThanOrEqual">
      <formula>1.5</formula>
    </cfRule>
  </conditionalFormatting>
  <conditionalFormatting sqref="O726">
    <cfRule type="cellIs" dxfId="2901" priority="2583" operator="lessThanOrEqual">
      <formula>0.5</formula>
    </cfRule>
    <cfRule type="cellIs" dxfId="2900" priority="2584" operator="greaterThanOrEqual">
      <formula>1.5</formula>
    </cfRule>
  </conditionalFormatting>
  <conditionalFormatting sqref="N726">
    <cfRule type="cellIs" dxfId="2899" priority="2581" operator="lessThanOrEqual">
      <formula>0.5</formula>
    </cfRule>
    <cfRule type="cellIs" dxfId="2898" priority="2582" operator="greaterThanOrEqual">
      <formula>1.5</formula>
    </cfRule>
  </conditionalFormatting>
  <conditionalFormatting sqref="K726">
    <cfRule type="cellIs" dxfId="2897" priority="2579" operator="lessThanOrEqual">
      <formula>0.5</formula>
    </cfRule>
    <cfRule type="cellIs" dxfId="2896" priority="2580" operator="greaterThanOrEqual">
      <formula>1.5</formula>
    </cfRule>
  </conditionalFormatting>
  <conditionalFormatting sqref="L726">
    <cfRule type="cellIs" dxfId="2895" priority="2577" operator="lessThanOrEqual">
      <formula>0.5</formula>
    </cfRule>
    <cfRule type="cellIs" dxfId="2894" priority="2578" operator="greaterThanOrEqual">
      <formula>1.5</formula>
    </cfRule>
  </conditionalFormatting>
  <conditionalFormatting sqref="O729">
    <cfRule type="cellIs" dxfId="2893" priority="2575" operator="lessThanOrEqual">
      <formula>0.5</formula>
    </cfRule>
    <cfRule type="cellIs" dxfId="2892" priority="2576" operator="greaterThanOrEqual">
      <formula>1.5</formula>
    </cfRule>
  </conditionalFormatting>
  <conditionalFormatting sqref="N729">
    <cfRule type="cellIs" dxfId="2891" priority="2573" operator="lessThanOrEqual">
      <formula>0.5</formula>
    </cfRule>
    <cfRule type="cellIs" dxfId="2890" priority="2574" operator="greaterThanOrEqual">
      <formula>1.5</formula>
    </cfRule>
  </conditionalFormatting>
  <conditionalFormatting sqref="K729">
    <cfRule type="cellIs" dxfId="2889" priority="2571" operator="lessThanOrEqual">
      <formula>0.5</formula>
    </cfRule>
    <cfRule type="cellIs" dxfId="2888" priority="2572" operator="greaterThanOrEqual">
      <formula>1.5</formula>
    </cfRule>
  </conditionalFormatting>
  <conditionalFormatting sqref="L729">
    <cfRule type="cellIs" dxfId="2887" priority="2569" operator="lessThanOrEqual">
      <formula>0.5</formula>
    </cfRule>
    <cfRule type="cellIs" dxfId="2886" priority="2570" operator="greaterThanOrEqual">
      <formula>1.5</formula>
    </cfRule>
  </conditionalFormatting>
  <conditionalFormatting sqref="O732">
    <cfRule type="cellIs" dxfId="2885" priority="2567" operator="lessThanOrEqual">
      <formula>0.5</formula>
    </cfRule>
    <cfRule type="cellIs" dxfId="2884" priority="2568" operator="greaterThanOrEqual">
      <formula>1.5</formula>
    </cfRule>
  </conditionalFormatting>
  <conditionalFormatting sqref="N732">
    <cfRule type="cellIs" dxfId="2883" priority="2565" operator="lessThanOrEqual">
      <formula>0.5</formula>
    </cfRule>
    <cfRule type="cellIs" dxfId="2882" priority="2566" operator="greaterThanOrEqual">
      <formula>1.5</formula>
    </cfRule>
  </conditionalFormatting>
  <conditionalFormatting sqref="K732">
    <cfRule type="cellIs" dxfId="2881" priority="2563" operator="lessThanOrEqual">
      <formula>0.5</formula>
    </cfRule>
    <cfRule type="cellIs" dxfId="2880" priority="2564" operator="greaterThanOrEqual">
      <formula>1.5</formula>
    </cfRule>
  </conditionalFormatting>
  <conditionalFormatting sqref="L732">
    <cfRule type="cellIs" dxfId="2879" priority="2561" operator="lessThanOrEqual">
      <formula>0.5</formula>
    </cfRule>
    <cfRule type="cellIs" dxfId="2878" priority="2562" operator="greaterThanOrEqual">
      <formula>1.5</formula>
    </cfRule>
  </conditionalFormatting>
  <conditionalFormatting sqref="O735">
    <cfRule type="cellIs" dxfId="2877" priority="2559" operator="lessThanOrEqual">
      <formula>0.5</formula>
    </cfRule>
    <cfRule type="cellIs" dxfId="2876" priority="2560" operator="greaterThanOrEqual">
      <formula>1.5</formula>
    </cfRule>
  </conditionalFormatting>
  <conditionalFormatting sqref="N735">
    <cfRule type="cellIs" dxfId="2875" priority="2557" operator="lessThanOrEqual">
      <formula>0.5</formula>
    </cfRule>
    <cfRule type="cellIs" dxfId="2874" priority="2558" operator="greaterThanOrEqual">
      <formula>1.5</formula>
    </cfRule>
  </conditionalFormatting>
  <conditionalFormatting sqref="K735">
    <cfRule type="cellIs" dxfId="2873" priority="2555" operator="lessThanOrEqual">
      <formula>0.5</formula>
    </cfRule>
    <cfRule type="cellIs" dxfId="2872" priority="2556" operator="greaterThanOrEqual">
      <formula>1.5</formula>
    </cfRule>
  </conditionalFormatting>
  <conditionalFormatting sqref="L735">
    <cfRule type="cellIs" dxfId="2871" priority="2553" operator="lessThanOrEqual">
      <formula>0.5</formula>
    </cfRule>
    <cfRule type="cellIs" dxfId="2870" priority="2554" operator="greaterThanOrEqual">
      <formula>1.5</formula>
    </cfRule>
  </conditionalFormatting>
  <conditionalFormatting sqref="O738">
    <cfRule type="cellIs" dxfId="2869" priority="2551" operator="lessThanOrEqual">
      <formula>0.5</formula>
    </cfRule>
    <cfRule type="cellIs" dxfId="2868" priority="2552" operator="greaterThanOrEqual">
      <formula>1.5</formula>
    </cfRule>
  </conditionalFormatting>
  <conditionalFormatting sqref="N738">
    <cfRule type="cellIs" dxfId="2867" priority="2549" operator="lessThanOrEqual">
      <formula>0.5</formula>
    </cfRule>
    <cfRule type="cellIs" dxfId="2866" priority="2550" operator="greaterThanOrEqual">
      <formula>1.5</formula>
    </cfRule>
  </conditionalFormatting>
  <conditionalFormatting sqref="K738">
    <cfRule type="cellIs" dxfId="2865" priority="2547" operator="lessThanOrEqual">
      <formula>0.5</formula>
    </cfRule>
    <cfRule type="cellIs" dxfId="2864" priority="2548" operator="greaterThanOrEqual">
      <formula>1.5</formula>
    </cfRule>
  </conditionalFormatting>
  <conditionalFormatting sqref="L738">
    <cfRule type="cellIs" dxfId="2863" priority="2545" operator="lessThanOrEqual">
      <formula>0.5</formula>
    </cfRule>
    <cfRule type="cellIs" dxfId="2862" priority="2546" operator="greaterThanOrEqual">
      <formula>1.5</formula>
    </cfRule>
  </conditionalFormatting>
  <conditionalFormatting sqref="O741">
    <cfRule type="cellIs" dxfId="2861" priority="2543" operator="lessThanOrEqual">
      <formula>0.5</formula>
    </cfRule>
    <cfRule type="cellIs" dxfId="2860" priority="2544" operator="greaterThanOrEqual">
      <formula>1.5</formula>
    </cfRule>
  </conditionalFormatting>
  <conditionalFormatting sqref="N741">
    <cfRule type="cellIs" dxfId="2859" priority="2541" operator="lessThanOrEqual">
      <formula>0.5</formula>
    </cfRule>
    <cfRule type="cellIs" dxfId="2858" priority="2542" operator="greaterThanOrEqual">
      <formula>1.5</formula>
    </cfRule>
  </conditionalFormatting>
  <conditionalFormatting sqref="K741">
    <cfRule type="cellIs" dxfId="2857" priority="2539" operator="lessThanOrEqual">
      <formula>0.5</formula>
    </cfRule>
    <cfRule type="cellIs" dxfId="2856" priority="2540" operator="greaterThanOrEqual">
      <formula>1.5</formula>
    </cfRule>
  </conditionalFormatting>
  <conditionalFormatting sqref="L741">
    <cfRule type="cellIs" dxfId="2855" priority="2537" operator="lessThanOrEqual">
      <formula>0.5</formula>
    </cfRule>
    <cfRule type="cellIs" dxfId="2854" priority="2538" operator="greaterThanOrEqual">
      <formula>1.5</formula>
    </cfRule>
  </conditionalFormatting>
  <conditionalFormatting sqref="O744">
    <cfRule type="cellIs" dxfId="2853" priority="2535" operator="lessThanOrEqual">
      <formula>0.5</formula>
    </cfRule>
    <cfRule type="cellIs" dxfId="2852" priority="2536" operator="greaterThanOrEqual">
      <formula>1.5</formula>
    </cfRule>
  </conditionalFormatting>
  <conditionalFormatting sqref="N744">
    <cfRule type="cellIs" dxfId="2851" priority="2533" operator="lessThanOrEqual">
      <formula>0.5</formula>
    </cfRule>
    <cfRule type="cellIs" dxfId="2850" priority="2534" operator="greaterThanOrEqual">
      <formula>1.5</formula>
    </cfRule>
  </conditionalFormatting>
  <conditionalFormatting sqref="K744">
    <cfRule type="cellIs" dxfId="2849" priority="2531" operator="lessThanOrEqual">
      <formula>0.5</formula>
    </cfRule>
    <cfRule type="cellIs" dxfId="2848" priority="2532" operator="greaterThanOrEqual">
      <formula>1.5</formula>
    </cfRule>
  </conditionalFormatting>
  <conditionalFormatting sqref="L744">
    <cfRule type="cellIs" dxfId="2847" priority="2529" operator="lessThanOrEqual">
      <formula>0.5</formula>
    </cfRule>
    <cfRule type="cellIs" dxfId="2846" priority="2530" operator="greaterThanOrEqual">
      <formula>1.5</formula>
    </cfRule>
  </conditionalFormatting>
  <conditionalFormatting sqref="O747">
    <cfRule type="cellIs" dxfId="2845" priority="2527" operator="lessThanOrEqual">
      <formula>0.5</formula>
    </cfRule>
    <cfRule type="cellIs" dxfId="2844" priority="2528" operator="greaterThanOrEqual">
      <formula>1.5</formula>
    </cfRule>
  </conditionalFormatting>
  <conditionalFormatting sqref="N747">
    <cfRule type="cellIs" dxfId="2843" priority="2525" operator="lessThanOrEqual">
      <formula>0.5</formula>
    </cfRule>
    <cfRule type="cellIs" dxfId="2842" priority="2526" operator="greaterThanOrEqual">
      <formula>1.5</formula>
    </cfRule>
  </conditionalFormatting>
  <conditionalFormatting sqref="K747">
    <cfRule type="cellIs" dxfId="2841" priority="2523" operator="lessThanOrEqual">
      <formula>0.5</formula>
    </cfRule>
    <cfRule type="cellIs" dxfId="2840" priority="2524" operator="greaterThanOrEqual">
      <formula>1.5</formula>
    </cfRule>
  </conditionalFormatting>
  <conditionalFormatting sqref="L747">
    <cfRule type="cellIs" dxfId="2839" priority="2521" operator="lessThanOrEqual">
      <formula>0.5</formula>
    </cfRule>
    <cfRule type="cellIs" dxfId="2838" priority="2522" operator="greaterThanOrEqual">
      <formula>1.5</formula>
    </cfRule>
  </conditionalFormatting>
  <conditionalFormatting sqref="O750">
    <cfRule type="cellIs" dxfId="2837" priority="2519" operator="lessThanOrEqual">
      <formula>0.5</formula>
    </cfRule>
    <cfRule type="cellIs" dxfId="2836" priority="2520" operator="greaterThanOrEqual">
      <formula>1.5</formula>
    </cfRule>
  </conditionalFormatting>
  <conditionalFormatting sqref="N750">
    <cfRule type="cellIs" dxfId="2835" priority="2517" operator="lessThanOrEqual">
      <formula>0.5</formula>
    </cfRule>
    <cfRule type="cellIs" dxfId="2834" priority="2518" operator="greaterThanOrEqual">
      <formula>1.5</formula>
    </cfRule>
  </conditionalFormatting>
  <conditionalFormatting sqref="K750">
    <cfRule type="cellIs" dxfId="2833" priority="2515" operator="lessThanOrEqual">
      <formula>0.5</formula>
    </cfRule>
    <cfRule type="cellIs" dxfId="2832" priority="2516" operator="greaterThanOrEqual">
      <formula>1.5</formula>
    </cfRule>
  </conditionalFormatting>
  <conditionalFormatting sqref="L750">
    <cfRule type="cellIs" dxfId="2831" priority="2513" operator="lessThanOrEqual">
      <formula>0.5</formula>
    </cfRule>
    <cfRule type="cellIs" dxfId="2830" priority="2514" operator="greaterThanOrEqual">
      <formula>1.5</formula>
    </cfRule>
  </conditionalFormatting>
  <conditionalFormatting sqref="O753">
    <cfRule type="cellIs" dxfId="2829" priority="2511" operator="lessThanOrEqual">
      <formula>0.5</formula>
    </cfRule>
    <cfRule type="cellIs" dxfId="2828" priority="2512" operator="greaterThanOrEqual">
      <formula>1.5</formula>
    </cfRule>
  </conditionalFormatting>
  <conditionalFormatting sqref="N753">
    <cfRule type="cellIs" dxfId="2827" priority="2509" operator="lessThanOrEqual">
      <formula>0.5</formula>
    </cfRule>
    <cfRule type="cellIs" dxfId="2826" priority="2510" operator="greaterThanOrEqual">
      <formula>1.5</formula>
    </cfRule>
  </conditionalFormatting>
  <conditionalFormatting sqref="K753">
    <cfRule type="cellIs" dxfId="2825" priority="2507" operator="lessThanOrEqual">
      <formula>0.5</formula>
    </cfRule>
    <cfRule type="cellIs" dxfId="2824" priority="2508" operator="greaterThanOrEqual">
      <formula>1.5</formula>
    </cfRule>
  </conditionalFormatting>
  <conditionalFormatting sqref="L753">
    <cfRule type="cellIs" dxfId="2823" priority="2505" operator="lessThanOrEqual">
      <formula>0.5</formula>
    </cfRule>
    <cfRule type="cellIs" dxfId="2822" priority="2506" operator="greaterThanOrEqual">
      <formula>1.5</formula>
    </cfRule>
  </conditionalFormatting>
  <conditionalFormatting sqref="O756">
    <cfRule type="cellIs" dxfId="2821" priority="2503" operator="lessThanOrEqual">
      <formula>0.5</formula>
    </cfRule>
    <cfRule type="cellIs" dxfId="2820" priority="2504" operator="greaterThanOrEqual">
      <formula>1.5</formula>
    </cfRule>
  </conditionalFormatting>
  <conditionalFormatting sqref="N756">
    <cfRule type="cellIs" dxfId="2819" priority="2501" operator="lessThanOrEqual">
      <formula>0.5</formula>
    </cfRule>
    <cfRule type="cellIs" dxfId="2818" priority="2502" operator="greaterThanOrEqual">
      <formula>1.5</formula>
    </cfRule>
  </conditionalFormatting>
  <conditionalFormatting sqref="K756">
    <cfRule type="cellIs" dxfId="2817" priority="2499" operator="lessThanOrEqual">
      <formula>0.5</formula>
    </cfRule>
    <cfRule type="cellIs" dxfId="2816" priority="2500" operator="greaterThanOrEqual">
      <formula>1.5</formula>
    </cfRule>
  </conditionalFormatting>
  <conditionalFormatting sqref="L756">
    <cfRule type="cellIs" dxfId="2815" priority="2497" operator="lessThanOrEqual">
      <formula>0.5</formula>
    </cfRule>
    <cfRule type="cellIs" dxfId="2814" priority="2498" operator="greaterThanOrEqual">
      <formula>1.5</formula>
    </cfRule>
  </conditionalFormatting>
  <conditionalFormatting sqref="O759">
    <cfRule type="cellIs" dxfId="2813" priority="2495" operator="lessThanOrEqual">
      <formula>0.5</formula>
    </cfRule>
    <cfRule type="cellIs" dxfId="2812" priority="2496" operator="greaterThanOrEqual">
      <formula>1.5</formula>
    </cfRule>
  </conditionalFormatting>
  <conditionalFormatting sqref="N759">
    <cfRule type="cellIs" dxfId="2811" priority="2493" operator="lessThanOrEqual">
      <formula>0.5</formula>
    </cfRule>
    <cfRule type="cellIs" dxfId="2810" priority="2494" operator="greaterThanOrEqual">
      <formula>1.5</formula>
    </cfRule>
  </conditionalFormatting>
  <conditionalFormatting sqref="K759">
    <cfRule type="cellIs" dxfId="2809" priority="2491" operator="lessThanOrEqual">
      <formula>0.5</formula>
    </cfRule>
    <cfRule type="cellIs" dxfId="2808" priority="2492" operator="greaterThanOrEqual">
      <formula>1.5</formula>
    </cfRule>
  </conditionalFormatting>
  <conditionalFormatting sqref="L759">
    <cfRule type="cellIs" dxfId="2807" priority="2489" operator="lessThanOrEqual">
      <formula>0.5</formula>
    </cfRule>
    <cfRule type="cellIs" dxfId="2806" priority="2490" operator="greaterThanOrEqual">
      <formula>1.5</formula>
    </cfRule>
  </conditionalFormatting>
  <conditionalFormatting sqref="O762">
    <cfRule type="cellIs" dxfId="2805" priority="2487" operator="lessThanOrEqual">
      <formula>0.5</formula>
    </cfRule>
    <cfRule type="cellIs" dxfId="2804" priority="2488" operator="greaterThanOrEqual">
      <formula>1.5</formula>
    </cfRule>
  </conditionalFormatting>
  <conditionalFormatting sqref="N762">
    <cfRule type="cellIs" dxfId="2803" priority="2485" operator="lessThanOrEqual">
      <formula>0.5</formula>
    </cfRule>
    <cfRule type="cellIs" dxfId="2802" priority="2486" operator="greaterThanOrEqual">
      <formula>1.5</formula>
    </cfRule>
  </conditionalFormatting>
  <conditionalFormatting sqref="K762">
    <cfRule type="cellIs" dxfId="2801" priority="2483" operator="lessThanOrEqual">
      <formula>0.5</formula>
    </cfRule>
    <cfRule type="cellIs" dxfId="2800" priority="2484" operator="greaterThanOrEqual">
      <formula>1.5</formula>
    </cfRule>
  </conditionalFormatting>
  <conditionalFormatting sqref="L762">
    <cfRule type="cellIs" dxfId="2799" priority="2481" operator="lessThanOrEqual">
      <formula>0.5</formula>
    </cfRule>
    <cfRule type="cellIs" dxfId="2798" priority="2482" operator="greaterThanOrEqual">
      <formula>1.5</formula>
    </cfRule>
  </conditionalFormatting>
  <conditionalFormatting sqref="O765">
    <cfRule type="cellIs" dxfId="2797" priority="2479" operator="lessThanOrEqual">
      <formula>0.5</formula>
    </cfRule>
    <cfRule type="cellIs" dxfId="2796" priority="2480" operator="greaterThanOrEqual">
      <formula>1.5</formula>
    </cfRule>
  </conditionalFormatting>
  <conditionalFormatting sqref="N765">
    <cfRule type="cellIs" dxfId="2795" priority="2477" operator="lessThanOrEqual">
      <formula>0.5</formula>
    </cfRule>
    <cfRule type="cellIs" dxfId="2794" priority="2478" operator="greaterThanOrEqual">
      <formula>1.5</formula>
    </cfRule>
  </conditionalFormatting>
  <conditionalFormatting sqref="K765">
    <cfRule type="cellIs" dxfId="2793" priority="2475" operator="lessThanOrEqual">
      <formula>0.5</formula>
    </cfRule>
    <cfRule type="cellIs" dxfId="2792" priority="2476" operator="greaterThanOrEqual">
      <formula>1.5</formula>
    </cfRule>
  </conditionalFormatting>
  <conditionalFormatting sqref="L765">
    <cfRule type="cellIs" dxfId="2791" priority="2473" operator="lessThanOrEqual">
      <formula>0.5</formula>
    </cfRule>
    <cfRule type="cellIs" dxfId="2790" priority="2474" operator="greaterThanOrEqual">
      <formula>1.5</formula>
    </cfRule>
  </conditionalFormatting>
  <conditionalFormatting sqref="O768">
    <cfRule type="cellIs" dxfId="2789" priority="2471" operator="lessThanOrEqual">
      <formula>0.5</formula>
    </cfRule>
    <cfRule type="cellIs" dxfId="2788" priority="2472" operator="greaterThanOrEqual">
      <formula>1.5</formula>
    </cfRule>
  </conditionalFormatting>
  <conditionalFormatting sqref="N768">
    <cfRule type="cellIs" dxfId="2787" priority="2469" operator="lessThanOrEqual">
      <formula>0.5</formula>
    </cfRule>
    <cfRule type="cellIs" dxfId="2786" priority="2470" operator="greaterThanOrEqual">
      <formula>1.5</formula>
    </cfRule>
  </conditionalFormatting>
  <conditionalFormatting sqref="K768">
    <cfRule type="cellIs" dxfId="2785" priority="2467" operator="lessThanOrEqual">
      <formula>0.5</formula>
    </cfRule>
    <cfRule type="cellIs" dxfId="2784" priority="2468" operator="greaterThanOrEqual">
      <formula>1.5</formula>
    </cfRule>
  </conditionalFormatting>
  <conditionalFormatting sqref="L768">
    <cfRule type="cellIs" dxfId="2783" priority="2465" operator="lessThanOrEqual">
      <formula>0.5</formula>
    </cfRule>
    <cfRule type="cellIs" dxfId="2782" priority="2466" operator="greaterThanOrEqual">
      <formula>1.5</formula>
    </cfRule>
  </conditionalFormatting>
  <conditionalFormatting sqref="O771">
    <cfRule type="cellIs" dxfId="2781" priority="2463" operator="lessThanOrEqual">
      <formula>0.5</formula>
    </cfRule>
    <cfRule type="cellIs" dxfId="2780" priority="2464" operator="greaterThanOrEqual">
      <formula>1.5</formula>
    </cfRule>
  </conditionalFormatting>
  <conditionalFormatting sqref="N771">
    <cfRule type="cellIs" dxfId="2779" priority="2461" operator="lessThanOrEqual">
      <formula>0.5</formula>
    </cfRule>
    <cfRule type="cellIs" dxfId="2778" priority="2462" operator="greaterThanOrEqual">
      <formula>1.5</formula>
    </cfRule>
  </conditionalFormatting>
  <conditionalFormatting sqref="K771">
    <cfRule type="cellIs" dxfId="2777" priority="2459" operator="lessThanOrEqual">
      <formula>0.5</formula>
    </cfRule>
    <cfRule type="cellIs" dxfId="2776" priority="2460" operator="greaterThanOrEqual">
      <formula>1.5</formula>
    </cfRule>
  </conditionalFormatting>
  <conditionalFormatting sqref="L771">
    <cfRule type="cellIs" dxfId="2775" priority="2457" operator="lessThanOrEqual">
      <formula>0.5</formula>
    </cfRule>
    <cfRule type="cellIs" dxfId="2774" priority="2458" operator="greaterThanOrEqual">
      <formula>1.5</formula>
    </cfRule>
  </conditionalFormatting>
  <conditionalFormatting sqref="O774">
    <cfRule type="cellIs" dxfId="2773" priority="2455" operator="lessThanOrEqual">
      <formula>0.5</formula>
    </cfRule>
    <cfRule type="cellIs" dxfId="2772" priority="2456" operator="greaterThanOrEqual">
      <formula>1.5</formula>
    </cfRule>
  </conditionalFormatting>
  <conditionalFormatting sqref="N774">
    <cfRule type="cellIs" dxfId="2771" priority="2453" operator="lessThanOrEqual">
      <formula>0.5</formula>
    </cfRule>
    <cfRule type="cellIs" dxfId="2770" priority="2454" operator="greaterThanOrEqual">
      <formula>1.5</formula>
    </cfRule>
  </conditionalFormatting>
  <conditionalFormatting sqref="K774">
    <cfRule type="cellIs" dxfId="2769" priority="2451" operator="lessThanOrEqual">
      <formula>0.5</formula>
    </cfRule>
    <cfRule type="cellIs" dxfId="2768" priority="2452" operator="greaterThanOrEqual">
      <formula>1.5</formula>
    </cfRule>
  </conditionalFormatting>
  <conditionalFormatting sqref="L774">
    <cfRule type="cellIs" dxfId="2767" priority="2449" operator="lessThanOrEqual">
      <formula>0.5</formula>
    </cfRule>
    <cfRule type="cellIs" dxfId="2766" priority="2450" operator="greaterThanOrEqual">
      <formula>1.5</formula>
    </cfRule>
  </conditionalFormatting>
  <conditionalFormatting sqref="O777">
    <cfRule type="cellIs" dxfId="2765" priority="2447" operator="lessThanOrEqual">
      <formula>0.5</formula>
    </cfRule>
    <cfRule type="cellIs" dxfId="2764" priority="2448" operator="greaterThanOrEqual">
      <formula>1.5</formula>
    </cfRule>
  </conditionalFormatting>
  <conditionalFormatting sqref="N777">
    <cfRule type="cellIs" dxfId="2763" priority="2445" operator="lessThanOrEqual">
      <formula>0.5</formula>
    </cfRule>
    <cfRule type="cellIs" dxfId="2762" priority="2446" operator="greaterThanOrEqual">
      <formula>1.5</formula>
    </cfRule>
  </conditionalFormatting>
  <conditionalFormatting sqref="K777">
    <cfRule type="cellIs" dxfId="2761" priority="2443" operator="lessThanOrEqual">
      <formula>0.5</formula>
    </cfRule>
    <cfRule type="cellIs" dxfId="2760" priority="2444" operator="greaterThanOrEqual">
      <formula>1.5</formula>
    </cfRule>
  </conditionalFormatting>
  <conditionalFormatting sqref="L777">
    <cfRule type="cellIs" dxfId="2759" priority="2441" operator="lessThanOrEqual">
      <formula>0.5</formula>
    </cfRule>
    <cfRule type="cellIs" dxfId="2758" priority="2442" operator="greaterThanOrEqual">
      <formula>1.5</formula>
    </cfRule>
  </conditionalFormatting>
  <conditionalFormatting sqref="O780">
    <cfRule type="cellIs" dxfId="2757" priority="2439" operator="lessThanOrEqual">
      <formula>0.5</formula>
    </cfRule>
    <cfRule type="cellIs" dxfId="2756" priority="2440" operator="greaterThanOrEqual">
      <formula>1.5</formula>
    </cfRule>
  </conditionalFormatting>
  <conditionalFormatting sqref="N780">
    <cfRule type="cellIs" dxfId="2755" priority="2437" operator="lessThanOrEqual">
      <formula>0.5</formula>
    </cfRule>
    <cfRule type="cellIs" dxfId="2754" priority="2438" operator="greaterThanOrEqual">
      <formula>1.5</formula>
    </cfRule>
  </conditionalFormatting>
  <conditionalFormatting sqref="K780">
    <cfRule type="cellIs" dxfId="2753" priority="2435" operator="lessThanOrEqual">
      <formula>0.5</formula>
    </cfRule>
    <cfRule type="cellIs" dxfId="2752" priority="2436" operator="greaterThanOrEqual">
      <formula>1.5</formula>
    </cfRule>
  </conditionalFormatting>
  <conditionalFormatting sqref="L780">
    <cfRule type="cellIs" dxfId="2751" priority="2433" operator="lessThanOrEqual">
      <formula>0.5</formula>
    </cfRule>
    <cfRule type="cellIs" dxfId="2750" priority="2434" operator="greaterThanOrEqual">
      <formula>1.5</formula>
    </cfRule>
  </conditionalFormatting>
  <conditionalFormatting sqref="O783">
    <cfRule type="cellIs" dxfId="2749" priority="2431" operator="lessThanOrEqual">
      <formula>0.5</formula>
    </cfRule>
    <cfRule type="cellIs" dxfId="2748" priority="2432" operator="greaterThanOrEqual">
      <formula>1.5</formula>
    </cfRule>
  </conditionalFormatting>
  <conditionalFormatting sqref="N783">
    <cfRule type="cellIs" dxfId="2747" priority="2429" operator="lessThanOrEqual">
      <formula>0.5</formula>
    </cfRule>
    <cfRule type="cellIs" dxfId="2746" priority="2430" operator="greaterThanOrEqual">
      <formula>1.5</formula>
    </cfRule>
  </conditionalFormatting>
  <conditionalFormatting sqref="K783">
    <cfRule type="cellIs" dxfId="2745" priority="2427" operator="lessThanOrEqual">
      <formula>0.5</formula>
    </cfRule>
    <cfRule type="cellIs" dxfId="2744" priority="2428" operator="greaterThanOrEqual">
      <formula>1.5</formula>
    </cfRule>
  </conditionalFormatting>
  <conditionalFormatting sqref="L783">
    <cfRule type="cellIs" dxfId="2743" priority="2425" operator="lessThanOrEqual">
      <formula>0.5</formula>
    </cfRule>
    <cfRule type="cellIs" dxfId="2742" priority="2426" operator="greaterThanOrEqual">
      <formula>1.5</formula>
    </cfRule>
  </conditionalFormatting>
  <conditionalFormatting sqref="O786">
    <cfRule type="cellIs" dxfId="2741" priority="2423" operator="lessThanOrEqual">
      <formula>0.5</formula>
    </cfRule>
    <cfRule type="cellIs" dxfId="2740" priority="2424" operator="greaterThanOrEqual">
      <formula>1.5</formula>
    </cfRule>
  </conditionalFormatting>
  <conditionalFormatting sqref="N786">
    <cfRule type="cellIs" dxfId="2739" priority="2421" operator="lessThanOrEqual">
      <formula>0.5</formula>
    </cfRule>
    <cfRule type="cellIs" dxfId="2738" priority="2422" operator="greaterThanOrEqual">
      <formula>1.5</formula>
    </cfRule>
  </conditionalFormatting>
  <conditionalFormatting sqref="K786">
    <cfRule type="cellIs" dxfId="2737" priority="2419" operator="lessThanOrEqual">
      <formula>0.5</formula>
    </cfRule>
    <cfRule type="cellIs" dxfId="2736" priority="2420" operator="greaterThanOrEqual">
      <formula>1.5</formula>
    </cfRule>
  </conditionalFormatting>
  <conditionalFormatting sqref="L786">
    <cfRule type="cellIs" dxfId="2735" priority="2417" operator="lessThanOrEqual">
      <formula>0.5</formula>
    </cfRule>
    <cfRule type="cellIs" dxfId="2734" priority="2418" operator="greaterThanOrEqual">
      <formula>1.5</formula>
    </cfRule>
  </conditionalFormatting>
  <conditionalFormatting sqref="O789">
    <cfRule type="cellIs" dxfId="2733" priority="2415" operator="lessThanOrEqual">
      <formula>0.5</formula>
    </cfRule>
    <cfRule type="cellIs" dxfId="2732" priority="2416" operator="greaterThanOrEqual">
      <formula>1.5</formula>
    </cfRule>
  </conditionalFormatting>
  <conditionalFormatting sqref="N789">
    <cfRule type="cellIs" dxfId="2731" priority="2413" operator="lessThanOrEqual">
      <formula>0.5</formula>
    </cfRule>
    <cfRule type="cellIs" dxfId="2730" priority="2414" operator="greaterThanOrEqual">
      <formula>1.5</formula>
    </cfRule>
  </conditionalFormatting>
  <conditionalFormatting sqref="K789">
    <cfRule type="cellIs" dxfId="2729" priority="2411" operator="lessThanOrEqual">
      <formula>0.5</formula>
    </cfRule>
    <cfRule type="cellIs" dxfId="2728" priority="2412" operator="greaterThanOrEqual">
      <formula>1.5</formula>
    </cfRule>
  </conditionalFormatting>
  <conditionalFormatting sqref="L789">
    <cfRule type="cellIs" dxfId="2727" priority="2409" operator="lessThanOrEqual">
      <formula>0.5</formula>
    </cfRule>
    <cfRule type="cellIs" dxfId="2726" priority="2410" operator="greaterThanOrEqual">
      <formula>1.5</formula>
    </cfRule>
  </conditionalFormatting>
  <conditionalFormatting sqref="O792">
    <cfRule type="cellIs" dxfId="2725" priority="2407" operator="lessThanOrEqual">
      <formula>0.5</formula>
    </cfRule>
    <cfRule type="cellIs" dxfId="2724" priority="2408" operator="greaterThanOrEqual">
      <formula>1.5</formula>
    </cfRule>
  </conditionalFormatting>
  <conditionalFormatting sqref="N792">
    <cfRule type="cellIs" dxfId="2723" priority="2405" operator="lessThanOrEqual">
      <formula>0.5</formula>
    </cfRule>
    <cfRule type="cellIs" dxfId="2722" priority="2406" operator="greaterThanOrEqual">
      <formula>1.5</formula>
    </cfRule>
  </conditionalFormatting>
  <conditionalFormatting sqref="K792">
    <cfRule type="cellIs" dxfId="2721" priority="2403" operator="lessThanOrEqual">
      <formula>0.5</formula>
    </cfRule>
    <cfRule type="cellIs" dxfId="2720" priority="2404" operator="greaterThanOrEqual">
      <formula>1.5</formula>
    </cfRule>
  </conditionalFormatting>
  <conditionalFormatting sqref="L792">
    <cfRule type="cellIs" dxfId="2719" priority="2401" operator="lessThanOrEqual">
      <formula>0.5</formula>
    </cfRule>
    <cfRule type="cellIs" dxfId="2718" priority="2402" operator="greaterThanOrEqual">
      <formula>1.5</formula>
    </cfRule>
  </conditionalFormatting>
  <conditionalFormatting sqref="O795">
    <cfRule type="cellIs" dxfId="2717" priority="2399" operator="lessThanOrEqual">
      <formula>0.5</formula>
    </cfRule>
    <cfRule type="cellIs" dxfId="2716" priority="2400" operator="greaterThanOrEqual">
      <formula>1.5</formula>
    </cfRule>
  </conditionalFormatting>
  <conditionalFormatting sqref="N795">
    <cfRule type="cellIs" dxfId="2715" priority="2397" operator="lessThanOrEqual">
      <formula>0.5</formula>
    </cfRule>
    <cfRule type="cellIs" dxfId="2714" priority="2398" operator="greaterThanOrEqual">
      <formula>1.5</formula>
    </cfRule>
  </conditionalFormatting>
  <conditionalFormatting sqref="K795">
    <cfRule type="cellIs" dxfId="2713" priority="2395" operator="lessThanOrEqual">
      <formula>0.5</formula>
    </cfRule>
    <cfRule type="cellIs" dxfId="2712" priority="2396" operator="greaterThanOrEqual">
      <formula>1.5</formula>
    </cfRule>
  </conditionalFormatting>
  <conditionalFormatting sqref="L795">
    <cfRule type="cellIs" dxfId="2711" priority="2393" operator="lessThanOrEqual">
      <formula>0.5</formula>
    </cfRule>
    <cfRule type="cellIs" dxfId="2710" priority="2394" operator="greaterThanOrEqual">
      <formula>1.5</formula>
    </cfRule>
  </conditionalFormatting>
  <conditionalFormatting sqref="O798">
    <cfRule type="cellIs" dxfId="2709" priority="2391" operator="lessThanOrEqual">
      <formula>0.5</formula>
    </cfRule>
    <cfRule type="cellIs" dxfId="2708" priority="2392" operator="greaterThanOrEqual">
      <formula>1.5</formula>
    </cfRule>
  </conditionalFormatting>
  <conditionalFormatting sqref="N798">
    <cfRule type="cellIs" dxfId="2707" priority="2389" operator="lessThanOrEqual">
      <formula>0.5</formula>
    </cfRule>
    <cfRule type="cellIs" dxfId="2706" priority="2390" operator="greaterThanOrEqual">
      <formula>1.5</formula>
    </cfRule>
  </conditionalFormatting>
  <conditionalFormatting sqref="K798">
    <cfRule type="cellIs" dxfId="2705" priority="2387" operator="lessThanOrEqual">
      <formula>0.5</formula>
    </cfRule>
    <cfRule type="cellIs" dxfId="2704" priority="2388" operator="greaterThanOrEqual">
      <formula>1.5</formula>
    </cfRule>
  </conditionalFormatting>
  <conditionalFormatting sqref="L798">
    <cfRule type="cellIs" dxfId="2703" priority="2385" operator="lessThanOrEqual">
      <formula>0.5</formula>
    </cfRule>
    <cfRule type="cellIs" dxfId="2702" priority="2386" operator="greaterThanOrEqual">
      <formula>1.5</formula>
    </cfRule>
  </conditionalFormatting>
  <conditionalFormatting sqref="O801">
    <cfRule type="cellIs" dxfId="2701" priority="2383" operator="lessThanOrEqual">
      <formula>0.5</formula>
    </cfRule>
    <cfRule type="cellIs" dxfId="2700" priority="2384" operator="greaterThanOrEqual">
      <formula>1.5</formula>
    </cfRule>
  </conditionalFormatting>
  <conditionalFormatting sqref="N801">
    <cfRule type="cellIs" dxfId="2699" priority="2381" operator="lessThanOrEqual">
      <formula>0.5</formula>
    </cfRule>
    <cfRule type="cellIs" dxfId="2698" priority="2382" operator="greaterThanOrEqual">
      <formula>1.5</formula>
    </cfRule>
  </conditionalFormatting>
  <conditionalFormatting sqref="K801">
    <cfRule type="cellIs" dxfId="2697" priority="2379" operator="lessThanOrEqual">
      <formula>0.5</formula>
    </cfRule>
    <cfRule type="cellIs" dxfId="2696" priority="2380" operator="greaterThanOrEqual">
      <formula>1.5</formula>
    </cfRule>
  </conditionalFormatting>
  <conditionalFormatting sqref="L801">
    <cfRule type="cellIs" dxfId="2695" priority="2377" operator="lessThanOrEqual">
      <formula>0.5</formula>
    </cfRule>
    <cfRule type="cellIs" dxfId="2694" priority="2378" operator="greaterThanOrEqual">
      <formula>1.5</formula>
    </cfRule>
  </conditionalFormatting>
  <conditionalFormatting sqref="O804">
    <cfRule type="cellIs" dxfId="2693" priority="2375" operator="lessThanOrEqual">
      <formula>0.5</formula>
    </cfRule>
    <cfRule type="cellIs" dxfId="2692" priority="2376" operator="greaterThanOrEqual">
      <formula>1.5</formula>
    </cfRule>
  </conditionalFormatting>
  <conditionalFormatting sqref="N804">
    <cfRule type="cellIs" dxfId="2691" priority="2373" operator="lessThanOrEqual">
      <formula>0.5</formula>
    </cfRule>
    <cfRule type="cellIs" dxfId="2690" priority="2374" operator="greaterThanOrEqual">
      <formula>1.5</formula>
    </cfRule>
  </conditionalFormatting>
  <conditionalFormatting sqref="K804">
    <cfRule type="cellIs" dxfId="2689" priority="2371" operator="lessThanOrEqual">
      <formula>0.5</formula>
    </cfRule>
    <cfRule type="cellIs" dxfId="2688" priority="2372" operator="greaterThanOrEqual">
      <formula>1.5</formula>
    </cfRule>
  </conditionalFormatting>
  <conditionalFormatting sqref="L804">
    <cfRule type="cellIs" dxfId="2687" priority="2369" operator="lessThanOrEqual">
      <formula>0.5</formula>
    </cfRule>
    <cfRule type="cellIs" dxfId="2686" priority="2370" operator="greaterThanOrEqual">
      <formula>1.5</formula>
    </cfRule>
  </conditionalFormatting>
  <conditionalFormatting sqref="O807">
    <cfRule type="cellIs" dxfId="2685" priority="2367" operator="lessThanOrEqual">
      <formula>0.5</formula>
    </cfRule>
    <cfRule type="cellIs" dxfId="2684" priority="2368" operator="greaterThanOrEqual">
      <formula>1.5</formula>
    </cfRule>
  </conditionalFormatting>
  <conditionalFormatting sqref="N807">
    <cfRule type="cellIs" dxfId="2683" priority="2365" operator="lessThanOrEqual">
      <formula>0.5</formula>
    </cfRule>
    <cfRule type="cellIs" dxfId="2682" priority="2366" operator="greaterThanOrEqual">
      <formula>1.5</formula>
    </cfRule>
  </conditionalFormatting>
  <conditionalFormatting sqref="K807">
    <cfRule type="cellIs" dxfId="2681" priority="2363" operator="lessThanOrEqual">
      <formula>0.5</formula>
    </cfRule>
    <cfRule type="cellIs" dxfId="2680" priority="2364" operator="greaterThanOrEqual">
      <formula>1.5</formula>
    </cfRule>
  </conditionalFormatting>
  <conditionalFormatting sqref="L807">
    <cfRule type="cellIs" dxfId="2679" priority="2361" operator="lessThanOrEqual">
      <formula>0.5</formula>
    </cfRule>
    <cfRule type="cellIs" dxfId="2678" priority="2362" operator="greaterThanOrEqual">
      <formula>1.5</formula>
    </cfRule>
  </conditionalFormatting>
  <conditionalFormatting sqref="O810">
    <cfRule type="cellIs" dxfId="2677" priority="2359" operator="lessThanOrEqual">
      <formula>0.5</formula>
    </cfRule>
    <cfRule type="cellIs" dxfId="2676" priority="2360" operator="greaterThanOrEqual">
      <formula>1.5</formula>
    </cfRule>
  </conditionalFormatting>
  <conditionalFormatting sqref="N810">
    <cfRule type="cellIs" dxfId="2675" priority="2357" operator="lessThanOrEqual">
      <formula>0.5</formula>
    </cfRule>
    <cfRule type="cellIs" dxfId="2674" priority="2358" operator="greaterThanOrEqual">
      <formula>1.5</formula>
    </cfRule>
  </conditionalFormatting>
  <conditionalFormatting sqref="K810">
    <cfRule type="cellIs" dxfId="2673" priority="2355" operator="lessThanOrEqual">
      <formula>0.5</formula>
    </cfRule>
    <cfRule type="cellIs" dxfId="2672" priority="2356" operator="greaterThanOrEqual">
      <formula>1.5</formula>
    </cfRule>
  </conditionalFormatting>
  <conditionalFormatting sqref="L810">
    <cfRule type="cellIs" dxfId="2671" priority="2353" operator="lessThanOrEqual">
      <formula>0.5</formula>
    </cfRule>
    <cfRule type="cellIs" dxfId="2670" priority="2354" operator="greaterThanOrEqual">
      <formula>1.5</formula>
    </cfRule>
  </conditionalFormatting>
  <conditionalFormatting sqref="O813">
    <cfRule type="cellIs" dxfId="2669" priority="2351" operator="lessThanOrEqual">
      <formula>0.5</formula>
    </cfRule>
    <cfRule type="cellIs" dxfId="2668" priority="2352" operator="greaterThanOrEqual">
      <formula>1.5</formula>
    </cfRule>
  </conditionalFormatting>
  <conditionalFormatting sqref="N813">
    <cfRule type="cellIs" dxfId="2667" priority="2349" operator="lessThanOrEqual">
      <formula>0.5</formula>
    </cfRule>
    <cfRule type="cellIs" dxfId="2666" priority="2350" operator="greaterThanOrEqual">
      <formula>1.5</formula>
    </cfRule>
  </conditionalFormatting>
  <conditionalFormatting sqref="K813">
    <cfRule type="cellIs" dxfId="2665" priority="2347" operator="lessThanOrEqual">
      <formula>0.5</formula>
    </cfRule>
    <cfRule type="cellIs" dxfId="2664" priority="2348" operator="greaterThanOrEqual">
      <formula>1.5</formula>
    </cfRule>
  </conditionalFormatting>
  <conditionalFormatting sqref="L813">
    <cfRule type="cellIs" dxfId="2663" priority="2345" operator="lessThanOrEqual">
      <formula>0.5</formula>
    </cfRule>
    <cfRule type="cellIs" dxfId="2662" priority="2346" operator="greaterThanOrEqual">
      <formula>1.5</formula>
    </cfRule>
  </conditionalFormatting>
  <conditionalFormatting sqref="O816">
    <cfRule type="cellIs" dxfId="2661" priority="2343" operator="lessThanOrEqual">
      <formula>0.5</formula>
    </cfRule>
    <cfRule type="cellIs" dxfId="2660" priority="2344" operator="greaterThanOrEqual">
      <formula>1.5</formula>
    </cfRule>
  </conditionalFormatting>
  <conditionalFormatting sqref="N816">
    <cfRule type="cellIs" dxfId="2659" priority="2341" operator="lessThanOrEqual">
      <formula>0.5</formula>
    </cfRule>
    <cfRule type="cellIs" dxfId="2658" priority="2342" operator="greaterThanOrEqual">
      <formula>1.5</formula>
    </cfRule>
  </conditionalFormatting>
  <conditionalFormatting sqref="K816">
    <cfRule type="cellIs" dxfId="2657" priority="2339" operator="lessThanOrEqual">
      <formula>0.5</formula>
    </cfRule>
    <cfRule type="cellIs" dxfId="2656" priority="2340" operator="greaterThanOrEqual">
      <formula>1.5</formula>
    </cfRule>
  </conditionalFormatting>
  <conditionalFormatting sqref="L816">
    <cfRule type="cellIs" dxfId="2655" priority="2337" operator="lessThanOrEqual">
      <formula>0.5</formula>
    </cfRule>
    <cfRule type="cellIs" dxfId="2654" priority="2338" operator="greaterThanOrEqual">
      <formula>1.5</formula>
    </cfRule>
  </conditionalFormatting>
  <conditionalFormatting sqref="O819">
    <cfRule type="cellIs" dxfId="2653" priority="2335" operator="lessThanOrEqual">
      <formula>0.5</formula>
    </cfRule>
    <cfRule type="cellIs" dxfId="2652" priority="2336" operator="greaterThanOrEqual">
      <formula>1.5</formula>
    </cfRule>
  </conditionalFormatting>
  <conditionalFormatting sqref="N819">
    <cfRule type="cellIs" dxfId="2651" priority="2333" operator="lessThanOrEqual">
      <formula>0.5</formula>
    </cfRule>
    <cfRule type="cellIs" dxfId="2650" priority="2334" operator="greaterThanOrEqual">
      <formula>1.5</formula>
    </cfRule>
  </conditionalFormatting>
  <conditionalFormatting sqref="K819">
    <cfRule type="cellIs" dxfId="2649" priority="2331" operator="lessThanOrEqual">
      <formula>0.5</formula>
    </cfRule>
    <cfRule type="cellIs" dxfId="2648" priority="2332" operator="greaterThanOrEqual">
      <formula>1.5</formula>
    </cfRule>
  </conditionalFormatting>
  <conditionalFormatting sqref="L819">
    <cfRule type="cellIs" dxfId="2647" priority="2329" operator="lessThanOrEqual">
      <formula>0.5</formula>
    </cfRule>
    <cfRule type="cellIs" dxfId="2646" priority="2330" operator="greaterThanOrEqual">
      <formula>1.5</formula>
    </cfRule>
  </conditionalFormatting>
  <conditionalFormatting sqref="O822">
    <cfRule type="cellIs" dxfId="2645" priority="2327" operator="lessThanOrEqual">
      <formula>0.5</formula>
    </cfRule>
    <cfRule type="cellIs" dxfId="2644" priority="2328" operator="greaterThanOrEqual">
      <formula>1.5</formula>
    </cfRule>
  </conditionalFormatting>
  <conditionalFormatting sqref="N822">
    <cfRule type="cellIs" dxfId="2643" priority="2325" operator="lessThanOrEqual">
      <formula>0.5</formula>
    </cfRule>
    <cfRule type="cellIs" dxfId="2642" priority="2326" operator="greaterThanOrEqual">
      <formula>1.5</formula>
    </cfRule>
  </conditionalFormatting>
  <conditionalFormatting sqref="K822">
    <cfRule type="cellIs" dxfId="2641" priority="2323" operator="lessThanOrEqual">
      <formula>0.5</formula>
    </cfRule>
    <cfRule type="cellIs" dxfId="2640" priority="2324" operator="greaterThanOrEqual">
      <formula>1.5</formula>
    </cfRule>
  </conditionalFormatting>
  <conditionalFormatting sqref="L822">
    <cfRule type="cellIs" dxfId="2639" priority="2321" operator="lessThanOrEqual">
      <formula>0.5</formula>
    </cfRule>
    <cfRule type="cellIs" dxfId="2638" priority="2322" operator="greaterThanOrEqual">
      <formula>1.5</formula>
    </cfRule>
  </conditionalFormatting>
  <conditionalFormatting sqref="O825">
    <cfRule type="cellIs" dxfId="2637" priority="2319" operator="lessThanOrEqual">
      <formula>0.5</formula>
    </cfRule>
    <cfRule type="cellIs" dxfId="2636" priority="2320" operator="greaterThanOrEqual">
      <formula>1.5</formula>
    </cfRule>
  </conditionalFormatting>
  <conditionalFormatting sqref="N825">
    <cfRule type="cellIs" dxfId="2635" priority="2317" operator="lessThanOrEqual">
      <formula>0.5</formula>
    </cfRule>
    <cfRule type="cellIs" dxfId="2634" priority="2318" operator="greaterThanOrEqual">
      <formula>1.5</formula>
    </cfRule>
  </conditionalFormatting>
  <conditionalFormatting sqref="K825">
    <cfRule type="cellIs" dxfId="2633" priority="2315" operator="lessThanOrEqual">
      <formula>0.5</formula>
    </cfRule>
    <cfRule type="cellIs" dxfId="2632" priority="2316" operator="greaterThanOrEqual">
      <formula>1.5</formula>
    </cfRule>
  </conditionalFormatting>
  <conditionalFormatting sqref="L825">
    <cfRule type="cellIs" dxfId="2631" priority="2313" operator="lessThanOrEqual">
      <formula>0.5</formula>
    </cfRule>
    <cfRule type="cellIs" dxfId="2630" priority="2314" operator="greaterThanOrEqual">
      <formula>1.5</formula>
    </cfRule>
  </conditionalFormatting>
  <conditionalFormatting sqref="O828">
    <cfRule type="cellIs" dxfId="2629" priority="2311" operator="lessThanOrEqual">
      <formula>0.5</formula>
    </cfRule>
    <cfRule type="cellIs" dxfId="2628" priority="2312" operator="greaterThanOrEqual">
      <formula>1.5</formula>
    </cfRule>
  </conditionalFormatting>
  <conditionalFormatting sqref="N828">
    <cfRule type="cellIs" dxfId="2627" priority="2309" operator="lessThanOrEqual">
      <formula>0.5</formula>
    </cfRule>
    <cfRule type="cellIs" dxfId="2626" priority="2310" operator="greaterThanOrEqual">
      <formula>1.5</formula>
    </cfRule>
  </conditionalFormatting>
  <conditionalFormatting sqref="K828">
    <cfRule type="cellIs" dxfId="2625" priority="2307" operator="lessThanOrEqual">
      <formula>0.5</formula>
    </cfRule>
    <cfRule type="cellIs" dxfId="2624" priority="2308" operator="greaterThanOrEqual">
      <formula>1.5</formula>
    </cfRule>
  </conditionalFormatting>
  <conditionalFormatting sqref="L828">
    <cfRule type="cellIs" dxfId="2623" priority="2305" operator="lessThanOrEqual">
      <formula>0.5</formula>
    </cfRule>
    <cfRule type="cellIs" dxfId="2622" priority="2306" operator="greaterThanOrEqual">
      <formula>1.5</formula>
    </cfRule>
  </conditionalFormatting>
  <conditionalFormatting sqref="O831">
    <cfRule type="cellIs" dxfId="2621" priority="2303" operator="lessThanOrEqual">
      <formula>0.5</formula>
    </cfRule>
    <cfRule type="cellIs" dxfId="2620" priority="2304" operator="greaterThanOrEqual">
      <formula>1.5</formula>
    </cfRule>
  </conditionalFormatting>
  <conditionalFormatting sqref="N831">
    <cfRule type="cellIs" dxfId="2619" priority="2301" operator="lessThanOrEqual">
      <formula>0.5</formula>
    </cfRule>
    <cfRule type="cellIs" dxfId="2618" priority="2302" operator="greaterThanOrEqual">
      <formula>1.5</formula>
    </cfRule>
  </conditionalFormatting>
  <conditionalFormatting sqref="K831">
    <cfRule type="cellIs" dxfId="2617" priority="2299" operator="lessThanOrEqual">
      <formula>0.5</formula>
    </cfRule>
    <cfRule type="cellIs" dxfId="2616" priority="2300" operator="greaterThanOrEqual">
      <formula>1.5</formula>
    </cfRule>
  </conditionalFormatting>
  <conditionalFormatting sqref="L831">
    <cfRule type="cellIs" dxfId="2615" priority="2297" operator="lessThanOrEqual">
      <formula>0.5</formula>
    </cfRule>
    <cfRule type="cellIs" dxfId="2614" priority="2298" operator="greaterThanOrEqual">
      <formula>1.5</formula>
    </cfRule>
  </conditionalFormatting>
  <conditionalFormatting sqref="O834">
    <cfRule type="cellIs" dxfId="2613" priority="2295" operator="lessThanOrEqual">
      <formula>0.5</formula>
    </cfRule>
    <cfRule type="cellIs" dxfId="2612" priority="2296" operator="greaterThanOrEqual">
      <formula>1.5</formula>
    </cfRule>
  </conditionalFormatting>
  <conditionalFormatting sqref="N834">
    <cfRule type="cellIs" dxfId="2611" priority="2293" operator="lessThanOrEqual">
      <formula>0.5</formula>
    </cfRule>
    <cfRule type="cellIs" dxfId="2610" priority="2294" operator="greaterThanOrEqual">
      <formula>1.5</formula>
    </cfRule>
  </conditionalFormatting>
  <conditionalFormatting sqref="K834">
    <cfRule type="cellIs" dxfId="2609" priority="2291" operator="lessThanOrEqual">
      <formula>0.5</formula>
    </cfRule>
    <cfRule type="cellIs" dxfId="2608" priority="2292" operator="greaterThanOrEqual">
      <formula>1.5</formula>
    </cfRule>
  </conditionalFormatting>
  <conditionalFormatting sqref="L834">
    <cfRule type="cellIs" dxfId="2607" priority="2289" operator="lessThanOrEqual">
      <formula>0.5</formula>
    </cfRule>
    <cfRule type="cellIs" dxfId="2606" priority="2290" operator="greaterThanOrEqual">
      <formula>1.5</formula>
    </cfRule>
  </conditionalFormatting>
  <conditionalFormatting sqref="O837">
    <cfRule type="cellIs" dxfId="2605" priority="2287" operator="lessThanOrEqual">
      <formula>0.5</formula>
    </cfRule>
    <cfRule type="cellIs" dxfId="2604" priority="2288" operator="greaterThanOrEqual">
      <formula>1.5</formula>
    </cfRule>
  </conditionalFormatting>
  <conditionalFormatting sqref="N837">
    <cfRule type="cellIs" dxfId="2603" priority="2285" operator="lessThanOrEqual">
      <formula>0.5</formula>
    </cfRule>
    <cfRule type="cellIs" dxfId="2602" priority="2286" operator="greaterThanOrEqual">
      <formula>1.5</formula>
    </cfRule>
  </conditionalFormatting>
  <conditionalFormatting sqref="K837">
    <cfRule type="cellIs" dxfId="2601" priority="2283" operator="lessThanOrEqual">
      <formula>0.5</formula>
    </cfRule>
    <cfRule type="cellIs" dxfId="2600" priority="2284" operator="greaterThanOrEqual">
      <formula>1.5</formula>
    </cfRule>
  </conditionalFormatting>
  <conditionalFormatting sqref="L837">
    <cfRule type="cellIs" dxfId="2599" priority="2281" operator="lessThanOrEqual">
      <formula>0.5</formula>
    </cfRule>
    <cfRule type="cellIs" dxfId="2598" priority="2282" operator="greaterThanOrEqual">
      <formula>1.5</formula>
    </cfRule>
  </conditionalFormatting>
  <conditionalFormatting sqref="O840">
    <cfRule type="cellIs" dxfId="2597" priority="2279" operator="lessThanOrEqual">
      <formula>0.5</formula>
    </cfRule>
    <cfRule type="cellIs" dxfId="2596" priority="2280" operator="greaterThanOrEqual">
      <formula>1.5</formula>
    </cfRule>
  </conditionalFormatting>
  <conditionalFormatting sqref="N840">
    <cfRule type="cellIs" dxfId="2595" priority="2277" operator="lessThanOrEqual">
      <formula>0.5</formula>
    </cfRule>
    <cfRule type="cellIs" dxfId="2594" priority="2278" operator="greaterThanOrEqual">
      <formula>1.5</formula>
    </cfRule>
  </conditionalFormatting>
  <conditionalFormatting sqref="K840">
    <cfRule type="cellIs" dxfId="2593" priority="2275" operator="lessThanOrEqual">
      <formula>0.5</formula>
    </cfRule>
    <cfRule type="cellIs" dxfId="2592" priority="2276" operator="greaterThanOrEqual">
      <formula>1.5</formula>
    </cfRule>
  </conditionalFormatting>
  <conditionalFormatting sqref="L840">
    <cfRule type="cellIs" dxfId="2591" priority="2273" operator="lessThanOrEqual">
      <formula>0.5</formula>
    </cfRule>
    <cfRule type="cellIs" dxfId="2590" priority="2274" operator="greaterThanOrEqual">
      <formula>1.5</formula>
    </cfRule>
  </conditionalFormatting>
  <conditionalFormatting sqref="O843">
    <cfRule type="cellIs" dxfId="2589" priority="2271" operator="lessThanOrEqual">
      <formula>0.5</formula>
    </cfRule>
    <cfRule type="cellIs" dxfId="2588" priority="2272" operator="greaterThanOrEqual">
      <formula>1.5</formula>
    </cfRule>
  </conditionalFormatting>
  <conditionalFormatting sqref="N843">
    <cfRule type="cellIs" dxfId="2587" priority="2269" operator="lessThanOrEqual">
      <formula>0.5</formula>
    </cfRule>
    <cfRule type="cellIs" dxfId="2586" priority="2270" operator="greaterThanOrEqual">
      <formula>1.5</formula>
    </cfRule>
  </conditionalFormatting>
  <conditionalFormatting sqref="K843">
    <cfRule type="cellIs" dxfId="2585" priority="2267" operator="lessThanOrEqual">
      <formula>0.5</formula>
    </cfRule>
    <cfRule type="cellIs" dxfId="2584" priority="2268" operator="greaterThanOrEqual">
      <formula>1.5</formula>
    </cfRule>
  </conditionalFormatting>
  <conditionalFormatting sqref="L843">
    <cfRule type="cellIs" dxfId="2583" priority="2265" operator="lessThanOrEqual">
      <formula>0.5</formula>
    </cfRule>
    <cfRule type="cellIs" dxfId="2582" priority="2266" operator="greaterThanOrEqual">
      <formula>1.5</formula>
    </cfRule>
  </conditionalFormatting>
  <conditionalFormatting sqref="O846">
    <cfRule type="cellIs" dxfId="2581" priority="2263" operator="lessThanOrEqual">
      <formula>0.5</formula>
    </cfRule>
    <cfRule type="cellIs" dxfId="2580" priority="2264" operator="greaterThanOrEqual">
      <formula>1.5</formula>
    </cfRule>
  </conditionalFormatting>
  <conditionalFormatting sqref="N846">
    <cfRule type="cellIs" dxfId="2579" priority="2261" operator="lessThanOrEqual">
      <formula>0.5</formula>
    </cfRule>
    <cfRule type="cellIs" dxfId="2578" priority="2262" operator="greaterThanOrEqual">
      <formula>1.5</formula>
    </cfRule>
  </conditionalFormatting>
  <conditionalFormatting sqref="K846">
    <cfRule type="cellIs" dxfId="2577" priority="2259" operator="lessThanOrEqual">
      <formula>0.5</formula>
    </cfRule>
    <cfRule type="cellIs" dxfId="2576" priority="2260" operator="greaterThanOrEqual">
      <formula>1.5</formula>
    </cfRule>
  </conditionalFormatting>
  <conditionalFormatting sqref="L846">
    <cfRule type="cellIs" dxfId="2575" priority="2257" operator="lessThanOrEqual">
      <formula>0.5</formula>
    </cfRule>
    <cfRule type="cellIs" dxfId="2574" priority="2258" operator="greaterThanOrEqual">
      <formula>1.5</formula>
    </cfRule>
  </conditionalFormatting>
  <conditionalFormatting sqref="O849">
    <cfRule type="cellIs" dxfId="2573" priority="2255" operator="lessThanOrEqual">
      <formula>0.5</formula>
    </cfRule>
    <cfRule type="cellIs" dxfId="2572" priority="2256" operator="greaterThanOrEqual">
      <formula>1.5</formula>
    </cfRule>
  </conditionalFormatting>
  <conditionalFormatting sqref="N849">
    <cfRule type="cellIs" dxfId="2571" priority="2253" operator="lessThanOrEqual">
      <formula>0.5</formula>
    </cfRule>
    <cfRule type="cellIs" dxfId="2570" priority="2254" operator="greaterThanOrEqual">
      <formula>1.5</formula>
    </cfRule>
  </conditionalFormatting>
  <conditionalFormatting sqref="K849">
    <cfRule type="cellIs" dxfId="2569" priority="2251" operator="lessThanOrEqual">
      <formula>0.5</formula>
    </cfRule>
    <cfRule type="cellIs" dxfId="2568" priority="2252" operator="greaterThanOrEqual">
      <formula>1.5</formula>
    </cfRule>
  </conditionalFormatting>
  <conditionalFormatting sqref="L849">
    <cfRule type="cellIs" dxfId="2567" priority="2249" operator="lessThanOrEqual">
      <formula>0.5</formula>
    </cfRule>
    <cfRule type="cellIs" dxfId="2566" priority="2250" operator="greaterThanOrEqual">
      <formula>1.5</formula>
    </cfRule>
  </conditionalFormatting>
  <conditionalFormatting sqref="O852">
    <cfRule type="cellIs" dxfId="2565" priority="2247" operator="lessThanOrEqual">
      <formula>0.5</formula>
    </cfRule>
    <cfRule type="cellIs" dxfId="2564" priority="2248" operator="greaterThanOrEqual">
      <formula>1.5</formula>
    </cfRule>
  </conditionalFormatting>
  <conditionalFormatting sqref="N852">
    <cfRule type="cellIs" dxfId="2563" priority="2245" operator="lessThanOrEqual">
      <formula>0.5</formula>
    </cfRule>
    <cfRule type="cellIs" dxfId="2562" priority="2246" operator="greaterThanOrEqual">
      <formula>1.5</formula>
    </cfRule>
  </conditionalFormatting>
  <conditionalFormatting sqref="K852">
    <cfRule type="cellIs" dxfId="2561" priority="2243" operator="lessThanOrEqual">
      <formula>0.5</formula>
    </cfRule>
    <cfRule type="cellIs" dxfId="2560" priority="2244" operator="greaterThanOrEqual">
      <formula>1.5</formula>
    </cfRule>
  </conditionalFormatting>
  <conditionalFormatting sqref="L852">
    <cfRule type="cellIs" dxfId="2559" priority="2241" operator="lessThanOrEqual">
      <formula>0.5</formula>
    </cfRule>
    <cfRule type="cellIs" dxfId="2558" priority="2242" operator="greaterThanOrEqual">
      <formula>1.5</formula>
    </cfRule>
  </conditionalFormatting>
  <conditionalFormatting sqref="O855">
    <cfRule type="cellIs" dxfId="2557" priority="2239" operator="lessThanOrEqual">
      <formula>0.5</formula>
    </cfRule>
    <cfRule type="cellIs" dxfId="2556" priority="2240" operator="greaterThanOrEqual">
      <formula>1.5</formula>
    </cfRule>
  </conditionalFormatting>
  <conditionalFormatting sqref="N855">
    <cfRule type="cellIs" dxfId="2555" priority="2237" operator="lessThanOrEqual">
      <formula>0.5</formula>
    </cfRule>
    <cfRule type="cellIs" dxfId="2554" priority="2238" operator="greaterThanOrEqual">
      <formula>1.5</formula>
    </cfRule>
  </conditionalFormatting>
  <conditionalFormatting sqref="K855">
    <cfRule type="cellIs" dxfId="2553" priority="2235" operator="lessThanOrEqual">
      <formula>0.5</formula>
    </cfRule>
    <cfRule type="cellIs" dxfId="2552" priority="2236" operator="greaterThanOrEqual">
      <formula>1.5</formula>
    </cfRule>
  </conditionalFormatting>
  <conditionalFormatting sqref="L855">
    <cfRule type="cellIs" dxfId="2551" priority="2233" operator="lessThanOrEqual">
      <formula>0.5</formula>
    </cfRule>
    <cfRule type="cellIs" dxfId="2550" priority="2234" operator="greaterThanOrEqual">
      <formula>1.5</formula>
    </cfRule>
  </conditionalFormatting>
  <conditionalFormatting sqref="O858">
    <cfRule type="cellIs" dxfId="2549" priority="2231" operator="lessThanOrEqual">
      <formula>0.5</formula>
    </cfRule>
    <cfRule type="cellIs" dxfId="2548" priority="2232" operator="greaterThanOrEqual">
      <formula>1.5</formula>
    </cfRule>
  </conditionalFormatting>
  <conditionalFormatting sqref="N858">
    <cfRule type="cellIs" dxfId="2547" priority="2229" operator="lessThanOrEqual">
      <formula>0.5</formula>
    </cfRule>
    <cfRule type="cellIs" dxfId="2546" priority="2230" operator="greaterThanOrEqual">
      <formula>1.5</formula>
    </cfRule>
  </conditionalFormatting>
  <conditionalFormatting sqref="K858">
    <cfRule type="cellIs" dxfId="2545" priority="2227" operator="lessThanOrEqual">
      <formula>0.5</formula>
    </cfRule>
    <cfRule type="cellIs" dxfId="2544" priority="2228" operator="greaterThanOrEqual">
      <formula>1.5</formula>
    </cfRule>
  </conditionalFormatting>
  <conditionalFormatting sqref="L858">
    <cfRule type="cellIs" dxfId="2543" priority="2225" operator="lessThanOrEqual">
      <formula>0.5</formula>
    </cfRule>
    <cfRule type="cellIs" dxfId="2542" priority="2226" operator="greaterThanOrEqual">
      <formula>1.5</formula>
    </cfRule>
  </conditionalFormatting>
  <conditionalFormatting sqref="O861">
    <cfRule type="cellIs" dxfId="2541" priority="2223" operator="lessThanOrEqual">
      <formula>0.5</formula>
    </cfRule>
    <cfRule type="cellIs" dxfId="2540" priority="2224" operator="greaterThanOrEqual">
      <formula>1.5</formula>
    </cfRule>
  </conditionalFormatting>
  <conditionalFormatting sqref="N861">
    <cfRule type="cellIs" dxfId="2539" priority="2221" operator="lessThanOrEqual">
      <formula>0.5</formula>
    </cfRule>
    <cfRule type="cellIs" dxfId="2538" priority="2222" operator="greaterThanOrEqual">
      <formula>1.5</formula>
    </cfRule>
  </conditionalFormatting>
  <conditionalFormatting sqref="K861">
    <cfRule type="cellIs" dxfId="2537" priority="2219" operator="lessThanOrEqual">
      <formula>0.5</formula>
    </cfRule>
    <cfRule type="cellIs" dxfId="2536" priority="2220" operator="greaterThanOrEqual">
      <formula>1.5</formula>
    </cfRule>
  </conditionalFormatting>
  <conditionalFormatting sqref="L861">
    <cfRule type="cellIs" dxfId="2535" priority="2217" operator="lessThanOrEqual">
      <formula>0.5</formula>
    </cfRule>
    <cfRule type="cellIs" dxfId="2534" priority="2218" operator="greaterThanOrEqual">
      <formula>1.5</formula>
    </cfRule>
  </conditionalFormatting>
  <conditionalFormatting sqref="O864">
    <cfRule type="cellIs" dxfId="2533" priority="2215" operator="lessThanOrEqual">
      <formula>0.5</formula>
    </cfRule>
    <cfRule type="cellIs" dxfId="2532" priority="2216" operator="greaterThanOrEqual">
      <formula>1.5</formula>
    </cfRule>
  </conditionalFormatting>
  <conditionalFormatting sqref="N864">
    <cfRule type="cellIs" dxfId="2531" priority="2213" operator="lessThanOrEqual">
      <formula>0.5</formula>
    </cfRule>
    <cfRule type="cellIs" dxfId="2530" priority="2214" operator="greaterThanOrEqual">
      <formula>1.5</formula>
    </cfRule>
  </conditionalFormatting>
  <conditionalFormatting sqref="K864">
    <cfRule type="cellIs" dxfId="2529" priority="2211" operator="lessThanOrEqual">
      <formula>0.5</formula>
    </cfRule>
    <cfRule type="cellIs" dxfId="2528" priority="2212" operator="greaterThanOrEqual">
      <formula>1.5</formula>
    </cfRule>
  </conditionalFormatting>
  <conditionalFormatting sqref="L864">
    <cfRule type="cellIs" dxfId="2527" priority="2209" operator="lessThanOrEqual">
      <formula>0.5</formula>
    </cfRule>
    <cfRule type="cellIs" dxfId="2526" priority="2210" operator="greaterThanOrEqual">
      <formula>1.5</formula>
    </cfRule>
  </conditionalFormatting>
  <conditionalFormatting sqref="O867">
    <cfRule type="cellIs" dxfId="2525" priority="2207" operator="lessThanOrEqual">
      <formula>0.5</formula>
    </cfRule>
    <cfRule type="cellIs" dxfId="2524" priority="2208" operator="greaterThanOrEqual">
      <formula>1.5</formula>
    </cfRule>
  </conditionalFormatting>
  <conditionalFormatting sqref="N867">
    <cfRule type="cellIs" dxfId="2523" priority="2205" operator="lessThanOrEqual">
      <formula>0.5</formula>
    </cfRule>
    <cfRule type="cellIs" dxfId="2522" priority="2206" operator="greaterThanOrEqual">
      <formula>1.5</formula>
    </cfRule>
  </conditionalFormatting>
  <conditionalFormatting sqref="K867">
    <cfRule type="cellIs" dxfId="2521" priority="2203" operator="lessThanOrEqual">
      <formula>0.5</formula>
    </cfRule>
    <cfRule type="cellIs" dxfId="2520" priority="2204" operator="greaterThanOrEqual">
      <formula>1.5</formula>
    </cfRule>
  </conditionalFormatting>
  <conditionalFormatting sqref="L867">
    <cfRule type="cellIs" dxfId="2519" priority="2201" operator="lessThanOrEqual">
      <formula>0.5</formula>
    </cfRule>
    <cfRule type="cellIs" dxfId="2518" priority="2202" operator="greaterThanOrEqual">
      <formula>1.5</formula>
    </cfRule>
  </conditionalFormatting>
  <conditionalFormatting sqref="O870">
    <cfRule type="cellIs" dxfId="2517" priority="2199" operator="lessThanOrEqual">
      <formula>0.5</formula>
    </cfRule>
    <cfRule type="cellIs" dxfId="2516" priority="2200" operator="greaterThanOrEqual">
      <formula>1.5</formula>
    </cfRule>
  </conditionalFormatting>
  <conditionalFormatting sqref="N870">
    <cfRule type="cellIs" dxfId="2515" priority="2197" operator="lessThanOrEqual">
      <formula>0.5</formula>
    </cfRule>
    <cfRule type="cellIs" dxfId="2514" priority="2198" operator="greaterThanOrEqual">
      <formula>1.5</formula>
    </cfRule>
  </conditionalFormatting>
  <conditionalFormatting sqref="K870">
    <cfRule type="cellIs" dxfId="2513" priority="2195" operator="lessThanOrEqual">
      <formula>0.5</formula>
    </cfRule>
    <cfRule type="cellIs" dxfId="2512" priority="2196" operator="greaterThanOrEqual">
      <formula>1.5</formula>
    </cfRule>
  </conditionalFormatting>
  <conditionalFormatting sqref="L870">
    <cfRule type="cellIs" dxfId="2511" priority="2193" operator="lessThanOrEqual">
      <formula>0.5</formula>
    </cfRule>
    <cfRule type="cellIs" dxfId="2510" priority="2194" operator="greaterThanOrEqual">
      <formula>1.5</formula>
    </cfRule>
  </conditionalFormatting>
  <conditionalFormatting sqref="O873">
    <cfRule type="cellIs" dxfId="2509" priority="2191" operator="lessThanOrEqual">
      <formula>0.5</formula>
    </cfRule>
    <cfRule type="cellIs" dxfId="2508" priority="2192" operator="greaterThanOrEqual">
      <formula>1.5</formula>
    </cfRule>
  </conditionalFormatting>
  <conditionalFormatting sqref="N873">
    <cfRule type="cellIs" dxfId="2507" priority="2189" operator="lessThanOrEqual">
      <formula>0.5</formula>
    </cfRule>
    <cfRule type="cellIs" dxfId="2506" priority="2190" operator="greaterThanOrEqual">
      <formula>1.5</formula>
    </cfRule>
  </conditionalFormatting>
  <conditionalFormatting sqref="K873">
    <cfRule type="cellIs" dxfId="2505" priority="2187" operator="lessThanOrEqual">
      <formula>0.5</formula>
    </cfRule>
    <cfRule type="cellIs" dxfId="2504" priority="2188" operator="greaterThanOrEqual">
      <formula>1.5</formula>
    </cfRule>
  </conditionalFormatting>
  <conditionalFormatting sqref="L873">
    <cfRule type="cellIs" dxfId="2503" priority="2185" operator="lessThanOrEqual">
      <formula>0.5</formula>
    </cfRule>
    <cfRule type="cellIs" dxfId="2502" priority="2186" operator="greaterThanOrEqual">
      <formula>1.5</formula>
    </cfRule>
  </conditionalFormatting>
  <conditionalFormatting sqref="O876">
    <cfRule type="cellIs" dxfId="2501" priority="2183" operator="lessThanOrEqual">
      <formula>0.5</formula>
    </cfRule>
    <cfRule type="cellIs" dxfId="2500" priority="2184" operator="greaterThanOrEqual">
      <formula>1.5</formula>
    </cfRule>
  </conditionalFormatting>
  <conditionalFormatting sqref="N876">
    <cfRule type="cellIs" dxfId="2499" priority="2181" operator="lessThanOrEqual">
      <formula>0.5</formula>
    </cfRule>
    <cfRule type="cellIs" dxfId="2498" priority="2182" operator="greaterThanOrEqual">
      <formula>1.5</formula>
    </cfRule>
  </conditionalFormatting>
  <conditionalFormatting sqref="K876">
    <cfRule type="cellIs" dxfId="2497" priority="2179" operator="lessThanOrEqual">
      <formula>0.5</formula>
    </cfRule>
    <cfRule type="cellIs" dxfId="2496" priority="2180" operator="greaterThanOrEqual">
      <formula>1.5</formula>
    </cfRule>
  </conditionalFormatting>
  <conditionalFormatting sqref="L876">
    <cfRule type="cellIs" dxfId="2495" priority="2177" operator="lessThanOrEqual">
      <formula>0.5</formula>
    </cfRule>
    <cfRule type="cellIs" dxfId="2494" priority="2178" operator="greaterThanOrEqual">
      <formula>1.5</formula>
    </cfRule>
  </conditionalFormatting>
  <conditionalFormatting sqref="O879">
    <cfRule type="cellIs" dxfId="2493" priority="2175" operator="lessThanOrEqual">
      <formula>0.5</formula>
    </cfRule>
    <cfRule type="cellIs" dxfId="2492" priority="2176" operator="greaterThanOrEqual">
      <formula>1.5</formula>
    </cfRule>
  </conditionalFormatting>
  <conditionalFormatting sqref="N879">
    <cfRule type="cellIs" dxfId="2491" priority="2173" operator="lessThanOrEqual">
      <formula>0.5</formula>
    </cfRule>
    <cfRule type="cellIs" dxfId="2490" priority="2174" operator="greaterThanOrEqual">
      <formula>1.5</formula>
    </cfRule>
  </conditionalFormatting>
  <conditionalFormatting sqref="K879">
    <cfRule type="cellIs" dxfId="2489" priority="2171" operator="lessThanOrEqual">
      <formula>0.5</formula>
    </cfRule>
    <cfRule type="cellIs" dxfId="2488" priority="2172" operator="greaterThanOrEqual">
      <formula>1.5</formula>
    </cfRule>
  </conditionalFormatting>
  <conditionalFormatting sqref="L879">
    <cfRule type="cellIs" dxfId="2487" priority="2169" operator="lessThanOrEqual">
      <formula>0.5</formula>
    </cfRule>
    <cfRule type="cellIs" dxfId="2486" priority="2170" operator="greaterThanOrEqual">
      <formula>1.5</formula>
    </cfRule>
  </conditionalFormatting>
  <conditionalFormatting sqref="O882">
    <cfRule type="cellIs" dxfId="2485" priority="2167" operator="lessThanOrEqual">
      <formula>0.5</formula>
    </cfRule>
    <cfRule type="cellIs" dxfId="2484" priority="2168" operator="greaterThanOrEqual">
      <formula>1.5</formula>
    </cfRule>
  </conditionalFormatting>
  <conditionalFormatting sqref="N882">
    <cfRule type="cellIs" dxfId="2483" priority="2165" operator="lessThanOrEqual">
      <formula>0.5</formula>
    </cfRule>
    <cfRule type="cellIs" dxfId="2482" priority="2166" operator="greaterThanOrEqual">
      <formula>1.5</formula>
    </cfRule>
  </conditionalFormatting>
  <conditionalFormatting sqref="K882">
    <cfRule type="cellIs" dxfId="2481" priority="2163" operator="lessThanOrEqual">
      <formula>0.5</formula>
    </cfRule>
    <cfRule type="cellIs" dxfId="2480" priority="2164" operator="greaterThanOrEqual">
      <formula>1.5</formula>
    </cfRule>
  </conditionalFormatting>
  <conditionalFormatting sqref="L882">
    <cfRule type="cellIs" dxfId="2479" priority="2161" operator="lessThanOrEqual">
      <formula>0.5</formula>
    </cfRule>
    <cfRule type="cellIs" dxfId="2478" priority="2162" operator="greaterThanOrEqual">
      <formula>1.5</formula>
    </cfRule>
  </conditionalFormatting>
  <conditionalFormatting sqref="O885">
    <cfRule type="cellIs" dxfId="2477" priority="2159" operator="lessThanOrEqual">
      <formula>0.5</formula>
    </cfRule>
    <cfRule type="cellIs" dxfId="2476" priority="2160" operator="greaterThanOrEqual">
      <formula>1.5</formula>
    </cfRule>
  </conditionalFormatting>
  <conditionalFormatting sqref="N885">
    <cfRule type="cellIs" dxfId="2475" priority="2157" operator="lessThanOrEqual">
      <formula>0.5</formula>
    </cfRule>
    <cfRule type="cellIs" dxfId="2474" priority="2158" operator="greaterThanOrEqual">
      <formula>1.5</formula>
    </cfRule>
  </conditionalFormatting>
  <conditionalFormatting sqref="K885">
    <cfRule type="cellIs" dxfId="2473" priority="2155" operator="lessThanOrEqual">
      <formula>0.5</formula>
    </cfRule>
    <cfRule type="cellIs" dxfId="2472" priority="2156" operator="greaterThanOrEqual">
      <formula>1.5</formula>
    </cfRule>
  </conditionalFormatting>
  <conditionalFormatting sqref="L885">
    <cfRule type="cellIs" dxfId="2471" priority="2153" operator="lessThanOrEqual">
      <formula>0.5</formula>
    </cfRule>
    <cfRule type="cellIs" dxfId="2470" priority="2154" operator="greaterThanOrEqual">
      <formula>1.5</formula>
    </cfRule>
  </conditionalFormatting>
  <conditionalFormatting sqref="O888">
    <cfRule type="cellIs" dxfId="2469" priority="2151" operator="lessThanOrEqual">
      <formula>0.5</formula>
    </cfRule>
    <cfRule type="cellIs" dxfId="2468" priority="2152" operator="greaterThanOrEqual">
      <formula>1.5</formula>
    </cfRule>
  </conditionalFormatting>
  <conditionalFormatting sqref="N888">
    <cfRule type="cellIs" dxfId="2467" priority="2149" operator="lessThanOrEqual">
      <formula>0.5</formula>
    </cfRule>
    <cfRule type="cellIs" dxfId="2466" priority="2150" operator="greaterThanOrEqual">
      <formula>1.5</formula>
    </cfRule>
  </conditionalFormatting>
  <conditionalFormatting sqref="K888">
    <cfRule type="cellIs" dxfId="2465" priority="2147" operator="lessThanOrEqual">
      <formula>0.5</formula>
    </cfRule>
    <cfRule type="cellIs" dxfId="2464" priority="2148" operator="greaterThanOrEqual">
      <formula>1.5</formula>
    </cfRule>
  </conditionalFormatting>
  <conditionalFormatting sqref="L888">
    <cfRule type="cellIs" dxfId="2463" priority="2145" operator="lessThanOrEqual">
      <formula>0.5</formula>
    </cfRule>
    <cfRule type="cellIs" dxfId="2462" priority="2146" operator="greaterThanOrEqual">
      <formula>1.5</formula>
    </cfRule>
  </conditionalFormatting>
  <conditionalFormatting sqref="O891">
    <cfRule type="cellIs" dxfId="2461" priority="2143" operator="lessThanOrEqual">
      <formula>0.5</formula>
    </cfRule>
    <cfRule type="cellIs" dxfId="2460" priority="2144" operator="greaterThanOrEqual">
      <formula>1.5</formula>
    </cfRule>
  </conditionalFormatting>
  <conditionalFormatting sqref="N891">
    <cfRule type="cellIs" dxfId="2459" priority="2141" operator="lessThanOrEqual">
      <formula>0.5</formula>
    </cfRule>
    <cfRule type="cellIs" dxfId="2458" priority="2142" operator="greaterThanOrEqual">
      <formula>1.5</formula>
    </cfRule>
  </conditionalFormatting>
  <conditionalFormatting sqref="K891">
    <cfRule type="cellIs" dxfId="2457" priority="2139" operator="lessThanOrEqual">
      <formula>0.5</formula>
    </cfRule>
    <cfRule type="cellIs" dxfId="2456" priority="2140" operator="greaterThanOrEqual">
      <formula>1.5</formula>
    </cfRule>
  </conditionalFormatting>
  <conditionalFormatting sqref="L891">
    <cfRule type="cellIs" dxfId="2455" priority="2137" operator="lessThanOrEqual">
      <formula>0.5</formula>
    </cfRule>
    <cfRule type="cellIs" dxfId="2454" priority="2138" operator="greaterThanOrEqual">
      <formula>1.5</formula>
    </cfRule>
  </conditionalFormatting>
  <conditionalFormatting sqref="O894">
    <cfRule type="cellIs" dxfId="2453" priority="2135" operator="lessThanOrEqual">
      <formula>0.5</formula>
    </cfRule>
    <cfRule type="cellIs" dxfId="2452" priority="2136" operator="greaterThanOrEqual">
      <formula>1.5</formula>
    </cfRule>
  </conditionalFormatting>
  <conditionalFormatting sqref="N894">
    <cfRule type="cellIs" dxfId="2451" priority="2133" operator="lessThanOrEqual">
      <formula>0.5</formula>
    </cfRule>
    <cfRule type="cellIs" dxfId="2450" priority="2134" operator="greaterThanOrEqual">
      <formula>1.5</formula>
    </cfRule>
  </conditionalFormatting>
  <conditionalFormatting sqref="K894">
    <cfRule type="cellIs" dxfId="2449" priority="2131" operator="lessThanOrEqual">
      <formula>0.5</formula>
    </cfRule>
    <cfRule type="cellIs" dxfId="2448" priority="2132" operator="greaterThanOrEqual">
      <formula>1.5</formula>
    </cfRule>
  </conditionalFormatting>
  <conditionalFormatting sqref="L894">
    <cfRule type="cellIs" dxfId="2447" priority="2129" operator="lessThanOrEqual">
      <formula>0.5</formula>
    </cfRule>
    <cfRule type="cellIs" dxfId="2446" priority="2130" operator="greaterThanOrEqual">
      <formula>1.5</formula>
    </cfRule>
  </conditionalFormatting>
  <conditionalFormatting sqref="O897">
    <cfRule type="cellIs" dxfId="2445" priority="2127" operator="lessThanOrEqual">
      <formula>0.5</formula>
    </cfRule>
    <cfRule type="cellIs" dxfId="2444" priority="2128" operator="greaterThanOrEqual">
      <formula>1.5</formula>
    </cfRule>
  </conditionalFormatting>
  <conditionalFormatting sqref="N897">
    <cfRule type="cellIs" dxfId="2443" priority="2125" operator="lessThanOrEqual">
      <formula>0.5</formula>
    </cfRule>
    <cfRule type="cellIs" dxfId="2442" priority="2126" operator="greaterThanOrEqual">
      <formula>1.5</formula>
    </cfRule>
  </conditionalFormatting>
  <conditionalFormatting sqref="K897">
    <cfRule type="cellIs" dxfId="2441" priority="2123" operator="lessThanOrEqual">
      <formula>0.5</formula>
    </cfRule>
    <cfRule type="cellIs" dxfId="2440" priority="2124" operator="greaterThanOrEqual">
      <formula>1.5</formula>
    </cfRule>
  </conditionalFormatting>
  <conditionalFormatting sqref="L897">
    <cfRule type="cellIs" dxfId="2439" priority="2121" operator="lessThanOrEqual">
      <formula>0.5</formula>
    </cfRule>
    <cfRule type="cellIs" dxfId="2438" priority="2122" operator="greaterThanOrEqual">
      <formula>1.5</formula>
    </cfRule>
  </conditionalFormatting>
  <conditionalFormatting sqref="O900">
    <cfRule type="cellIs" dxfId="2437" priority="2119" operator="lessThanOrEqual">
      <formula>0.5</formula>
    </cfRule>
    <cfRule type="cellIs" dxfId="2436" priority="2120" operator="greaterThanOrEqual">
      <formula>1.5</formula>
    </cfRule>
  </conditionalFormatting>
  <conditionalFormatting sqref="N900">
    <cfRule type="cellIs" dxfId="2435" priority="2117" operator="lessThanOrEqual">
      <formula>0.5</formula>
    </cfRule>
    <cfRule type="cellIs" dxfId="2434" priority="2118" operator="greaterThanOrEqual">
      <formula>1.5</formula>
    </cfRule>
  </conditionalFormatting>
  <conditionalFormatting sqref="K900">
    <cfRule type="cellIs" dxfId="2433" priority="2115" operator="lessThanOrEqual">
      <formula>0.5</formula>
    </cfRule>
    <cfRule type="cellIs" dxfId="2432" priority="2116" operator="greaterThanOrEqual">
      <formula>1.5</formula>
    </cfRule>
  </conditionalFormatting>
  <conditionalFormatting sqref="L900">
    <cfRule type="cellIs" dxfId="2431" priority="2113" operator="lessThanOrEqual">
      <formula>0.5</formula>
    </cfRule>
    <cfRule type="cellIs" dxfId="2430" priority="2114" operator="greaterThanOrEqual">
      <formula>1.5</formula>
    </cfRule>
  </conditionalFormatting>
  <conditionalFormatting sqref="O903">
    <cfRule type="cellIs" dxfId="2429" priority="2111" operator="lessThanOrEqual">
      <formula>0.5</formula>
    </cfRule>
    <cfRule type="cellIs" dxfId="2428" priority="2112" operator="greaterThanOrEqual">
      <formula>1.5</formula>
    </cfRule>
  </conditionalFormatting>
  <conditionalFormatting sqref="N903">
    <cfRule type="cellIs" dxfId="2427" priority="2109" operator="lessThanOrEqual">
      <formula>0.5</formula>
    </cfRule>
    <cfRule type="cellIs" dxfId="2426" priority="2110" operator="greaterThanOrEqual">
      <formula>1.5</formula>
    </cfRule>
  </conditionalFormatting>
  <conditionalFormatting sqref="K903">
    <cfRule type="cellIs" dxfId="2425" priority="2107" operator="lessThanOrEqual">
      <formula>0.5</formula>
    </cfRule>
    <cfRule type="cellIs" dxfId="2424" priority="2108" operator="greaterThanOrEqual">
      <formula>1.5</formula>
    </cfRule>
  </conditionalFormatting>
  <conditionalFormatting sqref="L903">
    <cfRule type="cellIs" dxfId="2423" priority="2105" operator="lessThanOrEqual">
      <formula>0.5</formula>
    </cfRule>
    <cfRule type="cellIs" dxfId="2422" priority="2106" operator="greaterThanOrEqual">
      <formula>1.5</formula>
    </cfRule>
  </conditionalFormatting>
  <conditionalFormatting sqref="O906">
    <cfRule type="cellIs" dxfId="2421" priority="2103" operator="lessThanOrEqual">
      <formula>0.5</formula>
    </cfRule>
    <cfRule type="cellIs" dxfId="2420" priority="2104" operator="greaterThanOrEqual">
      <formula>1.5</formula>
    </cfRule>
  </conditionalFormatting>
  <conditionalFormatting sqref="N906">
    <cfRule type="cellIs" dxfId="2419" priority="2101" operator="lessThanOrEqual">
      <formula>0.5</formula>
    </cfRule>
    <cfRule type="cellIs" dxfId="2418" priority="2102" operator="greaterThanOrEqual">
      <formula>1.5</formula>
    </cfRule>
  </conditionalFormatting>
  <conditionalFormatting sqref="K906">
    <cfRule type="cellIs" dxfId="2417" priority="2099" operator="lessThanOrEqual">
      <formula>0.5</formula>
    </cfRule>
    <cfRule type="cellIs" dxfId="2416" priority="2100" operator="greaterThanOrEqual">
      <formula>1.5</formula>
    </cfRule>
  </conditionalFormatting>
  <conditionalFormatting sqref="L906">
    <cfRule type="cellIs" dxfId="2415" priority="2097" operator="lessThanOrEqual">
      <formula>0.5</formula>
    </cfRule>
    <cfRule type="cellIs" dxfId="2414" priority="2098" operator="greaterThanOrEqual">
      <formula>1.5</formula>
    </cfRule>
  </conditionalFormatting>
  <conditionalFormatting sqref="O909">
    <cfRule type="cellIs" dxfId="2413" priority="2095" operator="lessThanOrEqual">
      <formula>0.5</formula>
    </cfRule>
    <cfRule type="cellIs" dxfId="2412" priority="2096" operator="greaterThanOrEqual">
      <formula>1.5</formula>
    </cfRule>
  </conditionalFormatting>
  <conditionalFormatting sqref="N909">
    <cfRule type="cellIs" dxfId="2411" priority="2093" operator="lessThanOrEqual">
      <formula>0.5</formula>
    </cfRule>
    <cfRule type="cellIs" dxfId="2410" priority="2094" operator="greaterThanOrEqual">
      <formula>1.5</formula>
    </cfRule>
  </conditionalFormatting>
  <conditionalFormatting sqref="K909">
    <cfRule type="cellIs" dxfId="2409" priority="2091" operator="lessThanOrEqual">
      <formula>0.5</formula>
    </cfRule>
    <cfRule type="cellIs" dxfId="2408" priority="2092" operator="greaterThanOrEqual">
      <formula>1.5</formula>
    </cfRule>
  </conditionalFormatting>
  <conditionalFormatting sqref="L909">
    <cfRule type="cellIs" dxfId="2407" priority="2089" operator="lessThanOrEqual">
      <formula>0.5</formula>
    </cfRule>
    <cfRule type="cellIs" dxfId="2406" priority="2090" operator="greaterThanOrEqual">
      <formula>1.5</formula>
    </cfRule>
  </conditionalFormatting>
  <conditionalFormatting sqref="O912">
    <cfRule type="cellIs" dxfId="2405" priority="2087" operator="lessThanOrEqual">
      <formula>0.5</formula>
    </cfRule>
    <cfRule type="cellIs" dxfId="2404" priority="2088" operator="greaterThanOrEqual">
      <formula>1.5</formula>
    </cfRule>
  </conditionalFormatting>
  <conditionalFormatting sqref="N912">
    <cfRule type="cellIs" dxfId="2403" priority="2085" operator="lessThanOrEqual">
      <formula>0.5</formula>
    </cfRule>
    <cfRule type="cellIs" dxfId="2402" priority="2086" operator="greaterThanOrEqual">
      <formula>1.5</formula>
    </cfRule>
  </conditionalFormatting>
  <conditionalFormatting sqref="K912">
    <cfRule type="cellIs" dxfId="2401" priority="2083" operator="lessThanOrEqual">
      <formula>0.5</formula>
    </cfRule>
    <cfRule type="cellIs" dxfId="2400" priority="2084" operator="greaterThanOrEqual">
      <formula>1.5</formula>
    </cfRule>
  </conditionalFormatting>
  <conditionalFormatting sqref="L912">
    <cfRule type="cellIs" dxfId="2399" priority="2081" operator="lessThanOrEqual">
      <formula>0.5</formula>
    </cfRule>
    <cfRule type="cellIs" dxfId="2398" priority="2082" operator="greaterThanOrEqual">
      <formula>1.5</formula>
    </cfRule>
  </conditionalFormatting>
  <conditionalFormatting sqref="O915">
    <cfRule type="cellIs" dxfId="2397" priority="2079" operator="lessThanOrEqual">
      <formula>0.5</formula>
    </cfRule>
    <cfRule type="cellIs" dxfId="2396" priority="2080" operator="greaterThanOrEqual">
      <formula>1.5</formula>
    </cfRule>
  </conditionalFormatting>
  <conditionalFormatting sqref="N915">
    <cfRule type="cellIs" dxfId="2395" priority="2077" operator="lessThanOrEqual">
      <formula>0.5</formula>
    </cfRule>
    <cfRule type="cellIs" dxfId="2394" priority="2078" operator="greaterThanOrEqual">
      <formula>1.5</formula>
    </cfRule>
  </conditionalFormatting>
  <conditionalFormatting sqref="K915">
    <cfRule type="cellIs" dxfId="2393" priority="2075" operator="lessThanOrEqual">
      <formula>0.5</formula>
    </cfRule>
    <cfRule type="cellIs" dxfId="2392" priority="2076" operator="greaterThanOrEqual">
      <formula>1.5</formula>
    </cfRule>
  </conditionalFormatting>
  <conditionalFormatting sqref="L915">
    <cfRule type="cellIs" dxfId="2391" priority="2073" operator="lessThanOrEqual">
      <formula>0.5</formula>
    </cfRule>
    <cfRule type="cellIs" dxfId="2390" priority="2074" operator="greaterThanOrEqual">
      <formula>1.5</formula>
    </cfRule>
  </conditionalFormatting>
  <conditionalFormatting sqref="O918">
    <cfRule type="cellIs" dxfId="2389" priority="2071" operator="lessThanOrEqual">
      <formula>0.5</formula>
    </cfRule>
    <cfRule type="cellIs" dxfId="2388" priority="2072" operator="greaterThanOrEqual">
      <formula>1.5</formula>
    </cfRule>
  </conditionalFormatting>
  <conditionalFormatting sqref="N918">
    <cfRule type="cellIs" dxfId="2387" priority="2069" operator="lessThanOrEqual">
      <formula>0.5</formula>
    </cfRule>
    <cfRule type="cellIs" dxfId="2386" priority="2070" operator="greaterThanOrEqual">
      <formula>1.5</formula>
    </cfRule>
  </conditionalFormatting>
  <conditionalFormatting sqref="K918">
    <cfRule type="cellIs" dxfId="2385" priority="2067" operator="lessThanOrEqual">
      <formula>0.5</formula>
    </cfRule>
    <cfRule type="cellIs" dxfId="2384" priority="2068" operator="greaterThanOrEqual">
      <formula>1.5</formula>
    </cfRule>
  </conditionalFormatting>
  <conditionalFormatting sqref="L918">
    <cfRule type="cellIs" dxfId="2383" priority="2065" operator="lessThanOrEqual">
      <formula>0.5</formula>
    </cfRule>
    <cfRule type="cellIs" dxfId="2382" priority="2066" operator="greaterThanOrEqual">
      <formula>1.5</formula>
    </cfRule>
  </conditionalFormatting>
  <conditionalFormatting sqref="O921">
    <cfRule type="cellIs" dxfId="2381" priority="2063" operator="lessThanOrEqual">
      <formula>0.5</formula>
    </cfRule>
    <cfRule type="cellIs" dxfId="2380" priority="2064" operator="greaterThanOrEqual">
      <formula>1.5</formula>
    </cfRule>
  </conditionalFormatting>
  <conditionalFormatting sqref="N921">
    <cfRule type="cellIs" dxfId="2379" priority="2061" operator="lessThanOrEqual">
      <formula>0.5</formula>
    </cfRule>
    <cfRule type="cellIs" dxfId="2378" priority="2062" operator="greaterThanOrEqual">
      <formula>1.5</formula>
    </cfRule>
  </conditionalFormatting>
  <conditionalFormatting sqref="K921">
    <cfRule type="cellIs" dxfId="2377" priority="2059" operator="lessThanOrEqual">
      <formula>0.5</formula>
    </cfRule>
    <cfRule type="cellIs" dxfId="2376" priority="2060" operator="greaterThanOrEqual">
      <formula>1.5</formula>
    </cfRule>
  </conditionalFormatting>
  <conditionalFormatting sqref="L921">
    <cfRule type="cellIs" dxfId="2375" priority="2057" operator="lessThanOrEqual">
      <formula>0.5</formula>
    </cfRule>
    <cfRule type="cellIs" dxfId="2374" priority="2058" operator="greaterThanOrEqual">
      <formula>1.5</formula>
    </cfRule>
  </conditionalFormatting>
  <conditionalFormatting sqref="O924">
    <cfRule type="cellIs" dxfId="2373" priority="2055" operator="lessThanOrEqual">
      <formula>0.5</formula>
    </cfRule>
    <cfRule type="cellIs" dxfId="2372" priority="2056" operator="greaterThanOrEqual">
      <formula>1.5</formula>
    </cfRule>
  </conditionalFormatting>
  <conditionalFormatting sqref="N924">
    <cfRule type="cellIs" dxfId="2371" priority="2053" operator="lessThanOrEqual">
      <formula>0.5</formula>
    </cfRule>
    <cfRule type="cellIs" dxfId="2370" priority="2054" operator="greaterThanOrEqual">
      <formula>1.5</formula>
    </cfRule>
  </conditionalFormatting>
  <conditionalFormatting sqref="K924">
    <cfRule type="cellIs" dxfId="2369" priority="2051" operator="lessThanOrEqual">
      <formula>0.5</formula>
    </cfRule>
    <cfRule type="cellIs" dxfId="2368" priority="2052" operator="greaterThanOrEqual">
      <formula>1.5</formula>
    </cfRule>
  </conditionalFormatting>
  <conditionalFormatting sqref="L924">
    <cfRule type="cellIs" dxfId="2367" priority="2049" operator="lessThanOrEqual">
      <formula>0.5</formula>
    </cfRule>
    <cfRule type="cellIs" dxfId="2366" priority="2050" operator="greaterThanOrEqual">
      <formula>1.5</formula>
    </cfRule>
  </conditionalFormatting>
  <conditionalFormatting sqref="O927">
    <cfRule type="cellIs" dxfId="2365" priority="2047" operator="lessThanOrEqual">
      <formula>0.5</formula>
    </cfRule>
    <cfRule type="cellIs" dxfId="2364" priority="2048" operator="greaterThanOrEqual">
      <formula>1.5</formula>
    </cfRule>
  </conditionalFormatting>
  <conditionalFormatting sqref="N927">
    <cfRule type="cellIs" dxfId="2363" priority="2045" operator="lessThanOrEqual">
      <formula>0.5</formula>
    </cfRule>
    <cfRule type="cellIs" dxfId="2362" priority="2046" operator="greaterThanOrEqual">
      <formula>1.5</formula>
    </cfRule>
  </conditionalFormatting>
  <conditionalFormatting sqref="K927">
    <cfRule type="cellIs" dxfId="2361" priority="2043" operator="lessThanOrEqual">
      <formula>0.5</formula>
    </cfRule>
    <cfRule type="cellIs" dxfId="2360" priority="2044" operator="greaterThanOrEqual">
      <formula>1.5</formula>
    </cfRule>
  </conditionalFormatting>
  <conditionalFormatting sqref="L927">
    <cfRule type="cellIs" dxfId="2359" priority="2041" operator="lessThanOrEqual">
      <formula>0.5</formula>
    </cfRule>
    <cfRule type="cellIs" dxfId="2358" priority="2042" operator="greaterThanOrEqual">
      <formula>1.5</formula>
    </cfRule>
  </conditionalFormatting>
  <conditionalFormatting sqref="O930">
    <cfRule type="cellIs" dxfId="2357" priority="2039" operator="lessThanOrEqual">
      <formula>0.5</formula>
    </cfRule>
    <cfRule type="cellIs" dxfId="2356" priority="2040" operator="greaterThanOrEqual">
      <formula>1.5</formula>
    </cfRule>
  </conditionalFormatting>
  <conditionalFormatting sqref="N930">
    <cfRule type="cellIs" dxfId="2355" priority="2037" operator="lessThanOrEqual">
      <formula>0.5</formula>
    </cfRule>
    <cfRule type="cellIs" dxfId="2354" priority="2038" operator="greaterThanOrEqual">
      <formula>1.5</formula>
    </cfRule>
  </conditionalFormatting>
  <conditionalFormatting sqref="K930">
    <cfRule type="cellIs" dxfId="2353" priority="2035" operator="lessThanOrEqual">
      <formula>0.5</formula>
    </cfRule>
    <cfRule type="cellIs" dxfId="2352" priority="2036" operator="greaterThanOrEqual">
      <formula>1.5</formula>
    </cfRule>
  </conditionalFormatting>
  <conditionalFormatting sqref="L930">
    <cfRule type="cellIs" dxfId="2351" priority="2033" operator="lessThanOrEqual">
      <formula>0.5</formula>
    </cfRule>
    <cfRule type="cellIs" dxfId="2350" priority="2034" operator="greaterThanOrEqual">
      <formula>1.5</formula>
    </cfRule>
  </conditionalFormatting>
  <conditionalFormatting sqref="O933">
    <cfRule type="cellIs" dxfId="2349" priority="2031" operator="lessThanOrEqual">
      <formula>0.5</formula>
    </cfRule>
    <cfRule type="cellIs" dxfId="2348" priority="2032" operator="greaterThanOrEqual">
      <formula>1.5</formula>
    </cfRule>
  </conditionalFormatting>
  <conditionalFormatting sqref="N933">
    <cfRule type="cellIs" dxfId="2347" priority="2029" operator="lessThanOrEqual">
      <formula>0.5</formula>
    </cfRule>
    <cfRule type="cellIs" dxfId="2346" priority="2030" operator="greaterThanOrEqual">
      <formula>1.5</formula>
    </cfRule>
  </conditionalFormatting>
  <conditionalFormatting sqref="K933">
    <cfRule type="cellIs" dxfId="2345" priority="2027" operator="lessThanOrEqual">
      <formula>0.5</formula>
    </cfRule>
    <cfRule type="cellIs" dxfId="2344" priority="2028" operator="greaterThanOrEqual">
      <formula>1.5</formula>
    </cfRule>
  </conditionalFormatting>
  <conditionalFormatting sqref="L933">
    <cfRule type="cellIs" dxfId="2343" priority="2025" operator="lessThanOrEqual">
      <formula>0.5</formula>
    </cfRule>
    <cfRule type="cellIs" dxfId="2342" priority="2026" operator="greaterThanOrEqual">
      <formula>1.5</formula>
    </cfRule>
  </conditionalFormatting>
  <conditionalFormatting sqref="O936">
    <cfRule type="cellIs" dxfId="2341" priority="2023" operator="lessThanOrEqual">
      <formula>0.5</formula>
    </cfRule>
    <cfRule type="cellIs" dxfId="2340" priority="2024" operator="greaterThanOrEqual">
      <formula>1.5</formula>
    </cfRule>
  </conditionalFormatting>
  <conditionalFormatting sqref="N936">
    <cfRule type="cellIs" dxfId="2339" priority="2021" operator="lessThanOrEqual">
      <formula>0.5</formula>
    </cfRule>
    <cfRule type="cellIs" dxfId="2338" priority="2022" operator="greaterThanOrEqual">
      <formula>1.5</formula>
    </cfRule>
  </conditionalFormatting>
  <conditionalFormatting sqref="K936">
    <cfRule type="cellIs" dxfId="2337" priority="2019" operator="lessThanOrEqual">
      <formula>0.5</formula>
    </cfRule>
    <cfRule type="cellIs" dxfId="2336" priority="2020" operator="greaterThanOrEqual">
      <formula>1.5</formula>
    </cfRule>
  </conditionalFormatting>
  <conditionalFormatting sqref="L936">
    <cfRule type="cellIs" dxfId="2335" priority="2017" operator="lessThanOrEqual">
      <formula>0.5</formula>
    </cfRule>
    <cfRule type="cellIs" dxfId="2334" priority="2018" operator="greaterThanOrEqual">
      <formula>1.5</formula>
    </cfRule>
  </conditionalFormatting>
  <conditionalFormatting sqref="O939">
    <cfRule type="cellIs" dxfId="2333" priority="2015" operator="lessThanOrEqual">
      <formula>0.5</formula>
    </cfRule>
    <cfRule type="cellIs" dxfId="2332" priority="2016" operator="greaterThanOrEqual">
      <formula>1.5</formula>
    </cfRule>
  </conditionalFormatting>
  <conditionalFormatting sqref="N939">
    <cfRule type="cellIs" dxfId="2331" priority="2013" operator="lessThanOrEqual">
      <formula>0.5</formula>
    </cfRule>
    <cfRule type="cellIs" dxfId="2330" priority="2014" operator="greaterThanOrEqual">
      <formula>1.5</formula>
    </cfRule>
  </conditionalFormatting>
  <conditionalFormatting sqref="K939">
    <cfRule type="cellIs" dxfId="2329" priority="2011" operator="lessThanOrEqual">
      <formula>0.5</formula>
    </cfRule>
    <cfRule type="cellIs" dxfId="2328" priority="2012" operator="greaterThanOrEqual">
      <formula>1.5</formula>
    </cfRule>
  </conditionalFormatting>
  <conditionalFormatting sqref="L939">
    <cfRule type="cellIs" dxfId="2327" priority="2009" operator="lessThanOrEqual">
      <formula>0.5</formula>
    </cfRule>
    <cfRule type="cellIs" dxfId="2326" priority="2010" operator="greaterThanOrEqual">
      <formula>1.5</formula>
    </cfRule>
  </conditionalFormatting>
  <conditionalFormatting sqref="O942">
    <cfRule type="cellIs" dxfId="2325" priority="2007" operator="lessThanOrEqual">
      <formula>0.5</formula>
    </cfRule>
    <cfRule type="cellIs" dxfId="2324" priority="2008" operator="greaterThanOrEqual">
      <formula>1.5</formula>
    </cfRule>
  </conditionalFormatting>
  <conditionalFormatting sqref="N942">
    <cfRule type="cellIs" dxfId="2323" priority="2005" operator="lessThanOrEqual">
      <formula>0.5</formula>
    </cfRule>
    <cfRule type="cellIs" dxfId="2322" priority="2006" operator="greaterThanOrEqual">
      <formula>1.5</formula>
    </cfRule>
  </conditionalFormatting>
  <conditionalFormatting sqref="K942">
    <cfRule type="cellIs" dxfId="2321" priority="2003" operator="lessThanOrEqual">
      <formula>0.5</formula>
    </cfRule>
    <cfRule type="cellIs" dxfId="2320" priority="2004" operator="greaterThanOrEqual">
      <formula>1.5</formula>
    </cfRule>
  </conditionalFormatting>
  <conditionalFormatting sqref="L942">
    <cfRule type="cellIs" dxfId="2319" priority="2001" operator="lessThanOrEqual">
      <formula>0.5</formula>
    </cfRule>
    <cfRule type="cellIs" dxfId="2318" priority="2002" operator="greaterThanOrEqual">
      <formula>1.5</formula>
    </cfRule>
  </conditionalFormatting>
  <conditionalFormatting sqref="O945">
    <cfRule type="cellIs" dxfId="2317" priority="1991" operator="lessThanOrEqual">
      <formula>0.5</formula>
    </cfRule>
    <cfRule type="cellIs" dxfId="2316" priority="1992" operator="greaterThanOrEqual">
      <formula>1.5</formula>
    </cfRule>
  </conditionalFormatting>
  <conditionalFormatting sqref="N945">
    <cfRule type="cellIs" dxfId="2315" priority="1989" operator="lessThanOrEqual">
      <formula>0.5</formula>
    </cfRule>
    <cfRule type="cellIs" dxfId="2314" priority="1990" operator="greaterThanOrEqual">
      <formula>1.5</formula>
    </cfRule>
  </conditionalFormatting>
  <conditionalFormatting sqref="K945">
    <cfRule type="cellIs" dxfId="2313" priority="1987" operator="lessThanOrEqual">
      <formula>0.5</formula>
    </cfRule>
    <cfRule type="cellIs" dxfId="2312" priority="1988" operator="greaterThanOrEqual">
      <formula>1.5</formula>
    </cfRule>
  </conditionalFormatting>
  <conditionalFormatting sqref="L945">
    <cfRule type="cellIs" dxfId="2311" priority="1985" operator="lessThanOrEqual">
      <formula>0.5</formula>
    </cfRule>
    <cfRule type="cellIs" dxfId="2310" priority="1986" operator="greaterThanOrEqual">
      <formula>1.5</formula>
    </cfRule>
  </conditionalFormatting>
  <conditionalFormatting sqref="O948">
    <cfRule type="cellIs" dxfId="2309" priority="1983" operator="lessThanOrEqual">
      <formula>0.5</formula>
    </cfRule>
    <cfRule type="cellIs" dxfId="2308" priority="1984" operator="greaterThanOrEqual">
      <formula>1.5</formula>
    </cfRule>
  </conditionalFormatting>
  <conditionalFormatting sqref="N948">
    <cfRule type="cellIs" dxfId="2307" priority="1981" operator="lessThanOrEqual">
      <formula>0.5</formula>
    </cfRule>
    <cfRule type="cellIs" dxfId="2306" priority="1982" operator="greaterThanOrEqual">
      <formula>1.5</formula>
    </cfRule>
  </conditionalFormatting>
  <conditionalFormatting sqref="K948">
    <cfRule type="cellIs" dxfId="2305" priority="1979" operator="lessThanOrEqual">
      <formula>0.5</formula>
    </cfRule>
    <cfRule type="cellIs" dxfId="2304" priority="1980" operator="greaterThanOrEqual">
      <formula>1.5</formula>
    </cfRule>
  </conditionalFormatting>
  <conditionalFormatting sqref="L948">
    <cfRule type="cellIs" dxfId="2303" priority="1977" operator="lessThanOrEqual">
      <formula>0.5</formula>
    </cfRule>
    <cfRule type="cellIs" dxfId="2302" priority="1978" operator="greaterThanOrEqual">
      <formula>1.5</formula>
    </cfRule>
  </conditionalFormatting>
  <conditionalFormatting sqref="O951">
    <cfRule type="cellIs" dxfId="2301" priority="1975" operator="lessThanOrEqual">
      <formula>0.5</formula>
    </cfRule>
    <cfRule type="cellIs" dxfId="2300" priority="1976" operator="greaterThanOrEqual">
      <formula>1.5</formula>
    </cfRule>
  </conditionalFormatting>
  <conditionalFormatting sqref="N951">
    <cfRule type="cellIs" dxfId="2299" priority="1973" operator="lessThanOrEqual">
      <formula>0.5</formula>
    </cfRule>
    <cfRule type="cellIs" dxfId="2298" priority="1974" operator="greaterThanOrEqual">
      <formula>1.5</formula>
    </cfRule>
  </conditionalFormatting>
  <conditionalFormatting sqref="K951">
    <cfRule type="cellIs" dxfId="2297" priority="1971" operator="lessThanOrEqual">
      <formula>0.5</formula>
    </cfRule>
    <cfRule type="cellIs" dxfId="2296" priority="1972" operator="greaterThanOrEqual">
      <formula>1.5</formula>
    </cfRule>
  </conditionalFormatting>
  <conditionalFormatting sqref="L951">
    <cfRule type="cellIs" dxfId="2295" priority="1969" operator="lessThanOrEqual">
      <formula>0.5</formula>
    </cfRule>
    <cfRule type="cellIs" dxfId="2294" priority="1970" operator="greaterThanOrEqual">
      <formula>1.5</formula>
    </cfRule>
  </conditionalFormatting>
  <conditionalFormatting sqref="O954">
    <cfRule type="cellIs" dxfId="2293" priority="1967" operator="lessThanOrEqual">
      <formula>0.5</formula>
    </cfRule>
    <cfRule type="cellIs" dxfId="2292" priority="1968" operator="greaterThanOrEqual">
      <formula>1.5</formula>
    </cfRule>
  </conditionalFormatting>
  <conditionalFormatting sqref="N954">
    <cfRule type="cellIs" dxfId="2291" priority="1965" operator="lessThanOrEqual">
      <formula>0.5</formula>
    </cfRule>
    <cfRule type="cellIs" dxfId="2290" priority="1966" operator="greaterThanOrEqual">
      <formula>1.5</formula>
    </cfRule>
  </conditionalFormatting>
  <conditionalFormatting sqref="K954">
    <cfRule type="cellIs" dxfId="2289" priority="1963" operator="lessThanOrEqual">
      <formula>0.5</formula>
    </cfRule>
    <cfRule type="cellIs" dxfId="2288" priority="1964" operator="greaterThanOrEqual">
      <formula>1.5</formula>
    </cfRule>
  </conditionalFormatting>
  <conditionalFormatting sqref="L954">
    <cfRule type="cellIs" dxfId="2287" priority="1961" operator="lessThanOrEqual">
      <formula>0.5</formula>
    </cfRule>
    <cfRule type="cellIs" dxfId="2286" priority="1962" operator="greaterThanOrEqual">
      <formula>1.5</formula>
    </cfRule>
  </conditionalFormatting>
  <conditionalFormatting sqref="O957">
    <cfRule type="cellIs" dxfId="2285" priority="1959" operator="lessThanOrEqual">
      <formula>0.5</formula>
    </cfRule>
    <cfRule type="cellIs" dxfId="2284" priority="1960" operator="greaterThanOrEqual">
      <formula>1.5</formula>
    </cfRule>
  </conditionalFormatting>
  <conditionalFormatting sqref="N957">
    <cfRule type="cellIs" dxfId="2283" priority="1957" operator="lessThanOrEqual">
      <formula>0.5</formula>
    </cfRule>
    <cfRule type="cellIs" dxfId="2282" priority="1958" operator="greaterThanOrEqual">
      <formula>1.5</formula>
    </cfRule>
  </conditionalFormatting>
  <conditionalFormatting sqref="K957">
    <cfRule type="cellIs" dxfId="2281" priority="1955" operator="lessThanOrEqual">
      <formula>0.5</formula>
    </cfRule>
    <cfRule type="cellIs" dxfId="2280" priority="1956" operator="greaterThanOrEqual">
      <formula>1.5</formula>
    </cfRule>
  </conditionalFormatting>
  <conditionalFormatting sqref="L957">
    <cfRule type="cellIs" dxfId="2279" priority="1953" operator="lessThanOrEqual">
      <formula>0.5</formula>
    </cfRule>
    <cfRule type="cellIs" dxfId="2278" priority="1954" operator="greaterThanOrEqual">
      <formula>1.5</formula>
    </cfRule>
  </conditionalFormatting>
  <conditionalFormatting sqref="O960">
    <cfRule type="cellIs" dxfId="2277" priority="1951" operator="lessThanOrEqual">
      <formula>0.5</formula>
    </cfRule>
    <cfRule type="cellIs" dxfId="2276" priority="1952" operator="greaterThanOrEqual">
      <formula>1.5</formula>
    </cfRule>
  </conditionalFormatting>
  <conditionalFormatting sqref="N960">
    <cfRule type="cellIs" dxfId="2275" priority="1949" operator="lessThanOrEqual">
      <formula>0.5</formula>
    </cfRule>
    <cfRule type="cellIs" dxfId="2274" priority="1950" operator="greaterThanOrEqual">
      <formula>1.5</formula>
    </cfRule>
  </conditionalFormatting>
  <conditionalFormatting sqref="K960">
    <cfRule type="cellIs" dxfId="2273" priority="1947" operator="lessThanOrEqual">
      <formula>0.5</formula>
    </cfRule>
    <cfRule type="cellIs" dxfId="2272" priority="1948" operator="greaterThanOrEqual">
      <formula>1.5</formula>
    </cfRule>
  </conditionalFormatting>
  <conditionalFormatting sqref="L960">
    <cfRule type="cellIs" dxfId="2271" priority="1945" operator="lessThanOrEqual">
      <formula>0.5</formula>
    </cfRule>
    <cfRule type="cellIs" dxfId="2270" priority="1946" operator="greaterThanOrEqual">
      <formula>1.5</formula>
    </cfRule>
  </conditionalFormatting>
  <conditionalFormatting sqref="O963">
    <cfRule type="cellIs" dxfId="2269" priority="1943" operator="lessThanOrEqual">
      <formula>0.5</formula>
    </cfRule>
    <cfRule type="cellIs" dxfId="2268" priority="1944" operator="greaterThanOrEqual">
      <formula>1.5</formula>
    </cfRule>
  </conditionalFormatting>
  <conditionalFormatting sqref="N963">
    <cfRule type="cellIs" dxfId="2267" priority="1941" operator="lessThanOrEqual">
      <formula>0.5</formula>
    </cfRule>
    <cfRule type="cellIs" dxfId="2266" priority="1942" operator="greaterThanOrEqual">
      <formula>1.5</formula>
    </cfRule>
  </conditionalFormatting>
  <conditionalFormatting sqref="K963">
    <cfRule type="cellIs" dxfId="2265" priority="1939" operator="lessThanOrEqual">
      <formula>0.5</formula>
    </cfRule>
    <cfRule type="cellIs" dxfId="2264" priority="1940" operator="greaterThanOrEqual">
      <formula>1.5</formula>
    </cfRule>
  </conditionalFormatting>
  <conditionalFormatting sqref="L963">
    <cfRule type="cellIs" dxfId="2263" priority="1937" operator="lessThanOrEqual">
      <formula>0.5</formula>
    </cfRule>
    <cfRule type="cellIs" dxfId="2262" priority="1938" operator="greaterThanOrEqual">
      <formula>1.5</formula>
    </cfRule>
  </conditionalFormatting>
  <conditionalFormatting sqref="O966">
    <cfRule type="cellIs" dxfId="2261" priority="1935" operator="lessThanOrEqual">
      <formula>0.5</formula>
    </cfRule>
    <cfRule type="cellIs" dxfId="2260" priority="1936" operator="greaterThanOrEqual">
      <formula>1.5</formula>
    </cfRule>
  </conditionalFormatting>
  <conditionalFormatting sqref="N966">
    <cfRule type="cellIs" dxfId="2259" priority="1933" operator="lessThanOrEqual">
      <formula>0.5</formula>
    </cfRule>
    <cfRule type="cellIs" dxfId="2258" priority="1934" operator="greaterThanOrEqual">
      <formula>1.5</formula>
    </cfRule>
  </conditionalFormatting>
  <conditionalFormatting sqref="K966">
    <cfRule type="cellIs" dxfId="2257" priority="1931" operator="lessThanOrEqual">
      <formula>0.5</formula>
    </cfRule>
    <cfRule type="cellIs" dxfId="2256" priority="1932" operator="greaterThanOrEqual">
      <formula>1.5</formula>
    </cfRule>
  </conditionalFormatting>
  <conditionalFormatting sqref="L966">
    <cfRule type="cellIs" dxfId="2255" priority="1929" operator="lessThanOrEqual">
      <formula>0.5</formula>
    </cfRule>
    <cfRule type="cellIs" dxfId="2254" priority="1930" operator="greaterThanOrEqual">
      <formula>1.5</formula>
    </cfRule>
  </conditionalFormatting>
  <conditionalFormatting sqref="O969">
    <cfRule type="cellIs" dxfId="2253" priority="1927" operator="lessThanOrEqual">
      <formula>0.5</formula>
    </cfRule>
    <cfRule type="cellIs" dxfId="2252" priority="1928" operator="greaterThanOrEqual">
      <formula>1.5</formula>
    </cfRule>
  </conditionalFormatting>
  <conditionalFormatting sqref="N969">
    <cfRule type="cellIs" dxfId="2251" priority="1925" operator="lessThanOrEqual">
      <formula>0.5</formula>
    </cfRule>
    <cfRule type="cellIs" dxfId="2250" priority="1926" operator="greaterThanOrEqual">
      <formula>1.5</formula>
    </cfRule>
  </conditionalFormatting>
  <conditionalFormatting sqref="K969">
    <cfRule type="cellIs" dxfId="2249" priority="1923" operator="lessThanOrEqual">
      <formula>0.5</formula>
    </cfRule>
    <cfRule type="cellIs" dxfId="2248" priority="1924" operator="greaterThanOrEqual">
      <formula>1.5</formula>
    </cfRule>
  </conditionalFormatting>
  <conditionalFormatting sqref="L969">
    <cfRule type="cellIs" dxfId="2247" priority="1921" operator="lessThanOrEqual">
      <formula>0.5</formula>
    </cfRule>
    <cfRule type="cellIs" dxfId="2246" priority="1922" operator="greaterThanOrEqual">
      <formula>1.5</formula>
    </cfRule>
  </conditionalFormatting>
  <conditionalFormatting sqref="O972">
    <cfRule type="cellIs" dxfId="2245" priority="1919" operator="lessThanOrEqual">
      <formula>0.5</formula>
    </cfRule>
    <cfRule type="cellIs" dxfId="2244" priority="1920" operator="greaterThanOrEqual">
      <formula>1.5</formula>
    </cfRule>
  </conditionalFormatting>
  <conditionalFormatting sqref="N972">
    <cfRule type="cellIs" dxfId="2243" priority="1917" operator="lessThanOrEqual">
      <formula>0.5</formula>
    </cfRule>
    <cfRule type="cellIs" dxfId="2242" priority="1918" operator="greaterThanOrEqual">
      <formula>1.5</formula>
    </cfRule>
  </conditionalFormatting>
  <conditionalFormatting sqref="K972">
    <cfRule type="cellIs" dxfId="2241" priority="1915" operator="lessThanOrEqual">
      <formula>0.5</formula>
    </cfRule>
    <cfRule type="cellIs" dxfId="2240" priority="1916" operator="greaterThanOrEqual">
      <formula>1.5</formula>
    </cfRule>
  </conditionalFormatting>
  <conditionalFormatting sqref="L972">
    <cfRule type="cellIs" dxfId="2239" priority="1913" operator="lessThanOrEqual">
      <formula>0.5</formula>
    </cfRule>
    <cfRule type="cellIs" dxfId="2238" priority="1914" operator="greaterThanOrEqual">
      <formula>1.5</formula>
    </cfRule>
  </conditionalFormatting>
  <conditionalFormatting sqref="O975">
    <cfRule type="cellIs" dxfId="2237" priority="1911" operator="lessThanOrEqual">
      <formula>0.5</formula>
    </cfRule>
    <cfRule type="cellIs" dxfId="2236" priority="1912" operator="greaterThanOrEqual">
      <formula>1.5</formula>
    </cfRule>
  </conditionalFormatting>
  <conditionalFormatting sqref="N975">
    <cfRule type="cellIs" dxfId="2235" priority="1909" operator="lessThanOrEqual">
      <formula>0.5</formula>
    </cfRule>
    <cfRule type="cellIs" dxfId="2234" priority="1910" operator="greaterThanOrEqual">
      <formula>1.5</formula>
    </cfRule>
  </conditionalFormatting>
  <conditionalFormatting sqref="K975">
    <cfRule type="cellIs" dxfId="2233" priority="1907" operator="lessThanOrEqual">
      <formula>0.5</formula>
    </cfRule>
    <cfRule type="cellIs" dxfId="2232" priority="1908" operator="greaterThanOrEqual">
      <formula>1.5</formula>
    </cfRule>
  </conditionalFormatting>
  <conditionalFormatting sqref="L975">
    <cfRule type="cellIs" dxfId="2231" priority="1905" operator="lessThanOrEqual">
      <formula>0.5</formula>
    </cfRule>
    <cfRule type="cellIs" dxfId="2230" priority="1906" operator="greaterThanOrEqual">
      <formula>1.5</formula>
    </cfRule>
  </conditionalFormatting>
  <conditionalFormatting sqref="O978">
    <cfRule type="cellIs" dxfId="2229" priority="1903" operator="lessThanOrEqual">
      <formula>0.5</formula>
    </cfRule>
    <cfRule type="cellIs" dxfId="2228" priority="1904" operator="greaterThanOrEqual">
      <formula>1.5</formula>
    </cfRule>
  </conditionalFormatting>
  <conditionalFormatting sqref="N978">
    <cfRule type="cellIs" dxfId="2227" priority="1901" operator="lessThanOrEqual">
      <formula>0.5</formula>
    </cfRule>
    <cfRule type="cellIs" dxfId="2226" priority="1902" operator="greaterThanOrEqual">
      <formula>1.5</formula>
    </cfRule>
  </conditionalFormatting>
  <conditionalFormatting sqref="K978">
    <cfRule type="cellIs" dxfId="2225" priority="1899" operator="lessThanOrEqual">
      <formula>0.5</formula>
    </cfRule>
    <cfRule type="cellIs" dxfId="2224" priority="1900" operator="greaterThanOrEqual">
      <formula>1.5</formula>
    </cfRule>
  </conditionalFormatting>
  <conditionalFormatting sqref="L978">
    <cfRule type="cellIs" dxfId="2223" priority="1897" operator="lessThanOrEqual">
      <formula>0.5</formula>
    </cfRule>
    <cfRule type="cellIs" dxfId="2222" priority="1898" operator="greaterThanOrEqual">
      <formula>1.5</formula>
    </cfRule>
  </conditionalFormatting>
  <conditionalFormatting sqref="O981">
    <cfRule type="cellIs" dxfId="2221" priority="1895" operator="lessThanOrEqual">
      <formula>0.5</formula>
    </cfRule>
    <cfRule type="cellIs" dxfId="2220" priority="1896" operator="greaterThanOrEqual">
      <formula>1.5</formula>
    </cfRule>
  </conditionalFormatting>
  <conditionalFormatting sqref="N981">
    <cfRule type="cellIs" dxfId="2219" priority="1893" operator="lessThanOrEqual">
      <formula>0.5</formula>
    </cfRule>
    <cfRule type="cellIs" dxfId="2218" priority="1894" operator="greaterThanOrEqual">
      <formula>1.5</formula>
    </cfRule>
  </conditionalFormatting>
  <conditionalFormatting sqref="K981">
    <cfRule type="cellIs" dxfId="2217" priority="1891" operator="lessThanOrEqual">
      <formula>0.5</formula>
    </cfRule>
    <cfRule type="cellIs" dxfId="2216" priority="1892" operator="greaterThanOrEqual">
      <formula>1.5</formula>
    </cfRule>
  </conditionalFormatting>
  <conditionalFormatting sqref="L981">
    <cfRule type="cellIs" dxfId="2215" priority="1889" operator="lessThanOrEqual">
      <formula>0.5</formula>
    </cfRule>
    <cfRule type="cellIs" dxfId="2214" priority="1890" operator="greaterThanOrEqual">
      <formula>1.5</formula>
    </cfRule>
  </conditionalFormatting>
  <conditionalFormatting sqref="O984">
    <cfRule type="cellIs" dxfId="2213" priority="1887" operator="lessThanOrEqual">
      <formula>0.5</formula>
    </cfRule>
    <cfRule type="cellIs" dxfId="2212" priority="1888" operator="greaterThanOrEqual">
      <formula>1.5</formula>
    </cfRule>
  </conditionalFormatting>
  <conditionalFormatting sqref="N984">
    <cfRule type="cellIs" dxfId="2211" priority="1885" operator="lessThanOrEqual">
      <formula>0.5</formula>
    </cfRule>
    <cfRule type="cellIs" dxfId="2210" priority="1886" operator="greaterThanOrEqual">
      <formula>1.5</formula>
    </cfRule>
  </conditionalFormatting>
  <conditionalFormatting sqref="K984">
    <cfRule type="cellIs" dxfId="2209" priority="1883" operator="lessThanOrEqual">
      <formula>0.5</formula>
    </cfRule>
    <cfRule type="cellIs" dxfId="2208" priority="1884" operator="greaterThanOrEqual">
      <formula>1.5</formula>
    </cfRule>
  </conditionalFormatting>
  <conditionalFormatting sqref="L984">
    <cfRule type="cellIs" dxfId="2207" priority="1881" operator="lessThanOrEqual">
      <formula>0.5</formula>
    </cfRule>
    <cfRule type="cellIs" dxfId="2206" priority="1882" operator="greaterThanOrEqual">
      <formula>1.5</formula>
    </cfRule>
  </conditionalFormatting>
  <conditionalFormatting sqref="O987">
    <cfRule type="cellIs" dxfId="2205" priority="1879" operator="lessThanOrEqual">
      <formula>0.5</formula>
    </cfRule>
    <cfRule type="cellIs" dxfId="2204" priority="1880" operator="greaterThanOrEqual">
      <formula>1.5</formula>
    </cfRule>
  </conditionalFormatting>
  <conditionalFormatting sqref="N987">
    <cfRule type="cellIs" dxfId="2203" priority="1877" operator="lessThanOrEqual">
      <formula>0.5</formula>
    </cfRule>
    <cfRule type="cellIs" dxfId="2202" priority="1878" operator="greaterThanOrEqual">
      <formula>1.5</formula>
    </cfRule>
  </conditionalFormatting>
  <conditionalFormatting sqref="K987">
    <cfRule type="cellIs" dxfId="2201" priority="1875" operator="lessThanOrEqual">
      <formula>0.5</formula>
    </cfRule>
    <cfRule type="cellIs" dxfId="2200" priority="1876" operator="greaterThanOrEqual">
      <formula>1.5</formula>
    </cfRule>
  </conditionalFormatting>
  <conditionalFormatting sqref="L987">
    <cfRule type="cellIs" dxfId="2199" priority="1873" operator="lessThanOrEqual">
      <formula>0.5</formula>
    </cfRule>
    <cfRule type="cellIs" dxfId="2198" priority="1874" operator="greaterThanOrEqual">
      <formula>1.5</formula>
    </cfRule>
  </conditionalFormatting>
  <conditionalFormatting sqref="O990">
    <cfRule type="cellIs" dxfId="2197" priority="1871" operator="lessThanOrEqual">
      <formula>0.5</formula>
    </cfRule>
    <cfRule type="cellIs" dxfId="2196" priority="1872" operator="greaterThanOrEqual">
      <formula>1.5</formula>
    </cfRule>
  </conditionalFormatting>
  <conditionalFormatting sqref="N990">
    <cfRule type="cellIs" dxfId="2195" priority="1869" operator="lessThanOrEqual">
      <formula>0.5</formula>
    </cfRule>
    <cfRule type="cellIs" dxfId="2194" priority="1870" operator="greaterThanOrEqual">
      <formula>1.5</formula>
    </cfRule>
  </conditionalFormatting>
  <conditionalFormatting sqref="K990">
    <cfRule type="cellIs" dxfId="2193" priority="1867" operator="lessThanOrEqual">
      <formula>0.5</formula>
    </cfRule>
    <cfRule type="cellIs" dxfId="2192" priority="1868" operator="greaterThanOrEqual">
      <formula>1.5</formula>
    </cfRule>
  </conditionalFormatting>
  <conditionalFormatting sqref="L990">
    <cfRule type="cellIs" dxfId="2191" priority="1865" operator="lessThanOrEqual">
      <formula>0.5</formula>
    </cfRule>
    <cfRule type="cellIs" dxfId="2190" priority="1866" operator="greaterThanOrEqual">
      <formula>1.5</formula>
    </cfRule>
  </conditionalFormatting>
  <conditionalFormatting sqref="O993">
    <cfRule type="cellIs" dxfId="2189" priority="1863" operator="lessThanOrEqual">
      <formula>0.5</formula>
    </cfRule>
    <cfRule type="cellIs" dxfId="2188" priority="1864" operator="greaterThanOrEqual">
      <formula>1.5</formula>
    </cfRule>
  </conditionalFormatting>
  <conditionalFormatting sqref="N993">
    <cfRule type="cellIs" dxfId="2187" priority="1861" operator="lessThanOrEqual">
      <formula>0.5</formula>
    </cfRule>
    <cfRule type="cellIs" dxfId="2186" priority="1862" operator="greaterThanOrEqual">
      <formula>1.5</formula>
    </cfRule>
  </conditionalFormatting>
  <conditionalFormatting sqref="K993">
    <cfRule type="cellIs" dxfId="2185" priority="1859" operator="lessThanOrEqual">
      <formula>0.5</formula>
    </cfRule>
    <cfRule type="cellIs" dxfId="2184" priority="1860" operator="greaterThanOrEqual">
      <formula>1.5</formula>
    </cfRule>
  </conditionalFormatting>
  <conditionalFormatting sqref="L993">
    <cfRule type="cellIs" dxfId="2183" priority="1857" operator="lessThanOrEqual">
      <formula>0.5</formula>
    </cfRule>
    <cfRule type="cellIs" dxfId="2182" priority="1858" operator="greaterThanOrEqual">
      <formula>1.5</formula>
    </cfRule>
  </conditionalFormatting>
  <conditionalFormatting sqref="O996">
    <cfRule type="cellIs" dxfId="2181" priority="1855" operator="lessThanOrEqual">
      <formula>0.5</formula>
    </cfRule>
    <cfRule type="cellIs" dxfId="2180" priority="1856" operator="greaterThanOrEqual">
      <formula>1.5</formula>
    </cfRule>
  </conditionalFormatting>
  <conditionalFormatting sqref="N996">
    <cfRule type="cellIs" dxfId="2179" priority="1853" operator="lessThanOrEqual">
      <formula>0.5</formula>
    </cfRule>
    <cfRule type="cellIs" dxfId="2178" priority="1854" operator="greaterThanOrEqual">
      <formula>1.5</formula>
    </cfRule>
  </conditionalFormatting>
  <conditionalFormatting sqref="K996">
    <cfRule type="cellIs" dxfId="2177" priority="1851" operator="lessThanOrEqual">
      <formula>0.5</formula>
    </cfRule>
    <cfRule type="cellIs" dxfId="2176" priority="1852" operator="greaterThanOrEqual">
      <formula>1.5</formula>
    </cfRule>
  </conditionalFormatting>
  <conditionalFormatting sqref="L996">
    <cfRule type="cellIs" dxfId="2175" priority="1849" operator="lessThanOrEqual">
      <formula>0.5</formula>
    </cfRule>
    <cfRule type="cellIs" dxfId="2174" priority="1850" operator="greaterThanOrEqual">
      <formula>1.5</formula>
    </cfRule>
  </conditionalFormatting>
  <conditionalFormatting sqref="O999">
    <cfRule type="cellIs" dxfId="2173" priority="1847" operator="lessThanOrEqual">
      <formula>0.5</formula>
    </cfRule>
    <cfRule type="cellIs" dxfId="2172" priority="1848" operator="greaterThanOrEqual">
      <formula>1.5</formula>
    </cfRule>
  </conditionalFormatting>
  <conditionalFormatting sqref="N999">
    <cfRule type="cellIs" dxfId="2171" priority="1845" operator="lessThanOrEqual">
      <formula>0.5</formula>
    </cfRule>
    <cfRule type="cellIs" dxfId="2170" priority="1846" operator="greaterThanOrEqual">
      <formula>1.5</formula>
    </cfRule>
  </conditionalFormatting>
  <conditionalFormatting sqref="K999">
    <cfRule type="cellIs" dxfId="2169" priority="1843" operator="lessThanOrEqual">
      <formula>0.5</formula>
    </cfRule>
    <cfRule type="cellIs" dxfId="2168" priority="1844" operator="greaterThanOrEqual">
      <formula>1.5</formula>
    </cfRule>
  </conditionalFormatting>
  <conditionalFormatting sqref="L999">
    <cfRule type="cellIs" dxfId="2167" priority="1841" operator="lessThanOrEqual">
      <formula>0.5</formula>
    </cfRule>
    <cfRule type="cellIs" dxfId="2166" priority="1842" operator="greaterThanOrEqual">
      <formula>1.5</formula>
    </cfRule>
  </conditionalFormatting>
  <conditionalFormatting sqref="O1002">
    <cfRule type="cellIs" dxfId="2165" priority="1839" operator="lessThanOrEqual">
      <formula>0.5</formula>
    </cfRule>
    <cfRule type="cellIs" dxfId="2164" priority="1840" operator="greaterThanOrEqual">
      <formula>1.5</formula>
    </cfRule>
  </conditionalFormatting>
  <conditionalFormatting sqref="N1002">
    <cfRule type="cellIs" dxfId="2163" priority="1837" operator="lessThanOrEqual">
      <formula>0.5</formula>
    </cfRule>
    <cfRule type="cellIs" dxfId="2162" priority="1838" operator="greaterThanOrEqual">
      <formula>1.5</formula>
    </cfRule>
  </conditionalFormatting>
  <conditionalFormatting sqref="K1002">
    <cfRule type="cellIs" dxfId="2161" priority="1835" operator="lessThanOrEqual">
      <formula>0.5</formula>
    </cfRule>
    <cfRule type="cellIs" dxfId="2160" priority="1836" operator="greaterThanOrEqual">
      <formula>1.5</formula>
    </cfRule>
  </conditionalFormatting>
  <conditionalFormatting sqref="L1002">
    <cfRule type="cellIs" dxfId="2159" priority="1833" operator="lessThanOrEqual">
      <formula>0.5</formula>
    </cfRule>
    <cfRule type="cellIs" dxfId="2158" priority="1834" operator="greaterThanOrEqual">
      <formula>1.5</formula>
    </cfRule>
  </conditionalFormatting>
  <conditionalFormatting sqref="O1005">
    <cfRule type="cellIs" dxfId="2157" priority="1831" operator="lessThanOrEqual">
      <formula>0.5</formula>
    </cfRule>
    <cfRule type="cellIs" dxfId="2156" priority="1832" operator="greaterThanOrEqual">
      <formula>1.5</formula>
    </cfRule>
  </conditionalFormatting>
  <conditionalFormatting sqref="N1005">
    <cfRule type="cellIs" dxfId="2155" priority="1829" operator="lessThanOrEqual">
      <formula>0.5</formula>
    </cfRule>
    <cfRule type="cellIs" dxfId="2154" priority="1830" operator="greaterThanOrEqual">
      <formula>1.5</formula>
    </cfRule>
  </conditionalFormatting>
  <conditionalFormatting sqref="K1005">
    <cfRule type="cellIs" dxfId="2153" priority="1827" operator="lessThanOrEqual">
      <formula>0.5</formula>
    </cfRule>
    <cfRule type="cellIs" dxfId="2152" priority="1828" operator="greaterThanOrEqual">
      <formula>1.5</formula>
    </cfRule>
  </conditionalFormatting>
  <conditionalFormatting sqref="L1005">
    <cfRule type="cellIs" dxfId="2151" priority="1825" operator="lessThanOrEqual">
      <formula>0.5</formula>
    </cfRule>
    <cfRule type="cellIs" dxfId="2150" priority="1826" operator="greaterThanOrEqual">
      <formula>1.5</formula>
    </cfRule>
  </conditionalFormatting>
  <conditionalFormatting sqref="O1008">
    <cfRule type="cellIs" dxfId="2149" priority="1823" operator="lessThanOrEqual">
      <formula>0.5</formula>
    </cfRule>
    <cfRule type="cellIs" dxfId="2148" priority="1824" operator="greaterThanOrEqual">
      <formula>1.5</formula>
    </cfRule>
  </conditionalFormatting>
  <conditionalFormatting sqref="N1008">
    <cfRule type="cellIs" dxfId="2147" priority="1821" operator="lessThanOrEqual">
      <formula>0.5</formula>
    </cfRule>
    <cfRule type="cellIs" dxfId="2146" priority="1822" operator="greaterThanOrEqual">
      <formula>1.5</formula>
    </cfRule>
  </conditionalFormatting>
  <conditionalFormatting sqref="K1008">
    <cfRule type="cellIs" dxfId="2145" priority="1819" operator="lessThanOrEqual">
      <formula>0.5</formula>
    </cfRule>
    <cfRule type="cellIs" dxfId="2144" priority="1820" operator="greaterThanOrEqual">
      <formula>1.5</formula>
    </cfRule>
  </conditionalFormatting>
  <conditionalFormatting sqref="L1008">
    <cfRule type="cellIs" dxfId="2143" priority="1817" operator="lessThanOrEqual">
      <formula>0.5</formula>
    </cfRule>
    <cfRule type="cellIs" dxfId="2142" priority="1818" operator="greaterThanOrEqual">
      <formula>1.5</formula>
    </cfRule>
  </conditionalFormatting>
  <conditionalFormatting sqref="O1011">
    <cfRule type="cellIs" dxfId="2141" priority="1815" operator="lessThanOrEqual">
      <formula>0.5</formula>
    </cfRule>
    <cfRule type="cellIs" dxfId="2140" priority="1816" operator="greaterThanOrEqual">
      <formula>1.5</formula>
    </cfRule>
  </conditionalFormatting>
  <conditionalFormatting sqref="N1011">
    <cfRule type="cellIs" dxfId="2139" priority="1813" operator="lessThanOrEqual">
      <formula>0.5</formula>
    </cfRule>
    <cfRule type="cellIs" dxfId="2138" priority="1814" operator="greaterThanOrEqual">
      <formula>1.5</formula>
    </cfRule>
  </conditionalFormatting>
  <conditionalFormatting sqref="K1011">
    <cfRule type="cellIs" dxfId="2137" priority="1811" operator="lessThanOrEqual">
      <formula>0.5</formula>
    </cfRule>
    <cfRule type="cellIs" dxfId="2136" priority="1812" operator="greaterThanOrEqual">
      <formula>1.5</formula>
    </cfRule>
  </conditionalFormatting>
  <conditionalFormatting sqref="L1011">
    <cfRule type="cellIs" dxfId="2135" priority="1809" operator="lessThanOrEqual">
      <formula>0.5</formula>
    </cfRule>
    <cfRule type="cellIs" dxfId="2134" priority="1810" operator="greaterThanOrEqual">
      <formula>1.5</formula>
    </cfRule>
  </conditionalFormatting>
  <conditionalFormatting sqref="O1014">
    <cfRule type="cellIs" dxfId="2133" priority="1807" operator="lessThanOrEqual">
      <formula>0.5</formula>
    </cfRule>
    <cfRule type="cellIs" dxfId="2132" priority="1808" operator="greaterThanOrEqual">
      <formula>1.5</formula>
    </cfRule>
  </conditionalFormatting>
  <conditionalFormatting sqref="N1014">
    <cfRule type="cellIs" dxfId="2131" priority="1805" operator="lessThanOrEqual">
      <formula>0.5</formula>
    </cfRule>
    <cfRule type="cellIs" dxfId="2130" priority="1806" operator="greaterThanOrEqual">
      <formula>1.5</formula>
    </cfRule>
  </conditionalFormatting>
  <conditionalFormatting sqref="K1014">
    <cfRule type="cellIs" dxfId="2129" priority="1803" operator="lessThanOrEqual">
      <formula>0.5</formula>
    </cfRule>
    <cfRule type="cellIs" dxfId="2128" priority="1804" operator="greaterThanOrEqual">
      <formula>1.5</formula>
    </cfRule>
  </conditionalFormatting>
  <conditionalFormatting sqref="L1014">
    <cfRule type="cellIs" dxfId="2127" priority="1801" operator="lessThanOrEqual">
      <formula>0.5</formula>
    </cfRule>
    <cfRule type="cellIs" dxfId="2126" priority="1802" operator="greaterThanOrEqual">
      <formula>1.5</formula>
    </cfRule>
  </conditionalFormatting>
  <conditionalFormatting sqref="O1017">
    <cfRule type="cellIs" dxfId="2125" priority="1799" operator="lessThanOrEqual">
      <formula>0.5</formula>
    </cfRule>
    <cfRule type="cellIs" dxfId="2124" priority="1800" operator="greaterThanOrEqual">
      <formula>1.5</formula>
    </cfRule>
  </conditionalFormatting>
  <conditionalFormatting sqref="N1017">
    <cfRule type="cellIs" dxfId="2123" priority="1797" operator="lessThanOrEqual">
      <formula>0.5</formula>
    </cfRule>
    <cfRule type="cellIs" dxfId="2122" priority="1798" operator="greaterThanOrEqual">
      <formula>1.5</formula>
    </cfRule>
  </conditionalFormatting>
  <conditionalFormatting sqref="K1017">
    <cfRule type="cellIs" dxfId="2121" priority="1795" operator="lessThanOrEqual">
      <formula>0.5</formula>
    </cfRule>
    <cfRule type="cellIs" dxfId="2120" priority="1796" operator="greaterThanOrEqual">
      <formula>1.5</formula>
    </cfRule>
  </conditionalFormatting>
  <conditionalFormatting sqref="L1017">
    <cfRule type="cellIs" dxfId="2119" priority="1793" operator="lessThanOrEqual">
      <formula>0.5</formula>
    </cfRule>
    <cfRule type="cellIs" dxfId="2118" priority="1794" operator="greaterThanOrEqual">
      <formula>1.5</formula>
    </cfRule>
  </conditionalFormatting>
  <conditionalFormatting sqref="O1020">
    <cfRule type="cellIs" dxfId="2117" priority="1791" operator="lessThanOrEqual">
      <formula>0.5</formula>
    </cfRule>
    <cfRule type="cellIs" dxfId="2116" priority="1792" operator="greaterThanOrEqual">
      <formula>1.5</formula>
    </cfRule>
  </conditionalFormatting>
  <conditionalFormatting sqref="N1020">
    <cfRule type="cellIs" dxfId="2115" priority="1789" operator="lessThanOrEqual">
      <formula>0.5</formula>
    </cfRule>
    <cfRule type="cellIs" dxfId="2114" priority="1790" operator="greaterThanOrEqual">
      <formula>1.5</formula>
    </cfRule>
  </conditionalFormatting>
  <conditionalFormatting sqref="K1020">
    <cfRule type="cellIs" dxfId="2113" priority="1787" operator="lessThanOrEqual">
      <formula>0.5</formula>
    </cfRule>
    <cfRule type="cellIs" dxfId="2112" priority="1788" operator="greaterThanOrEqual">
      <formula>1.5</formula>
    </cfRule>
  </conditionalFormatting>
  <conditionalFormatting sqref="L1020">
    <cfRule type="cellIs" dxfId="2111" priority="1785" operator="lessThanOrEqual">
      <formula>0.5</formula>
    </cfRule>
    <cfRule type="cellIs" dxfId="2110" priority="1786" operator="greaterThanOrEqual">
      <formula>1.5</formula>
    </cfRule>
  </conditionalFormatting>
  <conditionalFormatting sqref="O1023">
    <cfRule type="cellIs" dxfId="2109" priority="1783" operator="lessThanOrEqual">
      <formula>0.5</formula>
    </cfRule>
    <cfRule type="cellIs" dxfId="2108" priority="1784" operator="greaterThanOrEqual">
      <formula>1.5</formula>
    </cfRule>
  </conditionalFormatting>
  <conditionalFormatting sqref="N1023">
    <cfRule type="cellIs" dxfId="2107" priority="1781" operator="lessThanOrEqual">
      <formula>0.5</formula>
    </cfRule>
    <cfRule type="cellIs" dxfId="2106" priority="1782" operator="greaterThanOrEqual">
      <formula>1.5</formula>
    </cfRule>
  </conditionalFormatting>
  <conditionalFormatting sqref="K1023">
    <cfRule type="cellIs" dxfId="2105" priority="1779" operator="lessThanOrEqual">
      <formula>0.5</formula>
    </cfRule>
    <cfRule type="cellIs" dxfId="2104" priority="1780" operator="greaterThanOrEqual">
      <formula>1.5</formula>
    </cfRule>
  </conditionalFormatting>
  <conditionalFormatting sqref="L1023">
    <cfRule type="cellIs" dxfId="2103" priority="1777" operator="lessThanOrEqual">
      <formula>0.5</formula>
    </cfRule>
    <cfRule type="cellIs" dxfId="2102" priority="1778" operator="greaterThanOrEqual">
      <formula>1.5</formula>
    </cfRule>
  </conditionalFormatting>
  <conditionalFormatting sqref="O1026">
    <cfRule type="cellIs" dxfId="2101" priority="1775" operator="lessThanOrEqual">
      <formula>0.5</formula>
    </cfRule>
    <cfRule type="cellIs" dxfId="2100" priority="1776" operator="greaterThanOrEqual">
      <formula>1.5</formula>
    </cfRule>
  </conditionalFormatting>
  <conditionalFormatting sqref="N1026">
    <cfRule type="cellIs" dxfId="2099" priority="1773" operator="lessThanOrEqual">
      <formula>0.5</formula>
    </cfRule>
    <cfRule type="cellIs" dxfId="2098" priority="1774" operator="greaterThanOrEqual">
      <formula>1.5</formula>
    </cfRule>
  </conditionalFormatting>
  <conditionalFormatting sqref="K1026">
    <cfRule type="cellIs" dxfId="2097" priority="1771" operator="lessThanOrEqual">
      <formula>0.5</formula>
    </cfRule>
    <cfRule type="cellIs" dxfId="2096" priority="1772" operator="greaterThanOrEqual">
      <formula>1.5</formula>
    </cfRule>
  </conditionalFormatting>
  <conditionalFormatting sqref="L1026">
    <cfRule type="cellIs" dxfId="2095" priority="1769" operator="lessThanOrEqual">
      <formula>0.5</formula>
    </cfRule>
    <cfRule type="cellIs" dxfId="2094" priority="1770" operator="greaterThanOrEqual">
      <formula>1.5</formula>
    </cfRule>
  </conditionalFormatting>
  <conditionalFormatting sqref="O1029">
    <cfRule type="cellIs" dxfId="2093" priority="1767" operator="lessThanOrEqual">
      <formula>0.5</formula>
    </cfRule>
    <cfRule type="cellIs" dxfId="2092" priority="1768" operator="greaterThanOrEqual">
      <formula>1.5</formula>
    </cfRule>
  </conditionalFormatting>
  <conditionalFormatting sqref="N1029">
    <cfRule type="cellIs" dxfId="2091" priority="1765" operator="lessThanOrEqual">
      <formula>0.5</formula>
    </cfRule>
    <cfRule type="cellIs" dxfId="2090" priority="1766" operator="greaterThanOrEqual">
      <formula>1.5</formula>
    </cfRule>
  </conditionalFormatting>
  <conditionalFormatting sqref="K1029">
    <cfRule type="cellIs" dxfId="2089" priority="1763" operator="lessThanOrEqual">
      <formula>0.5</formula>
    </cfRule>
    <cfRule type="cellIs" dxfId="2088" priority="1764" operator="greaterThanOrEqual">
      <formula>1.5</formula>
    </cfRule>
  </conditionalFormatting>
  <conditionalFormatting sqref="L1029">
    <cfRule type="cellIs" dxfId="2087" priority="1761" operator="lessThanOrEqual">
      <formula>0.5</formula>
    </cfRule>
    <cfRule type="cellIs" dxfId="2086" priority="1762" operator="greaterThanOrEqual">
      <formula>1.5</formula>
    </cfRule>
  </conditionalFormatting>
  <conditionalFormatting sqref="O1032">
    <cfRule type="cellIs" dxfId="2085" priority="1759" operator="lessThanOrEqual">
      <formula>0.5</formula>
    </cfRule>
    <cfRule type="cellIs" dxfId="2084" priority="1760" operator="greaterThanOrEqual">
      <formula>1.5</formula>
    </cfRule>
  </conditionalFormatting>
  <conditionalFormatting sqref="N1032">
    <cfRule type="cellIs" dxfId="2083" priority="1757" operator="lessThanOrEqual">
      <formula>0.5</formula>
    </cfRule>
    <cfRule type="cellIs" dxfId="2082" priority="1758" operator="greaterThanOrEqual">
      <formula>1.5</formula>
    </cfRule>
  </conditionalFormatting>
  <conditionalFormatting sqref="K1032">
    <cfRule type="cellIs" dxfId="2081" priority="1755" operator="lessThanOrEqual">
      <formula>0.5</formula>
    </cfRule>
    <cfRule type="cellIs" dxfId="2080" priority="1756" operator="greaterThanOrEqual">
      <formula>1.5</formula>
    </cfRule>
  </conditionalFormatting>
  <conditionalFormatting sqref="L1032">
    <cfRule type="cellIs" dxfId="2079" priority="1753" operator="lessThanOrEqual">
      <formula>0.5</formula>
    </cfRule>
    <cfRule type="cellIs" dxfId="2078" priority="1754" operator="greaterThanOrEqual">
      <formula>1.5</formula>
    </cfRule>
  </conditionalFormatting>
  <conditionalFormatting sqref="O1035">
    <cfRule type="cellIs" dxfId="2077" priority="1751" operator="lessThanOrEqual">
      <formula>0.5</formula>
    </cfRule>
    <cfRule type="cellIs" dxfId="2076" priority="1752" operator="greaterThanOrEqual">
      <formula>1.5</formula>
    </cfRule>
  </conditionalFormatting>
  <conditionalFormatting sqref="N1035">
    <cfRule type="cellIs" dxfId="2075" priority="1749" operator="lessThanOrEqual">
      <formula>0.5</formula>
    </cfRule>
    <cfRule type="cellIs" dxfId="2074" priority="1750" operator="greaterThanOrEqual">
      <formula>1.5</formula>
    </cfRule>
  </conditionalFormatting>
  <conditionalFormatting sqref="K1035">
    <cfRule type="cellIs" dxfId="2073" priority="1747" operator="lessThanOrEqual">
      <formula>0.5</formula>
    </cfRule>
    <cfRule type="cellIs" dxfId="2072" priority="1748" operator="greaterThanOrEqual">
      <formula>1.5</formula>
    </cfRule>
  </conditionalFormatting>
  <conditionalFormatting sqref="L1035">
    <cfRule type="cellIs" dxfId="2071" priority="1745" operator="lessThanOrEqual">
      <formula>0.5</formula>
    </cfRule>
    <cfRule type="cellIs" dxfId="2070" priority="1746" operator="greaterThanOrEqual">
      <formula>1.5</formula>
    </cfRule>
  </conditionalFormatting>
  <conditionalFormatting sqref="O1038">
    <cfRule type="cellIs" dxfId="2069" priority="1743" operator="lessThanOrEqual">
      <formula>0.5</formula>
    </cfRule>
    <cfRule type="cellIs" dxfId="2068" priority="1744" operator="greaterThanOrEqual">
      <formula>1.5</formula>
    </cfRule>
  </conditionalFormatting>
  <conditionalFormatting sqref="N1038">
    <cfRule type="cellIs" dxfId="2067" priority="1741" operator="lessThanOrEqual">
      <formula>0.5</formula>
    </cfRule>
    <cfRule type="cellIs" dxfId="2066" priority="1742" operator="greaterThanOrEqual">
      <formula>1.5</formula>
    </cfRule>
  </conditionalFormatting>
  <conditionalFormatting sqref="K1038">
    <cfRule type="cellIs" dxfId="2065" priority="1739" operator="lessThanOrEqual">
      <formula>0.5</formula>
    </cfRule>
    <cfRule type="cellIs" dxfId="2064" priority="1740" operator="greaterThanOrEqual">
      <formula>1.5</formula>
    </cfRule>
  </conditionalFormatting>
  <conditionalFormatting sqref="L1038">
    <cfRule type="cellIs" dxfId="2063" priority="1737" operator="lessThanOrEqual">
      <formula>0.5</formula>
    </cfRule>
    <cfRule type="cellIs" dxfId="2062" priority="1738" operator="greaterThanOrEqual">
      <formula>1.5</formula>
    </cfRule>
  </conditionalFormatting>
  <conditionalFormatting sqref="O1041">
    <cfRule type="cellIs" dxfId="2061" priority="1735" operator="lessThanOrEqual">
      <formula>0.5</formula>
    </cfRule>
    <cfRule type="cellIs" dxfId="2060" priority="1736" operator="greaterThanOrEqual">
      <formula>1.5</formula>
    </cfRule>
  </conditionalFormatting>
  <conditionalFormatting sqref="N1041">
    <cfRule type="cellIs" dxfId="2059" priority="1733" operator="lessThanOrEqual">
      <formula>0.5</formula>
    </cfRule>
    <cfRule type="cellIs" dxfId="2058" priority="1734" operator="greaterThanOrEqual">
      <formula>1.5</formula>
    </cfRule>
  </conditionalFormatting>
  <conditionalFormatting sqref="K1041">
    <cfRule type="cellIs" dxfId="2057" priority="1731" operator="lessThanOrEqual">
      <formula>0.5</formula>
    </cfRule>
    <cfRule type="cellIs" dxfId="2056" priority="1732" operator="greaterThanOrEqual">
      <formula>1.5</formula>
    </cfRule>
  </conditionalFormatting>
  <conditionalFormatting sqref="L1041">
    <cfRule type="cellIs" dxfId="2055" priority="1729" operator="lessThanOrEqual">
      <formula>0.5</formula>
    </cfRule>
    <cfRule type="cellIs" dxfId="2054" priority="1730" operator="greaterThanOrEqual">
      <formula>1.5</formula>
    </cfRule>
  </conditionalFormatting>
  <conditionalFormatting sqref="O1044">
    <cfRule type="cellIs" dxfId="2053" priority="1727" operator="lessThanOrEqual">
      <formula>0.5</formula>
    </cfRule>
    <cfRule type="cellIs" dxfId="2052" priority="1728" operator="greaterThanOrEqual">
      <formula>1.5</formula>
    </cfRule>
  </conditionalFormatting>
  <conditionalFormatting sqref="N1044">
    <cfRule type="cellIs" dxfId="2051" priority="1725" operator="lessThanOrEqual">
      <formula>0.5</formula>
    </cfRule>
    <cfRule type="cellIs" dxfId="2050" priority="1726" operator="greaterThanOrEqual">
      <formula>1.5</formula>
    </cfRule>
  </conditionalFormatting>
  <conditionalFormatting sqref="K1044">
    <cfRule type="cellIs" dxfId="2049" priority="1723" operator="lessThanOrEqual">
      <formula>0.5</formula>
    </cfRule>
    <cfRule type="cellIs" dxfId="2048" priority="1724" operator="greaterThanOrEqual">
      <formula>1.5</formula>
    </cfRule>
  </conditionalFormatting>
  <conditionalFormatting sqref="L1044">
    <cfRule type="cellIs" dxfId="2047" priority="1721" operator="lessThanOrEqual">
      <formula>0.5</formula>
    </cfRule>
    <cfRule type="cellIs" dxfId="2046" priority="1722" operator="greaterThanOrEqual">
      <formula>1.5</formula>
    </cfRule>
  </conditionalFormatting>
  <conditionalFormatting sqref="O1047">
    <cfRule type="cellIs" dxfId="2045" priority="1719" operator="lessThanOrEqual">
      <formula>0.5</formula>
    </cfRule>
    <cfRule type="cellIs" dxfId="2044" priority="1720" operator="greaterThanOrEqual">
      <formula>1.5</formula>
    </cfRule>
  </conditionalFormatting>
  <conditionalFormatting sqref="N1047">
    <cfRule type="cellIs" dxfId="2043" priority="1717" operator="lessThanOrEqual">
      <formula>0.5</formula>
    </cfRule>
    <cfRule type="cellIs" dxfId="2042" priority="1718" operator="greaterThanOrEqual">
      <formula>1.5</formula>
    </cfRule>
  </conditionalFormatting>
  <conditionalFormatting sqref="K1047">
    <cfRule type="cellIs" dxfId="2041" priority="1715" operator="lessThanOrEqual">
      <formula>0.5</formula>
    </cfRule>
    <cfRule type="cellIs" dxfId="2040" priority="1716" operator="greaterThanOrEqual">
      <formula>1.5</formula>
    </cfRule>
  </conditionalFormatting>
  <conditionalFormatting sqref="L1047">
    <cfRule type="cellIs" dxfId="2039" priority="1713" operator="lessThanOrEqual">
      <formula>0.5</formula>
    </cfRule>
    <cfRule type="cellIs" dxfId="2038" priority="1714" operator="greaterThanOrEqual">
      <formula>1.5</formula>
    </cfRule>
  </conditionalFormatting>
  <conditionalFormatting sqref="O1053">
    <cfRule type="cellIs" dxfId="2037" priority="1711" operator="lessThanOrEqual">
      <formula>0.5</formula>
    </cfRule>
    <cfRule type="cellIs" dxfId="2036" priority="1712" operator="greaterThanOrEqual">
      <formula>1.5</formula>
    </cfRule>
  </conditionalFormatting>
  <conditionalFormatting sqref="N1053">
    <cfRule type="cellIs" dxfId="2035" priority="1709" operator="lessThanOrEqual">
      <formula>0.5</formula>
    </cfRule>
    <cfRule type="cellIs" dxfId="2034" priority="1710" operator="greaterThanOrEqual">
      <formula>1.5</formula>
    </cfRule>
  </conditionalFormatting>
  <conditionalFormatting sqref="K1053">
    <cfRule type="cellIs" dxfId="2033" priority="1707" operator="lessThanOrEqual">
      <formula>0.5</formula>
    </cfRule>
    <cfRule type="cellIs" dxfId="2032" priority="1708" operator="greaterThanOrEqual">
      <formula>1.5</formula>
    </cfRule>
  </conditionalFormatting>
  <conditionalFormatting sqref="L1053">
    <cfRule type="cellIs" dxfId="2031" priority="1705" operator="lessThanOrEqual">
      <formula>0.5</formula>
    </cfRule>
    <cfRule type="cellIs" dxfId="2030" priority="1706" operator="greaterThanOrEqual">
      <formula>1.5</formula>
    </cfRule>
  </conditionalFormatting>
  <conditionalFormatting sqref="O1050">
    <cfRule type="cellIs" dxfId="2029" priority="1703" operator="lessThanOrEqual">
      <formula>0.5</formula>
    </cfRule>
    <cfRule type="cellIs" dxfId="2028" priority="1704" operator="greaterThanOrEqual">
      <formula>1.5</formula>
    </cfRule>
  </conditionalFormatting>
  <conditionalFormatting sqref="N1050">
    <cfRule type="cellIs" dxfId="2027" priority="1701" operator="lessThanOrEqual">
      <formula>0.5</formula>
    </cfRule>
    <cfRule type="cellIs" dxfId="2026" priority="1702" operator="greaterThanOrEqual">
      <formula>1.5</formula>
    </cfRule>
  </conditionalFormatting>
  <conditionalFormatting sqref="K1050">
    <cfRule type="cellIs" dxfId="2025" priority="1699" operator="lessThanOrEqual">
      <formula>0.5</formula>
    </cfRule>
    <cfRule type="cellIs" dxfId="2024" priority="1700" operator="greaterThanOrEqual">
      <formula>1.5</formula>
    </cfRule>
  </conditionalFormatting>
  <conditionalFormatting sqref="L1050">
    <cfRule type="cellIs" dxfId="2023" priority="1697" operator="lessThanOrEqual">
      <formula>0.5</formula>
    </cfRule>
    <cfRule type="cellIs" dxfId="2022" priority="1698" operator="greaterThanOrEqual">
      <formula>1.5</formula>
    </cfRule>
  </conditionalFormatting>
  <conditionalFormatting sqref="O1056">
    <cfRule type="cellIs" dxfId="2021" priority="1695" operator="lessThanOrEqual">
      <formula>0.5</formula>
    </cfRule>
    <cfRule type="cellIs" dxfId="2020" priority="1696" operator="greaterThanOrEqual">
      <formula>1.5</formula>
    </cfRule>
  </conditionalFormatting>
  <conditionalFormatting sqref="N1056">
    <cfRule type="cellIs" dxfId="2019" priority="1693" operator="lessThanOrEqual">
      <formula>0.5</formula>
    </cfRule>
    <cfRule type="cellIs" dxfId="2018" priority="1694" operator="greaterThanOrEqual">
      <formula>1.5</formula>
    </cfRule>
  </conditionalFormatting>
  <conditionalFormatting sqref="K1056">
    <cfRule type="cellIs" dxfId="2017" priority="1691" operator="lessThanOrEqual">
      <formula>0.5</formula>
    </cfRule>
    <cfRule type="cellIs" dxfId="2016" priority="1692" operator="greaterThanOrEqual">
      <formula>1.5</formula>
    </cfRule>
  </conditionalFormatting>
  <conditionalFormatting sqref="L1056">
    <cfRule type="cellIs" dxfId="2015" priority="1689" operator="lessThanOrEqual">
      <formula>0.5</formula>
    </cfRule>
    <cfRule type="cellIs" dxfId="2014" priority="1690" operator="greaterThanOrEqual">
      <formula>1.5</formula>
    </cfRule>
  </conditionalFormatting>
  <conditionalFormatting sqref="O1062">
    <cfRule type="cellIs" dxfId="2013" priority="1687" operator="lessThanOrEqual">
      <formula>0.5</formula>
    </cfRule>
    <cfRule type="cellIs" dxfId="2012" priority="1688" operator="greaterThanOrEqual">
      <formula>1.5</formula>
    </cfRule>
  </conditionalFormatting>
  <conditionalFormatting sqref="N1062">
    <cfRule type="cellIs" dxfId="2011" priority="1685" operator="lessThanOrEqual">
      <formula>0.5</formula>
    </cfRule>
    <cfRule type="cellIs" dxfId="2010" priority="1686" operator="greaterThanOrEqual">
      <formula>1.5</formula>
    </cfRule>
  </conditionalFormatting>
  <conditionalFormatting sqref="K1062">
    <cfRule type="cellIs" dxfId="2009" priority="1683" operator="lessThanOrEqual">
      <formula>0.5</formula>
    </cfRule>
    <cfRule type="cellIs" dxfId="2008" priority="1684" operator="greaterThanOrEqual">
      <formula>1.5</formula>
    </cfRule>
  </conditionalFormatting>
  <conditionalFormatting sqref="L1062">
    <cfRule type="cellIs" dxfId="2007" priority="1681" operator="lessThanOrEqual">
      <formula>0.5</formula>
    </cfRule>
    <cfRule type="cellIs" dxfId="2006" priority="1682" operator="greaterThanOrEqual">
      <formula>1.5</formula>
    </cfRule>
  </conditionalFormatting>
  <conditionalFormatting sqref="O1059">
    <cfRule type="cellIs" dxfId="2005" priority="1679" operator="lessThanOrEqual">
      <formula>0.5</formula>
    </cfRule>
    <cfRule type="cellIs" dxfId="2004" priority="1680" operator="greaterThanOrEqual">
      <formula>1.5</formula>
    </cfRule>
  </conditionalFormatting>
  <conditionalFormatting sqref="N1059">
    <cfRule type="cellIs" dxfId="2003" priority="1677" operator="lessThanOrEqual">
      <formula>0.5</formula>
    </cfRule>
    <cfRule type="cellIs" dxfId="2002" priority="1678" operator="greaterThanOrEqual">
      <formula>1.5</formula>
    </cfRule>
  </conditionalFormatting>
  <conditionalFormatting sqref="K1059">
    <cfRule type="cellIs" dxfId="2001" priority="1675" operator="lessThanOrEqual">
      <formula>0.5</formula>
    </cfRule>
    <cfRule type="cellIs" dxfId="2000" priority="1676" operator="greaterThanOrEqual">
      <formula>1.5</formula>
    </cfRule>
  </conditionalFormatting>
  <conditionalFormatting sqref="L1059">
    <cfRule type="cellIs" dxfId="1999" priority="1673" operator="lessThanOrEqual">
      <formula>0.5</formula>
    </cfRule>
    <cfRule type="cellIs" dxfId="1998" priority="1674" operator="greaterThanOrEqual">
      <formula>1.5</formula>
    </cfRule>
  </conditionalFormatting>
  <conditionalFormatting sqref="O1065">
    <cfRule type="cellIs" dxfId="1997" priority="1671" operator="lessThanOrEqual">
      <formula>0.5</formula>
    </cfRule>
    <cfRule type="cellIs" dxfId="1996" priority="1672" operator="greaterThanOrEqual">
      <formula>1.5</formula>
    </cfRule>
  </conditionalFormatting>
  <conditionalFormatting sqref="N1065">
    <cfRule type="cellIs" dxfId="1995" priority="1669" operator="lessThanOrEqual">
      <formula>0.5</formula>
    </cfRule>
    <cfRule type="cellIs" dxfId="1994" priority="1670" operator="greaterThanOrEqual">
      <formula>1.5</formula>
    </cfRule>
  </conditionalFormatting>
  <conditionalFormatting sqref="K1065">
    <cfRule type="cellIs" dxfId="1993" priority="1667" operator="lessThanOrEqual">
      <formula>0.5</formula>
    </cfRule>
    <cfRule type="cellIs" dxfId="1992" priority="1668" operator="greaterThanOrEqual">
      <formula>1.5</formula>
    </cfRule>
  </conditionalFormatting>
  <conditionalFormatting sqref="L1065">
    <cfRule type="cellIs" dxfId="1991" priority="1665" operator="lessThanOrEqual">
      <formula>0.5</formula>
    </cfRule>
    <cfRule type="cellIs" dxfId="1990" priority="1666" operator="greaterThanOrEqual">
      <formula>1.5</formula>
    </cfRule>
  </conditionalFormatting>
  <conditionalFormatting sqref="O1068">
    <cfRule type="cellIs" dxfId="1989" priority="1663" operator="lessThanOrEqual">
      <formula>0.5</formula>
    </cfRule>
    <cfRule type="cellIs" dxfId="1988" priority="1664" operator="greaterThanOrEqual">
      <formula>1.5</formula>
    </cfRule>
  </conditionalFormatting>
  <conditionalFormatting sqref="N1068">
    <cfRule type="cellIs" dxfId="1987" priority="1661" operator="lessThanOrEqual">
      <formula>0.5</formula>
    </cfRule>
    <cfRule type="cellIs" dxfId="1986" priority="1662" operator="greaterThanOrEqual">
      <formula>1.5</formula>
    </cfRule>
  </conditionalFormatting>
  <conditionalFormatting sqref="K1068">
    <cfRule type="cellIs" dxfId="1985" priority="1659" operator="lessThanOrEqual">
      <formula>0.5</formula>
    </cfRule>
    <cfRule type="cellIs" dxfId="1984" priority="1660" operator="greaterThanOrEqual">
      <formula>1.5</formula>
    </cfRule>
  </conditionalFormatting>
  <conditionalFormatting sqref="L1068">
    <cfRule type="cellIs" dxfId="1983" priority="1657" operator="lessThanOrEqual">
      <formula>0.5</formula>
    </cfRule>
    <cfRule type="cellIs" dxfId="1982" priority="1658" operator="greaterThanOrEqual">
      <formula>1.5</formula>
    </cfRule>
  </conditionalFormatting>
  <conditionalFormatting sqref="O1071">
    <cfRule type="cellIs" dxfId="1981" priority="1655" operator="lessThanOrEqual">
      <formula>0.5</formula>
    </cfRule>
    <cfRule type="cellIs" dxfId="1980" priority="1656" operator="greaterThanOrEqual">
      <formula>1.5</formula>
    </cfRule>
  </conditionalFormatting>
  <conditionalFormatting sqref="N1071">
    <cfRule type="cellIs" dxfId="1979" priority="1653" operator="lessThanOrEqual">
      <formula>0.5</formula>
    </cfRule>
    <cfRule type="cellIs" dxfId="1978" priority="1654" operator="greaterThanOrEqual">
      <formula>1.5</formula>
    </cfRule>
  </conditionalFormatting>
  <conditionalFormatting sqref="K1071">
    <cfRule type="cellIs" dxfId="1977" priority="1651" operator="lessThanOrEqual">
      <formula>0.5</formula>
    </cfRule>
    <cfRule type="cellIs" dxfId="1976" priority="1652" operator="greaterThanOrEqual">
      <formula>1.5</formula>
    </cfRule>
  </conditionalFormatting>
  <conditionalFormatting sqref="L1071">
    <cfRule type="cellIs" dxfId="1975" priority="1649" operator="lessThanOrEqual">
      <formula>0.5</formula>
    </cfRule>
    <cfRule type="cellIs" dxfId="1974" priority="1650" operator="greaterThanOrEqual">
      <formula>1.5</formula>
    </cfRule>
  </conditionalFormatting>
  <conditionalFormatting sqref="O1074">
    <cfRule type="cellIs" dxfId="1973" priority="1647" operator="lessThanOrEqual">
      <formula>0.5</formula>
    </cfRule>
    <cfRule type="cellIs" dxfId="1972" priority="1648" operator="greaterThanOrEqual">
      <formula>1.5</formula>
    </cfRule>
  </conditionalFormatting>
  <conditionalFormatting sqref="N1074">
    <cfRule type="cellIs" dxfId="1971" priority="1645" operator="lessThanOrEqual">
      <formula>0.5</formula>
    </cfRule>
    <cfRule type="cellIs" dxfId="1970" priority="1646" operator="greaterThanOrEqual">
      <formula>1.5</formula>
    </cfRule>
  </conditionalFormatting>
  <conditionalFormatting sqref="K1074">
    <cfRule type="cellIs" dxfId="1969" priority="1643" operator="lessThanOrEqual">
      <formula>0.5</formula>
    </cfRule>
    <cfRule type="cellIs" dxfId="1968" priority="1644" operator="greaterThanOrEqual">
      <formula>1.5</formula>
    </cfRule>
  </conditionalFormatting>
  <conditionalFormatting sqref="L1074">
    <cfRule type="cellIs" dxfId="1967" priority="1641" operator="lessThanOrEqual">
      <formula>0.5</formula>
    </cfRule>
    <cfRule type="cellIs" dxfId="1966" priority="1642" operator="greaterThanOrEqual">
      <formula>1.5</formula>
    </cfRule>
  </conditionalFormatting>
  <conditionalFormatting sqref="O1077">
    <cfRule type="cellIs" dxfId="1965" priority="1639" operator="lessThanOrEqual">
      <formula>0.5</formula>
    </cfRule>
    <cfRule type="cellIs" dxfId="1964" priority="1640" operator="greaterThanOrEqual">
      <formula>1.5</formula>
    </cfRule>
  </conditionalFormatting>
  <conditionalFormatting sqref="N1077">
    <cfRule type="cellIs" dxfId="1963" priority="1637" operator="lessThanOrEqual">
      <formula>0.5</formula>
    </cfRule>
    <cfRule type="cellIs" dxfId="1962" priority="1638" operator="greaterThanOrEqual">
      <formula>1.5</formula>
    </cfRule>
  </conditionalFormatting>
  <conditionalFormatting sqref="K1077">
    <cfRule type="cellIs" dxfId="1961" priority="1635" operator="lessThanOrEqual">
      <formula>0.5</formula>
    </cfRule>
    <cfRule type="cellIs" dxfId="1960" priority="1636" operator="greaterThanOrEqual">
      <formula>1.5</formula>
    </cfRule>
  </conditionalFormatting>
  <conditionalFormatting sqref="L1077">
    <cfRule type="cellIs" dxfId="1959" priority="1633" operator="lessThanOrEqual">
      <formula>0.5</formula>
    </cfRule>
    <cfRule type="cellIs" dxfId="1958" priority="1634" operator="greaterThanOrEqual">
      <formula>1.5</formula>
    </cfRule>
  </conditionalFormatting>
  <conditionalFormatting sqref="O1080">
    <cfRule type="cellIs" dxfId="1957" priority="1631" operator="lessThanOrEqual">
      <formula>0.5</formula>
    </cfRule>
    <cfRule type="cellIs" dxfId="1956" priority="1632" operator="greaterThanOrEqual">
      <formula>1.5</formula>
    </cfRule>
  </conditionalFormatting>
  <conditionalFormatting sqref="N1080">
    <cfRule type="cellIs" dxfId="1955" priority="1629" operator="lessThanOrEqual">
      <formula>0.5</formula>
    </cfRule>
    <cfRule type="cellIs" dxfId="1954" priority="1630" operator="greaterThanOrEqual">
      <formula>1.5</formula>
    </cfRule>
  </conditionalFormatting>
  <conditionalFormatting sqref="K1080">
    <cfRule type="cellIs" dxfId="1953" priority="1627" operator="lessThanOrEqual">
      <formula>0.5</formula>
    </cfRule>
    <cfRule type="cellIs" dxfId="1952" priority="1628" operator="greaterThanOrEqual">
      <formula>1.5</formula>
    </cfRule>
  </conditionalFormatting>
  <conditionalFormatting sqref="L1080">
    <cfRule type="cellIs" dxfId="1951" priority="1625" operator="lessThanOrEqual">
      <formula>0.5</formula>
    </cfRule>
    <cfRule type="cellIs" dxfId="1950" priority="1626" operator="greaterThanOrEqual">
      <formula>1.5</formula>
    </cfRule>
  </conditionalFormatting>
  <conditionalFormatting sqref="O1083">
    <cfRule type="cellIs" dxfId="1949" priority="1623" operator="lessThanOrEqual">
      <formula>0.5</formula>
    </cfRule>
    <cfRule type="cellIs" dxfId="1948" priority="1624" operator="greaterThanOrEqual">
      <formula>1.5</formula>
    </cfRule>
  </conditionalFormatting>
  <conditionalFormatting sqref="N1083">
    <cfRule type="cellIs" dxfId="1947" priority="1621" operator="lessThanOrEqual">
      <formula>0.5</formula>
    </cfRule>
    <cfRule type="cellIs" dxfId="1946" priority="1622" operator="greaterThanOrEqual">
      <formula>1.5</formula>
    </cfRule>
  </conditionalFormatting>
  <conditionalFormatting sqref="K1083">
    <cfRule type="cellIs" dxfId="1945" priority="1619" operator="lessThanOrEqual">
      <formula>0.5</formula>
    </cfRule>
    <cfRule type="cellIs" dxfId="1944" priority="1620" operator="greaterThanOrEqual">
      <formula>1.5</formula>
    </cfRule>
  </conditionalFormatting>
  <conditionalFormatting sqref="L1083">
    <cfRule type="cellIs" dxfId="1943" priority="1617" operator="lessThanOrEqual">
      <formula>0.5</formula>
    </cfRule>
    <cfRule type="cellIs" dxfId="1942" priority="1618" operator="greaterThanOrEqual">
      <formula>1.5</formula>
    </cfRule>
  </conditionalFormatting>
  <conditionalFormatting sqref="O1086">
    <cfRule type="cellIs" dxfId="1941" priority="1615" operator="lessThanOrEqual">
      <formula>0.5</formula>
    </cfRule>
    <cfRule type="cellIs" dxfId="1940" priority="1616" operator="greaterThanOrEqual">
      <formula>1.5</formula>
    </cfRule>
  </conditionalFormatting>
  <conditionalFormatting sqref="N1086">
    <cfRule type="cellIs" dxfId="1939" priority="1613" operator="lessThanOrEqual">
      <formula>0.5</formula>
    </cfRule>
    <cfRule type="cellIs" dxfId="1938" priority="1614" operator="greaterThanOrEqual">
      <formula>1.5</formula>
    </cfRule>
  </conditionalFormatting>
  <conditionalFormatting sqref="K1086">
    <cfRule type="cellIs" dxfId="1937" priority="1611" operator="lessThanOrEqual">
      <formula>0.5</formula>
    </cfRule>
    <cfRule type="cellIs" dxfId="1936" priority="1612" operator="greaterThanOrEqual">
      <formula>1.5</formula>
    </cfRule>
  </conditionalFormatting>
  <conditionalFormatting sqref="L1086">
    <cfRule type="cellIs" dxfId="1935" priority="1609" operator="lessThanOrEqual">
      <formula>0.5</formula>
    </cfRule>
    <cfRule type="cellIs" dxfId="1934" priority="1610" operator="greaterThanOrEqual">
      <formula>1.5</formula>
    </cfRule>
  </conditionalFormatting>
  <conditionalFormatting sqref="O1089">
    <cfRule type="cellIs" dxfId="1933" priority="1607" operator="lessThanOrEqual">
      <formula>0.5</formula>
    </cfRule>
    <cfRule type="cellIs" dxfId="1932" priority="1608" operator="greaterThanOrEqual">
      <formula>1.5</formula>
    </cfRule>
  </conditionalFormatting>
  <conditionalFormatting sqref="N1089">
    <cfRule type="cellIs" dxfId="1931" priority="1605" operator="lessThanOrEqual">
      <formula>0.5</formula>
    </cfRule>
    <cfRule type="cellIs" dxfId="1930" priority="1606" operator="greaterThanOrEqual">
      <formula>1.5</formula>
    </cfRule>
  </conditionalFormatting>
  <conditionalFormatting sqref="K1089">
    <cfRule type="cellIs" dxfId="1929" priority="1603" operator="lessThanOrEqual">
      <formula>0.5</formula>
    </cfRule>
    <cfRule type="cellIs" dxfId="1928" priority="1604" operator="greaterThanOrEqual">
      <formula>1.5</formula>
    </cfRule>
  </conditionalFormatting>
  <conditionalFormatting sqref="L1089">
    <cfRule type="cellIs" dxfId="1927" priority="1601" operator="lessThanOrEqual">
      <formula>0.5</formula>
    </cfRule>
    <cfRule type="cellIs" dxfId="1926" priority="1602" operator="greaterThanOrEqual">
      <formula>1.5</formula>
    </cfRule>
  </conditionalFormatting>
  <conditionalFormatting sqref="O1092">
    <cfRule type="cellIs" dxfId="1925" priority="1599" operator="lessThanOrEqual">
      <formula>0.5</formula>
    </cfRule>
    <cfRule type="cellIs" dxfId="1924" priority="1600" operator="greaterThanOrEqual">
      <formula>1.5</formula>
    </cfRule>
  </conditionalFormatting>
  <conditionalFormatting sqref="N1092">
    <cfRule type="cellIs" dxfId="1923" priority="1597" operator="lessThanOrEqual">
      <formula>0.5</formula>
    </cfRule>
    <cfRule type="cellIs" dxfId="1922" priority="1598" operator="greaterThanOrEqual">
      <formula>1.5</formula>
    </cfRule>
  </conditionalFormatting>
  <conditionalFormatting sqref="K1092">
    <cfRule type="cellIs" dxfId="1921" priority="1595" operator="lessThanOrEqual">
      <formula>0.5</formula>
    </cfRule>
    <cfRule type="cellIs" dxfId="1920" priority="1596" operator="greaterThanOrEqual">
      <formula>1.5</formula>
    </cfRule>
  </conditionalFormatting>
  <conditionalFormatting sqref="L1092">
    <cfRule type="cellIs" dxfId="1919" priority="1593" operator="lessThanOrEqual">
      <formula>0.5</formula>
    </cfRule>
    <cfRule type="cellIs" dxfId="1918" priority="1594" operator="greaterThanOrEqual">
      <formula>1.5</formula>
    </cfRule>
  </conditionalFormatting>
  <conditionalFormatting sqref="O1095">
    <cfRule type="cellIs" dxfId="1917" priority="1591" operator="lessThanOrEqual">
      <formula>0.5</formula>
    </cfRule>
    <cfRule type="cellIs" dxfId="1916" priority="1592" operator="greaterThanOrEqual">
      <formula>1.5</formula>
    </cfRule>
  </conditionalFormatting>
  <conditionalFormatting sqref="N1095">
    <cfRule type="cellIs" dxfId="1915" priority="1589" operator="lessThanOrEqual">
      <formula>0.5</formula>
    </cfRule>
    <cfRule type="cellIs" dxfId="1914" priority="1590" operator="greaterThanOrEqual">
      <formula>1.5</formula>
    </cfRule>
  </conditionalFormatting>
  <conditionalFormatting sqref="K1095">
    <cfRule type="cellIs" dxfId="1913" priority="1587" operator="lessThanOrEqual">
      <formula>0.5</formula>
    </cfRule>
    <cfRule type="cellIs" dxfId="1912" priority="1588" operator="greaterThanOrEqual">
      <formula>1.5</formula>
    </cfRule>
  </conditionalFormatting>
  <conditionalFormatting sqref="L1095">
    <cfRule type="cellIs" dxfId="1911" priority="1585" operator="lessThanOrEqual">
      <formula>0.5</formula>
    </cfRule>
    <cfRule type="cellIs" dxfId="1910" priority="1586" operator="greaterThanOrEqual">
      <formula>1.5</formula>
    </cfRule>
  </conditionalFormatting>
  <conditionalFormatting sqref="O1098">
    <cfRule type="cellIs" dxfId="1909" priority="1583" operator="lessThanOrEqual">
      <formula>0.5</formula>
    </cfRule>
    <cfRule type="cellIs" dxfId="1908" priority="1584" operator="greaterThanOrEqual">
      <formula>1.5</formula>
    </cfRule>
  </conditionalFormatting>
  <conditionalFormatting sqref="N1098">
    <cfRule type="cellIs" dxfId="1907" priority="1581" operator="lessThanOrEqual">
      <formula>0.5</formula>
    </cfRule>
    <cfRule type="cellIs" dxfId="1906" priority="1582" operator="greaterThanOrEqual">
      <formula>1.5</formula>
    </cfRule>
  </conditionalFormatting>
  <conditionalFormatting sqref="K1098">
    <cfRule type="cellIs" dxfId="1905" priority="1579" operator="lessThanOrEqual">
      <formula>0.5</formula>
    </cfRule>
    <cfRule type="cellIs" dxfId="1904" priority="1580" operator="greaterThanOrEqual">
      <formula>1.5</formula>
    </cfRule>
  </conditionalFormatting>
  <conditionalFormatting sqref="L1098">
    <cfRule type="cellIs" dxfId="1903" priority="1577" operator="lessThanOrEqual">
      <formula>0.5</formula>
    </cfRule>
    <cfRule type="cellIs" dxfId="1902" priority="1578" operator="greaterThanOrEqual">
      <formula>1.5</formula>
    </cfRule>
  </conditionalFormatting>
  <conditionalFormatting sqref="O1101">
    <cfRule type="cellIs" dxfId="1901" priority="1575" operator="lessThanOrEqual">
      <formula>0.5</formula>
    </cfRule>
    <cfRule type="cellIs" dxfId="1900" priority="1576" operator="greaterThanOrEqual">
      <formula>1.5</formula>
    </cfRule>
  </conditionalFormatting>
  <conditionalFormatting sqref="N1101">
    <cfRule type="cellIs" dxfId="1899" priority="1573" operator="lessThanOrEqual">
      <formula>0.5</formula>
    </cfRule>
    <cfRule type="cellIs" dxfId="1898" priority="1574" operator="greaterThanOrEqual">
      <formula>1.5</formula>
    </cfRule>
  </conditionalFormatting>
  <conditionalFormatting sqref="K1101">
    <cfRule type="cellIs" dxfId="1897" priority="1571" operator="lessThanOrEqual">
      <formula>0.5</formula>
    </cfRule>
    <cfRule type="cellIs" dxfId="1896" priority="1572" operator="greaterThanOrEqual">
      <formula>1.5</formula>
    </cfRule>
  </conditionalFormatting>
  <conditionalFormatting sqref="L1101">
    <cfRule type="cellIs" dxfId="1895" priority="1569" operator="lessThanOrEqual">
      <formula>0.5</formula>
    </cfRule>
    <cfRule type="cellIs" dxfId="1894" priority="1570" operator="greaterThanOrEqual">
      <formula>1.5</formula>
    </cfRule>
  </conditionalFormatting>
  <conditionalFormatting sqref="O1104">
    <cfRule type="cellIs" dxfId="1893" priority="1567" operator="lessThanOrEqual">
      <formula>0.5</formula>
    </cfRule>
    <cfRule type="cellIs" dxfId="1892" priority="1568" operator="greaterThanOrEqual">
      <formula>1.5</formula>
    </cfRule>
  </conditionalFormatting>
  <conditionalFormatting sqref="N1104">
    <cfRule type="cellIs" dxfId="1891" priority="1565" operator="lessThanOrEqual">
      <formula>0.5</formula>
    </cfRule>
    <cfRule type="cellIs" dxfId="1890" priority="1566" operator="greaterThanOrEqual">
      <formula>1.5</formula>
    </cfRule>
  </conditionalFormatting>
  <conditionalFormatting sqref="K1104">
    <cfRule type="cellIs" dxfId="1889" priority="1563" operator="lessThanOrEqual">
      <formula>0.5</formula>
    </cfRule>
    <cfRule type="cellIs" dxfId="1888" priority="1564" operator="greaterThanOrEqual">
      <formula>1.5</formula>
    </cfRule>
  </conditionalFormatting>
  <conditionalFormatting sqref="L1104">
    <cfRule type="cellIs" dxfId="1887" priority="1561" operator="lessThanOrEqual">
      <formula>0.5</formula>
    </cfRule>
    <cfRule type="cellIs" dxfId="1886" priority="1562" operator="greaterThanOrEqual">
      <formula>1.5</formula>
    </cfRule>
  </conditionalFormatting>
  <conditionalFormatting sqref="O1107">
    <cfRule type="cellIs" dxfId="1885" priority="1559" operator="lessThanOrEqual">
      <formula>0.5</formula>
    </cfRule>
    <cfRule type="cellIs" dxfId="1884" priority="1560" operator="greaterThanOrEqual">
      <formula>1.5</formula>
    </cfRule>
  </conditionalFormatting>
  <conditionalFormatting sqref="N1107">
    <cfRule type="cellIs" dxfId="1883" priority="1557" operator="lessThanOrEqual">
      <formula>0.5</formula>
    </cfRule>
    <cfRule type="cellIs" dxfId="1882" priority="1558" operator="greaterThanOrEqual">
      <formula>1.5</formula>
    </cfRule>
  </conditionalFormatting>
  <conditionalFormatting sqref="K1107">
    <cfRule type="cellIs" dxfId="1881" priority="1555" operator="lessThanOrEqual">
      <formula>0.5</formula>
    </cfRule>
    <cfRule type="cellIs" dxfId="1880" priority="1556" operator="greaterThanOrEqual">
      <formula>1.5</formula>
    </cfRule>
  </conditionalFormatting>
  <conditionalFormatting sqref="L1107">
    <cfRule type="cellIs" dxfId="1879" priority="1553" operator="lessThanOrEqual">
      <formula>0.5</formula>
    </cfRule>
    <cfRule type="cellIs" dxfId="1878" priority="1554" operator="greaterThanOrEqual">
      <formula>1.5</formula>
    </cfRule>
  </conditionalFormatting>
  <conditionalFormatting sqref="O1110">
    <cfRule type="cellIs" dxfId="1877" priority="1551" operator="lessThanOrEqual">
      <formula>0.5</formula>
    </cfRule>
    <cfRule type="cellIs" dxfId="1876" priority="1552" operator="greaterThanOrEqual">
      <formula>1.5</formula>
    </cfRule>
  </conditionalFormatting>
  <conditionalFormatting sqref="N1110">
    <cfRule type="cellIs" dxfId="1875" priority="1549" operator="lessThanOrEqual">
      <formula>0.5</formula>
    </cfRule>
    <cfRule type="cellIs" dxfId="1874" priority="1550" operator="greaterThanOrEqual">
      <formula>1.5</formula>
    </cfRule>
  </conditionalFormatting>
  <conditionalFormatting sqref="K1110">
    <cfRule type="cellIs" dxfId="1873" priority="1547" operator="lessThanOrEqual">
      <formula>0.5</formula>
    </cfRule>
    <cfRule type="cellIs" dxfId="1872" priority="1548" operator="greaterThanOrEqual">
      <formula>1.5</formula>
    </cfRule>
  </conditionalFormatting>
  <conditionalFormatting sqref="L1110">
    <cfRule type="cellIs" dxfId="1871" priority="1545" operator="lessThanOrEqual">
      <formula>0.5</formula>
    </cfRule>
    <cfRule type="cellIs" dxfId="1870" priority="1546" operator="greaterThanOrEqual">
      <formula>1.5</formula>
    </cfRule>
  </conditionalFormatting>
  <conditionalFormatting sqref="O1113">
    <cfRule type="cellIs" dxfId="1869" priority="1543" operator="lessThanOrEqual">
      <formula>0.5</formula>
    </cfRule>
    <cfRule type="cellIs" dxfId="1868" priority="1544" operator="greaterThanOrEqual">
      <formula>1.5</formula>
    </cfRule>
  </conditionalFormatting>
  <conditionalFormatting sqref="N1113">
    <cfRule type="cellIs" dxfId="1867" priority="1541" operator="lessThanOrEqual">
      <formula>0.5</formula>
    </cfRule>
    <cfRule type="cellIs" dxfId="1866" priority="1542" operator="greaterThanOrEqual">
      <formula>1.5</formula>
    </cfRule>
  </conditionalFormatting>
  <conditionalFormatting sqref="K1113">
    <cfRule type="cellIs" dxfId="1865" priority="1539" operator="lessThanOrEqual">
      <formula>0.5</formula>
    </cfRule>
    <cfRule type="cellIs" dxfId="1864" priority="1540" operator="greaterThanOrEqual">
      <formula>1.5</formula>
    </cfRule>
  </conditionalFormatting>
  <conditionalFormatting sqref="L1113">
    <cfRule type="cellIs" dxfId="1863" priority="1537" operator="lessThanOrEqual">
      <formula>0.5</formula>
    </cfRule>
    <cfRule type="cellIs" dxfId="1862" priority="1538" operator="greaterThanOrEqual">
      <formula>1.5</formula>
    </cfRule>
  </conditionalFormatting>
  <conditionalFormatting sqref="O1116">
    <cfRule type="cellIs" dxfId="1861" priority="1535" operator="lessThanOrEqual">
      <formula>0.5</formula>
    </cfRule>
    <cfRule type="cellIs" dxfId="1860" priority="1536" operator="greaterThanOrEqual">
      <formula>1.5</formula>
    </cfRule>
  </conditionalFormatting>
  <conditionalFormatting sqref="N1116">
    <cfRule type="cellIs" dxfId="1859" priority="1533" operator="lessThanOrEqual">
      <formula>0.5</formula>
    </cfRule>
    <cfRule type="cellIs" dxfId="1858" priority="1534" operator="greaterThanOrEqual">
      <formula>1.5</formula>
    </cfRule>
  </conditionalFormatting>
  <conditionalFormatting sqref="K1116">
    <cfRule type="cellIs" dxfId="1857" priority="1531" operator="lessThanOrEqual">
      <formula>0.5</formula>
    </cfRule>
    <cfRule type="cellIs" dxfId="1856" priority="1532" operator="greaterThanOrEqual">
      <formula>1.5</formula>
    </cfRule>
  </conditionalFormatting>
  <conditionalFormatting sqref="L1116">
    <cfRule type="cellIs" dxfId="1855" priority="1529" operator="lessThanOrEqual">
      <formula>0.5</formula>
    </cfRule>
    <cfRule type="cellIs" dxfId="1854" priority="1530" operator="greaterThanOrEqual">
      <formula>1.5</formula>
    </cfRule>
  </conditionalFormatting>
  <conditionalFormatting sqref="O1119">
    <cfRule type="cellIs" dxfId="1853" priority="1527" operator="lessThanOrEqual">
      <formula>0.5</formula>
    </cfRule>
    <cfRule type="cellIs" dxfId="1852" priority="1528" operator="greaterThanOrEqual">
      <formula>1.5</formula>
    </cfRule>
  </conditionalFormatting>
  <conditionalFormatting sqref="N1119">
    <cfRule type="cellIs" dxfId="1851" priority="1525" operator="lessThanOrEqual">
      <formula>0.5</formula>
    </cfRule>
    <cfRule type="cellIs" dxfId="1850" priority="1526" operator="greaterThanOrEqual">
      <formula>1.5</formula>
    </cfRule>
  </conditionalFormatting>
  <conditionalFormatting sqref="K1119">
    <cfRule type="cellIs" dxfId="1849" priority="1523" operator="lessThanOrEqual">
      <formula>0.5</formula>
    </cfRule>
    <cfRule type="cellIs" dxfId="1848" priority="1524" operator="greaterThanOrEqual">
      <formula>1.5</formula>
    </cfRule>
  </conditionalFormatting>
  <conditionalFormatting sqref="L1119">
    <cfRule type="cellIs" dxfId="1847" priority="1521" operator="lessThanOrEqual">
      <formula>0.5</formula>
    </cfRule>
    <cfRule type="cellIs" dxfId="1846" priority="1522" operator="greaterThanOrEqual">
      <formula>1.5</formula>
    </cfRule>
  </conditionalFormatting>
  <conditionalFormatting sqref="O1122">
    <cfRule type="cellIs" dxfId="1845" priority="1519" operator="lessThanOrEqual">
      <formula>0.5</formula>
    </cfRule>
    <cfRule type="cellIs" dxfId="1844" priority="1520" operator="greaterThanOrEqual">
      <formula>1.5</formula>
    </cfRule>
  </conditionalFormatting>
  <conditionalFormatting sqref="N1122">
    <cfRule type="cellIs" dxfId="1843" priority="1517" operator="lessThanOrEqual">
      <formula>0.5</formula>
    </cfRule>
    <cfRule type="cellIs" dxfId="1842" priority="1518" operator="greaterThanOrEqual">
      <formula>1.5</formula>
    </cfRule>
  </conditionalFormatting>
  <conditionalFormatting sqref="K1122">
    <cfRule type="cellIs" dxfId="1841" priority="1515" operator="lessThanOrEqual">
      <formula>0.5</formula>
    </cfRule>
    <cfRule type="cellIs" dxfId="1840" priority="1516" operator="greaterThanOrEqual">
      <formula>1.5</formula>
    </cfRule>
  </conditionalFormatting>
  <conditionalFormatting sqref="L1122">
    <cfRule type="cellIs" dxfId="1839" priority="1513" operator="lessThanOrEqual">
      <formula>0.5</formula>
    </cfRule>
    <cfRule type="cellIs" dxfId="1838" priority="1514" operator="greaterThanOrEqual">
      <formula>1.5</formula>
    </cfRule>
  </conditionalFormatting>
  <conditionalFormatting sqref="O1125">
    <cfRule type="cellIs" dxfId="1837" priority="1511" operator="lessThanOrEqual">
      <formula>0.5</formula>
    </cfRule>
    <cfRule type="cellIs" dxfId="1836" priority="1512" operator="greaterThanOrEqual">
      <formula>1.5</formula>
    </cfRule>
  </conditionalFormatting>
  <conditionalFormatting sqref="N1125">
    <cfRule type="cellIs" dxfId="1835" priority="1509" operator="lessThanOrEqual">
      <formula>0.5</formula>
    </cfRule>
    <cfRule type="cellIs" dxfId="1834" priority="1510" operator="greaterThanOrEqual">
      <formula>1.5</formula>
    </cfRule>
  </conditionalFormatting>
  <conditionalFormatting sqref="K1125">
    <cfRule type="cellIs" dxfId="1833" priority="1507" operator="lessThanOrEqual">
      <formula>0.5</formula>
    </cfRule>
    <cfRule type="cellIs" dxfId="1832" priority="1508" operator="greaterThanOrEqual">
      <formula>1.5</formula>
    </cfRule>
  </conditionalFormatting>
  <conditionalFormatting sqref="L1125">
    <cfRule type="cellIs" dxfId="1831" priority="1505" operator="lessThanOrEqual">
      <formula>0.5</formula>
    </cfRule>
    <cfRule type="cellIs" dxfId="1830" priority="1506" operator="greaterThanOrEqual">
      <formula>1.5</formula>
    </cfRule>
  </conditionalFormatting>
  <conditionalFormatting sqref="O1128">
    <cfRule type="cellIs" dxfId="1829" priority="1503" operator="lessThanOrEqual">
      <formula>0.5</formula>
    </cfRule>
    <cfRule type="cellIs" dxfId="1828" priority="1504" operator="greaterThanOrEqual">
      <formula>1.5</formula>
    </cfRule>
  </conditionalFormatting>
  <conditionalFormatting sqref="N1128">
    <cfRule type="cellIs" dxfId="1827" priority="1501" operator="lessThanOrEqual">
      <formula>0.5</formula>
    </cfRule>
    <cfRule type="cellIs" dxfId="1826" priority="1502" operator="greaterThanOrEqual">
      <formula>1.5</formula>
    </cfRule>
  </conditionalFormatting>
  <conditionalFormatting sqref="K1128">
    <cfRule type="cellIs" dxfId="1825" priority="1499" operator="lessThanOrEqual">
      <formula>0.5</formula>
    </cfRule>
    <cfRule type="cellIs" dxfId="1824" priority="1500" operator="greaterThanOrEqual">
      <formula>1.5</formula>
    </cfRule>
  </conditionalFormatting>
  <conditionalFormatting sqref="L1128">
    <cfRule type="cellIs" dxfId="1823" priority="1497" operator="lessThanOrEqual">
      <formula>0.5</formula>
    </cfRule>
    <cfRule type="cellIs" dxfId="1822" priority="1498" operator="greaterThanOrEqual">
      <formula>1.5</formula>
    </cfRule>
  </conditionalFormatting>
  <conditionalFormatting sqref="O1131">
    <cfRule type="cellIs" dxfId="1821" priority="1495" operator="lessThanOrEqual">
      <formula>0.5</formula>
    </cfRule>
    <cfRule type="cellIs" dxfId="1820" priority="1496" operator="greaterThanOrEqual">
      <formula>1.5</formula>
    </cfRule>
  </conditionalFormatting>
  <conditionalFormatting sqref="N1131">
    <cfRule type="cellIs" dxfId="1819" priority="1493" operator="lessThanOrEqual">
      <formula>0.5</formula>
    </cfRule>
    <cfRule type="cellIs" dxfId="1818" priority="1494" operator="greaterThanOrEqual">
      <formula>1.5</formula>
    </cfRule>
  </conditionalFormatting>
  <conditionalFormatting sqref="K1131">
    <cfRule type="cellIs" dxfId="1817" priority="1491" operator="lessThanOrEqual">
      <formula>0.5</formula>
    </cfRule>
    <cfRule type="cellIs" dxfId="1816" priority="1492" operator="greaterThanOrEqual">
      <formula>1.5</formula>
    </cfRule>
  </conditionalFormatting>
  <conditionalFormatting sqref="L1131">
    <cfRule type="cellIs" dxfId="1815" priority="1489" operator="lessThanOrEqual">
      <formula>0.5</formula>
    </cfRule>
    <cfRule type="cellIs" dxfId="1814" priority="1490" operator="greaterThanOrEqual">
      <formula>1.5</formula>
    </cfRule>
  </conditionalFormatting>
  <conditionalFormatting sqref="O1134">
    <cfRule type="cellIs" dxfId="1813" priority="1487" operator="lessThanOrEqual">
      <formula>0.5</formula>
    </cfRule>
    <cfRule type="cellIs" dxfId="1812" priority="1488" operator="greaterThanOrEqual">
      <formula>1.5</formula>
    </cfRule>
  </conditionalFormatting>
  <conditionalFormatting sqref="N1134">
    <cfRule type="cellIs" dxfId="1811" priority="1485" operator="lessThanOrEqual">
      <formula>0.5</formula>
    </cfRule>
    <cfRule type="cellIs" dxfId="1810" priority="1486" operator="greaterThanOrEqual">
      <formula>1.5</formula>
    </cfRule>
  </conditionalFormatting>
  <conditionalFormatting sqref="K1134">
    <cfRule type="cellIs" dxfId="1809" priority="1483" operator="lessThanOrEqual">
      <formula>0.5</formula>
    </cfRule>
    <cfRule type="cellIs" dxfId="1808" priority="1484" operator="greaterThanOrEqual">
      <formula>1.5</formula>
    </cfRule>
  </conditionalFormatting>
  <conditionalFormatting sqref="L1134">
    <cfRule type="cellIs" dxfId="1807" priority="1481" operator="lessThanOrEqual">
      <formula>0.5</formula>
    </cfRule>
    <cfRule type="cellIs" dxfId="1806" priority="1482" operator="greaterThanOrEqual">
      <formula>1.5</formula>
    </cfRule>
  </conditionalFormatting>
  <conditionalFormatting sqref="O1137">
    <cfRule type="cellIs" dxfId="1805" priority="1479" operator="lessThanOrEqual">
      <formula>0.5</formula>
    </cfRule>
    <cfRule type="cellIs" dxfId="1804" priority="1480" operator="greaterThanOrEqual">
      <formula>1.5</formula>
    </cfRule>
  </conditionalFormatting>
  <conditionalFormatting sqref="N1137">
    <cfRule type="cellIs" dxfId="1803" priority="1477" operator="lessThanOrEqual">
      <formula>0.5</formula>
    </cfRule>
    <cfRule type="cellIs" dxfId="1802" priority="1478" operator="greaterThanOrEqual">
      <formula>1.5</formula>
    </cfRule>
  </conditionalFormatting>
  <conditionalFormatting sqref="K1137">
    <cfRule type="cellIs" dxfId="1801" priority="1475" operator="lessThanOrEqual">
      <formula>0.5</formula>
    </cfRule>
    <cfRule type="cellIs" dxfId="1800" priority="1476" operator="greaterThanOrEqual">
      <formula>1.5</formula>
    </cfRule>
  </conditionalFormatting>
  <conditionalFormatting sqref="L1137">
    <cfRule type="cellIs" dxfId="1799" priority="1473" operator="lessThanOrEqual">
      <formula>0.5</formula>
    </cfRule>
    <cfRule type="cellIs" dxfId="1798" priority="1474" operator="greaterThanOrEqual">
      <formula>1.5</formula>
    </cfRule>
  </conditionalFormatting>
  <conditionalFormatting sqref="O1140">
    <cfRule type="cellIs" dxfId="1797" priority="1471" operator="lessThanOrEqual">
      <formula>0.5</formula>
    </cfRule>
    <cfRule type="cellIs" dxfId="1796" priority="1472" operator="greaterThanOrEqual">
      <formula>1.5</formula>
    </cfRule>
  </conditionalFormatting>
  <conditionalFormatting sqref="N1140">
    <cfRule type="cellIs" dxfId="1795" priority="1469" operator="lessThanOrEqual">
      <formula>0.5</formula>
    </cfRule>
    <cfRule type="cellIs" dxfId="1794" priority="1470" operator="greaterThanOrEqual">
      <formula>1.5</formula>
    </cfRule>
  </conditionalFormatting>
  <conditionalFormatting sqref="K1140">
    <cfRule type="cellIs" dxfId="1793" priority="1467" operator="lessThanOrEqual">
      <formula>0.5</formula>
    </cfRule>
    <cfRule type="cellIs" dxfId="1792" priority="1468" operator="greaterThanOrEqual">
      <formula>1.5</formula>
    </cfRule>
  </conditionalFormatting>
  <conditionalFormatting sqref="L1140">
    <cfRule type="cellIs" dxfId="1791" priority="1465" operator="lessThanOrEqual">
      <formula>0.5</formula>
    </cfRule>
    <cfRule type="cellIs" dxfId="1790" priority="1466" operator="greaterThanOrEqual">
      <formula>1.5</formula>
    </cfRule>
  </conditionalFormatting>
  <conditionalFormatting sqref="O1143">
    <cfRule type="cellIs" dxfId="1789" priority="1463" operator="lessThanOrEqual">
      <formula>0.5</formula>
    </cfRule>
    <cfRule type="cellIs" dxfId="1788" priority="1464" operator="greaterThanOrEqual">
      <formula>1.5</formula>
    </cfRule>
  </conditionalFormatting>
  <conditionalFormatting sqref="N1143">
    <cfRule type="cellIs" dxfId="1787" priority="1461" operator="lessThanOrEqual">
      <formula>0.5</formula>
    </cfRule>
    <cfRule type="cellIs" dxfId="1786" priority="1462" operator="greaterThanOrEqual">
      <formula>1.5</formula>
    </cfRule>
  </conditionalFormatting>
  <conditionalFormatting sqref="K1143">
    <cfRule type="cellIs" dxfId="1785" priority="1459" operator="lessThanOrEqual">
      <formula>0.5</formula>
    </cfRule>
    <cfRule type="cellIs" dxfId="1784" priority="1460" operator="greaterThanOrEqual">
      <formula>1.5</formula>
    </cfRule>
  </conditionalFormatting>
  <conditionalFormatting sqref="L1143">
    <cfRule type="cellIs" dxfId="1783" priority="1457" operator="lessThanOrEqual">
      <formula>0.5</formula>
    </cfRule>
    <cfRule type="cellIs" dxfId="1782" priority="1458" operator="greaterThanOrEqual">
      <formula>1.5</formula>
    </cfRule>
  </conditionalFormatting>
  <conditionalFormatting sqref="O1146">
    <cfRule type="cellIs" dxfId="1781" priority="1455" operator="lessThanOrEqual">
      <formula>0.5</formula>
    </cfRule>
    <cfRule type="cellIs" dxfId="1780" priority="1456" operator="greaterThanOrEqual">
      <formula>1.5</formula>
    </cfRule>
  </conditionalFormatting>
  <conditionalFormatting sqref="N1146">
    <cfRule type="cellIs" dxfId="1779" priority="1453" operator="lessThanOrEqual">
      <formula>0.5</formula>
    </cfRule>
    <cfRule type="cellIs" dxfId="1778" priority="1454" operator="greaterThanOrEqual">
      <formula>1.5</formula>
    </cfRule>
  </conditionalFormatting>
  <conditionalFormatting sqref="K1146">
    <cfRule type="cellIs" dxfId="1777" priority="1451" operator="lessThanOrEqual">
      <formula>0.5</formula>
    </cfRule>
    <cfRule type="cellIs" dxfId="1776" priority="1452" operator="greaterThanOrEqual">
      <formula>1.5</formula>
    </cfRule>
  </conditionalFormatting>
  <conditionalFormatting sqref="L1146">
    <cfRule type="cellIs" dxfId="1775" priority="1449" operator="lessThanOrEqual">
      <formula>0.5</formula>
    </cfRule>
    <cfRule type="cellIs" dxfId="1774" priority="1450" operator="greaterThanOrEqual">
      <formula>1.5</formula>
    </cfRule>
  </conditionalFormatting>
  <conditionalFormatting sqref="O1149">
    <cfRule type="cellIs" dxfId="1773" priority="1447" operator="lessThanOrEqual">
      <formula>0.5</formula>
    </cfRule>
    <cfRule type="cellIs" dxfId="1772" priority="1448" operator="greaterThanOrEqual">
      <formula>1.5</formula>
    </cfRule>
  </conditionalFormatting>
  <conditionalFormatting sqref="N1149">
    <cfRule type="cellIs" dxfId="1771" priority="1445" operator="lessThanOrEqual">
      <formula>0.5</formula>
    </cfRule>
    <cfRule type="cellIs" dxfId="1770" priority="1446" operator="greaterThanOrEqual">
      <formula>1.5</formula>
    </cfRule>
  </conditionalFormatting>
  <conditionalFormatting sqref="K1149">
    <cfRule type="cellIs" dxfId="1769" priority="1443" operator="lessThanOrEqual">
      <formula>0.5</formula>
    </cfRule>
    <cfRule type="cellIs" dxfId="1768" priority="1444" operator="greaterThanOrEqual">
      <formula>1.5</formula>
    </cfRule>
  </conditionalFormatting>
  <conditionalFormatting sqref="L1149">
    <cfRule type="cellIs" dxfId="1767" priority="1441" operator="lessThanOrEqual">
      <formula>0.5</formula>
    </cfRule>
    <cfRule type="cellIs" dxfId="1766" priority="1442" operator="greaterThanOrEqual">
      <formula>1.5</formula>
    </cfRule>
  </conditionalFormatting>
  <conditionalFormatting sqref="O1152">
    <cfRule type="cellIs" dxfId="1765" priority="1439" operator="lessThanOrEqual">
      <formula>0.5</formula>
    </cfRule>
    <cfRule type="cellIs" dxfId="1764" priority="1440" operator="greaterThanOrEqual">
      <formula>1.5</formula>
    </cfRule>
  </conditionalFormatting>
  <conditionalFormatting sqref="N1152">
    <cfRule type="cellIs" dxfId="1763" priority="1437" operator="lessThanOrEqual">
      <formula>0.5</formula>
    </cfRule>
    <cfRule type="cellIs" dxfId="1762" priority="1438" operator="greaterThanOrEqual">
      <formula>1.5</formula>
    </cfRule>
  </conditionalFormatting>
  <conditionalFormatting sqref="K1152">
    <cfRule type="cellIs" dxfId="1761" priority="1435" operator="lessThanOrEqual">
      <formula>0.5</formula>
    </cfRule>
    <cfRule type="cellIs" dxfId="1760" priority="1436" operator="greaterThanOrEqual">
      <formula>1.5</formula>
    </cfRule>
  </conditionalFormatting>
  <conditionalFormatting sqref="L1152">
    <cfRule type="cellIs" dxfId="1759" priority="1433" operator="lessThanOrEqual">
      <formula>0.5</formula>
    </cfRule>
    <cfRule type="cellIs" dxfId="1758" priority="1434" operator="greaterThanOrEqual">
      <formula>1.5</formula>
    </cfRule>
  </conditionalFormatting>
  <conditionalFormatting sqref="O1155">
    <cfRule type="cellIs" dxfId="1757" priority="1431" operator="lessThanOrEqual">
      <formula>0.5</formula>
    </cfRule>
    <cfRule type="cellIs" dxfId="1756" priority="1432" operator="greaterThanOrEqual">
      <formula>1.5</formula>
    </cfRule>
  </conditionalFormatting>
  <conditionalFormatting sqref="N1155">
    <cfRule type="cellIs" dxfId="1755" priority="1429" operator="lessThanOrEqual">
      <formula>0.5</formula>
    </cfRule>
    <cfRule type="cellIs" dxfId="1754" priority="1430" operator="greaterThanOrEqual">
      <formula>1.5</formula>
    </cfRule>
  </conditionalFormatting>
  <conditionalFormatting sqref="K1155">
    <cfRule type="cellIs" dxfId="1753" priority="1427" operator="lessThanOrEqual">
      <formula>0.5</formula>
    </cfRule>
    <cfRule type="cellIs" dxfId="1752" priority="1428" operator="greaterThanOrEqual">
      <formula>1.5</formula>
    </cfRule>
  </conditionalFormatting>
  <conditionalFormatting sqref="L1155">
    <cfRule type="cellIs" dxfId="1751" priority="1425" operator="lessThanOrEqual">
      <formula>0.5</formula>
    </cfRule>
    <cfRule type="cellIs" dxfId="1750" priority="1426" operator="greaterThanOrEqual">
      <formula>1.5</formula>
    </cfRule>
  </conditionalFormatting>
  <conditionalFormatting sqref="O1158">
    <cfRule type="cellIs" dxfId="1749" priority="1423" operator="lessThanOrEqual">
      <formula>0.5</formula>
    </cfRule>
    <cfRule type="cellIs" dxfId="1748" priority="1424" operator="greaterThanOrEqual">
      <formula>1.5</formula>
    </cfRule>
  </conditionalFormatting>
  <conditionalFormatting sqref="N1158">
    <cfRule type="cellIs" dxfId="1747" priority="1421" operator="lessThanOrEqual">
      <formula>0.5</formula>
    </cfRule>
    <cfRule type="cellIs" dxfId="1746" priority="1422" operator="greaterThanOrEqual">
      <formula>1.5</formula>
    </cfRule>
  </conditionalFormatting>
  <conditionalFormatting sqref="K1158">
    <cfRule type="cellIs" dxfId="1745" priority="1419" operator="lessThanOrEqual">
      <formula>0.5</formula>
    </cfRule>
    <cfRule type="cellIs" dxfId="1744" priority="1420" operator="greaterThanOrEqual">
      <formula>1.5</formula>
    </cfRule>
  </conditionalFormatting>
  <conditionalFormatting sqref="L1158">
    <cfRule type="cellIs" dxfId="1743" priority="1417" operator="lessThanOrEqual">
      <formula>0.5</formula>
    </cfRule>
    <cfRule type="cellIs" dxfId="1742" priority="1418" operator="greaterThanOrEqual">
      <formula>1.5</formula>
    </cfRule>
  </conditionalFormatting>
  <conditionalFormatting sqref="O1161">
    <cfRule type="cellIs" dxfId="1741" priority="1415" operator="lessThanOrEqual">
      <formula>0.5</formula>
    </cfRule>
    <cfRule type="cellIs" dxfId="1740" priority="1416" operator="greaterThanOrEqual">
      <formula>1.5</formula>
    </cfRule>
  </conditionalFormatting>
  <conditionalFormatting sqref="N1161">
    <cfRule type="cellIs" dxfId="1739" priority="1413" operator="lessThanOrEqual">
      <formula>0.5</formula>
    </cfRule>
    <cfRule type="cellIs" dxfId="1738" priority="1414" operator="greaterThanOrEqual">
      <formula>1.5</formula>
    </cfRule>
  </conditionalFormatting>
  <conditionalFormatting sqref="K1161">
    <cfRule type="cellIs" dxfId="1737" priority="1411" operator="lessThanOrEqual">
      <formula>0.5</formula>
    </cfRule>
    <cfRule type="cellIs" dxfId="1736" priority="1412" operator="greaterThanOrEqual">
      <formula>1.5</formula>
    </cfRule>
  </conditionalFormatting>
  <conditionalFormatting sqref="L1161">
    <cfRule type="cellIs" dxfId="1735" priority="1409" operator="lessThanOrEqual">
      <formula>0.5</formula>
    </cfRule>
    <cfRule type="cellIs" dxfId="1734" priority="1410" operator="greaterThanOrEqual">
      <formula>1.5</formula>
    </cfRule>
  </conditionalFormatting>
  <conditionalFormatting sqref="O1164">
    <cfRule type="cellIs" dxfId="1733" priority="1407" operator="lessThanOrEqual">
      <formula>0.5</formula>
    </cfRule>
    <cfRule type="cellIs" dxfId="1732" priority="1408" operator="greaterThanOrEqual">
      <formula>1.5</formula>
    </cfRule>
  </conditionalFormatting>
  <conditionalFormatting sqref="N1164">
    <cfRule type="cellIs" dxfId="1731" priority="1405" operator="lessThanOrEqual">
      <formula>0.5</formula>
    </cfRule>
    <cfRule type="cellIs" dxfId="1730" priority="1406" operator="greaterThanOrEqual">
      <formula>1.5</formula>
    </cfRule>
  </conditionalFormatting>
  <conditionalFormatting sqref="K1164">
    <cfRule type="cellIs" dxfId="1729" priority="1403" operator="lessThanOrEqual">
      <formula>0.5</formula>
    </cfRule>
    <cfRule type="cellIs" dxfId="1728" priority="1404" operator="greaterThanOrEqual">
      <formula>1.5</formula>
    </cfRule>
  </conditionalFormatting>
  <conditionalFormatting sqref="L1164">
    <cfRule type="cellIs" dxfId="1727" priority="1401" operator="lessThanOrEqual">
      <formula>0.5</formula>
    </cfRule>
    <cfRule type="cellIs" dxfId="1726" priority="1402" operator="greaterThanOrEqual">
      <formula>1.5</formula>
    </cfRule>
  </conditionalFormatting>
  <conditionalFormatting sqref="O1167">
    <cfRule type="cellIs" dxfId="1725" priority="1399" operator="lessThanOrEqual">
      <formula>0.5</formula>
    </cfRule>
    <cfRule type="cellIs" dxfId="1724" priority="1400" operator="greaterThanOrEqual">
      <formula>1.5</formula>
    </cfRule>
  </conditionalFormatting>
  <conditionalFormatting sqref="N1167">
    <cfRule type="cellIs" dxfId="1723" priority="1397" operator="lessThanOrEqual">
      <formula>0.5</formula>
    </cfRule>
    <cfRule type="cellIs" dxfId="1722" priority="1398" operator="greaterThanOrEqual">
      <formula>1.5</formula>
    </cfRule>
  </conditionalFormatting>
  <conditionalFormatting sqref="K1167">
    <cfRule type="cellIs" dxfId="1721" priority="1395" operator="lessThanOrEqual">
      <formula>0.5</formula>
    </cfRule>
    <cfRule type="cellIs" dxfId="1720" priority="1396" operator="greaterThanOrEqual">
      <formula>1.5</formula>
    </cfRule>
  </conditionalFormatting>
  <conditionalFormatting sqref="L1167">
    <cfRule type="cellIs" dxfId="1719" priority="1393" operator="lessThanOrEqual">
      <formula>0.5</formula>
    </cfRule>
    <cfRule type="cellIs" dxfId="1718" priority="1394" operator="greaterThanOrEqual">
      <formula>1.5</formula>
    </cfRule>
  </conditionalFormatting>
  <conditionalFormatting sqref="O1170">
    <cfRule type="cellIs" dxfId="1717" priority="1391" operator="lessThanOrEqual">
      <formula>0.5</formula>
    </cfRule>
    <cfRule type="cellIs" dxfId="1716" priority="1392" operator="greaterThanOrEqual">
      <formula>1.5</formula>
    </cfRule>
  </conditionalFormatting>
  <conditionalFormatting sqref="N1170">
    <cfRule type="cellIs" dxfId="1715" priority="1389" operator="lessThanOrEqual">
      <formula>0.5</formula>
    </cfRule>
    <cfRule type="cellIs" dxfId="1714" priority="1390" operator="greaterThanOrEqual">
      <formula>1.5</formula>
    </cfRule>
  </conditionalFormatting>
  <conditionalFormatting sqref="K1170">
    <cfRule type="cellIs" dxfId="1713" priority="1387" operator="lessThanOrEqual">
      <formula>0.5</formula>
    </cfRule>
    <cfRule type="cellIs" dxfId="1712" priority="1388" operator="greaterThanOrEqual">
      <formula>1.5</formula>
    </cfRule>
  </conditionalFormatting>
  <conditionalFormatting sqref="L1170">
    <cfRule type="cellIs" dxfId="1711" priority="1385" operator="lessThanOrEqual">
      <formula>0.5</formula>
    </cfRule>
    <cfRule type="cellIs" dxfId="1710" priority="1386" operator="greaterThanOrEqual">
      <formula>1.5</formula>
    </cfRule>
  </conditionalFormatting>
  <conditionalFormatting sqref="O1173">
    <cfRule type="cellIs" dxfId="1709" priority="1383" operator="lessThanOrEqual">
      <formula>0.5</formula>
    </cfRule>
    <cfRule type="cellIs" dxfId="1708" priority="1384" operator="greaterThanOrEqual">
      <formula>1.5</formula>
    </cfRule>
  </conditionalFormatting>
  <conditionalFormatting sqref="N1173">
    <cfRule type="cellIs" dxfId="1707" priority="1381" operator="lessThanOrEqual">
      <formula>0.5</formula>
    </cfRule>
    <cfRule type="cellIs" dxfId="1706" priority="1382" operator="greaterThanOrEqual">
      <formula>1.5</formula>
    </cfRule>
  </conditionalFormatting>
  <conditionalFormatting sqref="K1173">
    <cfRule type="cellIs" dxfId="1705" priority="1379" operator="lessThanOrEqual">
      <formula>0.5</formula>
    </cfRule>
    <cfRule type="cellIs" dxfId="1704" priority="1380" operator="greaterThanOrEqual">
      <formula>1.5</formula>
    </cfRule>
  </conditionalFormatting>
  <conditionalFormatting sqref="L1173">
    <cfRule type="cellIs" dxfId="1703" priority="1377" operator="lessThanOrEqual">
      <formula>0.5</formula>
    </cfRule>
    <cfRule type="cellIs" dxfId="1702" priority="1378" operator="greaterThanOrEqual">
      <formula>1.5</formula>
    </cfRule>
  </conditionalFormatting>
  <conditionalFormatting sqref="O1176">
    <cfRule type="cellIs" dxfId="1701" priority="1375" operator="lessThanOrEqual">
      <formula>0.5</formula>
    </cfRule>
    <cfRule type="cellIs" dxfId="1700" priority="1376" operator="greaterThanOrEqual">
      <formula>1.5</formula>
    </cfRule>
  </conditionalFormatting>
  <conditionalFormatting sqref="N1176">
    <cfRule type="cellIs" dxfId="1699" priority="1373" operator="lessThanOrEqual">
      <formula>0.5</formula>
    </cfRule>
    <cfRule type="cellIs" dxfId="1698" priority="1374" operator="greaterThanOrEqual">
      <formula>1.5</formula>
    </cfRule>
  </conditionalFormatting>
  <conditionalFormatting sqref="K1176">
    <cfRule type="cellIs" dxfId="1697" priority="1371" operator="lessThanOrEqual">
      <formula>0.5</formula>
    </cfRule>
    <cfRule type="cellIs" dxfId="1696" priority="1372" operator="greaterThanOrEqual">
      <formula>1.5</formula>
    </cfRule>
  </conditionalFormatting>
  <conditionalFormatting sqref="L1176">
    <cfRule type="cellIs" dxfId="1695" priority="1369" operator="lessThanOrEqual">
      <formula>0.5</formula>
    </cfRule>
    <cfRule type="cellIs" dxfId="1694" priority="1370" operator="greaterThanOrEqual">
      <formula>1.5</formula>
    </cfRule>
  </conditionalFormatting>
  <conditionalFormatting sqref="O1179">
    <cfRule type="cellIs" dxfId="1693" priority="1367" operator="lessThanOrEqual">
      <formula>0.5</formula>
    </cfRule>
    <cfRule type="cellIs" dxfId="1692" priority="1368" operator="greaterThanOrEqual">
      <formula>1.5</formula>
    </cfRule>
  </conditionalFormatting>
  <conditionalFormatting sqref="N1179">
    <cfRule type="cellIs" dxfId="1691" priority="1365" operator="lessThanOrEqual">
      <formula>0.5</formula>
    </cfRule>
    <cfRule type="cellIs" dxfId="1690" priority="1366" operator="greaterThanOrEqual">
      <formula>1.5</formula>
    </cfRule>
  </conditionalFormatting>
  <conditionalFormatting sqref="K1179">
    <cfRule type="cellIs" dxfId="1689" priority="1363" operator="lessThanOrEqual">
      <formula>0.5</formula>
    </cfRule>
    <cfRule type="cellIs" dxfId="1688" priority="1364" operator="greaterThanOrEqual">
      <formula>1.5</formula>
    </cfRule>
  </conditionalFormatting>
  <conditionalFormatting sqref="L1179">
    <cfRule type="cellIs" dxfId="1687" priority="1361" operator="lessThanOrEqual">
      <formula>0.5</formula>
    </cfRule>
    <cfRule type="cellIs" dxfId="1686" priority="1362" operator="greaterThanOrEqual">
      <formula>1.5</formula>
    </cfRule>
  </conditionalFormatting>
  <conditionalFormatting sqref="O1182">
    <cfRule type="cellIs" dxfId="1685" priority="1351" operator="lessThanOrEqual">
      <formula>0.5</formula>
    </cfRule>
    <cfRule type="cellIs" dxfId="1684" priority="1352" operator="greaterThanOrEqual">
      <formula>1.5</formula>
    </cfRule>
  </conditionalFormatting>
  <conditionalFormatting sqref="N1182">
    <cfRule type="cellIs" dxfId="1683" priority="1349" operator="lessThanOrEqual">
      <formula>0.5</formula>
    </cfRule>
    <cfRule type="cellIs" dxfId="1682" priority="1350" operator="greaterThanOrEqual">
      <formula>1.5</formula>
    </cfRule>
  </conditionalFormatting>
  <conditionalFormatting sqref="K1182">
    <cfRule type="cellIs" dxfId="1681" priority="1347" operator="lessThanOrEqual">
      <formula>0.5</formula>
    </cfRule>
    <cfRule type="cellIs" dxfId="1680" priority="1348" operator="greaterThanOrEqual">
      <formula>1.5</formula>
    </cfRule>
  </conditionalFormatting>
  <conditionalFormatting sqref="L1182">
    <cfRule type="cellIs" dxfId="1679" priority="1345" operator="lessThanOrEqual">
      <formula>0.5</formula>
    </cfRule>
    <cfRule type="cellIs" dxfId="1678" priority="1346" operator="greaterThanOrEqual">
      <formula>1.5</formula>
    </cfRule>
  </conditionalFormatting>
  <conditionalFormatting sqref="O1185">
    <cfRule type="cellIs" dxfId="1677" priority="1343" operator="lessThanOrEqual">
      <formula>0.5</formula>
    </cfRule>
    <cfRule type="cellIs" dxfId="1676" priority="1344" operator="greaterThanOrEqual">
      <formula>1.5</formula>
    </cfRule>
  </conditionalFormatting>
  <conditionalFormatting sqref="N1185">
    <cfRule type="cellIs" dxfId="1675" priority="1341" operator="lessThanOrEqual">
      <formula>0.5</formula>
    </cfRule>
    <cfRule type="cellIs" dxfId="1674" priority="1342" operator="greaterThanOrEqual">
      <formula>1.5</formula>
    </cfRule>
  </conditionalFormatting>
  <conditionalFormatting sqref="K1185">
    <cfRule type="cellIs" dxfId="1673" priority="1339" operator="lessThanOrEqual">
      <formula>0.5</formula>
    </cfRule>
    <cfRule type="cellIs" dxfId="1672" priority="1340" operator="greaterThanOrEqual">
      <formula>1.5</formula>
    </cfRule>
  </conditionalFormatting>
  <conditionalFormatting sqref="L1185">
    <cfRule type="cellIs" dxfId="1671" priority="1337" operator="lessThanOrEqual">
      <formula>0.5</formula>
    </cfRule>
    <cfRule type="cellIs" dxfId="1670" priority="1338" operator="greaterThanOrEqual">
      <formula>1.5</formula>
    </cfRule>
  </conditionalFormatting>
  <conditionalFormatting sqref="O1188">
    <cfRule type="cellIs" dxfId="1669" priority="1335" operator="lessThanOrEqual">
      <formula>0.5</formula>
    </cfRule>
    <cfRule type="cellIs" dxfId="1668" priority="1336" operator="greaterThanOrEqual">
      <formula>1.5</formula>
    </cfRule>
  </conditionalFormatting>
  <conditionalFormatting sqref="N1188">
    <cfRule type="cellIs" dxfId="1667" priority="1333" operator="lessThanOrEqual">
      <formula>0.5</formula>
    </cfRule>
    <cfRule type="cellIs" dxfId="1666" priority="1334" operator="greaterThanOrEqual">
      <formula>1.5</formula>
    </cfRule>
  </conditionalFormatting>
  <conditionalFormatting sqref="K1188">
    <cfRule type="cellIs" dxfId="1665" priority="1331" operator="lessThanOrEqual">
      <formula>0.5</formula>
    </cfRule>
    <cfRule type="cellIs" dxfId="1664" priority="1332" operator="greaterThanOrEqual">
      <formula>1.5</formula>
    </cfRule>
  </conditionalFormatting>
  <conditionalFormatting sqref="L1188">
    <cfRule type="cellIs" dxfId="1663" priority="1329" operator="lessThanOrEqual">
      <formula>0.5</formula>
    </cfRule>
    <cfRule type="cellIs" dxfId="1662" priority="1330" operator="greaterThanOrEqual">
      <formula>1.5</formula>
    </cfRule>
  </conditionalFormatting>
  <conditionalFormatting sqref="O1191">
    <cfRule type="cellIs" dxfId="1661" priority="1327" operator="lessThanOrEqual">
      <formula>0.5</formula>
    </cfRule>
    <cfRule type="cellIs" dxfId="1660" priority="1328" operator="greaterThanOrEqual">
      <formula>1.5</formula>
    </cfRule>
  </conditionalFormatting>
  <conditionalFormatting sqref="N1191">
    <cfRule type="cellIs" dxfId="1659" priority="1325" operator="lessThanOrEqual">
      <formula>0.5</formula>
    </cfRule>
    <cfRule type="cellIs" dxfId="1658" priority="1326" operator="greaterThanOrEqual">
      <formula>1.5</formula>
    </cfRule>
  </conditionalFormatting>
  <conditionalFormatting sqref="K1191">
    <cfRule type="cellIs" dxfId="1657" priority="1323" operator="lessThanOrEqual">
      <formula>0.5</formula>
    </cfRule>
    <cfRule type="cellIs" dxfId="1656" priority="1324" operator="greaterThanOrEqual">
      <formula>1.5</formula>
    </cfRule>
  </conditionalFormatting>
  <conditionalFormatting sqref="L1191">
    <cfRule type="cellIs" dxfId="1655" priority="1321" operator="lessThanOrEqual">
      <formula>0.5</formula>
    </cfRule>
    <cfRule type="cellIs" dxfId="1654" priority="1322" operator="greaterThanOrEqual">
      <formula>1.5</formula>
    </cfRule>
  </conditionalFormatting>
  <conditionalFormatting sqref="O1194">
    <cfRule type="cellIs" dxfId="1653" priority="1319" operator="lessThanOrEqual">
      <formula>0.5</formula>
    </cfRule>
    <cfRule type="cellIs" dxfId="1652" priority="1320" operator="greaterThanOrEqual">
      <formula>1.5</formula>
    </cfRule>
  </conditionalFormatting>
  <conditionalFormatting sqref="N1194">
    <cfRule type="cellIs" dxfId="1651" priority="1317" operator="lessThanOrEqual">
      <formula>0.5</formula>
    </cfRule>
    <cfRule type="cellIs" dxfId="1650" priority="1318" operator="greaterThanOrEqual">
      <formula>1.5</formula>
    </cfRule>
  </conditionalFormatting>
  <conditionalFormatting sqref="K1194">
    <cfRule type="cellIs" dxfId="1649" priority="1315" operator="lessThanOrEqual">
      <formula>0.5</formula>
    </cfRule>
    <cfRule type="cellIs" dxfId="1648" priority="1316" operator="greaterThanOrEqual">
      <formula>1.5</formula>
    </cfRule>
  </conditionalFormatting>
  <conditionalFormatting sqref="L1194">
    <cfRule type="cellIs" dxfId="1647" priority="1313" operator="lessThanOrEqual">
      <formula>0.5</formula>
    </cfRule>
    <cfRule type="cellIs" dxfId="1646" priority="1314" operator="greaterThanOrEqual">
      <formula>1.5</formula>
    </cfRule>
  </conditionalFormatting>
  <conditionalFormatting sqref="O1197">
    <cfRule type="cellIs" dxfId="1645" priority="1311" operator="lessThanOrEqual">
      <formula>0.5</formula>
    </cfRule>
    <cfRule type="cellIs" dxfId="1644" priority="1312" operator="greaterThanOrEqual">
      <formula>1.5</formula>
    </cfRule>
  </conditionalFormatting>
  <conditionalFormatting sqref="N1197">
    <cfRule type="cellIs" dxfId="1643" priority="1309" operator="lessThanOrEqual">
      <formula>0.5</formula>
    </cfRule>
    <cfRule type="cellIs" dxfId="1642" priority="1310" operator="greaterThanOrEqual">
      <formula>1.5</formula>
    </cfRule>
  </conditionalFormatting>
  <conditionalFormatting sqref="K1197">
    <cfRule type="cellIs" dxfId="1641" priority="1307" operator="lessThanOrEqual">
      <formula>0.5</formula>
    </cfRule>
    <cfRule type="cellIs" dxfId="1640" priority="1308" operator="greaterThanOrEqual">
      <formula>1.5</formula>
    </cfRule>
  </conditionalFormatting>
  <conditionalFormatting sqref="L1197">
    <cfRule type="cellIs" dxfId="1639" priority="1305" operator="lessThanOrEqual">
      <formula>0.5</formula>
    </cfRule>
    <cfRule type="cellIs" dxfId="1638" priority="1306" operator="greaterThanOrEqual">
      <formula>1.5</formula>
    </cfRule>
  </conditionalFormatting>
  <conditionalFormatting sqref="O1200">
    <cfRule type="cellIs" dxfId="1637" priority="1303" operator="lessThanOrEqual">
      <formula>0.5</formula>
    </cfRule>
    <cfRule type="cellIs" dxfId="1636" priority="1304" operator="greaterThanOrEqual">
      <formula>1.5</formula>
    </cfRule>
  </conditionalFormatting>
  <conditionalFormatting sqref="N1200">
    <cfRule type="cellIs" dxfId="1635" priority="1301" operator="lessThanOrEqual">
      <formula>0.5</formula>
    </cfRule>
    <cfRule type="cellIs" dxfId="1634" priority="1302" operator="greaterThanOrEqual">
      <formula>1.5</formula>
    </cfRule>
  </conditionalFormatting>
  <conditionalFormatting sqref="K1200">
    <cfRule type="cellIs" dxfId="1633" priority="1299" operator="lessThanOrEqual">
      <formula>0.5</formula>
    </cfRule>
    <cfRule type="cellIs" dxfId="1632" priority="1300" operator="greaterThanOrEqual">
      <formula>1.5</formula>
    </cfRule>
  </conditionalFormatting>
  <conditionalFormatting sqref="L1200">
    <cfRule type="cellIs" dxfId="1631" priority="1297" operator="lessThanOrEqual">
      <formula>0.5</formula>
    </cfRule>
    <cfRule type="cellIs" dxfId="1630" priority="1298" operator="greaterThanOrEqual">
      <formula>1.5</formula>
    </cfRule>
  </conditionalFormatting>
  <conditionalFormatting sqref="O1203">
    <cfRule type="cellIs" dxfId="1629" priority="1295" operator="lessThanOrEqual">
      <formula>0.5</formula>
    </cfRule>
    <cfRule type="cellIs" dxfId="1628" priority="1296" operator="greaterThanOrEqual">
      <formula>1.5</formula>
    </cfRule>
  </conditionalFormatting>
  <conditionalFormatting sqref="N1203">
    <cfRule type="cellIs" dxfId="1627" priority="1293" operator="lessThanOrEqual">
      <formula>0.5</formula>
    </cfRule>
    <cfRule type="cellIs" dxfId="1626" priority="1294" operator="greaterThanOrEqual">
      <formula>1.5</formula>
    </cfRule>
  </conditionalFormatting>
  <conditionalFormatting sqref="K1203">
    <cfRule type="cellIs" dxfId="1625" priority="1291" operator="lessThanOrEqual">
      <formula>0.5</formula>
    </cfRule>
    <cfRule type="cellIs" dxfId="1624" priority="1292" operator="greaterThanOrEqual">
      <formula>1.5</formula>
    </cfRule>
  </conditionalFormatting>
  <conditionalFormatting sqref="L1203">
    <cfRule type="cellIs" dxfId="1623" priority="1289" operator="lessThanOrEqual">
      <formula>0.5</formula>
    </cfRule>
    <cfRule type="cellIs" dxfId="1622" priority="1290" operator="greaterThanOrEqual">
      <formula>1.5</formula>
    </cfRule>
  </conditionalFormatting>
  <conditionalFormatting sqref="O1206">
    <cfRule type="cellIs" dxfId="1621" priority="1287" operator="lessThanOrEqual">
      <formula>0.5</formula>
    </cfRule>
    <cfRule type="cellIs" dxfId="1620" priority="1288" operator="greaterThanOrEqual">
      <formula>1.5</formula>
    </cfRule>
  </conditionalFormatting>
  <conditionalFormatting sqref="N1206">
    <cfRule type="cellIs" dxfId="1619" priority="1285" operator="lessThanOrEqual">
      <formula>0.5</formula>
    </cfRule>
    <cfRule type="cellIs" dxfId="1618" priority="1286" operator="greaterThanOrEqual">
      <formula>1.5</formula>
    </cfRule>
  </conditionalFormatting>
  <conditionalFormatting sqref="K1206">
    <cfRule type="cellIs" dxfId="1617" priority="1283" operator="lessThanOrEqual">
      <formula>0.5</formula>
    </cfRule>
    <cfRule type="cellIs" dxfId="1616" priority="1284" operator="greaterThanOrEqual">
      <formula>1.5</formula>
    </cfRule>
  </conditionalFormatting>
  <conditionalFormatting sqref="L1206">
    <cfRule type="cellIs" dxfId="1615" priority="1281" operator="lessThanOrEqual">
      <formula>0.5</formula>
    </cfRule>
    <cfRule type="cellIs" dxfId="1614" priority="1282" operator="greaterThanOrEqual">
      <formula>1.5</formula>
    </cfRule>
  </conditionalFormatting>
  <conditionalFormatting sqref="O1209">
    <cfRule type="cellIs" dxfId="1613" priority="1279" operator="lessThanOrEqual">
      <formula>0.5</formula>
    </cfRule>
    <cfRule type="cellIs" dxfId="1612" priority="1280" operator="greaterThanOrEqual">
      <formula>1.5</formula>
    </cfRule>
  </conditionalFormatting>
  <conditionalFormatting sqref="N1209">
    <cfRule type="cellIs" dxfId="1611" priority="1277" operator="lessThanOrEqual">
      <formula>0.5</formula>
    </cfRule>
    <cfRule type="cellIs" dxfId="1610" priority="1278" operator="greaterThanOrEqual">
      <formula>1.5</formula>
    </cfRule>
  </conditionalFormatting>
  <conditionalFormatting sqref="K1209">
    <cfRule type="cellIs" dxfId="1609" priority="1275" operator="lessThanOrEqual">
      <formula>0.5</formula>
    </cfRule>
    <cfRule type="cellIs" dxfId="1608" priority="1276" operator="greaterThanOrEqual">
      <formula>1.5</formula>
    </cfRule>
  </conditionalFormatting>
  <conditionalFormatting sqref="L1209">
    <cfRule type="cellIs" dxfId="1607" priority="1273" operator="lessThanOrEqual">
      <formula>0.5</formula>
    </cfRule>
    <cfRule type="cellIs" dxfId="1606" priority="1274" operator="greaterThanOrEqual">
      <formula>1.5</formula>
    </cfRule>
  </conditionalFormatting>
  <conditionalFormatting sqref="O1212">
    <cfRule type="cellIs" dxfId="1605" priority="1271" operator="lessThanOrEqual">
      <formula>0.5</formula>
    </cfRule>
    <cfRule type="cellIs" dxfId="1604" priority="1272" operator="greaterThanOrEqual">
      <formula>1.5</formula>
    </cfRule>
  </conditionalFormatting>
  <conditionalFormatting sqref="N1212">
    <cfRule type="cellIs" dxfId="1603" priority="1269" operator="lessThanOrEqual">
      <formula>0.5</formula>
    </cfRule>
    <cfRule type="cellIs" dxfId="1602" priority="1270" operator="greaterThanOrEqual">
      <formula>1.5</formula>
    </cfRule>
  </conditionalFormatting>
  <conditionalFormatting sqref="K1212">
    <cfRule type="cellIs" dxfId="1601" priority="1267" operator="lessThanOrEqual">
      <formula>0.5</formula>
    </cfRule>
    <cfRule type="cellIs" dxfId="1600" priority="1268" operator="greaterThanOrEqual">
      <formula>1.5</formula>
    </cfRule>
  </conditionalFormatting>
  <conditionalFormatting sqref="L1212">
    <cfRule type="cellIs" dxfId="1599" priority="1265" operator="lessThanOrEqual">
      <formula>0.5</formula>
    </cfRule>
    <cfRule type="cellIs" dxfId="1598" priority="1266" operator="greaterThanOrEqual">
      <formula>1.5</formula>
    </cfRule>
  </conditionalFormatting>
  <conditionalFormatting sqref="O1215">
    <cfRule type="cellIs" dxfId="1597" priority="1263" operator="lessThanOrEqual">
      <formula>0.5</formula>
    </cfRule>
    <cfRule type="cellIs" dxfId="1596" priority="1264" operator="greaterThanOrEqual">
      <formula>1.5</formula>
    </cfRule>
  </conditionalFormatting>
  <conditionalFormatting sqref="N1215">
    <cfRule type="cellIs" dxfId="1595" priority="1261" operator="lessThanOrEqual">
      <formula>0.5</formula>
    </cfRule>
    <cfRule type="cellIs" dxfId="1594" priority="1262" operator="greaterThanOrEqual">
      <formula>1.5</formula>
    </cfRule>
  </conditionalFormatting>
  <conditionalFormatting sqref="K1215">
    <cfRule type="cellIs" dxfId="1593" priority="1259" operator="lessThanOrEqual">
      <formula>0.5</formula>
    </cfRule>
    <cfRule type="cellIs" dxfId="1592" priority="1260" operator="greaterThanOrEqual">
      <formula>1.5</formula>
    </cfRule>
  </conditionalFormatting>
  <conditionalFormatting sqref="L1215">
    <cfRule type="cellIs" dxfId="1591" priority="1257" operator="lessThanOrEqual">
      <formula>0.5</formula>
    </cfRule>
    <cfRule type="cellIs" dxfId="1590" priority="1258" operator="greaterThanOrEqual">
      <formula>1.5</formula>
    </cfRule>
  </conditionalFormatting>
  <conditionalFormatting sqref="O1218">
    <cfRule type="cellIs" dxfId="1589" priority="1255" operator="lessThanOrEqual">
      <formula>0.5</formula>
    </cfRule>
    <cfRule type="cellIs" dxfId="1588" priority="1256" operator="greaterThanOrEqual">
      <formula>1.5</formula>
    </cfRule>
  </conditionalFormatting>
  <conditionalFormatting sqref="N1218">
    <cfRule type="cellIs" dxfId="1587" priority="1253" operator="lessThanOrEqual">
      <formula>0.5</formula>
    </cfRule>
    <cfRule type="cellIs" dxfId="1586" priority="1254" operator="greaterThanOrEqual">
      <formula>1.5</formula>
    </cfRule>
  </conditionalFormatting>
  <conditionalFormatting sqref="K1218">
    <cfRule type="cellIs" dxfId="1585" priority="1251" operator="lessThanOrEqual">
      <formula>0.5</formula>
    </cfRule>
    <cfRule type="cellIs" dxfId="1584" priority="1252" operator="greaterThanOrEqual">
      <formula>1.5</formula>
    </cfRule>
  </conditionalFormatting>
  <conditionalFormatting sqref="L1218">
    <cfRule type="cellIs" dxfId="1583" priority="1249" operator="lessThanOrEqual">
      <formula>0.5</formula>
    </cfRule>
    <cfRule type="cellIs" dxfId="1582" priority="1250" operator="greaterThanOrEqual">
      <formula>1.5</formula>
    </cfRule>
  </conditionalFormatting>
  <conditionalFormatting sqref="O1221">
    <cfRule type="cellIs" dxfId="1581" priority="1247" operator="lessThanOrEqual">
      <formula>0.5</formula>
    </cfRule>
    <cfRule type="cellIs" dxfId="1580" priority="1248" operator="greaterThanOrEqual">
      <formula>1.5</formula>
    </cfRule>
  </conditionalFormatting>
  <conditionalFormatting sqref="N1221">
    <cfRule type="cellIs" dxfId="1579" priority="1245" operator="lessThanOrEqual">
      <formula>0.5</formula>
    </cfRule>
    <cfRule type="cellIs" dxfId="1578" priority="1246" operator="greaterThanOrEqual">
      <formula>1.5</formula>
    </cfRule>
  </conditionalFormatting>
  <conditionalFormatting sqref="K1221">
    <cfRule type="cellIs" dxfId="1577" priority="1243" operator="lessThanOrEqual">
      <formula>0.5</formula>
    </cfRule>
    <cfRule type="cellIs" dxfId="1576" priority="1244" operator="greaterThanOrEqual">
      <formula>1.5</formula>
    </cfRule>
  </conditionalFormatting>
  <conditionalFormatting sqref="L1221">
    <cfRule type="cellIs" dxfId="1575" priority="1241" operator="lessThanOrEqual">
      <formula>0.5</formula>
    </cfRule>
    <cfRule type="cellIs" dxfId="1574" priority="1242" operator="greaterThanOrEqual">
      <formula>1.5</formula>
    </cfRule>
  </conditionalFormatting>
  <conditionalFormatting sqref="O1224">
    <cfRule type="cellIs" dxfId="1573" priority="1239" operator="lessThanOrEqual">
      <formula>0.5</formula>
    </cfRule>
    <cfRule type="cellIs" dxfId="1572" priority="1240" operator="greaterThanOrEqual">
      <formula>1.5</formula>
    </cfRule>
  </conditionalFormatting>
  <conditionalFormatting sqref="N1224">
    <cfRule type="cellIs" dxfId="1571" priority="1237" operator="lessThanOrEqual">
      <formula>0.5</formula>
    </cfRule>
    <cfRule type="cellIs" dxfId="1570" priority="1238" operator="greaterThanOrEqual">
      <formula>1.5</formula>
    </cfRule>
  </conditionalFormatting>
  <conditionalFormatting sqref="K1224">
    <cfRule type="cellIs" dxfId="1569" priority="1235" operator="lessThanOrEqual">
      <formula>0.5</formula>
    </cfRule>
    <cfRule type="cellIs" dxfId="1568" priority="1236" operator="greaterThanOrEqual">
      <formula>1.5</formula>
    </cfRule>
  </conditionalFormatting>
  <conditionalFormatting sqref="L1224">
    <cfRule type="cellIs" dxfId="1567" priority="1233" operator="lessThanOrEqual">
      <formula>0.5</formula>
    </cfRule>
    <cfRule type="cellIs" dxfId="1566" priority="1234" operator="greaterThanOrEqual">
      <formula>1.5</formula>
    </cfRule>
  </conditionalFormatting>
  <conditionalFormatting sqref="O1227">
    <cfRule type="cellIs" dxfId="1565" priority="1231" operator="lessThanOrEqual">
      <formula>0.5</formula>
    </cfRule>
    <cfRule type="cellIs" dxfId="1564" priority="1232" operator="greaterThanOrEqual">
      <formula>1.5</formula>
    </cfRule>
  </conditionalFormatting>
  <conditionalFormatting sqref="N1227">
    <cfRule type="cellIs" dxfId="1563" priority="1229" operator="lessThanOrEqual">
      <formula>0.5</formula>
    </cfRule>
    <cfRule type="cellIs" dxfId="1562" priority="1230" operator="greaterThanOrEqual">
      <formula>1.5</formula>
    </cfRule>
  </conditionalFormatting>
  <conditionalFormatting sqref="K1227">
    <cfRule type="cellIs" dxfId="1561" priority="1227" operator="lessThanOrEqual">
      <formula>0.5</formula>
    </cfRule>
    <cfRule type="cellIs" dxfId="1560" priority="1228" operator="greaterThanOrEqual">
      <formula>1.5</formula>
    </cfRule>
  </conditionalFormatting>
  <conditionalFormatting sqref="L1227">
    <cfRule type="cellIs" dxfId="1559" priority="1225" operator="lessThanOrEqual">
      <formula>0.5</formula>
    </cfRule>
    <cfRule type="cellIs" dxfId="1558" priority="1226" operator="greaterThanOrEqual">
      <formula>1.5</formula>
    </cfRule>
  </conditionalFormatting>
  <conditionalFormatting sqref="O1230">
    <cfRule type="cellIs" dxfId="1557" priority="1223" operator="lessThanOrEqual">
      <formula>0.5</formula>
    </cfRule>
    <cfRule type="cellIs" dxfId="1556" priority="1224" operator="greaterThanOrEqual">
      <formula>1.5</formula>
    </cfRule>
  </conditionalFormatting>
  <conditionalFormatting sqref="N1230">
    <cfRule type="cellIs" dxfId="1555" priority="1221" operator="lessThanOrEqual">
      <formula>0.5</formula>
    </cfRule>
    <cfRule type="cellIs" dxfId="1554" priority="1222" operator="greaterThanOrEqual">
      <formula>1.5</formula>
    </cfRule>
  </conditionalFormatting>
  <conditionalFormatting sqref="K1230">
    <cfRule type="cellIs" dxfId="1553" priority="1219" operator="lessThanOrEqual">
      <formula>0.5</formula>
    </cfRule>
    <cfRule type="cellIs" dxfId="1552" priority="1220" operator="greaterThanOrEqual">
      <formula>1.5</formula>
    </cfRule>
  </conditionalFormatting>
  <conditionalFormatting sqref="L1230">
    <cfRule type="cellIs" dxfId="1551" priority="1217" operator="lessThanOrEqual">
      <formula>0.5</formula>
    </cfRule>
    <cfRule type="cellIs" dxfId="1550" priority="1218" operator="greaterThanOrEqual">
      <formula>1.5</formula>
    </cfRule>
  </conditionalFormatting>
  <conditionalFormatting sqref="O1233">
    <cfRule type="cellIs" dxfId="1549" priority="1215" operator="lessThanOrEqual">
      <formula>0.5</formula>
    </cfRule>
    <cfRule type="cellIs" dxfId="1548" priority="1216" operator="greaterThanOrEqual">
      <formula>1.5</formula>
    </cfRule>
  </conditionalFormatting>
  <conditionalFormatting sqref="N1233">
    <cfRule type="cellIs" dxfId="1547" priority="1213" operator="lessThanOrEqual">
      <formula>0.5</formula>
    </cfRule>
    <cfRule type="cellIs" dxfId="1546" priority="1214" operator="greaterThanOrEqual">
      <formula>1.5</formula>
    </cfRule>
  </conditionalFormatting>
  <conditionalFormatting sqref="K1233">
    <cfRule type="cellIs" dxfId="1545" priority="1211" operator="lessThanOrEqual">
      <formula>0.5</formula>
    </cfRule>
    <cfRule type="cellIs" dxfId="1544" priority="1212" operator="greaterThanOrEqual">
      <formula>1.5</formula>
    </cfRule>
  </conditionalFormatting>
  <conditionalFormatting sqref="L1233">
    <cfRule type="cellIs" dxfId="1543" priority="1209" operator="lessThanOrEqual">
      <formula>0.5</formula>
    </cfRule>
    <cfRule type="cellIs" dxfId="1542" priority="1210" operator="greaterThanOrEqual">
      <formula>1.5</formula>
    </cfRule>
  </conditionalFormatting>
  <conditionalFormatting sqref="O1236">
    <cfRule type="cellIs" dxfId="1541" priority="1207" operator="lessThanOrEqual">
      <formula>0.5</formula>
    </cfRule>
    <cfRule type="cellIs" dxfId="1540" priority="1208" operator="greaterThanOrEqual">
      <formula>1.5</formula>
    </cfRule>
  </conditionalFormatting>
  <conditionalFormatting sqref="N1236">
    <cfRule type="cellIs" dxfId="1539" priority="1205" operator="lessThanOrEqual">
      <formula>0.5</formula>
    </cfRule>
    <cfRule type="cellIs" dxfId="1538" priority="1206" operator="greaterThanOrEqual">
      <formula>1.5</formula>
    </cfRule>
  </conditionalFormatting>
  <conditionalFormatting sqref="K1236">
    <cfRule type="cellIs" dxfId="1537" priority="1203" operator="lessThanOrEqual">
      <formula>0.5</formula>
    </cfRule>
    <cfRule type="cellIs" dxfId="1536" priority="1204" operator="greaterThanOrEqual">
      <formula>1.5</formula>
    </cfRule>
  </conditionalFormatting>
  <conditionalFormatting sqref="L1236">
    <cfRule type="cellIs" dxfId="1535" priority="1201" operator="lessThanOrEqual">
      <formula>0.5</formula>
    </cfRule>
    <cfRule type="cellIs" dxfId="1534" priority="1202" operator="greaterThanOrEqual">
      <formula>1.5</formula>
    </cfRule>
  </conditionalFormatting>
  <conditionalFormatting sqref="O1239">
    <cfRule type="cellIs" dxfId="1533" priority="1199" operator="lessThanOrEqual">
      <formula>0.5</formula>
    </cfRule>
    <cfRule type="cellIs" dxfId="1532" priority="1200" operator="greaterThanOrEqual">
      <formula>1.5</formula>
    </cfRule>
  </conditionalFormatting>
  <conditionalFormatting sqref="N1239">
    <cfRule type="cellIs" dxfId="1531" priority="1197" operator="lessThanOrEqual">
      <formula>0.5</formula>
    </cfRule>
    <cfRule type="cellIs" dxfId="1530" priority="1198" operator="greaterThanOrEqual">
      <formula>1.5</formula>
    </cfRule>
  </conditionalFormatting>
  <conditionalFormatting sqref="K1239">
    <cfRule type="cellIs" dxfId="1529" priority="1195" operator="lessThanOrEqual">
      <formula>0.5</formula>
    </cfRule>
    <cfRule type="cellIs" dxfId="1528" priority="1196" operator="greaterThanOrEqual">
      <formula>1.5</formula>
    </cfRule>
  </conditionalFormatting>
  <conditionalFormatting sqref="L1239">
    <cfRule type="cellIs" dxfId="1527" priority="1193" operator="lessThanOrEqual">
      <formula>0.5</formula>
    </cfRule>
    <cfRule type="cellIs" dxfId="1526" priority="1194" operator="greaterThanOrEqual">
      <formula>1.5</formula>
    </cfRule>
  </conditionalFormatting>
  <conditionalFormatting sqref="O1242">
    <cfRule type="cellIs" dxfId="1525" priority="1191" operator="lessThanOrEqual">
      <formula>0.5</formula>
    </cfRule>
    <cfRule type="cellIs" dxfId="1524" priority="1192" operator="greaterThanOrEqual">
      <formula>1.5</formula>
    </cfRule>
  </conditionalFormatting>
  <conditionalFormatting sqref="N1242">
    <cfRule type="cellIs" dxfId="1523" priority="1189" operator="lessThanOrEqual">
      <formula>0.5</formula>
    </cfRule>
    <cfRule type="cellIs" dxfId="1522" priority="1190" operator="greaterThanOrEqual">
      <formula>1.5</formula>
    </cfRule>
  </conditionalFormatting>
  <conditionalFormatting sqref="K1242">
    <cfRule type="cellIs" dxfId="1521" priority="1187" operator="lessThanOrEqual">
      <formula>0.5</formula>
    </cfRule>
    <cfRule type="cellIs" dxfId="1520" priority="1188" operator="greaterThanOrEqual">
      <formula>1.5</formula>
    </cfRule>
  </conditionalFormatting>
  <conditionalFormatting sqref="L1242">
    <cfRule type="cellIs" dxfId="1519" priority="1185" operator="lessThanOrEqual">
      <formula>0.5</formula>
    </cfRule>
    <cfRule type="cellIs" dxfId="1518" priority="1186" operator="greaterThanOrEqual">
      <formula>1.5</formula>
    </cfRule>
  </conditionalFormatting>
  <conditionalFormatting sqref="O1245">
    <cfRule type="cellIs" dxfId="1517" priority="1183" operator="lessThanOrEqual">
      <formula>0.5</formula>
    </cfRule>
    <cfRule type="cellIs" dxfId="1516" priority="1184" operator="greaterThanOrEqual">
      <formula>1.5</formula>
    </cfRule>
  </conditionalFormatting>
  <conditionalFormatting sqref="N1245">
    <cfRule type="cellIs" dxfId="1515" priority="1181" operator="lessThanOrEqual">
      <formula>0.5</formula>
    </cfRule>
    <cfRule type="cellIs" dxfId="1514" priority="1182" operator="greaterThanOrEqual">
      <formula>1.5</formula>
    </cfRule>
  </conditionalFormatting>
  <conditionalFormatting sqref="K1245">
    <cfRule type="cellIs" dxfId="1513" priority="1179" operator="lessThanOrEqual">
      <formula>0.5</formula>
    </cfRule>
    <cfRule type="cellIs" dxfId="1512" priority="1180" operator="greaterThanOrEqual">
      <formula>1.5</formula>
    </cfRule>
  </conditionalFormatting>
  <conditionalFormatting sqref="L1245">
    <cfRule type="cellIs" dxfId="1511" priority="1177" operator="lessThanOrEqual">
      <formula>0.5</formula>
    </cfRule>
    <cfRule type="cellIs" dxfId="1510" priority="1178" operator="greaterThanOrEqual">
      <formula>1.5</formula>
    </cfRule>
  </conditionalFormatting>
  <conditionalFormatting sqref="O1248">
    <cfRule type="cellIs" dxfId="1509" priority="1175" operator="lessThanOrEqual">
      <formula>0.5</formula>
    </cfRule>
    <cfRule type="cellIs" dxfId="1508" priority="1176" operator="greaterThanOrEqual">
      <formula>1.5</formula>
    </cfRule>
  </conditionalFormatting>
  <conditionalFormatting sqref="N1248">
    <cfRule type="cellIs" dxfId="1507" priority="1173" operator="lessThanOrEqual">
      <formula>0.5</formula>
    </cfRule>
    <cfRule type="cellIs" dxfId="1506" priority="1174" operator="greaterThanOrEqual">
      <formula>1.5</formula>
    </cfRule>
  </conditionalFormatting>
  <conditionalFormatting sqref="K1248">
    <cfRule type="cellIs" dxfId="1505" priority="1171" operator="lessThanOrEqual">
      <formula>0.5</formula>
    </cfRule>
    <cfRule type="cellIs" dxfId="1504" priority="1172" operator="greaterThanOrEqual">
      <formula>1.5</formula>
    </cfRule>
  </conditionalFormatting>
  <conditionalFormatting sqref="L1248">
    <cfRule type="cellIs" dxfId="1503" priority="1169" operator="lessThanOrEqual">
      <formula>0.5</formula>
    </cfRule>
    <cfRule type="cellIs" dxfId="1502" priority="1170" operator="greaterThanOrEqual">
      <formula>1.5</formula>
    </cfRule>
  </conditionalFormatting>
  <conditionalFormatting sqref="O1251">
    <cfRule type="cellIs" dxfId="1501" priority="1167" operator="lessThanOrEqual">
      <formula>0.5</formula>
    </cfRule>
    <cfRule type="cellIs" dxfId="1500" priority="1168" operator="greaterThanOrEqual">
      <formula>1.5</formula>
    </cfRule>
  </conditionalFormatting>
  <conditionalFormatting sqref="N1251">
    <cfRule type="cellIs" dxfId="1499" priority="1165" operator="lessThanOrEqual">
      <formula>0.5</formula>
    </cfRule>
    <cfRule type="cellIs" dxfId="1498" priority="1166" operator="greaterThanOrEqual">
      <formula>1.5</formula>
    </cfRule>
  </conditionalFormatting>
  <conditionalFormatting sqref="K1251">
    <cfRule type="cellIs" dxfId="1497" priority="1163" operator="lessThanOrEqual">
      <formula>0.5</formula>
    </cfRule>
    <cfRule type="cellIs" dxfId="1496" priority="1164" operator="greaterThanOrEqual">
      <formula>1.5</formula>
    </cfRule>
  </conditionalFormatting>
  <conditionalFormatting sqref="L1251">
    <cfRule type="cellIs" dxfId="1495" priority="1161" operator="lessThanOrEqual">
      <formula>0.5</formula>
    </cfRule>
    <cfRule type="cellIs" dxfId="1494" priority="1162" operator="greaterThanOrEqual">
      <formula>1.5</formula>
    </cfRule>
  </conditionalFormatting>
  <conditionalFormatting sqref="O1254">
    <cfRule type="cellIs" dxfId="1493" priority="1159" operator="lessThanOrEqual">
      <formula>0.5</formula>
    </cfRule>
    <cfRule type="cellIs" dxfId="1492" priority="1160" operator="greaterThanOrEqual">
      <formula>1.5</formula>
    </cfRule>
  </conditionalFormatting>
  <conditionalFormatting sqref="N1254">
    <cfRule type="cellIs" dxfId="1491" priority="1157" operator="lessThanOrEqual">
      <formula>0.5</formula>
    </cfRule>
    <cfRule type="cellIs" dxfId="1490" priority="1158" operator="greaterThanOrEqual">
      <formula>1.5</formula>
    </cfRule>
  </conditionalFormatting>
  <conditionalFormatting sqref="K1254">
    <cfRule type="cellIs" dxfId="1489" priority="1155" operator="lessThanOrEqual">
      <formula>0.5</formula>
    </cfRule>
    <cfRule type="cellIs" dxfId="1488" priority="1156" operator="greaterThanOrEqual">
      <formula>1.5</formula>
    </cfRule>
  </conditionalFormatting>
  <conditionalFormatting sqref="L1254">
    <cfRule type="cellIs" dxfId="1487" priority="1153" operator="lessThanOrEqual">
      <formula>0.5</formula>
    </cfRule>
    <cfRule type="cellIs" dxfId="1486" priority="1154" operator="greaterThanOrEqual">
      <formula>1.5</formula>
    </cfRule>
  </conditionalFormatting>
  <conditionalFormatting sqref="O1257">
    <cfRule type="cellIs" dxfId="1485" priority="1151" operator="lessThanOrEqual">
      <formula>0.5</formula>
    </cfRule>
    <cfRule type="cellIs" dxfId="1484" priority="1152" operator="greaterThanOrEqual">
      <formula>1.5</formula>
    </cfRule>
  </conditionalFormatting>
  <conditionalFormatting sqref="N1257">
    <cfRule type="cellIs" dxfId="1483" priority="1149" operator="lessThanOrEqual">
      <formula>0.5</formula>
    </cfRule>
    <cfRule type="cellIs" dxfId="1482" priority="1150" operator="greaterThanOrEqual">
      <formula>1.5</formula>
    </cfRule>
  </conditionalFormatting>
  <conditionalFormatting sqref="K1257">
    <cfRule type="cellIs" dxfId="1481" priority="1147" operator="lessThanOrEqual">
      <formula>0.5</formula>
    </cfRule>
    <cfRule type="cellIs" dxfId="1480" priority="1148" operator="greaterThanOrEqual">
      <formula>1.5</formula>
    </cfRule>
  </conditionalFormatting>
  <conditionalFormatting sqref="L1257">
    <cfRule type="cellIs" dxfId="1479" priority="1145" operator="lessThanOrEqual">
      <formula>0.5</formula>
    </cfRule>
    <cfRule type="cellIs" dxfId="1478" priority="1146" operator="greaterThanOrEqual">
      <formula>1.5</formula>
    </cfRule>
  </conditionalFormatting>
  <conditionalFormatting sqref="O1260">
    <cfRule type="cellIs" dxfId="1477" priority="1143" operator="lessThanOrEqual">
      <formula>0.5</formula>
    </cfRule>
    <cfRule type="cellIs" dxfId="1476" priority="1144" operator="greaterThanOrEqual">
      <formula>1.5</formula>
    </cfRule>
  </conditionalFormatting>
  <conditionalFormatting sqref="N1260">
    <cfRule type="cellIs" dxfId="1475" priority="1141" operator="lessThanOrEqual">
      <formula>0.5</formula>
    </cfRule>
    <cfRule type="cellIs" dxfId="1474" priority="1142" operator="greaterThanOrEqual">
      <formula>1.5</formula>
    </cfRule>
  </conditionalFormatting>
  <conditionalFormatting sqref="K1260">
    <cfRule type="cellIs" dxfId="1473" priority="1139" operator="lessThanOrEqual">
      <formula>0.5</formula>
    </cfRule>
    <cfRule type="cellIs" dxfId="1472" priority="1140" operator="greaterThanOrEqual">
      <formula>1.5</formula>
    </cfRule>
  </conditionalFormatting>
  <conditionalFormatting sqref="L1260">
    <cfRule type="cellIs" dxfId="1471" priority="1137" operator="lessThanOrEqual">
      <formula>0.5</formula>
    </cfRule>
    <cfRule type="cellIs" dxfId="1470" priority="1138" operator="greaterThanOrEqual">
      <formula>1.5</formula>
    </cfRule>
  </conditionalFormatting>
  <conditionalFormatting sqref="O1263">
    <cfRule type="cellIs" dxfId="1469" priority="1135" operator="lessThanOrEqual">
      <formula>0.5</formula>
    </cfRule>
    <cfRule type="cellIs" dxfId="1468" priority="1136" operator="greaterThanOrEqual">
      <formula>1.5</formula>
    </cfRule>
  </conditionalFormatting>
  <conditionalFormatting sqref="N1263">
    <cfRule type="cellIs" dxfId="1467" priority="1133" operator="lessThanOrEqual">
      <formula>0.5</formula>
    </cfRule>
    <cfRule type="cellIs" dxfId="1466" priority="1134" operator="greaterThanOrEqual">
      <formula>1.5</formula>
    </cfRule>
  </conditionalFormatting>
  <conditionalFormatting sqref="K1263">
    <cfRule type="cellIs" dxfId="1465" priority="1131" operator="lessThanOrEqual">
      <formula>0.5</formula>
    </cfRule>
    <cfRule type="cellIs" dxfId="1464" priority="1132" operator="greaterThanOrEqual">
      <formula>1.5</formula>
    </cfRule>
  </conditionalFormatting>
  <conditionalFormatting sqref="L1263">
    <cfRule type="cellIs" dxfId="1463" priority="1129" operator="lessThanOrEqual">
      <formula>0.5</formula>
    </cfRule>
    <cfRule type="cellIs" dxfId="1462" priority="1130" operator="greaterThanOrEqual">
      <formula>1.5</formula>
    </cfRule>
  </conditionalFormatting>
  <conditionalFormatting sqref="O1266">
    <cfRule type="cellIs" dxfId="1461" priority="1127" operator="lessThanOrEqual">
      <formula>0.5</formula>
    </cfRule>
    <cfRule type="cellIs" dxfId="1460" priority="1128" operator="greaterThanOrEqual">
      <formula>1.5</formula>
    </cfRule>
  </conditionalFormatting>
  <conditionalFormatting sqref="N1266">
    <cfRule type="cellIs" dxfId="1459" priority="1125" operator="lessThanOrEqual">
      <formula>0.5</formula>
    </cfRule>
    <cfRule type="cellIs" dxfId="1458" priority="1126" operator="greaterThanOrEqual">
      <formula>1.5</formula>
    </cfRule>
  </conditionalFormatting>
  <conditionalFormatting sqref="K1266">
    <cfRule type="cellIs" dxfId="1457" priority="1123" operator="lessThanOrEqual">
      <formula>0.5</formula>
    </cfRule>
    <cfRule type="cellIs" dxfId="1456" priority="1124" operator="greaterThanOrEqual">
      <formula>1.5</formula>
    </cfRule>
  </conditionalFormatting>
  <conditionalFormatting sqref="L1266">
    <cfRule type="cellIs" dxfId="1455" priority="1121" operator="lessThanOrEqual">
      <formula>0.5</formula>
    </cfRule>
    <cfRule type="cellIs" dxfId="1454" priority="1122" operator="greaterThanOrEqual">
      <formula>1.5</formula>
    </cfRule>
  </conditionalFormatting>
  <conditionalFormatting sqref="O1269">
    <cfRule type="cellIs" dxfId="1453" priority="1119" operator="lessThanOrEqual">
      <formula>0.5</formula>
    </cfRule>
    <cfRule type="cellIs" dxfId="1452" priority="1120" operator="greaterThanOrEqual">
      <formula>1.5</formula>
    </cfRule>
  </conditionalFormatting>
  <conditionalFormatting sqref="N1269">
    <cfRule type="cellIs" dxfId="1451" priority="1117" operator="lessThanOrEqual">
      <formula>0.5</formula>
    </cfRule>
    <cfRule type="cellIs" dxfId="1450" priority="1118" operator="greaterThanOrEqual">
      <formula>1.5</formula>
    </cfRule>
  </conditionalFormatting>
  <conditionalFormatting sqref="K1269">
    <cfRule type="cellIs" dxfId="1449" priority="1115" operator="lessThanOrEqual">
      <formula>0.5</formula>
    </cfRule>
    <cfRule type="cellIs" dxfId="1448" priority="1116" operator="greaterThanOrEqual">
      <formula>1.5</formula>
    </cfRule>
  </conditionalFormatting>
  <conditionalFormatting sqref="L1269">
    <cfRule type="cellIs" dxfId="1447" priority="1113" operator="lessThanOrEqual">
      <formula>0.5</formula>
    </cfRule>
    <cfRule type="cellIs" dxfId="1446" priority="1114" operator="greaterThanOrEqual">
      <formula>1.5</formula>
    </cfRule>
  </conditionalFormatting>
  <conditionalFormatting sqref="O1272">
    <cfRule type="cellIs" dxfId="1445" priority="1111" operator="lessThanOrEqual">
      <formula>0.5</formula>
    </cfRule>
    <cfRule type="cellIs" dxfId="1444" priority="1112" operator="greaterThanOrEqual">
      <formula>1.5</formula>
    </cfRule>
  </conditionalFormatting>
  <conditionalFormatting sqref="N1272">
    <cfRule type="cellIs" dxfId="1443" priority="1109" operator="lessThanOrEqual">
      <formula>0.5</formula>
    </cfRule>
    <cfRule type="cellIs" dxfId="1442" priority="1110" operator="greaterThanOrEqual">
      <formula>1.5</formula>
    </cfRule>
  </conditionalFormatting>
  <conditionalFormatting sqref="K1272">
    <cfRule type="cellIs" dxfId="1441" priority="1107" operator="lessThanOrEqual">
      <formula>0.5</formula>
    </cfRule>
    <cfRule type="cellIs" dxfId="1440" priority="1108" operator="greaterThanOrEqual">
      <formula>1.5</formula>
    </cfRule>
  </conditionalFormatting>
  <conditionalFormatting sqref="L1272">
    <cfRule type="cellIs" dxfId="1439" priority="1105" operator="lessThanOrEqual">
      <formula>0.5</formula>
    </cfRule>
    <cfRule type="cellIs" dxfId="1438" priority="1106" operator="greaterThanOrEqual">
      <formula>1.5</formula>
    </cfRule>
  </conditionalFormatting>
  <conditionalFormatting sqref="O1275">
    <cfRule type="cellIs" dxfId="1437" priority="1103" operator="lessThanOrEqual">
      <formula>0.5</formula>
    </cfRule>
    <cfRule type="cellIs" dxfId="1436" priority="1104" operator="greaterThanOrEqual">
      <formula>1.5</formula>
    </cfRule>
  </conditionalFormatting>
  <conditionalFormatting sqref="N1275">
    <cfRule type="cellIs" dxfId="1435" priority="1101" operator="lessThanOrEqual">
      <formula>0.5</formula>
    </cfRule>
    <cfRule type="cellIs" dxfId="1434" priority="1102" operator="greaterThanOrEqual">
      <formula>1.5</formula>
    </cfRule>
  </conditionalFormatting>
  <conditionalFormatting sqref="K1275">
    <cfRule type="cellIs" dxfId="1433" priority="1099" operator="lessThanOrEqual">
      <formula>0.5</formula>
    </cfRule>
    <cfRule type="cellIs" dxfId="1432" priority="1100" operator="greaterThanOrEqual">
      <formula>1.5</formula>
    </cfRule>
  </conditionalFormatting>
  <conditionalFormatting sqref="L1275">
    <cfRule type="cellIs" dxfId="1431" priority="1097" operator="lessThanOrEqual">
      <formula>0.5</formula>
    </cfRule>
    <cfRule type="cellIs" dxfId="1430" priority="1098" operator="greaterThanOrEqual">
      <formula>1.5</formula>
    </cfRule>
  </conditionalFormatting>
  <conditionalFormatting sqref="O1278">
    <cfRule type="cellIs" dxfId="1429" priority="1095" operator="lessThanOrEqual">
      <formula>0.5</formula>
    </cfRule>
    <cfRule type="cellIs" dxfId="1428" priority="1096" operator="greaterThanOrEqual">
      <formula>1.5</formula>
    </cfRule>
  </conditionalFormatting>
  <conditionalFormatting sqref="N1278">
    <cfRule type="cellIs" dxfId="1427" priority="1093" operator="lessThanOrEqual">
      <formula>0.5</formula>
    </cfRule>
    <cfRule type="cellIs" dxfId="1426" priority="1094" operator="greaterThanOrEqual">
      <formula>1.5</formula>
    </cfRule>
  </conditionalFormatting>
  <conditionalFormatting sqref="K1278">
    <cfRule type="cellIs" dxfId="1425" priority="1091" operator="lessThanOrEqual">
      <formula>0.5</formula>
    </cfRule>
    <cfRule type="cellIs" dxfId="1424" priority="1092" operator="greaterThanOrEqual">
      <formula>1.5</formula>
    </cfRule>
  </conditionalFormatting>
  <conditionalFormatting sqref="L1278">
    <cfRule type="cellIs" dxfId="1423" priority="1089" operator="lessThanOrEqual">
      <formula>0.5</formula>
    </cfRule>
    <cfRule type="cellIs" dxfId="1422" priority="1090" operator="greaterThanOrEqual">
      <formula>1.5</formula>
    </cfRule>
  </conditionalFormatting>
  <conditionalFormatting sqref="O1281">
    <cfRule type="cellIs" dxfId="1421" priority="1087" operator="lessThanOrEqual">
      <formula>0.5</formula>
    </cfRule>
    <cfRule type="cellIs" dxfId="1420" priority="1088" operator="greaterThanOrEqual">
      <formula>1.5</formula>
    </cfRule>
  </conditionalFormatting>
  <conditionalFormatting sqref="N1281">
    <cfRule type="cellIs" dxfId="1419" priority="1085" operator="lessThanOrEqual">
      <formula>0.5</formula>
    </cfRule>
    <cfRule type="cellIs" dxfId="1418" priority="1086" operator="greaterThanOrEqual">
      <formula>1.5</formula>
    </cfRule>
  </conditionalFormatting>
  <conditionalFormatting sqref="K1281">
    <cfRule type="cellIs" dxfId="1417" priority="1083" operator="lessThanOrEqual">
      <formula>0.5</formula>
    </cfRule>
    <cfRule type="cellIs" dxfId="1416" priority="1084" operator="greaterThanOrEqual">
      <formula>1.5</formula>
    </cfRule>
  </conditionalFormatting>
  <conditionalFormatting sqref="L1281">
    <cfRule type="cellIs" dxfId="1415" priority="1081" operator="lessThanOrEqual">
      <formula>0.5</formula>
    </cfRule>
    <cfRule type="cellIs" dxfId="1414" priority="1082" operator="greaterThanOrEqual">
      <formula>1.5</formula>
    </cfRule>
  </conditionalFormatting>
  <conditionalFormatting sqref="O1284">
    <cfRule type="cellIs" dxfId="1413" priority="1079" operator="lessThanOrEqual">
      <formula>0.5</formula>
    </cfRule>
    <cfRule type="cellIs" dxfId="1412" priority="1080" operator="greaterThanOrEqual">
      <formula>1.5</formula>
    </cfRule>
  </conditionalFormatting>
  <conditionalFormatting sqref="N1284">
    <cfRule type="cellIs" dxfId="1411" priority="1077" operator="lessThanOrEqual">
      <formula>0.5</formula>
    </cfRule>
    <cfRule type="cellIs" dxfId="1410" priority="1078" operator="greaterThanOrEqual">
      <formula>1.5</formula>
    </cfRule>
  </conditionalFormatting>
  <conditionalFormatting sqref="K1284">
    <cfRule type="cellIs" dxfId="1409" priority="1075" operator="lessThanOrEqual">
      <formula>0.5</formula>
    </cfRule>
    <cfRule type="cellIs" dxfId="1408" priority="1076" operator="greaterThanOrEqual">
      <formula>1.5</formula>
    </cfRule>
  </conditionalFormatting>
  <conditionalFormatting sqref="L1284">
    <cfRule type="cellIs" dxfId="1407" priority="1073" operator="lessThanOrEqual">
      <formula>0.5</formula>
    </cfRule>
    <cfRule type="cellIs" dxfId="1406" priority="1074" operator="greaterThanOrEqual">
      <formula>1.5</formula>
    </cfRule>
  </conditionalFormatting>
  <conditionalFormatting sqref="O1287">
    <cfRule type="cellIs" dxfId="1405" priority="1071" operator="lessThanOrEqual">
      <formula>0.5</formula>
    </cfRule>
    <cfRule type="cellIs" dxfId="1404" priority="1072" operator="greaterThanOrEqual">
      <formula>1.5</formula>
    </cfRule>
  </conditionalFormatting>
  <conditionalFormatting sqref="N1287">
    <cfRule type="cellIs" dxfId="1403" priority="1069" operator="lessThanOrEqual">
      <formula>0.5</formula>
    </cfRule>
    <cfRule type="cellIs" dxfId="1402" priority="1070" operator="greaterThanOrEqual">
      <formula>1.5</formula>
    </cfRule>
  </conditionalFormatting>
  <conditionalFormatting sqref="K1287">
    <cfRule type="cellIs" dxfId="1401" priority="1067" operator="lessThanOrEqual">
      <formula>0.5</formula>
    </cfRule>
    <cfRule type="cellIs" dxfId="1400" priority="1068" operator="greaterThanOrEqual">
      <formula>1.5</formula>
    </cfRule>
  </conditionalFormatting>
  <conditionalFormatting sqref="L1287">
    <cfRule type="cellIs" dxfId="1399" priority="1065" operator="lessThanOrEqual">
      <formula>0.5</formula>
    </cfRule>
    <cfRule type="cellIs" dxfId="1398" priority="1066" operator="greaterThanOrEqual">
      <formula>1.5</formula>
    </cfRule>
  </conditionalFormatting>
  <conditionalFormatting sqref="O1290">
    <cfRule type="cellIs" dxfId="1397" priority="1063" operator="lessThanOrEqual">
      <formula>0.5</formula>
    </cfRule>
    <cfRule type="cellIs" dxfId="1396" priority="1064" operator="greaterThanOrEqual">
      <formula>1.5</formula>
    </cfRule>
  </conditionalFormatting>
  <conditionalFormatting sqref="N1290">
    <cfRule type="cellIs" dxfId="1395" priority="1061" operator="lessThanOrEqual">
      <formula>0.5</formula>
    </cfRule>
    <cfRule type="cellIs" dxfId="1394" priority="1062" operator="greaterThanOrEqual">
      <formula>1.5</formula>
    </cfRule>
  </conditionalFormatting>
  <conditionalFormatting sqref="K1290">
    <cfRule type="cellIs" dxfId="1393" priority="1059" operator="lessThanOrEqual">
      <formula>0.5</formula>
    </cfRule>
    <cfRule type="cellIs" dxfId="1392" priority="1060" operator="greaterThanOrEqual">
      <formula>1.5</formula>
    </cfRule>
  </conditionalFormatting>
  <conditionalFormatting sqref="L1290">
    <cfRule type="cellIs" dxfId="1391" priority="1057" operator="lessThanOrEqual">
      <formula>0.5</formula>
    </cfRule>
    <cfRule type="cellIs" dxfId="1390" priority="1058" operator="greaterThanOrEqual">
      <formula>1.5</formula>
    </cfRule>
  </conditionalFormatting>
  <conditionalFormatting sqref="O1293">
    <cfRule type="cellIs" dxfId="1389" priority="1055" operator="lessThanOrEqual">
      <formula>0.5</formula>
    </cfRule>
    <cfRule type="cellIs" dxfId="1388" priority="1056" operator="greaterThanOrEqual">
      <formula>1.5</formula>
    </cfRule>
  </conditionalFormatting>
  <conditionalFormatting sqref="N1293">
    <cfRule type="cellIs" dxfId="1387" priority="1053" operator="lessThanOrEqual">
      <formula>0.5</formula>
    </cfRule>
    <cfRule type="cellIs" dxfId="1386" priority="1054" operator="greaterThanOrEqual">
      <formula>1.5</formula>
    </cfRule>
  </conditionalFormatting>
  <conditionalFormatting sqref="K1293">
    <cfRule type="cellIs" dxfId="1385" priority="1051" operator="lessThanOrEqual">
      <formula>0.5</formula>
    </cfRule>
    <cfRule type="cellIs" dxfId="1384" priority="1052" operator="greaterThanOrEqual">
      <formula>1.5</formula>
    </cfRule>
  </conditionalFormatting>
  <conditionalFormatting sqref="L1293">
    <cfRule type="cellIs" dxfId="1383" priority="1049" operator="lessThanOrEqual">
      <formula>0.5</formula>
    </cfRule>
    <cfRule type="cellIs" dxfId="1382" priority="1050" operator="greaterThanOrEqual">
      <formula>1.5</formula>
    </cfRule>
  </conditionalFormatting>
  <conditionalFormatting sqref="O1296">
    <cfRule type="cellIs" dxfId="1381" priority="1047" operator="lessThanOrEqual">
      <formula>0.5</formula>
    </cfRule>
    <cfRule type="cellIs" dxfId="1380" priority="1048" operator="greaterThanOrEqual">
      <formula>1.5</formula>
    </cfRule>
  </conditionalFormatting>
  <conditionalFormatting sqref="N1296">
    <cfRule type="cellIs" dxfId="1379" priority="1045" operator="lessThanOrEqual">
      <formula>0.5</formula>
    </cfRule>
    <cfRule type="cellIs" dxfId="1378" priority="1046" operator="greaterThanOrEqual">
      <formula>1.5</formula>
    </cfRule>
  </conditionalFormatting>
  <conditionalFormatting sqref="K1296">
    <cfRule type="cellIs" dxfId="1377" priority="1043" operator="lessThanOrEqual">
      <formula>0.5</formula>
    </cfRule>
    <cfRule type="cellIs" dxfId="1376" priority="1044" operator="greaterThanOrEqual">
      <formula>1.5</formula>
    </cfRule>
  </conditionalFormatting>
  <conditionalFormatting sqref="L1296">
    <cfRule type="cellIs" dxfId="1375" priority="1041" operator="lessThanOrEqual">
      <formula>0.5</formula>
    </cfRule>
    <cfRule type="cellIs" dxfId="1374" priority="1042" operator="greaterThanOrEqual">
      <formula>1.5</formula>
    </cfRule>
  </conditionalFormatting>
  <conditionalFormatting sqref="O1299">
    <cfRule type="cellIs" dxfId="1373" priority="1039" operator="lessThanOrEqual">
      <formula>0.5</formula>
    </cfRule>
    <cfRule type="cellIs" dxfId="1372" priority="1040" operator="greaterThanOrEqual">
      <formula>1.5</formula>
    </cfRule>
  </conditionalFormatting>
  <conditionalFormatting sqref="N1299">
    <cfRule type="cellIs" dxfId="1371" priority="1037" operator="lessThanOrEqual">
      <formula>0.5</formula>
    </cfRule>
    <cfRule type="cellIs" dxfId="1370" priority="1038" operator="greaterThanOrEqual">
      <formula>1.5</formula>
    </cfRule>
  </conditionalFormatting>
  <conditionalFormatting sqref="K1299">
    <cfRule type="cellIs" dxfId="1369" priority="1035" operator="lessThanOrEqual">
      <formula>0.5</formula>
    </cfRule>
    <cfRule type="cellIs" dxfId="1368" priority="1036" operator="greaterThanOrEqual">
      <formula>1.5</formula>
    </cfRule>
  </conditionalFormatting>
  <conditionalFormatting sqref="L1299">
    <cfRule type="cellIs" dxfId="1367" priority="1033" operator="lessThanOrEqual">
      <formula>0.5</formula>
    </cfRule>
    <cfRule type="cellIs" dxfId="1366" priority="1034" operator="greaterThanOrEqual">
      <formula>1.5</formula>
    </cfRule>
  </conditionalFormatting>
  <conditionalFormatting sqref="O1302">
    <cfRule type="cellIs" dxfId="1365" priority="1031" operator="lessThanOrEqual">
      <formula>0.5</formula>
    </cfRule>
    <cfRule type="cellIs" dxfId="1364" priority="1032" operator="greaterThanOrEqual">
      <formula>1.5</formula>
    </cfRule>
  </conditionalFormatting>
  <conditionalFormatting sqref="N1302">
    <cfRule type="cellIs" dxfId="1363" priority="1029" operator="lessThanOrEqual">
      <formula>0.5</formula>
    </cfRule>
    <cfRule type="cellIs" dxfId="1362" priority="1030" operator="greaterThanOrEqual">
      <formula>1.5</formula>
    </cfRule>
  </conditionalFormatting>
  <conditionalFormatting sqref="K1302">
    <cfRule type="cellIs" dxfId="1361" priority="1027" operator="lessThanOrEqual">
      <formula>0.5</formula>
    </cfRule>
    <cfRule type="cellIs" dxfId="1360" priority="1028" operator="greaterThanOrEqual">
      <formula>1.5</formula>
    </cfRule>
  </conditionalFormatting>
  <conditionalFormatting sqref="L1302">
    <cfRule type="cellIs" dxfId="1359" priority="1025" operator="lessThanOrEqual">
      <formula>0.5</formula>
    </cfRule>
    <cfRule type="cellIs" dxfId="1358" priority="1026" operator="greaterThanOrEqual">
      <formula>1.5</formula>
    </cfRule>
  </conditionalFormatting>
  <conditionalFormatting sqref="O1305">
    <cfRule type="cellIs" dxfId="1357" priority="1023" operator="lessThanOrEqual">
      <formula>0.5</formula>
    </cfRule>
    <cfRule type="cellIs" dxfId="1356" priority="1024" operator="greaterThanOrEqual">
      <formula>1.5</formula>
    </cfRule>
  </conditionalFormatting>
  <conditionalFormatting sqref="N1305">
    <cfRule type="cellIs" dxfId="1355" priority="1021" operator="lessThanOrEqual">
      <formula>0.5</formula>
    </cfRule>
    <cfRule type="cellIs" dxfId="1354" priority="1022" operator="greaterThanOrEqual">
      <formula>1.5</formula>
    </cfRule>
  </conditionalFormatting>
  <conditionalFormatting sqref="K1305">
    <cfRule type="cellIs" dxfId="1353" priority="1019" operator="lessThanOrEqual">
      <formula>0.5</formula>
    </cfRule>
    <cfRule type="cellIs" dxfId="1352" priority="1020" operator="greaterThanOrEqual">
      <formula>1.5</formula>
    </cfRule>
  </conditionalFormatting>
  <conditionalFormatting sqref="L1305">
    <cfRule type="cellIs" dxfId="1351" priority="1017" operator="lessThanOrEqual">
      <formula>0.5</formula>
    </cfRule>
    <cfRule type="cellIs" dxfId="1350" priority="1018" operator="greaterThanOrEqual">
      <formula>1.5</formula>
    </cfRule>
  </conditionalFormatting>
  <conditionalFormatting sqref="O1308">
    <cfRule type="cellIs" dxfId="1349" priority="1015" operator="lessThanOrEqual">
      <formula>0.5</formula>
    </cfRule>
    <cfRule type="cellIs" dxfId="1348" priority="1016" operator="greaterThanOrEqual">
      <formula>1.5</formula>
    </cfRule>
  </conditionalFormatting>
  <conditionalFormatting sqref="N1308">
    <cfRule type="cellIs" dxfId="1347" priority="1013" operator="lessThanOrEqual">
      <formula>0.5</formula>
    </cfRule>
    <cfRule type="cellIs" dxfId="1346" priority="1014" operator="greaterThanOrEqual">
      <formula>1.5</formula>
    </cfRule>
  </conditionalFormatting>
  <conditionalFormatting sqref="K1308">
    <cfRule type="cellIs" dxfId="1345" priority="1011" operator="lessThanOrEqual">
      <formula>0.5</formula>
    </cfRule>
    <cfRule type="cellIs" dxfId="1344" priority="1012" operator="greaterThanOrEqual">
      <formula>1.5</formula>
    </cfRule>
  </conditionalFormatting>
  <conditionalFormatting sqref="L1308">
    <cfRule type="cellIs" dxfId="1343" priority="1009" operator="lessThanOrEqual">
      <formula>0.5</formula>
    </cfRule>
    <cfRule type="cellIs" dxfId="1342" priority="1010" operator="greaterThanOrEqual">
      <formula>1.5</formula>
    </cfRule>
  </conditionalFormatting>
  <conditionalFormatting sqref="O1311">
    <cfRule type="cellIs" dxfId="1341" priority="1007" operator="lessThanOrEqual">
      <formula>0.5</formula>
    </cfRule>
    <cfRule type="cellIs" dxfId="1340" priority="1008" operator="greaterThanOrEqual">
      <formula>1.5</formula>
    </cfRule>
  </conditionalFormatting>
  <conditionalFormatting sqref="N1311">
    <cfRule type="cellIs" dxfId="1339" priority="1005" operator="lessThanOrEqual">
      <formula>0.5</formula>
    </cfRule>
    <cfRule type="cellIs" dxfId="1338" priority="1006" operator="greaterThanOrEqual">
      <formula>1.5</formula>
    </cfRule>
  </conditionalFormatting>
  <conditionalFormatting sqref="K1311">
    <cfRule type="cellIs" dxfId="1337" priority="1003" operator="lessThanOrEqual">
      <formula>0.5</formula>
    </cfRule>
    <cfRule type="cellIs" dxfId="1336" priority="1004" operator="greaterThanOrEqual">
      <formula>1.5</formula>
    </cfRule>
  </conditionalFormatting>
  <conditionalFormatting sqref="L1311">
    <cfRule type="cellIs" dxfId="1335" priority="1001" operator="lessThanOrEqual">
      <formula>0.5</formula>
    </cfRule>
    <cfRule type="cellIs" dxfId="1334" priority="1002" operator="greaterThanOrEqual">
      <formula>1.5</formula>
    </cfRule>
  </conditionalFormatting>
  <conditionalFormatting sqref="O1314">
    <cfRule type="cellIs" dxfId="1333" priority="999" operator="lessThanOrEqual">
      <formula>0.5</formula>
    </cfRule>
    <cfRule type="cellIs" dxfId="1332" priority="1000" operator="greaterThanOrEqual">
      <formula>1.5</formula>
    </cfRule>
  </conditionalFormatting>
  <conditionalFormatting sqref="N1314">
    <cfRule type="cellIs" dxfId="1331" priority="997" operator="lessThanOrEqual">
      <formula>0.5</formula>
    </cfRule>
    <cfRule type="cellIs" dxfId="1330" priority="998" operator="greaterThanOrEqual">
      <formula>1.5</formula>
    </cfRule>
  </conditionalFormatting>
  <conditionalFormatting sqref="K1314">
    <cfRule type="cellIs" dxfId="1329" priority="995" operator="lessThanOrEqual">
      <formula>0.5</formula>
    </cfRule>
    <cfRule type="cellIs" dxfId="1328" priority="996" operator="greaterThanOrEqual">
      <formula>1.5</formula>
    </cfRule>
  </conditionalFormatting>
  <conditionalFormatting sqref="L1314">
    <cfRule type="cellIs" dxfId="1327" priority="993" operator="lessThanOrEqual">
      <formula>0.5</formula>
    </cfRule>
    <cfRule type="cellIs" dxfId="1326" priority="994" operator="greaterThanOrEqual">
      <formula>1.5</formula>
    </cfRule>
  </conditionalFormatting>
  <conditionalFormatting sqref="O1317">
    <cfRule type="cellIs" dxfId="1325" priority="991" operator="lessThanOrEqual">
      <formula>0.5</formula>
    </cfRule>
    <cfRule type="cellIs" dxfId="1324" priority="992" operator="greaterThanOrEqual">
      <formula>1.5</formula>
    </cfRule>
  </conditionalFormatting>
  <conditionalFormatting sqref="N1317">
    <cfRule type="cellIs" dxfId="1323" priority="989" operator="lessThanOrEqual">
      <formula>0.5</formula>
    </cfRule>
    <cfRule type="cellIs" dxfId="1322" priority="990" operator="greaterThanOrEqual">
      <formula>1.5</formula>
    </cfRule>
  </conditionalFormatting>
  <conditionalFormatting sqref="K1317">
    <cfRule type="cellIs" dxfId="1321" priority="987" operator="lessThanOrEqual">
      <formula>0.5</formula>
    </cfRule>
    <cfRule type="cellIs" dxfId="1320" priority="988" operator="greaterThanOrEqual">
      <formula>1.5</formula>
    </cfRule>
  </conditionalFormatting>
  <conditionalFormatting sqref="L1317">
    <cfRule type="cellIs" dxfId="1319" priority="985" operator="lessThanOrEqual">
      <formula>0.5</formula>
    </cfRule>
    <cfRule type="cellIs" dxfId="1318" priority="986" operator="greaterThanOrEqual">
      <formula>1.5</formula>
    </cfRule>
  </conditionalFormatting>
  <conditionalFormatting sqref="O1320">
    <cfRule type="cellIs" dxfId="1317" priority="983" operator="lessThanOrEqual">
      <formula>0.5</formula>
    </cfRule>
    <cfRule type="cellIs" dxfId="1316" priority="984" operator="greaterThanOrEqual">
      <formula>1.5</formula>
    </cfRule>
  </conditionalFormatting>
  <conditionalFormatting sqref="N1320">
    <cfRule type="cellIs" dxfId="1315" priority="981" operator="lessThanOrEqual">
      <formula>0.5</formula>
    </cfRule>
    <cfRule type="cellIs" dxfId="1314" priority="982" operator="greaterThanOrEqual">
      <formula>1.5</formula>
    </cfRule>
  </conditionalFormatting>
  <conditionalFormatting sqref="K1320">
    <cfRule type="cellIs" dxfId="1313" priority="979" operator="lessThanOrEqual">
      <formula>0.5</formula>
    </cfRule>
    <cfRule type="cellIs" dxfId="1312" priority="980" operator="greaterThanOrEqual">
      <formula>1.5</formula>
    </cfRule>
  </conditionalFormatting>
  <conditionalFormatting sqref="L1320">
    <cfRule type="cellIs" dxfId="1311" priority="977" operator="lessThanOrEqual">
      <formula>0.5</formula>
    </cfRule>
    <cfRule type="cellIs" dxfId="1310" priority="978" operator="greaterThanOrEqual">
      <formula>1.5</formula>
    </cfRule>
  </conditionalFormatting>
  <conditionalFormatting sqref="O1323">
    <cfRule type="cellIs" dxfId="1309" priority="975" operator="lessThanOrEqual">
      <formula>0.5</formula>
    </cfRule>
    <cfRule type="cellIs" dxfId="1308" priority="976" operator="greaterThanOrEqual">
      <formula>1.5</formula>
    </cfRule>
  </conditionalFormatting>
  <conditionalFormatting sqref="N1323">
    <cfRule type="cellIs" dxfId="1307" priority="973" operator="lessThanOrEqual">
      <formula>0.5</formula>
    </cfRule>
    <cfRule type="cellIs" dxfId="1306" priority="974" operator="greaterThanOrEqual">
      <formula>1.5</formula>
    </cfRule>
  </conditionalFormatting>
  <conditionalFormatting sqref="K1323">
    <cfRule type="cellIs" dxfId="1305" priority="971" operator="lessThanOrEqual">
      <formula>0.5</formula>
    </cfRule>
    <cfRule type="cellIs" dxfId="1304" priority="972" operator="greaterThanOrEqual">
      <formula>1.5</formula>
    </cfRule>
  </conditionalFormatting>
  <conditionalFormatting sqref="L1323">
    <cfRule type="cellIs" dxfId="1303" priority="969" operator="lessThanOrEqual">
      <formula>0.5</formula>
    </cfRule>
    <cfRule type="cellIs" dxfId="1302" priority="970" operator="greaterThanOrEqual">
      <formula>1.5</formula>
    </cfRule>
  </conditionalFormatting>
  <conditionalFormatting sqref="O1326">
    <cfRule type="cellIs" dxfId="1301" priority="967" operator="lessThanOrEqual">
      <formula>0.5</formula>
    </cfRule>
    <cfRule type="cellIs" dxfId="1300" priority="968" operator="greaterThanOrEqual">
      <formula>1.5</formula>
    </cfRule>
  </conditionalFormatting>
  <conditionalFormatting sqref="N1326">
    <cfRule type="cellIs" dxfId="1299" priority="965" operator="lessThanOrEqual">
      <formula>0.5</formula>
    </cfRule>
    <cfRule type="cellIs" dxfId="1298" priority="966" operator="greaterThanOrEqual">
      <formula>1.5</formula>
    </cfRule>
  </conditionalFormatting>
  <conditionalFormatting sqref="K1326">
    <cfRule type="cellIs" dxfId="1297" priority="963" operator="lessThanOrEqual">
      <formula>0.5</formula>
    </cfRule>
    <cfRule type="cellIs" dxfId="1296" priority="964" operator="greaterThanOrEqual">
      <formula>1.5</formula>
    </cfRule>
  </conditionalFormatting>
  <conditionalFormatting sqref="L1326">
    <cfRule type="cellIs" dxfId="1295" priority="961" operator="lessThanOrEqual">
      <formula>0.5</formula>
    </cfRule>
    <cfRule type="cellIs" dxfId="1294" priority="962" operator="greaterThanOrEqual">
      <formula>1.5</formula>
    </cfRule>
  </conditionalFormatting>
  <conditionalFormatting sqref="O1329">
    <cfRule type="cellIs" dxfId="1293" priority="959" operator="lessThanOrEqual">
      <formula>0.5</formula>
    </cfRule>
    <cfRule type="cellIs" dxfId="1292" priority="960" operator="greaterThanOrEqual">
      <formula>1.5</formula>
    </cfRule>
  </conditionalFormatting>
  <conditionalFormatting sqref="N1329">
    <cfRule type="cellIs" dxfId="1291" priority="957" operator="lessThanOrEqual">
      <formula>0.5</formula>
    </cfRule>
    <cfRule type="cellIs" dxfId="1290" priority="958" operator="greaterThanOrEqual">
      <formula>1.5</formula>
    </cfRule>
  </conditionalFormatting>
  <conditionalFormatting sqref="K1329">
    <cfRule type="cellIs" dxfId="1289" priority="955" operator="lessThanOrEqual">
      <formula>0.5</formula>
    </cfRule>
    <cfRule type="cellIs" dxfId="1288" priority="956" operator="greaterThanOrEqual">
      <formula>1.5</formula>
    </cfRule>
  </conditionalFormatting>
  <conditionalFormatting sqref="L1329">
    <cfRule type="cellIs" dxfId="1287" priority="953" operator="lessThanOrEqual">
      <formula>0.5</formula>
    </cfRule>
    <cfRule type="cellIs" dxfId="1286" priority="954" operator="greaterThanOrEqual">
      <formula>1.5</formula>
    </cfRule>
  </conditionalFormatting>
  <conditionalFormatting sqref="O1332">
    <cfRule type="cellIs" dxfId="1285" priority="951" operator="lessThanOrEqual">
      <formula>0.5</formula>
    </cfRule>
    <cfRule type="cellIs" dxfId="1284" priority="952" operator="greaterThanOrEqual">
      <formula>1.5</formula>
    </cfRule>
  </conditionalFormatting>
  <conditionalFormatting sqref="N1332">
    <cfRule type="cellIs" dxfId="1283" priority="949" operator="lessThanOrEqual">
      <formula>0.5</formula>
    </cfRule>
    <cfRule type="cellIs" dxfId="1282" priority="950" operator="greaterThanOrEqual">
      <formula>1.5</formula>
    </cfRule>
  </conditionalFormatting>
  <conditionalFormatting sqref="K1332">
    <cfRule type="cellIs" dxfId="1281" priority="947" operator="lessThanOrEqual">
      <formula>0.5</formula>
    </cfRule>
    <cfRule type="cellIs" dxfId="1280" priority="948" operator="greaterThanOrEqual">
      <formula>1.5</formula>
    </cfRule>
  </conditionalFormatting>
  <conditionalFormatting sqref="L1332">
    <cfRule type="cellIs" dxfId="1279" priority="945" operator="lessThanOrEqual">
      <formula>0.5</formula>
    </cfRule>
    <cfRule type="cellIs" dxfId="1278" priority="946" operator="greaterThanOrEqual">
      <formula>1.5</formula>
    </cfRule>
  </conditionalFormatting>
  <conditionalFormatting sqref="O1335">
    <cfRule type="cellIs" dxfId="1277" priority="943" operator="lessThanOrEqual">
      <formula>0.5</formula>
    </cfRule>
    <cfRule type="cellIs" dxfId="1276" priority="944" operator="greaterThanOrEqual">
      <formula>1.5</formula>
    </cfRule>
  </conditionalFormatting>
  <conditionalFormatting sqref="N1335">
    <cfRule type="cellIs" dxfId="1275" priority="941" operator="lessThanOrEqual">
      <formula>0.5</formula>
    </cfRule>
    <cfRule type="cellIs" dxfId="1274" priority="942" operator="greaterThanOrEqual">
      <formula>1.5</formula>
    </cfRule>
  </conditionalFormatting>
  <conditionalFormatting sqref="K1335">
    <cfRule type="cellIs" dxfId="1273" priority="939" operator="lessThanOrEqual">
      <formula>0.5</formula>
    </cfRule>
    <cfRule type="cellIs" dxfId="1272" priority="940" operator="greaterThanOrEqual">
      <formula>1.5</formula>
    </cfRule>
  </conditionalFormatting>
  <conditionalFormatting sqref="L1335">
    <cfRule type="cellIs" dxfId="1271" priority="937" operator="lessThanOrEqual">
      <formula>0.5</formula>
    </cfRule>
    <cfRule type="cellIs" dxfId="1270" priority="938" operator="greaterThanOrEqual">
      <formula>1.5</formula>
    </cfRule>
  </conditionalFormatting>
  <conditionalFormatting sqref="O1338">
    <cfRule type="cellIs" dxfId="1269" priority="935" operator="lessThanOrEqual">
      <formula>0.5</formula>
    </cfRule>
    <cfRule type="cellIs" dxfId="1268" priority="936" operator="greaterThanOrEqual">
      <formula>1.5</formula>
    </cfRule>
  </conditionalFormatting>
  <conditionalFormatting sqref="N1338">
    <cfRule type="cellIs" dxfId="1267" priority="933" operator="lessThanOrEqual">
      <formula>0.5</formula>
    </cfRule>
    <cfRule type="cellIs" dxfId="1266" priority="934" operator="greaterThanOrEqual">
      <formula>1.5</formula>
    </cfRule>
  </conditionalFormatting>
  <conditionalFormatting sqref="K1338">
    <cfRule type="cellIs" dxfId="1265" priority="931" operator="lessThanOrEqual">
      <formula>0.5</formula>
    </cfRule>
    <cfRule type="cellIs" dxfId="1264" priority="932" operator="greaterThanOrEqual">
      <formula>1.5</formula>
    </cfRule>
  </conditionalFormatting>
  <conditionalFormatting sqref="L1338">
    <cfRule type="cellIs" dxfId="1263" priority="929" operator="lessThanOrEqual">
      <formula>0.5</formula>
    </cfRule>
    <cfRule type="cellIs" dxfId="1262" priority="930" operator="greaterThanOrEqual">
      <formula>1.5</formula>
    </cfRule>
  </conditionalFormatting>
  <conditionalFormatting sqref="O1341">
    <cfRule type="cellIs" dxfId="1261" priority="927" operator="lessThanOrEqual">
      <formula>0.5</formula>
    </cfRule>
    <cfRule type="cellIs" dxfId="1260" priority="928" operator="greaterThanOrEqual">
      <formula>1.5</formula>
    </cfRule>
  </conditionalFormatting>
  <conditionalFormatting sqref="N1341">
    <cfRule type="cellIs" dxfId="1259" priority="925" operator="lessThanOrEqual">
      <formula>0.5</formula>
    </cfRule>
    <cfRule type="cellIs" dxfId="1258" priority="926" operator="greaterThanOrEqual">
      <formula>1.5</formula>
    </cfRule>
  </conditionalFormatting>
  <conditionalFormatting sqref="K1341">
    <cfRule type="cellIs" dxfId="1257" priority="923" operator="lessThanOrEqual">
      <formula>0.5</formula>
    </cfRule>
    <cfRule type="cellIs" dxfId="1256" priority="924" operator="greaterThanOrEqual">
      <formula>1.5</formula>
    </cfRule>
  </conditionalFormatting>
  <conditionalFormatting sqref="L1341">
    <cfRule type="cellIs" dxfId="1255" priority="921" operator="lessThanOrEqual">
      <formula>0.5</formula>
    </cfRule>
    <cfRule type="cellIs" dxfId="1254" priority="922" operator="greaterThanOrEqual">
      <formula>1.5</formula>
    </cfRule>
  </conditionalFormatting>
  <conditionalFormatting sqref="O1344">
    <cfRule type="cellIs" dxfId="1253" priority="919" operator="lessThanOrEqual">
      <formula>0.5</formula>
    </cfRule>
    <cfRule type="cellIs" dxfId="1252" priority="920" operator="greaterThanOrEqual">
      <formula>1.5</formula>
    </cfRule>
  </conditionalFormatting>
  <conditionalFormatting sqref="N1344">
    <cfRule type="cellIs" dxfId="1251" priority="917" operator="lessThanOrEqual">
      <formula>0.5</formula>
    </cfRule>
    <cfRule type="cellIs" dxfId="1250" priority="918" operator="greaterThanOrEqual">
      <formula>1.5</formula>
    </cfRule>
  </conditionalFormatting>
  <conditionalFormatting sqref="K1344">
    <cfRule type="cellIs" dxfId="1249" priority="915" operator="lessThanOrEqual">
      <formula>0.5</formula>
    </cfRule>
    <cfRule type="cellIs" dxfId="1248" priority="916" operator="greaterThanOrEqual">
      <formula>1.5</formula>
    </cfRule>
  </conditionalFormatting>
  <conditionalFormatting sqref="L1344">
    <cfRule type="cellIs" dxfId="1247" priority="913" operator="lessThanOrEqual">
      <formula>0.5</formula>
    </cfRule>
    <cfRule type="cellIs" dxfId="1246" priority="914" operator="greaterThanOrEqual">
      <formula>1.5</formula>
    </cfRule>
  </conditionalFormatting>
  <conditionalFormatting sqref="O1347">
    <cfRule type="cellIs" dxfId="1245" priority="911" operator="lessThanOrEqual">
      <formula>0.5</formula>
    </cfRule>
    <cfRule type="cellIs" dxfId="1244" priority="912" operator="greaterThanOrEqual">
      <formula>1.5</formula>
    </cfRule>
  </conditionalFormatting>
  <conditionalFormatting sqref="N1347">
    <cfRule type="cellIs" dxfId="1243" priority="909" operator="lessThanOrEqual">
      <formula>0.5</formula>
    </cfRule>
    <cfRule type="cellIs" dxfId="1242" priority="910" operator="greaterThanOrEqual">
      <formula>1.5</formula>
    </cfRule>
  </conditionalFormatting>
  <conditionalFormatting sqref="K1347">
    <cfRule type="cellIs" dxfId="1241" priority="907" operator="lessThanOrEqual">
      <formula>0.5</formula>
    </cfRule>
    <cfRule type="cellIs" dxfId="1240" priority="908" operator="greaterThanOrEqual">
      <formula>1.5</formula>
    </cfRule>
  </conditionalFormatting>
  <conditionalFormatting sqref="L1347">
    <cfRule type="cellIs" dxfId="1239" priority="905" operator="lessThanOrEqual">
      <formula>0.5</formula>
    </cfRule>
    <cfRule type="cellIs" dxfId="1238" priority="906" operator="greaterThanOrEqual">
      <formula>1.5</formula>
    </cfRule>
  </conditionalFormatting>
  <conditionalFormatting sqref="O1350">
    <cfRule type="cellIs" dxfId="1237" priority="903" operator="lessThanOrEqual">
      <formula>0.5</formula>
    </cfRule>
    <cfRule type="cellIs" dxfId="1236" priority="904" operator="greaterThanOrEqual">
      <formula>1.5</formula>
    </cfRule>
  </conditionalFormatting>
  <conditionalFormatting sqref="N1350">
    <cfRule type="cellIs" dxfId="1235" priority="901" operator="lessThanOrEqual">
      <formula>0.5</formula>
    </cfRule>
    <cfRule type="cellIs" dxfId="1234" priority="902" operator="greaterThanOrEqual">
      <formula>1.5</formula>
    </cfRule>
  </conditionalFormatting>
  <conditionalFormatting sqref="K1350">
    <cfRule type="cellIs" dxfId="1233" priority="899" operator="lessThanOrEqual">
      <formula>0.5</formula>
    </cfRule>
    <cfRule type="cellIs" dxfId="1232" priority="900" operator="greaterThanOrEqual">
      <formula>1.5</formula>
    </cfRule>
  </conditionalFormatting>
  <conditionalFormatting sqref="L1350">
    <cfRule type="cellIs" dxfId="1231" priority="897" operator="lessThanOrEqual">
      <formula>0.5</formula>
    </cfRule>
    <cfRule type="cellIs" dxfId="1230" priority="898" operator="greaterThanOrEqual">
      <formula>1.5</formula>
    </cfRule>
  </conditionalFormatting>
  <conditionalFormatting sqref="O1353">
    <cfRule type="cellIs" dxfId="1229" priority="895" operator="lessThanOrEqual">
      <formula>0.5</formula>
    </cfRule>
    <cfRule type="cellIs" dxfId="1228" priority="896" operator="greaterThanOrEqual">
      <formula>1.5</formula>
    </cfRule>
  </conditionalFormatting>
  <conditionalFormatting sqref="N1353">
    <cfRule type="cellIs" dxfId="1227" priority="893" operator="lessThanOrEqual">
      <formula>0.5</formula>
    </cfRule>
    <cfRule type="cellIs" dxfId="1226" priority="894" operator="greaterThanOrEqual">
      <formula>1.5</formula>
    </cfRule>
  </conditionalFormatting>
  <conditionalFormatting sqref="K1353">
    <cfRule type="cellIs" dxfId="1225" priority="891" operator="lessThanOrEqual">
      <formula>0.5</formula>
    </cfRule>
    <cfRule type="cellIs" dxfId="1224" priority="892" operator="greaterThanOrEqual">
      <formula>1.5</formula>
    </cfRule>
  </conditionalFormatting>
  <conditionalFormatting sqref="L1353">
    <cfRule type="cellIs" dxfId="1223" priority="889" operator="lessThanOrEqual">
      <formula>0.5</formula>
    </cfRule>
    <cfRule type="cellIs" dxfId="1222" priority="890" operator="greaterThanOrEqual">
      <formula>1.5</formula>
    </cfRule>
  </conditionalFormatting>
  <conditionalFormatting sqref="O1356">
    <cfRule type="cellIs" dxfId="1221" priority="887" operator="lessThanOrEqual">
      <formula>0.5</formula>
    </cfRule>
    <cfRule type="cellIs" dxfId="1220" priority="888" operator="greaterThanOrEqual">
      <formula>1.5</formula>
    </cfRule>
  </conditionalFormatting>
  <conditionalFormatting sqref="N1356">
    <cfRule type="cellIs" dxfId="1219" priority="885" operator="lessThanOrEqual">
      <formula>0.5</formula>
    </cfRule>
    <cfRule type="cellIs" dxfId="1218" priority="886" operator="greaterThanOrEqual">
      <formula>1.5</formula>
    </cfRule>
  </conditionalFormatting>
  <conditionalFormatting sqref="K1356">
    <cfRule type="cellIs" dxfId="1217" priority="883" operator="lessThanOrEqual">
      <formula>0.5</formula>
    </cfRule>
    <cfRule type="cellIs" dxfId="1216" priority="884" operator="greaterThanOrEqual">
      <formula>1.5</formula>
    </cfRule>
  </conditionalFormatting>
  <conditionalFormatting sqref="L1356">
    <cfRule type="cellIs" dxfId="1215" priority="881" operator="lessThanOrEqual">
      <formula>0.5</formula>
    </cfRule>
    <cfRule type="cellIs" dxfId="1214" priority="882" operator="greaterThanOrEqual">
      <formula>1.5</formula>
    </cfRule>
  </conditionalFormatting>
  <conditionalFormatting sqref="O1359">
    <cfRule type="cellIs" dxfId="1213" priority="879" operator="lessThanOrEqual">
      <formula>0.5</formula>
    </cfRule>
    <cfRule type="cellIs" dxfId="1212" priority="880" operator="greaterThanOrEqual">
      <formula>1.5</formula>
    </cfRule>
  </conditionalFormatting>
  <conditionalFormatting sqref="N1359">
    <cfRule type="cellIs" dxfId="1211" priority="877" operator="lessThanOrEqual">
      <formula>0.5</formula>
    </cfRule>
    <cfRule type="cellIs" dxfId="1210" priority="878" operator="greaterThanOrEqual">
      <formula>1.5</formula>
    </cfRule>
  </conditionalFormatting>
  <conditionalFormatting sqref="K1359">
    <cfRule type="cellIs" dxfId="1209" priority="875" operator="lessThanOrEqual">
      <formula>0.5</formula>
    </cfRule>
    <cfRule type="cellIs" dxfId="1208" priority="876" operator="greaterThanOrEqual">
      <formula>1.5</formula>
    </cfRule>
  </conditionalFormatting>
  <conditionalFormatting sqref="L1359">
    <cfRule type="cellIs" dxfId="1207" priority="873" operator="lessThanOrEqual">
      <formula>0.5</formula>
    </cfRule>
    <cfRule type="cellIs" dxfId="1206" priority="874" operator="greaterThanOrEqual">
      <formula>1.5</formula>
    </cfRule>
  </conditionalFormatting>
  <conditionalFormatting sqref="O1362">
    <cfRule type="cellIs" dxfId="1205" priority="871" operator="lessThanOrEqual">
      <formula>0.5</formula>
    </cfRule>
    <cfRule type="cellIs" dxfId="1204" priority="872" operator="greaterThanOrEqual">
      <formula>1.5</formula>
    </cfRule>
  </conditionalFormatting>
  <conditionalFormatting sqref="N1362">
    <cfRule type="cellIs" dxfId="1203" priority="869" operator="lessThanOrEqual">
      <formula>0.5</formula>
    </cfRule>
    <cfRule type="cellIs" dxfId="1202" priority="870" operator="greaterThanOrEqual">
      <formula>1.5</formula>
    </cfRule>
  </conditionalFormatting>
  <conditionalFormatting sqref="K1362">
    <cfRule type="cellIs" dxfId="1201" priority="867" operator="lessThanOrEqual">
      <formula>0.5</formula>
    </cfRule>
    <cfRule type="cellIs" dxfId="1200" priority="868" operator="greaterThanOrEqual">
      <formula>1.5</formula>
    </cfRule>
  </conditionalFormatting>
  <conditionalFormatting sqref="L1362">
    <cfRule type="cellIs" dxfId="1199" priority="865" operator="lessThanOrEqual">
      <formula>0.5</formula>
    </cfRule>
    <cfRule type="cellIs" dxfId="1198" priority="866" operator="greaterThanOrEqual">
      <formula>1.5</formula>
    </cfRule>
  </conditionalFormatting>
  <conditionalFormatting sqref="O1365">
    <cfRule type="cellIs" dxfId="1197" priority="863" operator="lessThanOrEqual">
      <formula>0.5</formula>
    </cfRule>
    <cfRule type="cellIs" dxfId="1196" priority="864" operator="greaterThanOrEqual">
      <formula>1.5</formula>
    </cfRule>
  </conditionalFormatting>
  <conditionalFormatting sqref="N1365">
    <cfRule type="cellIs" dxfId="1195" priority="861" operator="lessThanOrEqual">
      <formula>0.5</formula>
    </cfRule>
    <cfRule type="cellIs" dxfId="1194" priority="862" operator="greaterThanOrEqual">
      <formula>1.5</formula>
    </cfRule>
  </conditionalFormatting>
  <conditionalFormatting sqref="K1365">
    <cfRule type="cellIs" dxfId="1193" priority="859" operator="lessThanOrEqual">
      <formula>0.5</formula>
    </cfRule>
    <cfRule type="cellIs" dxfId="1192" priority="860" operator="greaterThanOrEqual">
      <formula>1.5</formula>
    </cfRule>
  </conditionalFormatting>
  <conditionalFormatting sqref="L1365">
    <cfRule type="cellIs" dxfId="1191" priority="857" operator="lessThanOrEqual">
      <formula>0.5</formula>
    </cfRule>
    <cfRule type="cellIs" dxfId="1190" priority="858" operator="greaterThanOrEqual">
      <formula>1.5</formula>
    </cfRule>
  </conditionalFormatting>
  <conditionalFormatting sqref="O1368">
    <cfRule type="cellIs" dxfId="1189" priority="855" operator="lessThanOrEqual">
      <formula>0.5</formula>
    </cfRule>
    <cfRule type="cellIs" dxfId="1188" priority="856" operator="greaterThanOrEqual">
      <formula>1.5</formula>
    </cfRule>
  </conditionalFormatting>
  <conditionalFormatting sqref="N1368">
    <cfRule type="cellIs" dxfId="1187" priority="853" operator="lessThanOrEqual">
      <formula>0.5</formula>
    </cfRule>
    <cfRule type="cellIs" dxfId="1186" priority="854" operator="greaterThanOrEqual">
      <formula>1.5</formula>
    </cfRule>
  </conditionalFormatting>
  <conditionalFormatting sqref="K1368">
    <cfRule type="cellIs" dxfId="1185" priority="851" operator="lessThanOrEqual">
      <formula>0.5</formula>
    </cfRule>
    <cfRule type="cellIs" dxfId="1184" priority="852" operator="greaterThanOrEqual">
      <formula>1.5</formula>
    </cfRule>
  </conditionalFormatting>
  <conditionalFormatting sqref="L1368">
    <cfRule type="cellIs" dxfId="1183" priority="849" operator="lessThanOrEqual">
      <formula>0.5</formula>
    </cfRule>
    <cfRule type="cellIs" dxfId="1182" priority="850" operator="greaterThanOrEqual">
      <formula>1.5</formula>
    </cfRule>
  </conditionalFormatting>
  <conditionalFormatting sqref="O1371">
    <cfRule type="cellIs" dxfId="1181" priority="847" operator="lessThanOrEqual">
      <formula>0.5</formula>
    </cfRule>
    <cfRule type="cellIs" dxfId="1180" priority="848" operator="greaterThanOrEqual">
      <formula>1.5</formula>
    </cfRule>
  </conditionalFormatting>
  <conditionalFormatting sqref="N1371">
    <cfRule type="cellIs" dxfId="1179" priority="845" operator="lessThanOrEqual">
      <formula>0.5</formula>
    </cfRule>
    <cfRule type="cellIs" dxfId="1178" priority="846" operator="greaterThanOrEqual">
      <formula>1.5</formula>
    </cfRule>
  </conditionalFormatting>
  <conditionalFormatting sqref="K1371">
    <cfRule type="cellIs" dxfId="1177" priority="843" operator="lessThanOrEqual">
      <formula>0.5</formula>
    </cfRule>
    <cfRule type="cellIs" dxfId="1176" priority="844" operator="greaterThanOrEqual">
      <formula>1.5</formula>
    </cfRule>
  </conditionalFormatting>
  <conditionalFormatting sqref="L1371">
    <cfRule type="cellIs" dxfId="1175" priority="841" operator="lessThanOrEqual">
      <formula>0.5</formula>
    </cfRule>
    <cfRule type="cellIs" dxfId="1174" priority="842" operator="greaterThanOrEqual">
      <formula>1.5</formula>
    </cfRule>
  </conditionalFormatting>
  <conditionalFormatting sqref="O1374">
    <cfRule type="cellIs" dxfId="1173" priority="839" operator="lessThanOrEqual">
      <formula>0.5</formula>
    </cfRule>
    <cfRule type="cellIs" dxfId="1172" priority="840" operator="greaterThanOrEqual">
      <formula>1.5</formula>
    </cfRule>
  </conditionalFormatting>
  <conditionalFormatting sqref="N1374">
    <cfRule type="cellIs" dxfId="1171" priority="837" operator="lessThanOrEqual">
      <formula>0.5</formula>
    </cfRule>
    <cfRule type="cellIs" dxfId="1170" priority="838" operator="greaterThanOrEqual">
      <formula>1.5</formula>
    </cfRule>
  </conditionalFormatting>
  <conditionalFormatting sqref="K1374">
    <cfRule type="cellIs" dxfId="1169" priority="835" operator="lessThanOrEqual">
      <formula>0.5</formula>
    </cfRule>
    <cfRule type="cellIs" dxfId="1168" priority="836" operator="greaterThanOrEqual">
      <formula>1.5</formula>
    </cfRule>
  </conditionalFormatting>
  <conditionalFormatting sqref="L1374">
    <cfRule type="cellIs" dxfId="1167" priority="833" operator="lessThanOrEqual">
      <formula>0.5</formula>
    </cfRule>
    <cfRule type="cellIs" dxfId="1166" priority="834" operator="greaterThanOrEqual">
      <formula>1.5</formula>
    </cfRule>
  </conditionalFormatting>
  <conditionalFormatting sqref="O1377">
    <cfRule type="cellIs" dxfId="1165" priority="831" operator="lessThanOrEqual">
      <formula>0.5</formula>
    </cfRule>
    <cfRule type="cellIs" dxfId="1164" priority="832" operator="greaterThanOrEqual">
      <formula>1.5</formula>
    </cfRule>
  </conditionalFormatting>
  <conditionalFormatting sqref="N1377">
    <cfRule type="cellIs" dxfId="1163" priority="829" operator="lessThanOrEqual">
      <formula>0.5</formula>
    </cfRule>
    <cfRule type="cellIs" dxfId="1162" priority="830" operator="greaterThanOrEqual">
      <formula>1.5</formula>
    </cfRule>
  </conditionalFormatting>
  <conditionalFormatting sqref="K1377">
    <cfRule type="cellIs" dxfId="1161" priority="827" operator="lessThanOrEqual">
      <formula>0.5</formula>
    </cfRule>
    <cfRule type="cellIs" dxfId="1160" priority="828" operator="greaterThanOrEqual">
      <formula>1.5</formula>
    </cfRule>
  </conditionalFormatting>
  <conditionalFormatting sqref="L1377">
    <cfRule type="cellIs" dxfId="1159" priority="825" operator="lessThanOrEqual">
      <formula>0.5</formula>
    </cfRule>
    <cfRule type="cellIs" dxfId="1158" priority="826" operator="greaterThanOrEqual">
      <formula>1.5</formula>
    </cfRule>
  </conditionalFormatting>
  <conditionalFormatting sqref="O1380">
    <cfRule type="cellIs" dxfId="1157" priority="823" operator="lessThanOrEqual">
      <formula>0.5</formula>
    </cfRule>
    <cfRule type="cellIs" dxfId="1156" priority="824" operator="greaterThanOrEqual">
      <formula>1.5</formula>
    </cfRule>
  </conditionalFormatting>
  <conditionalFormatting sqref="N1380">
    <cfRule type="cellIs" dxfId="1155" priority="821" operator="lessThanOrEqual">
      <formula>0.5</formula>
    </cfRule>
    <cfRule type="cellIs" dxfId="1154" priority="822" operator="greaterThanOrEqual">
      <formula>1.5</formula>
    </cfRule>
  </conditionalFormatting>
  <conditionalFormatting sqref="K1380">
    <cfRule type="cellIs" dxfId="1153" priority="819" operator="lessThanOrEqual">
      <formula>0.5</formula>
    </cfRule>
    <cfRule type="cellIs" dxfId="1152" priority="820" operator="greaterThanOrEqual">
      <formula>1.5</formula>
    </cfRule>
  </conditionalFormatting>
  <conditionalFormatting sqref="L1380">
    <cfRule type="cellIs" dxfId="1151" priority="817" operator="lessThanOrEqual">
      <formula>0.5</formula>
    </cfRule>
    <cfRule type="cellIs" dxfId="1150" priority="818" operator="greaterThanOrEqual">
      <formula>1.5</formula>
    </cfRule>
  </conditionalFormatting>
  <conditionalFormatting sqref="O1383">
    <cfRule type="cellIs" dxfId="1149" priority="815" operator="lessThanOrEqual">
      <formula>0.5</formula>
    </cfRule>
    <cfRule type="cellIs" dxfId="1148" priority="816" operator="greaterThanOrEqual">
      <formula>1.5</formula>
    </cfRule>
  </conditionalFormatting>
  <conditionalFormatting sqref="N1383">
    <cfRule type="cellIs" dxfId="1147" priority="813" operator="lessThanOrEqual">
      <formula>0.5</formula>
    </cfRule>
    <cfRule type="cellIs" dxfId="1146" priority="814" operator="greaterThanOrEqual">
      <formula>1.5</formula>
    </cfRule>
  </conditionalFormatting>
  <conditionalFormatting sqref="K1383">
    <cfRule type="cellIs" dxfId="1145" priority="811" operator="lessThanOrEqual">
      <formula>0.5</formula>
    </cfRule>
    <cfRule type="cellIs" dxfId="1144" priority="812" operator="greaterThanOrEqual">
      <formula>1.5</formula>
    </cfRule>
  </conditionalFormatting>
  <conditionalFormatting sqref="L1383">
    <cfRule type="cellIs" dxfId="1143" priority="809" operator="lessThanOrEqual">
      <formula>0.5</formula>
    </cfRule>
    <cfRule type="cellIs" dxfId="1142" priority="810" operator="greaterThanOrEqual">
      <formula>1.5</formula>
    </cfRule>
  </conditionalFormatting>
  <conditionalFormatting sqref="O1386">
    <cfRule type="cellIs" dxfId="1141" priority="807" operator="lessThanOrEqual">
      <formula>0.5</formula>
    </cfRule>
    <cfRule type="cellIs" dxfId="1140" priority="808" operator="greaterThanOrEqual">
      <formula>1.5</formula>
    </cfRule>
  </conditionalFormatting>
  <conditionalFormatting sqref="N1386">
    <cfRule type="cellIs" dxfId="1139" priority="805" operator="lessThanOrEqual">
      <formula>0.5</formula>
    </cfRule>
    <cfRule type="cellIs" dxfId="1138" priority="806" operator="greaterThanOrEqual">
      <formula>1.5</formula>
    </cfRule>
  </conditionalFormatting>
  <conditionalFormatting sqref="K1386">
    <cfRule type="cellIs" dxfId="1137" priority="803" operator="lessThanOrEqual">
      <formula>0.5</formula>
    </cfRule>
    <cfRule type="cellIs" dxfId="1136" priority="804" operator="greaterThanOrEqual">
      <formula>1.5</formula>
    </cfRule>
  </conditionalFormatting>
  <conditionalFormatting sqref="L1386">
    <cfRule type="cellIs" dxfId="1135" priority="801" operator="lessThanOrEqual">
      <formula>0.5</formula>
    </cfRule>
    <cfRule type="cellIs" dxfId="1134" priority="802" operator="greaterThanOrEqual">
      <formula>1.5</formula>
    </cfRule>
  </conditionalFormatting>
  <conditionalFormatting sqref="O1389">
    <cfRule type="cellIs" dxfId="1133" priority="799" operator="lessThanOrEqual">
      <formula>0.5</formula>
    </cfRule>
    <cfRule type="cellIs" dxfId="1132" priority="800" operator="greaterThanOrEqual">
      <formula>1.5</formula>
    </cfRule>
  </conditionalFormatting>
  <conditionalFormatting sqref="N1389">
    <cfRule type="cellIs" dxfId="1131" priority="797" operator="lessThanOrEqual">
      <formula>0.5</formula>
    </cfRule>
    <cfRule type="cellIs" dxfId="1130" priority="798" operator="greaterThanOrEqual">
      <formula>1.5</formula>
    </cfRule>
  </conditionalFormatting>
  <conditionalFormatting sqref="K1389">
    <cfRule type="cellIs" dxfId="1129" priority="795" operator="lessThanOrEqual">
      <formula>0.5</formula>
    </cfRule>
    <cfRule type="cellIs" dxfId="1128" priority="796" operator="greaterThanOrEqual">
      <formula>1.5</formula>
    </cfRule>
  </conditionalFormatting>
  <conditionalFormatting sqref="L1389">
    <cfRule type="cellIs" dxfId="1127" priority="793" operator="lessThanOrEqual">
      <formula>0.5</formula>
    </cfRule>
    <cfRule type="cellIs" dxfId="1126" priority="794" operator="greaterThanOrEqual">
      <formula>1.5</formula>
    </cfRule>
  </conditionalFormatting>
  <conditionalFormatting sqref="O1392">
    <cfRule type="cellIs" dxfId="1125" priority="791" operator="lessThanOrEqual">
      <formula>0.5</formula>
    </cfRule>
    <cfRule type="cellIs" dxfId="1124" priority="792" operator="greaterThanOrEqual">
      <formula>1.5</formula>
    </cfRule>
  </conditionalFormatting>
  <conditionalFormatting sqref="N1392">
    <cfRule type="cellIs" dxfId="1123" priority="789" operator="lessThanOrEqual">
      <formula>0.5</formula>
    </cfRule>
    <cfRule type="cellIs" dxfId="1122" priority="790" operator="greaterThanOrEqual">
      <formula>1.5</formula>
    </cfRule>
  </conditionalFormatting>
  <conditionalFormatting sqref="K1392">
    <cfRule type="cellIs" dxfId="1121" priority="787" operator="lessThanOrEqual">
      <formula>0.5</formula>
    </cfRule>
    <cfRule type="cellIs" dxfId="1120" priority="788" operator="greaterThanOrEqual">
      <formula>1.5</formula>
    </cfRule>
  </conditionalFormatting>
  <conditionalFormatting sqref="L1392">
    <cfRule type="cellIs" dxfId="1119" priority="785" operator="lessThanOrEqual">
      <formula>0.5</formula>
    </cfRule>
    <cfRule type="cellIs" dxfId="1118" priority="786" operator="greaterThanOrEqual">
      <formula>1.5</formula>
    </cfRule>
  </conditionalFormatting>
  <conditionalFormatting sqref="O1395">
    <cfRule type="cellIs" dxfId="1117" priority="783" operator="lessThanOrEqual">
      <formula>0.5</formula>
    </cfRule>
    <cfRule type="cellIs" dxfId="1116" priority="784" operator="greaterThanOrEqual">
      <formula>1.5</formula>
    </cfRule>
  </conditionalFormatting>
  <conditionalFormatting sqref="N1395">
    <cfRule type="cellIs" dxfId="1115" priority="781" operator="lessThanOrEqual">
      <formula>0.5</formula>
    </cfRule>
    <cfRule type="cellIs" dxfId="1114" priority="782" operator="greaterThanOrEqual">
      <formula>1.5</formula>
    </cfRule>
  </conditionalFormatting>
  <conditionalFormatting sqref="K1395">
    <cfRule type="cellIs" dxfId="1113" priority="779" operator="lessThanOrEqual">
      <formula>0.5</formula>
    </cfRule>
    <cfRule type="cellIs" dxfId="1112" priority="780" operator="greaterThanOrEqual">
      <formula>1.5</formula>
    </cfRule>
  </conditionalFormatting>
  <conditionalFormatting sqref="L1395">
    <cfRule type="cellIs" dxfId="1111" priority="777" operator="lessThanOrEqual">
      <formula>0.5</formula>
    </cfRule>
    <cfRule type="cellIs" dxfId="1110" priority="778" operator="greaterThanOrEqual">
      <formula>1.5</formula>
    </cfRule>
  </conditionalFormatting>
  <conditionalFormatting sqref="O1398">
    <cfRule type="cellIs" dxfId="1109" priority="775" operator="lessThanOrEqual">
      <formula>0.5</formula>
    </cfRule>
    <cfRule type="cellIs" dxfId="1108" priority="776" operator="greaterThanOrEqual">
      <formula>1.5</formula>
    </cfRule>
  </conditionalFormatting>
  <conditionalFormatting sqref="N1398">
    <cfRule type="cellIs" dxfId="1107" priority="773" operator="lessThanOrEqual">
      <formula>0.5</formula>
    </cfRule>
    <cfRule type="cellIs" dxfId="1106" priority="774" operator="greaterThanOrEqual">
      <formula>1.5</formula>
    </cfRule>
  </conditionalFormatting>
  <conditionalFormatting sqref="K1398">
    <cfRule type="cellIs" dxfId="1105" priority="771" operator="lessThanOrEqual">
      <formula>0.5</formula>
    </cfRule>
    <cfRule type="cellIs" dxfId="1104" priority="772" operator="greaterThanOrEqual">
      <formula>1.5</formula>
    </cfRule>
  </conditionalFormatting>
  <conditionalFormatting sqref="L1398">
    <cfRule type="cellIs" dxfId="1103" priority="769" operator="lessThanOrEqual">
      <formula>0.5</formula>
    </cfRule>
    <cfRule type="cellIs" dxfId="1102" priority="770" operator="greaterThanOrEqual">
      <formula>1.5</formula>
    </cfRule>
  </conditionalFormatting>
  <conditionalFormatting sqref="O1401">
    <cfRule type="cellIs" dxfId="1101" priority="767" operator="lessThanOrEqual">
      <formula>0.5</formula>
    </cfRule>
    <cfRule type="cellIs" dxfId="1100" priority="768" operator="greaterThanOrEqual">
      <formula>1.5</formula>
    </cfRule>
  </conditionalFormatting>
  <conditionalFormatting sqref="N1401">
    <cfRule type="cellIs" dxfId="1099" priority="765" operator="lessThanOrEqual">
      <formula>0.5</formula>
    </cfRule>
    <cfRule type="cellIs" dxfId="1098" priority="766" operator="greaterThanOrEqual">
      <formula>1.5</formula>
    </cfRule>
  </conditionalFormatting>
  <conditionalFormatting sqref="K1401">
    <cfRule type="cellIs" dxfId="1097" priority="763" operator="lessThanOrEqual">
      <formula>0.5</formula>
    </cfRule>
    <cfRule type="cellIs" dxfId="1096" priority="764" operator="greaterThanOrEqual">
      <formula>1.5</formula>
    </cfRule>
  </conditionalFormatting>
  <conditionalFormatting sqref="L1401">
    <cfRule type="cellIs" dxfId="1095" priority="761" operator="lessThanOrEqual">
      <formula>0.5</formula>
    </cfRule>
    <cfRule type="cellIs" dxfId="1094" priority="762" operator="greaterThanOrEqual">
      <formula>1.5</formula>
    </cfRule>
  </conditionalFormatting>
  <conditionalFormatting sqref="O1404">
    <cfRule type="cellIs" dxfId="1093" priority="759" operator="lessThanOrEqual">
      <formula>0.5</formula>
    </cfRule>
    <cfRule type="cellIs" dxfId="1092" priority="760" operator="greaterThanOrEqual">
      <formula>1.5</formula>
    </cfRule>
  </conditionalFormatting>
  <conditionalFormatting sqref="N1404">
    <cfRule type="cellIs" dxfId="1091" priority="757" operator="lessThanOrEqual">
      <formula>0.5</formula>
    </cfRule>
    <cfRule type="cellIs" dxfId="1090" priority="758" operator="greaterThanOrEqual">
      <formula>1.5</formula>
    </cfRule>
  </conditionalFormatting>
  <conditionalFormatting sqref="K1404">
    <cfRule type="cellIs" dxfId="1089" priority="755" operator="lessThanOrEqual">
      <formula>0.5</formula>
    </cfRule>
    <cfRule type="cellIs" dxfId="1088" priority="756" operator="greaterThanOrEqual">
      <formula>1.5</formula>
    </cfRule>
  </conditionalFormatting>
  <conditionalFormatting sqref="L1404">
    <cfRule type="cellIs" dxfId="1087" priority="753" operator="lessThanOrEqual">
      <formula>0.5</formula>
    </cfRule>
    <cfRule type="cellIs" dxfId="1086" priority="754" operator="greaterThanOrEqual">
      <formula>1.5</formula>
    </cfRule>
  </conditionalFormatting>
  <conditionalFormatting sqref="O1407">
    <cfRule type="cellIs" dxfId="1085" priority="751" operator="lessThanOrEqual">
      <formula>0.5</formula>
    </cfRule>
    <cfRule type="cellIs" dxfId="1084" priority="752" operator="greaterThanOrEqual">
      <formula>1.5</formula>
    </cfRule>
  </conditionalFormatting>
  <conditionalFormatting sqref="N1407">
    <cfRule type="cellIs" dxfId="1083" priority="749" operator="lessThanOrEqual">
      <formula>0.5</formula>
    </cfRule>
    <cfRule type="cellIs" dxfId="1082" priority="750" operator="greaterThanOrEqual">
      <formula>1.5</formula>
    </cfRule>
  </conditionalFormatting>
  <conditionalFormatting sqref="K1407">
    <cfRule type="cellIs" dxfId="1081" priority="747" operator="lessThanOrEqual">
      <formula>0.5</formula>
    </cfRule>
    <cfRule type="cellIs" dxfId="1080" priority="748" operator="greaterThanOrEqual">
      <formula>1.5</formula>
    </cfRule>
  </conditionalFormatting>
  <conditionalFormatting sqref="L1407">
    <cfRule type="cellIs" dxfId="1079" priority="745" operator="lessThanOrEqual">
      <formula>0.5</formula>
    </cfRule>
    <cfRule type="cellIs" dxfId="1078" priority="746" operator="greaterThanOrEqual">
      <formula>1.5</formula>
    </cfRule>
  </conditionalFormatting>
  <conditionalFormatting sqref="O1410">
    <cfRule type="cellIs" dxfId="1077" priority="743" operator="lessThanOrEqual">
      <formula>0.5</formula>
    </cfRule>
    <cfRule type="cellIs" dxfId="1076" priority="744" operator="greaterThanOrEqual">
      <formula>1.5</formula>
    </cfRule>
  </conditionalFormatting>
  <conditionalFormatting sqref="N1410">
    <cfRule type="cellIs" dxfId="1075" priority="741" operator="lessThanOrEqual">
      <formula>0.5</formula>
    </cfRule>
    <cfRule type="cellIs" dxfId="1074" priority="742" operator="greaterThanOrEqual">
      <formula>1.5</formula>
    </cfRule>
  </conditionalFormatting>
  <conditionalFormatting sqref="K1410">
    <cfRule type="cellIs" dxfId="1073" priority="739" operator="lessThanOrEqual">
      <formula>0.5</formula>
    </cfRule>
    <cfRule type="cellIs" dxfId="1072" priority="740" operator="greaterThanOrEqual">
      <formula>1.5</formula>
    </cfRule>
  </conditionalFormatting>
  <conditionalFormatting sqref="L1410">
    <cfRule type="cellIs" dxfId="1071" priority="737" operator="lessThanOrEqual">
      <formula>0.5</formula>
    </cfRule>
    <cfRule type="cellIs" dxfId="1070" priority="738" operator="greaterThanOrEqual">
      <formula>1.5</formula>
    </cfRule>
  </conditionalFormatting>
  <conditionalFormatting sqref="O1413">
    <cfRule type="cellIs" dxfId="1069" priority="735" operator="lessThanOrEqual">
      <formula>0.5</formula>
    </cfRule>
    <cfRule type="cellIs" dxfId="1068" priority="736" operator="greaterThanOrEqual">
      <formula>1.5</formula>
    </cfRule>
  </conditionalFormatting>
  <conditionalFormatting sqref="N1413">
    <cfRule type="cellIs" dxfId="1067" priority="733" operator="lessThanOrEqual">
      <formula>0.5</formula>
    </cfRule>
    <cfRule type="cellIs" dxfId="1066" priority="734" operator="greaterThanOrEqual">
      <formula>1.5</formula>
    </cfRule>
  </conditionalFormatting>
  <conditionalFormatting sqref="K1413">
    <cfRule type="cellIs" dxfId="1065" priority="731" operator="lessThanOrEqual">
      <formula>0.5</formula>
    </cfRule>
    <cfRule type="cellIs" dxfId="1064" priority="732" operator="greaterThanOrEqual">
      <formula>1.5</formula>
    </cfRule>
  </conditionalFormatting>
  <conditionalFormatting sqref="L1413">
    <cfRule type="cellIs" dxfId="1063" priority="729" operator="lessThanOrEqual">
      <formula>0.5</formula>
    </cfRule>
    <cfRule type="cellIs" dxfId="1062" priority="730" operator="greaterThanOrEqual">
      <formula>1.5</formula>
    </cfRule>
  </conditionalFormatting>
  <conditionalFormatting sqref="O1416">
    <cfRule type="cellIs" dxfId="1061" priority="727" operator="lessThanOrEqual">
      <formula>0.5</formula>
    </cfRule>
    <cfRule type="cellIs" dxfId="1060" priority="728" operator="greaterThanOrEqual">
      <formula>1.5</formula>
    </cfRule>
  </conditionalFormatting>
  <conditionalFormatting sqref="N1416">
    <cfRule type="cellIs" dxfId="1059" priority="725" operator="lessThanOrEqual">
      <formula>0.5</formula>
    </cfRule>
    <cfRule type="cellIs" dxfId="1058" priority="726" operator="greaterThanOrEqual">
      <formula>1.5</formula>
    </cfRule>
  </conditionalFormatting>
  <conditionalFormatting sqref="K1416">
    <cfRule type="cellIs" dxfId="1057" priority="723" operator="lessThanOrEqual">
      <formula>0.5</formula>
    </cfRule>
    <cfRule type="cellIs" dxfId="1056" priority="724" operator="greaterThanOrEqual">
      <formula>1.5</formula>
    </cfRule>
  </conditionalFormatting>
  <conditionalFormatting sqref="L1416">
    <cfRule type="cellIs" dxfId="1055" priority="721" operator="lessThanOrEqual">
      <formula>0.5</formula>
    </cfRule>
    <cfRule type="cellIs" dxfId="1054" priority="722" operator="greaterThanOrEqual">
      <formula>1.5</formula>
    </cfRule>
  </conditionalFormatting>
  <conditionalFormatting sqref="O1419">
    <cfRule type="cellIs" dxfId="1053" priority="719" operator="lessThanOrEqual">
      <formula>0.5</formula>
    </cfRule>
    <cfRule type="cellIs" dxfId="1052" priority="720" operator="greaterThanOrEqual">
      <formula>1.5</formula>
    </cfRule>
  </conditionalFormatting>
  <conditionalFormatting sqref="N1419">
    <cfRule type="cellIs" dxfId="1051" priority="717" operator="lessThanOrEqual">
      <formula>0.5</formula>
    </cfRule>
    <cfRule type="cellIs" dxfId="1050" priority="718" operator="greaterThanOrEqual">
      <formula>1.5</formula>
    </cfRule>
  </conditionalFormatting>
  <conditionalFormatting sqref="K1419">
    <cfRule type="cellIs" dxfId="1049" priority="715" operator="lessThanOrEqual">
      <formula>0.5</formula>
    </cfRule>
    <cfRule type="cellIs" dxfId="1048" priority="716" operator="greaterThanOrEqual">
      <formula>1.5</formula>
    </cfRule>
  </conditionalFormatting>
  <conditionalFormatting sqref="L1419">
    <cfRule type="cellIs" dxfId="1047" priority="713" operator="lessThanOrEqual">
      <formula>0.5</formula>
    </cfRule>
    <cfRule type="cellIs" dxfId="1046" priority="714" operator="greaterThanOrEqual">
      <formula>1.5</formula>
    </cfRule>
  </conditionalFormatting>
  <conditionalFormatting sqref="O1422">
    <cfRule type="cellIs" dxfId="1045" priority="711" operator="lessThanOrEqual">
      <formula>0.5</formula>
    </cfRule>
    <cfRule type="cellIs" dxfId="1044" priority="712" operator="greaterThanOrEqual">
      <formula>1.5</formula>
    </cfRule>
  </conditionalFormatting>
  <conditionalFormatting sqref="N1422">
    <cfRule type="cellIs" dxfId="1043" priority="709" operator="lessThanOrEqual">
      <formula>0.5</formula>
    </cfRule>
    <cfRule type="cellIs" dxfId="1042" priority="710" operator="greaterThanOrEqual">
      <formula>1.5</formula>
    </cfRule>
  </conditionalFormatting>
  <conditionalFormatting sqref="K1422">
    <cfRule type="cellIs" dxfId="1041" priority="707" operator="lessThanOrEqual">
      <formula>0.5</formula>
    </cfRule>
    <cfRule type="cellIs" dxfId="1040" priority="708" operator="greaterThanOrEqual">
      <formula>1.5</formula>
    </cfRule>
  </conditionalFormatting>
  <conditionalFormatting sqref="L1422">
    <cfRule type="cellIs" dxfId="1039" priority="705" operator="lessThanOrEqual">
      <formula>0.5</formula>
    </cfRule>
    <cfRule type="cellIs" dxfId="1038" priority="706" operator="greaterThanOrEqual">
      <formula>1.5</formula>
    </cfRule>
  </conditionalFormatting>
  <conditionalFormatting sqref="O1425">
    <cfRule type="cellIs" dxfId="1037" priority="703" operator="lessThanOrEqual">
      <formula>0.5</formula>
    </cfRule>
    <cfRule type="cellIs" dxfId="1036" priority="704" operator="greaterThanOrEqual">
      <formula>1.5</formula>
    </cfRule>
  </conditionalFormatting>
  <conditionalFormatting sqref="N1425">
    <cfRule type="cellIs" dxfId="1035" priority="701" operator="lessThanOrEqual">
      <formula>0.5</formula>
    </cfRule>
    <cfRule type="cellIs" dxfId="1034" priority="702" operator="greaterThanOrEqual">
      <formula>1.5</formula>
    </cfRule>
  </conditionalFormatting>
  <conditionalFormatting sqref="K1425">
    <cfRule type="cellIs" dxfId="1033" priority="699" operator="lessThanOrEqual">
      <formula>0.5</formula>
    </cfRule>
    <cfRule type="cellIs" dxfId="1032" priority="700" operator="greaterThanOrEqual">
      <formula>1.5</formula>
    </cfRule>
  </conditionalFormatting>
  <conditionalFormatting sqref="L1425">
    <cfRule type="cellIs" dxfId="1031" priority="697" operator="lessThanOrEqual">
      <formula>0.5</formula>
    </cfRule>
    <cfRule type="cellIs" dxfId="1030" priority="698" operator="greaterThanOrEqual">
      <formula>1.5</formula>
    </cfRule>
  </conditionalFormatting>
  <conditionalFormatting sqref="O1428">
    <cfRule type="cellIs" dxfId="1029" priority="695" operator="lessThanOrEqual">
      <formula>0.5</formula>
    </cfRule>
    <cfRule type="cellIs" dxfId="1028" priority="696" operator="greaterThanOrEqual">
      <formula>1.5</formula>
    </cfRule>
  </conditionalFormatting>
  <conditionalFormatting sqref="N1428">
    <cfRule type="cellIs" dxfId="1027" priority="693" operator="lessThanOrEqual">
      <formula>0.5</formula>
    </cfRule>
    <cfRule type="cellIs" dxfId="1026" priority="694" operator="greaterThanOrEqual">
      <formula>1.5</formula>
    </cfRule>
  </conditionalFormatting>
  <conditionalFormatting sqref="K1428">
    <cfRule type="cellIs" dxfId="1025" priority="691" operator="lessThanOrEqual">
      <formula>0.5</formula>
    </cfRule>
    <cfRule type="cellIs" dxfId="1024" priority="692" operator="greaterThanOrEqual">
      <formula>1.5</formula>
    </cfRule>
  </conditionalFormatting>
  <conditionalFormatting sqref="L1428">
    <cfRule type="cellIs" dxfId="1023" priority="689" operator="lessThanOrEqual">
      <formula>0.5</formula>
    </cfRule>
    <cfRule type="cellIs" dxfId="1022" priority="690" operator="greaterThanOrEqual">
      <formula>1.5</formula>
    </cfRule>
  </conditionalFormatting>
  <conditionalFormatting sqref="O1431">
    <cfRule type="cellIs" dxfId="1021" priority="687" operator="lessThanOrEqual">
      <formula>0.5</formula>
    </cfRule>
    <cfRule type="cellIs" dxfId="1020" priority="688" operator="greaterThanOrEqual">
      <formula>1.5</formula>
    </cfRule>
  </conditionalFormatting>
  <conditionalFormatting sqref="N1431">
    <cfRule type="cellIs" dxfId="1019" priority="685" operator="lessThanOrEqual">
      <formula>0.5</formula>
    </cfRule>
    <cfRule type="cellIs" dxfId="1018" priority="686" operator="greaterThanOrEqual">
      <formula>1.5</formula>
    </cfRule>
  </conditionalFormatting>
  <conditionalFormatting sqref="K1431">
    <cfRule type="cellIs" dxfId="1017" priority="683" operator="lessThanOrEqual">
      <formula>0.5</formula>
    </cfRule>
    <cfRule type="cellIs" dxfId="1016" priority="684" operator="greaterThanOrEqual">
      <formula>1.5</formula>
    </cfRule>
  </conditionalFormatting>
  <conditionalFormatting sqref="L1431">
    <cfRule type="cellIs" dxfId="1015" priority="681" operator="lessThanOrEqual">
      <formula>0.5</formula>
    </cfRule>
    <cfRule type="cellIs" dxfId="1014" priority="682" operator="greaterThanOrEqual">
      <formula>1.5</formula>
    </cfRule>
  </conditionalFormatting>
  <conditionalFormatting sqref="O1434">
    <cfRule type="cellIs" dxfId="1013" priority="679" operator="lessThanOrEqual">
      <formula>0.5</formula>
    </cfRule>
    <cfRule type="cellIs" dxfId="1012" priority="680" operator="greaterThanOrEqual">
      <formula>1.5</formula>
    </cfRule>
  </conditionalFormatting>
  <conditionalFormatting sqref="N1434">
    <cfRule type="cellIs" dxfId="1011" priority="677" operator="lessThanOrEqual">
      <formula>0.5</formula>
    </cfRule>
    <cfRule type="cellIs" dxfId="1010" priority="678" operator="greaterThanOrEqual">
      <formula>1.5</formula>
    </cfRule>
  </conditionalFormatting>
  <conditionalFormatting sqref="K1434">
    <cfRule type="cellIs" dxfId="1009" priority="675" operator="lessThanOrEqual">
      <formula>0.5</formula>
    </cfRule>
    <cfRule type="cellIs" dxfId="1008" priority="676" operator="greaterThanOrEqual">
      <formula>1.5</formula>
    </cfRule>
  </conditionalFormatting>
  <conditionalFormatting sqref="L1434">
    <cfRule type="cellIs" dxfId="1007" priority="673" operator="lessThanOrEqual">
      <formula>0.5</formula>
    </cfRule>
    <cfRule type="cellIs" dxfId="1006" priority="674" operator="greaterThanOrEqual">
      <formula>1.5</formula>
    </cfRule>
  </conditionalFormatting>
  <conditionalFormatting sqref="O1437">
    <cfRule type="cellIs" dxfId="1005" priority="671" operator="lessThanOrEqual">
      <formula>0.5</formula>
    </cfRule>
    <cfRule type="cellIs" dxfId="1004" priority="672" operator="greaterThanOrEqual">
      <formula>1.5</formula>
    </cfRule>
  </conditionalFormatting>
  <conditionalFormatting sqref="N1437">
    <cfRule type="cellIs" dxfId="1003" priority="669" operator="lessThanOrEqual">
      <formula>0.5</formula>
    </cfRule>
    <cfRule type="cellIs" dxfId="1002" priority="670" operator="greaterThanOrEqual">
      <formula>1.5</formula>
    </cfRule>
  </conditionalFormatting>
  <conditionalFormatting sqref="K1437">
    <cfRule type="cellIs" dxfId="1001" priority="667" operator="lessThanOrEqual">
      <formula>0.5</formula>
    </cfRule>
    <cfRule type="cellIs" dxfId="1000" priority="668" operator="greaterThanOrEqual">
      <formula>1.5</formula>
    </cfRule>
  </conditionalFormatting>
  <conditionalFormatting sqref="L1437">
    <cfRule type="cellIs" dxfId="999" priority="665" operator="lessThanOrEqual">
      <formula>0.5</formula>
    </cfRule>
    <cfRule type="cellIs" dxfId="998" priority="666" operator="greaterThanOrEqual">
      <formula>1.5</formula>
    </cfRule>
  </conditionalFormatting>
  <conditionalFormatting sqref="O1440">
    <cfRule type="cellIs" dxfId="997" priority="663" operator="lessThanOrEqual">
      <formula>0.5</formula>
    </cfRule>
    <cfRule type="cellIs" dxfId="996" priority="664" operator="greaterThanOrEqual">
      <formula>1.5</formula>
    </cfRule>
  </conditionalFormatting>
  <conditionalFormatting sqref="N1440">
    <cfRule type="cellIs" dxfId="995" priority="661" operator="lessThanOrEqual">
      <formula>0.5</formula>
    </cfRule>
    <cfRule type="cellIs" dxfId="994" priority="662" operator="greaterThanOrEqual">
      <formula>1.5</formula>
    </cfRule>
  </conditionalFormatting>
  <conditionalFormatting sqref="K1440">
    <cfRule type="cellIs" dxfId="993" priority="659" operator="lessThanOrEqual">
      <formula>0.5</formula>
    </cfRule>
    <cfRule type="cellIs" dxfId="992" priority="660" operator="greaterThanOrEqual">
      <formula>1.5</formula>
    </cfRule>
  </conditionalFormatting>
  <conditionalFormatting sqref="L1440">
    <cfRule type="cellIs" dxfId="991" priority="657" operator="lessThanOrEqual">
      <formula>0.5</formula>
    </cfRule>
    <cfRule type="cellIs" dxfId="990" priority="658" operator="greaterThanOrEqual">
      <formula>1.5</formula>
    </cfRule>
  </conditionalFormatting>
  <conditionalFormatting sqref="O1443">
    <cfRule type="cellIs" dxfId="989" priority="655" operator="lessThanOrEqual">
      <formula>0.5</formula>
    </cfRule>
    <cfRule type="cellIs" dxfId="988" priority="656" operator="greaterThanOrEqual">
      <formula>1.5</formula>
    </cfRule>
  </conditionalFormatting>
  <conditionalFormatting sqref="N1443">
    <cfRule type="cellIs" dxfId="987" priority="653" operator="lessThanOrEqual">
      <formula>0.5</formula>
    </cfRule>
    <cfRule type="cellIs" dxfId="986" priority="654" operator="greaterThanOrEqual">
      <formula>1.5</formula>
    </cfRule>
  </conditionalFormatting>
  <conditionalFormatting sqref="K1443">
    <cfRule type="cellIs" dxfId="985" priority="651" operator="lessThanOrEqual">
      <formula>0.5</formula>
    </cfRule>
    <cfRule type="cellIs" dxfId="984" priority="652" operator="greaterThanOrEqual">
      <formula>1.5</formula>
    </cfRule>
  </conditionalFormatting>
  <conditionalFormatting sqref="L1443">
    <cfRule type="cellIs" dxfId="983" priority="649" operator="lessThanOrEqual">
      <formula>0.5</formula>
    </cfRule>
    <cfRule type="cellIs" dxfId="982" priority="650" operator="greaterThanOrEqual">
      <formula>1.5</formula>
    </cfRule>
  </conditionalFormatting>
  <conditionalFormatting sqref="O1446">
    <cfRule type="cellIs" dxfId="981" priority="647" operator="lessThanOrEqual">
      <formula>0.5</formula>
    </cfRule>
    <cfRule type="cellIs" dxfId="980" priority="648" operator="greaterThanOrEqual">
      <formula>1.5</formula>
    </cfRule>
  </conditionalFormatting>
  <conditionalFormatting sqref="N1446">
    <cfRule type="cellIs" dxfId="979" priority="645" operator="lessThanOrEqual">
      <formula>0.5</formula>
    </cfRule>
    <cfRule type="cellIs" dxfId="978" priority="646" operator="greaterThanOrEqual">
      <formula>1.5</formula>
    </cfRule>
  </conditionalFormatting>
  <conditionalFormatting sqref="K1446">
    <cfRule type="cellIs" dxfId="977" priority="643" operator="lessThanOrEqual">
      <formula>0.5</formula>
    </cfRule>
    <cfRule type="cellIs" dxfId="976" priority="644" operator="greaterThanOrEqual">
      <formula>1.5</formula>
    </cfRule>
  </conditionalFormatting>
  <conditionalFormatting sqref="L1446">
    <cfRule type="cellIs" dxfId="975" priority="641" operator="lessThanOrEqual">
      <formula>0.5</formula>
    </cfRule>
    <cfRule type="cellIs" dxfId="974" priority="642" operator="greaterThanOrEqual">
      <formula>1.5</formula>
    </cfRule>
  </conditionalFormatting>
  <conditionalFormatting sqref="O1449">
    <cfRule type="cellIs" dxfId="973" priority="639" operator="lessThanOrEqual">
      <formula>0.5</formula>
    </cfRule>
    <cfRule type="cellIs" dxfId="972" priority="640" operator="greaterThanOrEqual">
      <formula>1.5</formula>
    </cfRule>
  </conditionalFormatting>
  <conditionalFormatting sqref="N1449">
    <cfRule type="cellIs" dxfId="971" priority="637" operator="lessThanOrEqual">
      <formula>0.5</formula>
    </cfRule>
    <cfRule type="cellIs" dxfId="970" priority="638" operator="greaterThanOrEqual">
      <formula>1.5</formula>
    </cfRule>
  </conditionalFormatting>
  <conditionalFormatting sqref="K1449">
    <cfRule type="cellIs" dxfId="969" priority="635" operator="lessThanOrEqual">
      <formula>0.5</formula>
    </cfRule>
    <cfRule type="cellIs" dxfId="968" priority="636" operator="greaterThanOrEqual">
      <formula>1.5</formula>
    </cfRule>
  </conditionalFormatting>
  <conditionalFormatting sqref="L1449">
    <cfRule type="cellIs" dxfId="967" priority="633" operator="lessThanOrEqual">
      <formula>0.5</formula>
    </cfRule>
    <cfRule type="cellIs" dxfId="966" priority="634" operator="greaterThanOrEqual">
      <formula>1.5</formula>
    </cfRule>
  </conditionalFormatting>
  <conditionalFormatting sqref="O1452">
    <cfRule type="cellIs" dxfId="965" priority="631" operator="lessThanOrEqual">
      <formula>0.5</formula>
    </cfRule>
    <cfRule type="cellIs" dxfId="964" priority="632" operator="greaterThanOrEqual">
      <formula>1.5</formula>
    </cfRule>
  </conditionalFormatting>
  <conditionalFormatting sqref="N1452">
    <cfRule type="cellIs" dxfId="963" priority="629" operator="lessThanOrEqual">
      <formula>0.5</formula>
    </cfRule>
    <cfRule type="cellIs" dxfId="962" priority="630" operator="greaterThanOrEqual">
      <formula>1.5</formula>
    </cfRule>
  </conditionalFormatting>
  <conditionalFormatting sqref="K1452">
    <cfRule type="cellIs" dxfId="961" priority="627" operator="lessThanOrEqual">
      <formula>0.5</formula>
    </cfRule>
    <cfRule type="cellIs" dxfId="960" priority="628" operator="greaterThanOrEqual">
      <formula>1.5</formula>
    </cfRule>
  </conditionalFormatting>
  <conditionalFormatting sqref="L1452">
    <cfRule type="cellIs" dxfId="959" priority="625" operator="lessThanOrEqual">
      <formula>0.5</formula>
    </cfRule>
    <cfRule type="cellIs" dxfId="958" priority="626" operator="greaterThanOrEqual">
      <formula>1.5</formula>
    </cfRule>
  </conditionalFormatting>
  <conditionalFormatting sqref="O1455">
    <cfRule type="cellIs" dxfId="957" priority="623" operator="lessThanOrEqual">
      <formula>0.5</formula>
    </cfRule>
    <cfRule type="cellIs" dxfId="956" priority="624" operator="greaterThanOrEqual">
      <formula>1.5</formula>
    </cfRule>
  </conditionalFormatting>
  <conditionalFormatting sqref="N1455">
    <cfRule type="cellIs" dxfId="955" priority="621" operator="lessThanOrEqual">
      <formula>0.5</formula>
    </cfRule>
    <cfRule type="cellIs" dxfId="954" priority="622" operator="greaterThanOrEqual">
      <formula>1.5</formula>
    </cfRule>
  </conditionalFormatting>
  <conditionalFormatting sqref="K1455">
    <cfRule type="cellIs" dxfId="953" priority="619" operator="lessThanOrEqual">
      <formula>0.5</formula>
    </cfRule>
    <cfRule type="cellIs" dxfId="952" priority="620" operator="greaterThanOrEqual">
      <formula>1.5</formula>
    </cfRule>
  </conditionalFormatting>
  <conditionalFormatting sqref="L1455">
    <cfRule type="cellIs" dxfId="951" priority="617" operator="lessThanOrEqual">
      <formula>0.5</formula>
    </cfRule>
    <cfRule type="cellIs" dxfId="950" priority="618" operator="greaterThanOrEqual">
      <formula>1.5</formula>
    </cfRule>
  </conditionalFormatting>
  <conditionalFormatting sqref="O1458">
    <cfRule type="cellIs" dxfId="949" priority="615" operator="lessThanOrEqual">
      <formula>0.5</formula>
    </cfRule>
    <cfRule type="cellIs" dxfId="948" priority="616" operator="greaterThanOrEqual">
      <formula>1.5</formula>
    </cfRule>
  </conditionalFormatting>
  <conditionalFormatting sqref="N1458">
    <cfRule type="cellIs" dxfId="947" priority="613" operator="lessThanOrEqual">
      <formula>0.5</formula>
    </cfRule>
    <cfRule type="cellIs" dxfId="946" priority="614" operator="greaterThanOrEqual">
      <formula>1.5</formula>
    </cfRule>
  </conditionalFormatting>
  <conditionalFormatting sqref="K1458">
    <cfRule type="cellIs" dxfId="945" priority="611" operator="lessThanOrEqual">
      <formula>0.5</formula>
    </cfRule>
    <cfRule type="cellIs" dxfId="944" priority="612" operator="greaterThanOrEqual">
      <formula>1.5</formula>
    </cfRule>
  </conditionalFormatting>
  <conditionalFormatting sqref="L1458">
    <cfRule type="cellIs" dxfId="943" priority="609" operator="lessThanOrEqual">
      <formula>0.5</formula>
    </cfRule>
    <cfRule type="cellIs" dxfId="942" priority="610" operator="greaterThanOrEqual">
      <formula>1.5</formula>
    </cfRule>
  </conditionalFormatting>
  <conditionalFormatting sqref="O1461">
    <cfRule type="cellIs" dxfId="941" priority="607" operator="lessThanOrEqual">
      <formula>0.5</formula>
    </cfRule>
    <cfRule type="cellIs" dxfId="940" priority="608" operator="greaterThanOrEqual">
      <formula>1.5</formula>
    </cfRule>
  </conditionalFormatting>
  <conditionalFormatting sqref="N1461">
    <cfRule type="cellIs" dxfId="939" priority="605" operator="lessThanOrEqual">
      <formula>0.5</formula>
    </cfRule>
    <cfRule type="cellIs" dxfId="938" priority="606" operator="greaterThanOrEqual">
      <formula>1.5</formula>
    </cfRule>
  </conditionalFormatting>
  <conditionalFormatting sqref="K1461">
    <cfRule type="cellIs" dxfId="937" priority="603" operator="lessThanOrEqual">
      <formula>0.5</formula>
    </cfRule>
    <cfRule type="cellIs" dxfId="936" priority="604" operator="greaterThanOrEqual">
      <formula>1.5</formula>
    </cfRule>
  </conditionalFormatting>
  <conditionalFormatting sqref="L1461">
    <cfRule type="cellIs" dxfId="935" priority="601" operator="lessThanOrEqual">
      <formula>0.5</formula>
    </cfRule>
    <cfRule type="cellIs" dxfId="934" priority="602" operator="greaterThanOrEqual">
      <formula>1.5</formula>
    </cfRule>
  </conditionalFormatting>
  <conditionalFormatting sqref="O1464">
    <cfRule type="cellIs" dxfId="933" priority="599" operator="lessThanOrEqual">
      <formula>0.5</formula>
    </cfRule>
    <cfRule type="cellIs" dxfId="932" priority="600" operator="greaterThanOrEqual">
      <formula>1.5</formula>
    </cfRule>
  </conditionalFormatting>
  <conditionalFormatting sqref="N1464">
    <cfRule type="cellIs" dxfId="931" priority="597" operator="lessThanOrEqual">
      <formula>0.5</formula>
    </cfRule>
    <cfRule type="cellIs" dxfId="930" priority="598" operator="greaterThanOrEqual">
      <formula>1.5</formula>
    </cfRule>
  </conditionalFormatting>
  <conditionalFormatting sqref="K1464">
    <cfRule type="cellIs" dxfId="929" priority="595" operator="lessThanOrEqual">
      <formula>0.5</formula>
    </cfRule>
    <cfRule type="cellIs" dxfId="928" priority="596" operator="greaterThanOrEqual">
      <formula>1.5</formula>
    </cfRule>
  </conditionalFormatting>
  <conditionalFormatting sqref="L1464">
    <cfRule type="cellIs" dxfId="927" priority="593" operator="lessThanOrEqual">
      <formula>0.5</formula>
    </cfRule>
    <cfRule type="cellIs" dxfId="926" priority="594" operator="greaterThanOrEqual">
      <formula>1.5</formula>
    </cfRule>
  </conditionalFormatting>
  <conditionalFormatting sqref="O1467">
    <cfRule type="cellIs" dxfId="925" priority="591" operator="lessThanOrEqual">
      <formula>0.5</formula>
    </cfRule>
    <cfRule type="cellIs" dxfId="924" priority="592" operator="greaterThanOrEqual">
      <formula>1.5</formula>
    </cfRule>
  </conditionalFormatting>
  <conditionalFormatting sqref="N1467">
    <cfRule type="cellIs" dxfId="923" priority="589" operator="lessThanOrEqual">
      <formula>0.5</formula>
    </cfRule>
    <cfRule type="cellIs" dxfId="922" priority="590" operator="greaterThanOrEqual">
      <formula>1.5</formula>
    </cfRule>
  </conditionalFormatting>
  <conditionalFormatting sqref="K1467">
    <cfRule type="cellIs" dxfId="921" priority="587" operator="lessThanOrEqual">
      <formula>0.5</formula>
    </cfRule>
    <cfRule type="cellIs" dxfId="920" priority="588" operator="greaterThanOrEqual">
      <formula>1.5</formula>
    </cfRule>
  </conditionalFormatting>
  <conditionalFormatting sqref="L1467">
    <cfRule type="cellIs" dxfId="919" priority="585" operator="lessThanOrEqual">
      <formula>0.5</formula>
    </cfRule>
    <cfRule type="cellIs" dxfId="918" priority="586" operator="greaterThanOrEqual">
      <formula>1.5</formula>
    </cfRule>
  </conditionalFormatting>
  <conditionalFormatting sqref="O1470">
    <cfRule type="cellIs" dxfId="917" priority="583" operator="lessThanOrEqual">
      <formula>0.5</formula>
    </cfRule>
    <cfRule type="cellIs" dxfId="916" priority="584" operator="greaterThanOrEqual">
      <formula>1.5</formula>
    </cfRule>
  </conditionalFormatting>
  <conditionalFormatting sqref="N1470">
    <cfRule type="cellIs" dxfId="915" priority="581" operator="lessThanOrEqual">
      <formula>0.5</formula>
    </cfRule>
    <cfRule type="cellIs" dxfId="914" priority="582" operator="greaterThanOrEqual">
      <formula>1.5</formula>
    </cfRule>
  </conditionalFormatting>
  <conditionalFormatting sqref="K1470">
    <cfRule type="cellIs" dxfId="913" priority="579" operator="lessThanOrEqual">
      <formula>0.5</formula>
    </cfRule>
    <cfRule type="cellIs" dxfId="912" priority="580" operator="greaterThanOrEqual">
      <formula>1.5</formula>
    </cfRule>
  </conditionalFormatting>
  <conditionalFormatting sqref="L1470">
    <cfRule type="cellIs" dxfId="911" priority="577" operator="lessThanOrEqual">
      <formula>0.5</formula>
    </cfRule>
    <cfRule type="cellIs" dxfId="910" priority="578" operator="greaterThanOrEqual">
      <formula>1.5</formula>
    </cfRule>
  </conditionalFormatting>
  <conditionalFormatting sqref="O1473">
    <cfRule type="cellIs" dxfId="909" priority="575" operator="lessThanOrEqual">
      <formula>0.5</formula>
    </cfRule>
    <cfRule type="cellIs" dxfId="908" priority="576" operator="greaterThanOrEqual">
      <formula>1.5</formula>
    </cfRule>
  </conditionalFormatting>
  <conditionalFormatting sqref="N1473">
    <cfRule type="cellIs" dxfId="907" priority="573" operator="lessThanOrEqual">
      <formula>0.5</formula>
    </cfRule>
    <cfRule type="cellIs" dxfId="906" priority="574" operator="greaterThanOrEqual">
      <formula>1.5</formula>
    </cfRule>
  </conditionalFormatting>
  <conditionalFormatting sqref="K1473">
    <cfRule type="cellIs" dxfId="905" priority="571" operator="lessThanOrEqual">
      <formula>0.5</formula>
    </cfRule>
    <cfRule type="cellIs" dxfId="904" priority="572" operator="greaterThanOrEqual">
      <formula>1.5</formula>
    </cfRule>
  </conditionalFormatting>
  <conditionalFormatting sqref="L1473">
    <cfRule type="cellIs" dxfId="903" priority="569" operator="lessThanOrEqual">
      <formula>0.5</formula>
    </cfRule>
    <cfRule type="cellIs" dxfId="902" priority="570" operator="greaterThanOrEqual">
      <formula>1.5</formula>
    </cfRule>
  </conditionalFormatting>
  <conditionalFormatting sqref="O1476">
    <cfRule type="cellIs" dxfId="901" priority="567" operator="lessThanOrEqual">
      <formula>0.5</formula>
    </cfRule>
    <cfRule type="cellIs" dxfId="900" priority="568" operator="greaterThanOrEqual">
      <formula>1.5</formula>
    </cfRule>
  </conditionalFormatting>
  <conditionalFormatting sqref="N1476">
    <cfRule type="cellIs" dxfId="899" priority="565" operator="lessThanOrEqual">
      <formula>0.5</formula>
    </cfRule>
    <cfRule type="cellIs" dxfId="898" priority="566" operator="greaterThanOrEqual">
      <formula>1.5</formula>
    </cfRule>
  </conditionalFormatting>
  <conditionalFormatting sqref="K1476">
    <cfRule type="cellIs" dxfId="897" priority="563" operator="lessThanOrEqual">
      <formula>0.5</formula>
    </cfRule>
    <cfRule type="cellIs" dxfId="896" priority="564" operator="greaterThanOrEqual">
      <formula>1.5</formula>
    </cfRule>
  </conditionalFormatting>
  <conditionalFormatting sqref="L1476">
    <cfRule type="cellIs" dxfId="895" priority="561" operator="lessThanOrEqual">
      <formula>0.5</formula>
    </cfRule>
    <cfRule type="cellIs" dxfId="894" priority="562" operator="greaterThanOrEqual">
      <formula>1.5</formula>
    </cfRule>
  </conditionalFormatting>
  <conditionalFormatting sqref="O1479">
    <cfRule type="cellIs" dxfId="893" priority="559" operator="lessThanOrEqual">
      <formula>0.5</formula>
    </cfRule>
    <cfRule type="cellIs" dxfId="892" priority="560" operator="greaterThanOrEqual">
      <formula>1.5</formula>
    </cfRule>
  </conditionalFormatting>
  <conditionalFormatting sqref="N1479">
    <cfRule type="cellIs" dxfId="891" priority="557" operator="lessThanOrEqual">
      <formula>0.5</formula>
    </cfRule>
    <cfRule type="cellIs" dxfId="890" priority="558" operator="greaterThanOrEqual">
      <formula>1.5</formula>
    </cfRule>
  </conditionalFormatting>
  <conditionalFormatting sqref="K1479">
    <cfRule type="cellIs" dxfId="889" priority="555" operator="lessThanOrEqual">
      <formula>0.5</formula>
    </cfRule>
    <cfRule type="cellIs" dxfId="888" priority="556" operator="greaterThanOrEqual">
      <formula>1.5</formula>
    </cfRule>
  </conditionalFormatting>
  <conditionalFormatting sqref="L1479">
    <cfRule type="cellIs" dxfId="887" priority="553" operator="lessThanOrEqual">
      <formula>0.5</formula>
    </cfRule>
    <cfRule type="cellIs" dxfId="886" priority="554" operator="greaterThanOrEqual">
      <formula>1.5</formula>
    </cfRule>
  </conditionalFormatting>
  <conditionalFormatting sqref="O1482">
    <cfRule type="cellIs" dxfId="885" priority="551" operator="lessThanOrEqual">
      <formula>0.5</formula>
    </cfRule>
    <cfRule type="cellIs" dxfId="884" priority="552" operator="greaterThanOrEqual">
      <formula>1.5</formula>
    </cfRule>
  </conditionalFormatting>
  <conditionalFormatting sqref="N1482">
    <cfRule type="cellIs" dxfId="883" priority="549" operator="lessThanOrEqual">
      <formula>0.5</formula>
    </cfRule>
    <cfRule type="cellIs" dxfId="882" priority="550" operator="greaterThanOrEqual">
      <formula>1.5</formula>
    </cfRule>
  </conditionalFormatting>
  <conditionalFormatting sqref="K1482">
    <cfRule type="cellIs" dxfId="881" priority="547" operator="lessThanOrEqual">
      <formula>0.5</formula>
    </cfRule>
    <cfRule type="cellIs" dxfId="880" priority="548" operator="greaterThanOrEqual">
      <formula>1.5</formula>
    </cfRule>
  </conditionalFormatting>
  <conditionalFormatting sqref="L1482">
    <cfRule type="cellIs" dxfId="879" priority="545" operator="lessThanOrEqual">
      <formula>0.5</formula>
    </cfRule>
    <cfRule type="cellIs" dxfId="878" priority="546" operator="greaterThanOrEqual">
      <formula>1.5</formula>
    </cfRule>
  </conditionalFormatting>
  <conditionalFormatting sqref="O1485">
    <cfRule type="cellIs" dxfId="877" priority="543" operator="lessThanOrEqual">
      <formula>0.5</formula>
    </cfRule>
    <cfRule type="cellIs" dxfId="876" priority="544" operator="greaterThanOrEqual">
      <formula>1.5</formula>
    </cfRule>
  </conditionalFormatting>
  <conditionalFormatting sqref="N1485">
    <cfRule type="cellIs" dxfId="875" priority="541" operator="lessThanOrEqual">
      <formula>0.5</formula>
    </cfRule>
    <cfRule type="cellIs" dxfId="874" priority="542" operator="greaterThanOrEqual">
      <formula>1.5</formula>
    </cfRule>
  </conditionalFormatting>
  <conditionalFormatting sqref="K1485">
    <cfRule type="cellIs" dxfId="873" priority="539" operator="lessThanOrEqual">
      <formula>0.5</formula>
    </cfRule>
    <cfRule type="cellIs" dxfId="872" priority="540" operator="greaterThanOrEqual">
      <formula>1.5</formula>
    </cfRule>
  </conditionalFormatting>
  <conditionalFormatting sqref="L1485">
    <cfRule type="cellIs" dxfId="871" priority="537" operator="lessThanOrEqual">
      <formula>0.5</formula>
    </cfRule>
    <cfRule type="cellIs" dxfId="870" priority="538" operator="greaterThanOrEqual">
      <formula>1.5</formula>
    </cfRule>
  </conditionalFormatting>
  <conditionalFormatting sqref="O1488">
    <cfRule type="cellIs" dxfId="869" priority="535" operator="lessThanOrEqual">
      <formula>0.5</formula>
    </cfRule>
    <cfRule type="cellIs" dxfId="868" priority="536" operator="greaterThanOrEqual">
      <formula>1.5</formula>
    </cfRule>
  </conditionalFormatting>
  <conditionalFormatting sqref="N1488">
    <cfRule type="cellIs" dxfId="867" priority="533" operator="lessThanOrEqual">
      <formula>0.5</formula>
    </cfRule>
    <cfRule type="cellIs" dxfId="866" priority="534" operator="greaterThanOrEqual">
      <formula>1.5</formula>
    </cfRule>
  </conditionalFormatting>
  <conditionalFormatting sqref="K1488">
    <cfRule type="cellIs" dxfId="865" priority="531" operator="lessThanOrEqual">
      <formula>0.5</formula>
    </cfRule>
    <cfRule type="cellIs" dxfId="864" priority="532" operator="greaterThanOrEqual">
      <formula>1.5</formula>
    </cfRule>
  </conditionalFormatting>
  <conditionalFormatting sqref="L1488">
    <cfRule type="cellIs" dxfId="863" priority="529" operator="lessThanOrEqual">
      <formula>0.5</formula>
    </cfRule>
    <cfRule type="cellIs" dxfId="862" priority="530" operator="greaterThanOrEqual">
      <formula>1.5</formula>
    </cfRule>
  </conditionalFormatting>
  <conditionalFormatting sqref="O1491">
    <cfRule type="cellIs" dxfId="861" priority="527" operator="lessThanOrEqual">
      <formula>0.5</formula>
    </cfRule>
    <cfRule type="cellIs" dxfId="860" priority="528" operator="greaterThanOrEqual">
      <formula>1.5</formula>
    </cfRule>
  </conditionalFormatting>
  <conditionalFormatting sqref="N1491">
    <cfRule type="cellIs" dxfId="859" priority="525" operator="lessThanOrEqual">
      <formula>0.5</formula>
    </cfRule>
    <cfRule type="cellIs" dxfId="858" priority="526" operator="greaterThanOrEqual">
      <formula>1.5</formula>
    </cfRule>
  </conditionalFormatting>
  <conditionalFormatting sqref="K1491">
    <cfRule type="cellIs" dxfId="857" priority="523" operator="lessThanOrEqual">
      <formula>0.5</formula>
    </cfRule>
    <cfRule type="cellIs" dxfId="856" priority="524" operator="greaterThanOrEqual">
      <formula>1.5</formula>
    </cfRule>
  </conditionalFormatting>
  <conditionalFormatting sqref="L1491">
    <cfRule type="cellIs" dxfId="855" priority="521" operator="lessThanOrEqual">
      <formula>0.5</formula>
    </cfRule>
    <cfRule type="cellIs" dxfId="854" priority="522" operator="greaterThanOrEqual">
      <formula>1.5</formula>
    </cfRule>
  </conditionalFormatting>
  <conditionalFormatting sqref="O1494">
    <cfRule type="cellIs" dxfId="853" priority="519" operator="lessThanOrEqual">
      <formula>0.5</formula>
    </cfRule>
    <cfRule type="cellIs" dxfId="852" priority="520" operator="greaterThanOrEqual">
      <formula>1.5</formula>
    </cfRule>
  </conditionalFormatting>
  <conditionalFormatting sqref="N1494">
    <cfRule type="cellIs" dxfId="851" priority="517" operator="lessThanOrEqual">
      <formula>0.5</formula>
    </cfRule>
    <cfRule type="cellIs" dxfId="850" priority="518" operator="greaterThanOrEqual">
      <formula>1.5</formula>
    </cfRule>
  </conditionalFormatting>
  <conditionalFormatting sqref="K1494">
    <cfRule type="cellIs" dxfId="849" priority="515" operator="lessThanOrEqual">
      <formula>0.5</formula>
    </cfRule>
    <cfRule type="cellIs" dxfId="848" priority="516" operator="greaterThanOrEqual">
      <formula>1.5</formula>
    </cfRule>
  </conditionalFormatting>
  <conditionalFormatting sqref="L1494">
    <cfRule type="cellIs" dxfId="847" priority="513" operator="lessThanOrEqual">
      <formula>0.5</formula>
    </cfRule>
    <cfRule type="cellIs" dxfId="846" priority="514" operator="greaterThanOrEqual">
      <formula>1.5</formula>
    </cfRule>
  </conditionalFormatting>
  <conditionalFormatting sqref="O1497">
    <cfRule type="cellIs" dxfId="845" priority="511" operator="lessThanOrEqual">
      <formula>0.5</formula>
    </cfRule>
    <cfRule type="cellIs" dxfId="844" priority="512" operator="greaterThanOrEqual">
      <formula>1.5</formula>
    </cfRule>
  </conditionalFormatting>
  <conditionalFormatting sqref="N1497">
    <cfRule type="cellIs" dxfId="843" priority="509" operator="lessThanOrEqual">
      <formula>0.5</formula>
    </cfRule>
    <cfRule type="cellIs" dxfId="842" priority="510" operator="greaterThanOrEqual">
      <formula>1.5</formula>
    </cfRule>
  </conditionalFormatting>
  <conditionalFormatting sqref="K1497">
    <cfRule type="cellIs" dxfId="841" priority="507" operator="lessThanOrEqual">
      <formula>0.5</formula>
    </cfRule>
    <cfRule type="cellIs" dxfId="840" priority="508" operator="greaterThanOrEqual">
      <formula>1.5</formula>
    </cfRule>
  </conditionalFormatting>
  <conditionalFormatting sqref="L1497">
    <cfRule type="cellIs" dxfId="839" priority="505" operator="lessThanOrEqual">
      <formula>0.5</formula>
    </cfRule>
    <cfRule type="cellIs" dxfId="838" priority="506" operator="greaterThanOrEqual">
      <formula>1.5</formula>
    </cfRule>
  </conditionalFormatting>
  <conditionalFormatting sqref="O1500">
    <cfRule type="cellIs" dxfId="837" priority="503" operator="lessThanOrEqual">
      <formula>0.5</formula>
    </cfRule>
    <cfRule type="cellIs" dxfId="836" priority="504" operator="greaterThanOrEqual">
      <formula>1.5</formula>
    </cfRule>
  </conditionalFormatting>
  <conditionalFormatting sqref="N1500">
    <cfRule type="cellIs" dxfId="835" priority="501" operator="lessThanOrEqual">
      <formula>0.5</formula>
    </cfRule>
    <cfRule type="cellIs" dxfId="834" priority="502" operator="greaterThanOrEqual">
      <formula>1.5</formula>
    </cfRule>
  </conditionalFormatting>
  <conditionalFormatting sqref="K1500">
    <cfRule type="cellIs" dxfId="833" priority="499" operator="lessThanOrEqual">
      <formula>0.5</formula>
    </cfRule>
    <cfRule type="cellIs" dxfId="832" priority="500" operator="greaterThanOrEqual">
      <formula>1.5</formula>
    </cfRule>
  </conditionalFormatting>
  <conditionalFormatting sqref="L1500">
    <cfRule type="cellIs" dxfId="831" priority="497" operator="lessThanOrEqual">
      <formula>0.5</formula>
    </cfRule>
    <cfRule type="cellIs" dxfId="830" priority="498" operator="greaterThanOrEqual">
      <formula>1.5</formula>
    </cfRule>
  </conditionalFormatting>
  <conditionalFormatting sqref="O1503">
    <cfRule type="cellIs" dxfId="829" priority="495" operator="lessThanOrEqual">
      <formula>0.5</formula>
    </cfRule>
    <cfRule type="cellIs" dxfId="828" priority="496" operator="greaterThanOrEqual">
      <formula>1.5</formula>
    </cfRule>
  </conditionalFormatting>
  <conditionalFormatting sqref="N1503">
    <cfRule type="cellIs" dxfId="827" priority="493" operator="lessThanOrEqual">
      <formula>0.5</formula>
    </cfRule>
    <cfRule type="cellIs" dxfId="826" priority="494" operator="greaterThanOrEqual">
      <formula>1.5</formula>
    </cfRule>
  </conditionalFormatting>
  <conditionalFormatting sqref="K1503">
    <cfRule type="cellIs" dxfId="825" priority="491" operator="lessThanOrEqual">
      <formula>0.5</formula>
    </cfRule>
    <cfRule type="cellIs" dxfId="824" priority="492" operator="greaterThanOrEqual">
      <formula>1.5</formula>
    </cfRule>
  </conditionalFormatting>
  <conditionalFormatting sqref="L1503">
    <cfRule type="cellIs" dxfId="823" priority="489" operator="lessThanOrEqual">
      <formula>0.5</formula>
    </cfRule>
    <cfRule type="cellIs" dxfId="822" priority="490" operator="greaterThanOrEqual">
      <formula>1.5</formula>
    </cfRule>
  </conditionalFormatting>
  <conditionalFormatting sqref="O1506">
    <cfRule type="cellIs" dxfId="821" priority="487" operator="lessThanOrEqual">
      <formula>0.5</formula>
    </cfRule>
    <cfRule type="cellIs" dxfId="820" priority="488" operator="greaterThanOrEqual">
      <formula>1.5</formula>
    </cfRule>
  </conditionalFormatting>
  <conditionalFormatting sqref="N1506">
    <cfRule type="cellIs" dxfId="819" priority="485" operator="lessThanOrEqual">
      <formula>0.5</formula>
    </cfRule>
    <cfRule type="cellIs" dxfId="818" priority="486" operator="greaterThanOrEqual">
      <formula>1.5</formula>
    </cfRule>
  </conditionalFormatting>
  <conditionalFormatting sqref="K1506">
    <cfRule type="cellIs" dxfId="817" priority="483" operator="lessThanOrEqual">
      <formula>0.5</formula>
    </cfRule>
    <cfRule type="cellIs" dxfId="816" priority="484" operator="greaterThanOrEqual">
      <formula>1.5</formula>
    </cfRule>
  </conditionalFormatting>
  <conditionalFormatting sqref="L1506">
    <cfRule type="cellIs" dxfId="815" priority="481" operator="lessThanOrEqual">
      <formula>0.5</formula>
    </cfRule>
    <cfRule type="cellIs" dxfId="814" priority="482" operator="greaterThanOrEqual">
      <formula>1.5</formula>
    </cfRule>
  </conditionalFormatting>
  <conditionalFormatting sqref="O1512">
    <cfRule type="cellIs" dxfId="813" priority="479" operator="lessThanOrEqual">
      <formula>0.5</formula>
    </cfRule>
    <cfRule type="cellIs" dxfId="812" priority="480" operator="greaterThanOrEqual">
      <formula>1.5</formula>
    </cfRule>
  </conditionalFormatting>
  <conditionalFormatting sqref="N1512">
    <cfRule type="cellIs" dxfId="811" priority="477" operator="lessThanOrEqual">
      <formula>0.5</formula>
    </cfRule>
    <cfRule type="cellIs" dxfId="810" priority="478" operator="greaterThanOrEqual">
      <formula>1.5</formula>
    </cfRule>
  </conditionalFormatting>
  <conditionalFormatting sqref="K1512">
    <cfRule type="cellIs" dxfId="809" priority="475" operator="lessThanOrEqual">
      <formula>0.5</formula>
    </cfRule>
    <cfRule type="cellIs" dxfId="808" priority="476" operator="greaterThanOrEqual">
      <formula>1.5</formula>
    </cfRule>
  </conditionalFormatting>
  <conditionalFormatting sqref="L1512">
    <cfRule type="cellIs" dxfId="807" priority="473" operator="lessThanOrEqual">
      <formula>0.5</formula>
    </cfRule>
    <cfRule type="cellIs" dxfId="806" priority="474" operator="greaterThanOrEqual">
      <formula>1.5</formula>
    </cfRule>
  </conditionalFormatting>
  <conditionalFormatting sqref="O1509">
    <cfRule type="cellIs" dxfId="805" priority="471" operator="lessThanOrEqual">
      <formula>0.5</formula>
    </cfRule>
    <cfRule type="cellIs" dxfId="804" priority="472" operator="greaterThanOrEqual">
      <formula>1.5</formula>
    </cfRule>
  </conditionalFormatting>
  <conditionalFormatting sqref="N1509">
    <cfRule type="cellIs" dxfId="803" priority="469" operator="lessThanOrEqual">
      <formula>0.5</formula>
    </cfRule>
    <cfRule type="cellIs" dxfId="802" priority="470" operator="greaterThanOrEqual">
      <formula>1.5</formula>
    </cfRule>
  </conditionalFormatting>
  <conditionalFormatting sqref="K1509">
    <cfRule type="cellIs" dxfId="801" priority="467" operator="lessThanOrEqual">
      <formula>0.5</formula>
    </cfRule>
    <cfRule type="cellIs" dxfId="800" priority="468" operator="greaterThanOrEqual">
      <formula>1.5</formula>
    </cfRule>
  </conditionalFormatting>
  <conditionalFormatting sqref="L1509">
    <cfRule type="cellIs" dxfId="799" priority="465" operator="lessThanOrEqual">
      <formula>0.5</formula>
    </cfRule>
    <cfRule type="cellIs" dxfId="798" priority="466" operator="greaterThanOrEqual">
      <formula>1.5</formula>
    </cfRule>
  </conditionalFormatting>
  <conditionalFormatting sqref="O1515">
    <cfRule type="cellIs" dxfId="797" priority="463" operator="lessThanOrEqual">
      <formula>0.5</formula>
    </cfRule>
    <cfRule type="cellIs" dxfId="796" priority="464" operator="greaterThanOrEqual">
      <formula>1.5</formula>
    </cfRule>
  </conditionalFormatting>
  <conditionalFormatting sqref="N1515">
    <cfRule type="cellIs" dxfId="795" priority="461" operator="lessThanOrEqual">
      <formula>0.5</formula>
    </cfRule>
    <cfRule type="cellIs" dxfId="794" priority="462" operator="greaterThanOrEqual">
      <formula>1.5</formula>
    </cfRule>
  </conditionalFormatting>
  <conditionalFormatting sqref="K1515">
    <cfRule type="cellIs" dxfId="793" priority="459" operator="lessThanOrEqual">
      <formula>0.5</formula>
    </cfRule>
    <cfRule type="cellIs" dxfId="792" priority="460" operator="greaterThanOrEqual">
      <formula>1.5</formula>
    </cfRule>
  </conditionalFormatting>
  <conditionalFormatting sqref="L1515">
    <cfRule type="cellIs" dxfId="791" priority="457" operator="lessThanOrEqual">
      <formula>0.5</formula>
    </cfRule>
    <cfRule type="cellIs" dxfId="790" priority="458" operator="greaterThanOrEqual">
      <formula>1.5</formula>
    </cfRule>
  </conditionalFormatting>
  <conditionalFormatting sqref="O1518">
    <cfRule type="cellIs" dxfId="789" priority="455" operator="lessThanOrEqual">
      <formula>0.5</formula>
    </cfRule>
    <cfRule type="cellIs" dxfId="788" priority="456" operator="greaterThanOrEqual">
      <formula>1.5</formula>
    </cfRule>
  </conditionalFormatting>
  <conditionalFormatting sqref="N1518">
    <cfRule type="cellIs" dxfId="787" priority="453" operator="lessThanOrEqual">
      <formula>0.5</formula>
    </cfRule>
    <cfRule type="cellIs" dxfId="786" priority="454" operator="greaterThanOrEqual">
      <formula>1.5</formula>
    </cfRule>
  </conditionalFormatting>
  <conditionalFormatting sqref="K1518">
    <cfRule type="cellIs" dxfId="785" priority="451" operator="lessThanOrEqual">
      <formula>0.5</formula>
    </cfRule>
    <cfRule type="cellIs" dxfId="784" priority="452" operator="greaterThanOrEqual">
      <formula>1.5</formula>
    </cfRule>
  </conditionalFormatting>
  <conditionalFormatting sqref="L1518">
    <cfRule type="cellIs" dxfId="783" priority="449" operator="lessThanOrEqual">
      <formula>0.5</formula>
    </cfRule>
    <cfRule type="cellIs" dxfId="782" priority="450" operator="greaterThanOrEqual">
      <formula>1.5</formula>
    </cfRule>
  </conditionalFormatting>
  <conditionalFormatting sqref="O1521">
    <cfRule type="cellIs" dxfId="781" priority="447" operator="lessThanOrEqual">
      <formula>0.5</formula>
    </cfRule>
    <cfRule type="cellIs" dxfId="780" priority="448" operator="greaterThanOrEqual">
      <formula>1.5</formula>
    </cfRule>
  </conditionalFormatting>
  <conditionalFormatting sqref="N1521">
    <cfRule type="cellIs" dxfId="779" priority="445" operator="lessThanOrEqual">
      <formula>0.5</formula>
    </cfRule>
    <cfRule type="cellIs" dxfId="778" priority="446" operator="greaterThanOrEqual">
      <formula>1.5</formula>
    </cfRule>
  </conditionalFormatting>
  <conditionalFormatting sqref="K1521">
    <cfRule type="cellIs" dxfId="777" priority="443" operator="lessThanOrEqual">
      <formula>0.5</formula>
    </cfRule>
    <cfRule type="cellIs" dxfId="776" priority="444" operator="greaterThanOrEqual">
      <formula>1.5</formula>
    </cfRule>
  </conditionalFormatting>
  <conditionalFormatting sqref="L1521">
    <cfRule type="cellIs" dxfId="775" priority="441" operator="lessThanOrEqual">
      <formula>0.5</formula>
    </cfRule>
    <cfRule type="cellIs" dxfId="774" priority="442" operator="greaterThanOrEqual">
      <formula>1.5</formula>
    </cfRule>
  </conditionalFormatting>
  <conditionalFormatting sqref="O1524">
    <cfRule type="cellIs" dxfId="773" priority="439" operator="lessThanOrEqual">
      <formula>0.5</formula>
    </cfRule>
    <cfRule type="cellIs" dxfId="772" priority="440" operator="greaterThanOrEqual">
      <formula>1.5</formula>
    </cfRule>
  </conditionalFormatting>
  <conditionalFormatting sqref="N1524">
    <cfRule type="cellIs" dxfId="771" priority="437" operator="lessThanOrEqual">
      <formula>0.5</formula>
    </cfRule>
    <cfRule type="cellIs" dxfId="770" priority="438" operator="greaterThanOrEqual">
      <formula>1.5</formula>
    </cfRule>
  </conditionalFormatting>
  <conditionalFormatting sqref="K1524">
    <cfRule type="cellIs" dxfId="769" priority="435" operator="lessThanOrEqual">
      <formula>0.5</formula>
    </cfRule>
    <cfRule type="cellIs" dxfId="768" priority="436" operator="greaterThanOrEqual">
      <formula>1.5</formula>
    </cfRule>
  </conditionalFormatting>
  <conditionalFormatting sqref="L1524">
    <cfRule type="cellIs" dxfId="767" priority="433" operator="lessThanOrEqual">
      <formula>0.5</formula>
    </cfRule>
    <cfRule type="cellIs" dxfId="766" priority="434" operator="greaterThanOrEqual">
      <formula>1.5</formula>
    </cfRule>
  </conditionalFormatting>
  <conditionalFormatting sqref="O1527">
    <cfRule type="cellIs" dxfId="765" priority="431" operator="lessThanOrEqual">
      <formula>0.5</formula>
    </cfRule>
    <cfRule type="cellIs" dxfId="764" priority="432" operator="greaterThanOrEqual">
      <formula>1.5</formula>
    </cfRule>
  </conditionalFormatting>
  <conditionalFormatting sqref="N1527">
    <cfRule type="cellIs" dxfId="763" priority="429" operator="lessThanOrEqual">
      <formula>0.5</formula>
    </cfRule>
    <cfRule type="cellIs" dxfId="762" priority="430" operator="greaterThanOrEqual">
      <formula>1.5</formula>
    </cfRule>
  </conditionalFormatting>
  <conditionalFormatting sqref="K1527">
    <cfRule type="cellIs" dxfId="761" priority="427" operator="lessThanOrEqual">
      <formula>0.5</formula>
    </cfRule>
    <cfRule type="cellIs" dxfId="760" priority="428" operator="greaterThanOrEqual">
      <formula>1.5</formula>
    </cfRule>
  </conditionalFormatting>
  <conditionalFormatting sqref="L1527">
    <cfRule type="cellIs" dxfId="759" priority="425" operator="lessThanOrEqual">
      <formula>0.5</formula>
    </cfRule>
    <cfRule type="cellIs" dxfId="758" priority="426" operator="greaterThanOrEqual">
      <formula>1.5</formula>
    </cfRule>
  </conditionalFormatting>
  <conditionalFormatting sqref="O1530">
    <cfRule type="cellIs" dxfId="757" priority="423" operator="lessThanOrEqual">
      <formula>0.5</formula>
    </cfRule>
    <cfRule type="cellIs" dxfId="756" priority="424" operator="greaterThanOrEqual">
      <formula>1.5</formula>
    </cfRule>
  </conditionalFormatting>
  <conditionalFormatting sqref="N1530">
    <cfRule type="cellIs" dxfId="755" priority="421" operator="lessThanOrEqual">
      <formula>0.5</formula>
    </cfRule>
    <cfRule type="cellIs" dxfId="754" priority="422" operator="greaterThanOrEqual">
      <formula>1.5</formula>
    </cfRule>
  </conditionalFormatting>
  <conditionalFormatting sqref="K1530">
    <cfRule type="cellIs" dxfId="753" priority="419" operator="lessThanOrEqual">
      <formula>0.5</formula>
    </cfRule>
    <cfRule type="cellIs" dxfId="752" priority="420" operator="greaterThanOrEqual">
      <formula>1.5</formula>
    </cfRule>
  </conditionalFormatting>
  <conditionalFormatting sqref="L1530">
    <cfRule type="cellIs" dxfId="751" priority="417" operator="lessThanOrEqual">
      <formula>0.5</formula>
    </cfRule>
    <cfRule type="cellIs" dxfId="750" priority="418" operator="greaterThanOrEqual">
      <formula>1.5</formula>
    </cfRule>
  </conditionalFormatting>
  <conditionalFormatting sqref="O1533">
    <cfRule type="cellIs" dxfId="749" priority="415" operator="lessThanOrEqual">
      <formula>0.5</formula>
    </cfRule>
    <cfRule type="cellIs" dxfId="748" priority="416" operator="greaterThanOrEqual">
      <formula>1.5</formula>
    </cfRule>
  </conditionalFormatting>
  <conditionalFormatting sqref="N1533">
    <cfRule type="cellIs" dxfId="747" priority="413" operator="lessThanOrEqual">
      <formula>0.5</formula>
    </cfRule>
    <cfRule type="cellIs" dxfId="746" priority="414" operator="greaterThanOrEqual">
      <formula>1.5</formula>
    </cfRule>
  </conditionalFormatting>
  <conditionalFormatting sqref="K1533">
    <cfRule type="cellIs" dxfId="745" priority="411" operator="lessThanOrEqual">
      <formula>0.5</formula>
    </cfRule>
    <cfRule type="cellIs" dxfId="744" priority="412" operator="greaterThanOrEqual">
      <formula>1.5</formula>
    </cfRule>
  </conditionalFormatting>
  <conditionalFormatting sqref="L1533">
    <cfRule type="cellIs" dxfId="743" priority="409" operator="lessThanOrEqual">
      <formula>0.5</formula>
    </cfRule>
    <cfRule type="cellIs" dxfId="742" priority="410" operator="greaterThanOrEqual">
      <formula>1.5</formula>
    </cfRule>
  </conditionalFormatting>
  <conditionalFormatting sqref="O1536">
    <cfRule type="cellIs" dxfId="741" priority="407" operator="lessThanOrEqual">
      <formula>0.5</formula>
    </cfRule>
    <cfRule type="cellIs" dxfId="740" priority="408" operator="greaterThanOrEqual">
      <formula>1.5</formula>
    </cfRule>
  </conditionalFormatting>
  <conditionalFormatting sqref="N1536">
    <cfRule type="cellIs" dxfId="739" priority="405" operator="lessThanOrEqual">
      <formula>0.5</formula>
    </cfRule>
    <cfRule type="cellIs" dxfId="738" priority="406" operator="greaterThanOrEqual">
      <formula>1.5</formula>
    </cfRule>
  </conditionalFormatting>
  <conditionalFormatting sqref="K1536">
    <cfRule type="cellIs" dxfId="737" priority="403" operator="lessThanOrEqual">
      <formula>0.5</formula>
    </cfRule>
    <cfRule type="cellIs" dxfId="736" priority="404" operator="greaterThanOrEqual">
      <formula>1.5</formula>
    </cfRule>
  </conditionalFormatting>
  <conditionalFormatting sqref="L1536">
    <cfRule type="cellIs" dxfId="735" priority="401" operator="lessThanOrEqual">
      <formula>0.5</formula>
    </cfRule>
    <cfRule type="cellIs" dxfId="734" priority="402" operator="greaterThanOrEqual">
      <formula>1.5</formula>
    </cfRule>
  </conditionalFormatting>
  <conditionalFormatting sqref="O1539">
    <cfRule type="cellIs" dxfId="733" priority="399" operator="lessThanOrEqual">
      <formula>0.5</formula>
    </cfRule>
    <cfRule type="cellIs" dxfId="732" priority="400" operator="greaterThanOrEqual">
      <formula>1.5</formula>
    </cfRule>
  </conditionalFormatting>
  <conditionalFormatting sqref="N1539">
    <cfRule type="cellIs" dxfId="731" priority="397" operator="lessThanOrEqual">
      <formula>0.5</formula>
    </cfRule>
    <cfRule type="cellIs" dxfId="730" priority="398" operator="greaterThanOrEqual">
      <formula>1.5</formula>
    </cfRule>
  </conditionalFormatting>
  <conditionalFormatting sqref="K1539">
    <cfRule type="cellIs" dxfId="729" priority="395" operator="lessThanOrEqual">
      <formula>0.5</formula>
    </cfRule>
    <cfRule type="cellIs" dxfId="728" priority="396" operator="greaterThanOrEqual">
      <formula>1.5</formula>
    </cfRule>
  </conditionalFormatting>
  <conditionalFormatting sqref="L1539">
    <cfRule type="cellIs" dxfId="727" priority="393" operator="lessThanOrEqual">
      <formula>0.5</formula>
    </cfRule>
    <cfRule type="cellIs" dxfId="726" priority="394" operator="greaterThanOrEqual">
      <formula>1.5</formula>
    </cfRule>
  </conditionalFormatting>
  <conditionalFormatting sqref="O1542">
    <cfRule type="cellIs" dxfId="725" priority="391" operator="lessThanOrEqual">
      <formula>0.5</formula>
    </cfRule>
    <cfRule type="cellIs" dxfId="724" priority="392" operator="greaterThanOrEqual">
      <formula>1.5</formula>
    </cfRule>
  </conditionalFormatting>
  <conditionalFormatting sqref="N1542">
    <cfRule type="cellIs" dxfId="723" priority="389" operator="lessThanOrEqual">
      <formula>0.5</formula>
    </cfRule>
    <cfRule type="cellIs" dxfId="722" priority="390" operator="greaterThanOrEqual">
      <formula>1.5</formula>
    </cfRule>
  </conditionalFormatting>
  <conditionalFormatting sqref="K1542">
    <cfRule type="cellIs" dxfId="721" priority="387" operator="lessThanOrEqual">
      <formula>0.5</formula>
    </cfRule>
    <cfRule type="cellIs" dxfId="720" priority="388" operator="greaterThanOrEqual">
      <formula>1.5</formula>
    </cfRule>
  </conditionalFormatting>
  <conditionalFormatting sqref="L1542">
    <cfRule type="cellIs" dxfId="719" priority="385" operator="lessThanOrEqual">
      <formula>0.5</formula>
    </cfRule>
    <cfRule type="cellIs" dxfId="718" priority="386" operator="greaterThanOrEqual">
      <formula>1.5</formula>
    </cfRule>
  </conditionalFormatting>
  <conditionalFormatting sqref="O1545">
    <cfRule type="cellIs" dxfId="717" priority="383" operator="lessThanOrEqual">
      <formula>0.5</formula>
    </cfRule>
    <cfRule type="cellIs" dxfId="716" priority="384" operator="greaterThanOrEqual">
      <formula>1.5</formula>
    </cfRule>
  </conditionalFormatting>
  <conditionalFormatting sqref="N1545">
    <cfRule type="cellIs" dxfId="715" priority="381" operator="lessThanOrEqual">
      <formula>0.5</formula>
    </cfRule>
    <cfRule type="cellIs" dxfId="714" priority="382" operator="greaterThanOrEqual">
      <formula>1.5</formula>
    </cfRule>
  </conditionalFormatting>
  <conditionalFormatting sqref="K1545">
    <cfRule type="cellIs" dxfId="713" priority="379" operator="lessThanOrEqual">
      <formula>0.5</formula>
    </cfRule>
    <cfRule type="cellIs" dxfId="712" priority="380" operator="greaterThanOrEqual">
      <formula>1.5</formula>
    </cfRule>
  </conditionalFormatting>
  <conditionalFormatting sqref="L1545">
    <cfRule type="cellIs" dxfId="711" priority="377" operator="lessThanOrEqual">
      <formula>0.5</formula>
    </cfRule>
    <cfRule type="cellIs" dxfId="710" priority="378" operator="greaterThanOrEqual">
      <formula>1.5</formula>
    </cfRule>
  </conditionalFormatting>
  <conditionalFormatting sqref="O1548">
    <cfRule type="cellIs" dxfId="709" priority="375" operator="lessThanOrEqual">
      <formula>0.5</formula>
    </cfRule>
    <cfRule type="cellIs" dxfId="708" priority="376" operator="greaterThanOrEqual">
      <formula>1.5</formula>
    </cfRule>
  </conditionalFormatting>
  <conditionalFormatting sqref="N1548">
    <cfRule type="cellIs" dxfId="707" priority="373" operator="lessThanOrEqual">
      <formula>0.5</formula>
    </cfRule>
    <cfRule type="cellIs" dxfId="706" priority="374" operator="greaterThanOrEqual">
      <formula>1.5</formula>
    </cfRule>
  </conditionalFormatting>
  <conditionalFormatting sqref="K1548">
    <cfRule type="cellIs" dxfId="705" priority="371" operator="lessThanOrEqual">
      <formula>0.5</formula>
    </cfRule>
    <cfRule type="cellIs" dxfId="704" priority="372" operator="greaterThanOrEqual">
      <formula>1.5</formula>
    </cfRule>
  </conditionalFormatting>
  <conditionalFormatting sqref="L1548">
    <cfRule type="cellIs" dxfId="703" priority="369" operator="lessThanOrEqual">
      <formula>0.5</formula>
    </cfRule>
    <cfRule type="cellIs" dxfId="702" priority="370" operator="greaterThanOrEqual">
      <formula>1.5</formula>
    </cfRule>
  </conditionalFormatting>
  <conditionalFormatting sqref="O1551">
    <cfRule type="cellIs" dxfId="701" priority="367" operator="lessThanOrEqual">
      <formula>0.5</formula>
    </cfRule>
    <cfRule type="cellIs" dxfId="700" priority="368" operator="greaterThanOrEqual">
      <formula>1.5</formula>
    </cfRule>
  </conditionalFormatting>
  <conditionalFormatting sqref="N1551">
    <cfRule type="cellIs" dxfId="699" priority="365" operator="lessThanOrEqual">
      <formula>0.5</formula>
    </cfRule>
    <cfRule type="cellIs" dxfId="698" priority="366" operator="greaterThanOrEqual">
      <formula>1.5</formula>
    </cfRule>
  </conditionalFormatting>
  <conditionalFormatting sqref="K1551">
    <cfRule type="cellIs" dxfId="697" priority="363" operator="lessThanOrEqual">
      <formula>0.5</formula>
    </cfRule>
    <cfRule type="cellIs" dxfId="696" priority="364" operator="greaterThanOrEqual">
      <formula>1.5</formula>
    </cfRule>
  </conditionalFormatting>
  <conditionalFormatting sqref="L1551">
    <cfRule type="cellIs" dxfId="695" priority="361" operator="lessThanOrEqual">
      <formula>0.5</formula>
    </cfRule>
    <cfRule type="cellIs" dxfId="694" priority="362" operator="greaterThanOrEqual">
      <formula>1.5</formula>
    </cfRule>
  </conditionalFormatting>
  <conditionalFormatting sqref="O1554">
    <cfRule type="cellIs" dxfId="693" priority="359" operator="lessThanOrEqual">
      <formula>0.5</formula>
    </cfRule>
    <cfRule type="cellIs" dxfId="692" priority="360" operator="greaterThanOrEqual">
      <formula>1.5</formula>
    </cfRule>
  </conditionalFormatting>
  <conditionalFormatting sqref="N1554">
    <cfRule type="cellIs" dxfId="691" priority="357" operator="lessThanOrEqual">
      <formula>0.5</formula>
    </cfRule>
    <cfRule type="cellIs" dxfId="690" priority="358" operator="greaterThanOrEqual">
      <formula>1.5</formula>
    </cfRule>
  </conditionalFormatting>
  <conditionalFormatting sqref="K1554">
    <cfRule type="cellIs" dxfId="689" priority="355" operator="lessThanOrEqual">
      <formula>0.5</formula>
    </cfRule>
    <cfRule type="cellIs" dxfId="688" priority="356" operator="greaterThanOrEqual">
      <formula>1.5</formula>
    </cfRule>
  </conditionalFormatting>
  <conditionalFormatting sqref="L1554">
    <cfRule type="cellIs" dxfId="687" priority="353" operator="lessThanOrEqual">
      <formula>0.5</formula>
    </cfRule>
    <cfRule type="cellIs" dxfId="686" priority="354" operator="greaterThanOrEqual">
      <formula>1.5</formula>
    </cfRule>
  </conditionalFormatting>
  <conditionalFormatting sqref="O1557">
    <cfRule type="cellIs" dxfId="685" priority="351" operator="lessThanOrEqual">
      <formula>0.5</formula>
    </cfRule>
    <cfRule type="cellIs" dxfId="684" priority="352" operator="greaterThanOrEqual">
      <formula>1.5</formula>
    </cfRule>
  </conditionalFormatting>
  <conditionalFormatting sqref="N1557">
    <cfRule type="cellIs" dxfId="683" priority="349" operator="lessThanOrEqual">
      <formula>0.5</formula>
    </cfRule>
    <cfRule type="cellIs" dxfId="682" priority="350" operator="greaterThanOrEqual">
      <formula>1.5</formula>
    </cfRule>
  </conditionalFormatting>
  <conditionalFormatting sqref="K1557">
    <cfRule type="cellIs" dxfId="681" priority="347" operator="lessThanOrEqual">
      <formula>0.5</formula>
    </cfRule>
    <cfRule type="cellIs" dxfId="680" priority="348" operator="greaterThanOrEqual">
      <formula>1.5</formula>
    </cfRule>
  </conditionalFormatting>
  <conditionalFormatting sqref="L1557">
    <cfRule type="cellIs" dxfId="679" priority="345" operator="lessThanOrEqual">
      <formula>0.5</formula>
    </cfRule>
    <cfRule type="cellIs" dxfId="678" priority="346" operator="greaterThanOrEqual">
      <formula>1.5</formula>
    </cfRule>
  </conditionalFormatting>
  <conditionalFormatting sqref="O1560">
    <cfRule type="cellIs" dxfId="677" priority="343" operator="lessThanOrEqual">
      <formula>0.5</formula>
    </cfRule>
    <cfRule type="cellIs" dxfId="676" priority="344" operator="greaterThanOrEqual">
      <formula>1.5</formula>
    </cfRule>
  </conditionalFormatting>
  <conditionalFormatting sqref="N1560">
    <cfRule type="cellIs" dxfId="675" priority="341" operator="lessThanOrEqual">
      <formula>0.5</formula>
    </cfRule>
    <cfRule type="cellIs" dxfId="674" priority="342" operator="greaterThanOrEqual">
      <formula>1.5</formula>
    </cfRule>
  </conditionalFormatting>
  <conditionalFormatting sqref="K1560">
    <cfRule type="cellIs" dxfId="673" priority="339" operator="lessThanOrEqual">
      <formula>0.5</formula>
    </cfRule>
    <cfRule type="cellIs" dxfId="672" priority="340" operator="greaterThanOrEqual">
      <formula>1.5</formula>
    </cfRule>
  </conditionalFormatting>
  <conditionalFormatting sqref="L1560">
    <cfRule type="cellIs" dxfId="671" priority="337" operator="lessThanOrEqual">
      <formula>0.5</formula>
    </cfRule>
    <cfRule type="cellIs" dxfId="670" priority="338" operator="greaterThanOrEqual">
      <formula>1.5</formula>
    </cfRule>
  </conditionalFormatting>
  <conditionalFormatting sqref="O1563">
    <cfRule type="cellIs" dxfId="669" priority="335" operator="lessThanOrEqual">
      <formula>0.5</formula>
    </cfRule>
    <cfRule type="cellIs" dxfId="668" priority="336" operator="greaterThanOrEqual">
      <formula>1.5</formula>
    </cfRule>
  </conditionalFormatting>
  <conditionalFormatting sqref="N1563">
    <cfRule type="cellIs" dxfId="667" priority="333" operator="lessThanOrEqual">
      <formula>0.5</formula>
    </cfRule>
    <cfRule type="cellIs" dxfId="666" priority="334" operator="greaterThanOrEqual">
      <formula>1.5</formula>
    </cfRule>
  </conditionalFormatting>
  <conditionalFormatting sqref="K1563">
    <cfRule type="cellIs" dxfId="665" priority="331" operator="lessThanOrEqual">
      <formula>0.5</formula>
    </cfRule>
    <cfRule type="cellIs" dxfId="664" priority="332" operator="greaterThanOrEqual">
      <formula>1.5</formula>
    </cfRule>
  </conditionalFormatting>
  <conditionalFormatting sqref="L1563">
    <cfRule type="cellIs" dxfId="663" priority="329" operator="lessThanOrEqual">
      <formula>0.5</formula>
    </cfRule>
    <cfRule type="cellIs" dxfId="662" priority="330" operator="greaterThanOrEqual">
      <formula>1.5</formula>
    </cfRule>
  </conditionalFormatting>
  <conditionalFormatting sqref="O1566">
    <cfRule type="cellIs" dxfId="661" priority="327" operator="lessThanOrEqual">
      <formula>0.5</formula>
    </cfRule>
    <cfRule type="cellIs" dxfId="660" priority="328" operator="greaterThanOrEqual">
      <formula>1.5</formula>
    </cfRule>
  </conditionalFormatting>
  <conditionalFormatting sqref="N1566">
    <cfRule type="cellIs" dxfId="659" priority="325" operator="lessThanOrEqual">
      <formula>0.5</formula>
    </cfRule>
    <cfRule type="cellIs" dxfId="658" priority="326" operator="greaterThanOrEqual">
      <formula>1.5</formula>
    </cfRule>
  </conditionalFormatting>
  <conditionalFormatting sqref="K1566">
    <cfRule type="cellIs" dxfId="657" priority="323" operator="lessThanOrEqual">
      <formula>0.5</formula>
    </cfRule>
    <cfRule type="cellIs" dxfId="656" priority="324" operator="greaterThanOrEqual">
      <formula>1.5</formula>
    </cfRule>
  </conditionalFormatting>
  <conditionalFormatting sqref="L1566">
    <cfRule type="cellIs" dxfId="655" priority="321" operator="lessThanOrEqual">
      <formula>0.5</formula>
    </cfRule>
    <cfRule type="cellIs" dxfId="654" priority="322" operator="greaterThanOrEqual">
      <formula>1.5</formula>
    </cfRule>
  </conditionalFormatting>
  <conditionalFormatting sqref="O1569">
    <cfRule type="cellIs" dxfId="653" priority="319" operator="lessThanOrEqual">
      <formula>0.5</formula>
    </cfRule>
    <cfRule type="cellIs" dxfId="652" priority="320" operator="greaterThanOrEqual">
      <formula>1.5</formula>
    </cfRule>
  </conditionalFormatting>
  <conditionalFormatting sqref="N1569">
    <cfRule type="cellIs" dxfId="651" priority="317" operator="lessThanOrEqual">
      <formula>0.5</formula>
    </cfRule>
    <cfRule type="cellIs" dxfId="650" priority="318" operator="greaterThanOrEqual">
      <formula>1.5</formula>
    </cfRule>
  </conditionalFormatting>
  <conditionalFormatting sqref="K1569">
    <cfRule type="cellIs" dxfId="649" priority="315" operator="lessThanOrEqual">
      <formula>0.5</formula>
    </cfRule>
    <cfRule type="cellIs" dxfId="648" priority="316" operator="greaterThanOrEqual">
      <formula>1.5</formula>
    </cfRule>
  </conditionalFormatting>
  <conditionalFormatting sqref="L1569">
    <cfRule type="cellIs" dxfId="647" priority="313" operator="lessThanOrEqual">
      <formula>0.5</formula>
    </cfRule>
    <cfRule type="cellIs" dxfId="646" priority="314" operator="greaterThanOrEqual">
      <formula>1.5</formula>
    </cfRule>
  </conditionalFormatting>
  <conditionalFormatting sqref="O1572">
    <cfRule type="cellIs" dxfId="645" priority="311" operator="lessThanOrEqual">
      <formula>0.5</formula>
    </cfRule>
    <cfRule type="cellIs" dxfId="644" priority="312" operator="greaterThanOrEqual">
      <formula>1.5</formula>
    </cfRule>
  </conditionalFormatting>
  <conditionalFormatting sqref="N1572">
    <cfRule type="cellIs" dxfId="643" priority="309" operator="lessThanOrEqual">
      <formula>0.5</formula>
    </cfRule>
    <cfRule type="cellIs" dxfId="642" priority="310" operator="greaterThanOrEqual">
      <formula>1.5</formula>
    </cfRule>
  </conditionalFormatting>
  <conditionalFormatting sqref="K1572">
    <cfRule type="cellIs" dxfId="641" priority="307" operator="lessThanOrEqual">
      <formula>0.5</formula>
    </cfRule>
    <cfRule type="cellIs" dxfId="640" priority="308" operator="greaterThanOrEqual">
      <formula>1.5</formula>
    </cfRule>
  </conditionalFormatting>
  <conditionalFormatting sqref="L1572">
    <cfRule type="cellIs" dxfId="639" priority="305" operator="lessThanOrEqual">
      <formula>0.5</formula>
    </cfRule>
    <cfRule type="cellIs" dxfId="638" priority="306" operator="greaterThanOrEqual">
      <formula>1.5</formula>
    </cfRule>
  </conditionalFormatting>
  <conditionalFormatting sqref="O1575">
    <cfRule type="cellIs" dxfId="637" priority="303" operator="lessThanOrEqual">
      <formula>0.5</formula>
    </cfRule>
    <cfRule type="cellIs" dxfId="636" priority="304" operator="greaterThanOrEqual">
      <formula>1.5</formula>
    </cfRule>
  </conditionalFormatting>
  <conditionalFormatting sqref="N1575">
    <cfRule type="cellIs" dxfId="635" priority="301" operator="lessThanOrEqual">
      <formula>0.5</formula>
    </cfRule>
    <cfRule type="cellIs" dxfId="634" priority="302" operator="greaterThanOrEqual">
      <formula>1.5</formula>
    </cfRule>
  </conditionalFormatting>
  <conditionalFormatting sqref="K1575">
    <cfRule type="cellIs" dxfId="633" priority="299" operator="lessThanOrEqual">
      <formula>0.5</formula>
    </cfRule>
    <cfRule type="cellIs" dxfId="632" priority="300" operator="greaterThanOrEqual">
      <formula>1.5</formula>
    </cfRule>
  </conditionalFormatting>
  <conditionalFormatting sqref="L1575">
    <cfRule type="cellIs" dxfId="631" priority="297" operator="lessThanOrEqual">
      <formula>0.5</formula>
    </cfRule>
    <cfRule type="cellIs" dxfId="630" priority="298" operator="greaterThanOrEqual">
      <formula>1.5</formula>
    </cfRule>
  </conditionalFormatting>
  <conditionalFormatting sqref="O1578">
    <cfRule type="cellIs" dxfId="629" priority="295" operator="lessThanOrEqual">
      <formula>0.5</formula>
    </cfRule>
    <cfRule type="cellIs" dxfId="628" priority="296" operator="greaterThanOrEqual">
      <formula>1.5</formula>
    </cfRule>
  </conditionalFormatting>
  <conditionalFormatting sqref="N1578">
    <cfRule type="cellIs" dxfId="627" priority="293" operator="lessThanOrEqual">
      <formula>0.5</formula>
    </cfRule>
    <cfRule type="cellIs" dxfId="626" priority="294" operator="greaterThanOrEqual">
      <formula>1.5</formula>
    </cfRule>
  </conditionalFormatting>
  <conditionalFormatting sqref="K1578">
    <cfRule type="cellIs" dxfId="625" priority="291" operator="lessThanOrEqual">
      <formula>0.5</formula>
    </cfRule>
    <cfRule type="cellIs" dxfId="624" priority="292" operator="greaterThanOrEqual">
      <formula>1.5</formula>
    </cfRule>
  </conditionalFormatting>
  <conditionalFormatting sqref="L1578">
    <cfRule type="cellIs" dxfId="623" priority="289" operator="lessThanOrEqual">
      <formula>0.5</formula>
    </cfRule>
    <cfRule type="cellIs" dxfId="622" priority="290" operator="greaterThanOrEqual">
      <formula>1.5</formula>
    </cfRule>
  </conditionalFormatting>
  <conditionalFormatting sqref="O1581">
    <cfRule type="cellIs" dxfId="621" priority="287" operator="lessThanOrEqual">
      <formula>0.5</formula>
    </cfRule>
    <cfRule type="cellIs" dxfId="620" priority="288" operator="greaterThanOrEqual">
      <formula>1.5</formula>
    </cfRule>
  </conditionalFormatting>
  <conditionalFormatting sqref="N1581">
    <cfRule type="cellIs" dxfId="619" priority="285" operator="lessThanOrEqual">
      <formula>0.5</formula>
    </cfRule>
    <cfRule type="cellIs" dxfId="618" priority="286" operator="greaterThanOrEqual">
      <formula>1.5</formula>
    </cfRule>
  </conditionalFormatting>
  <conditionalFormatting sqref="K1581">
    <cfRule type="cellIs" dxfId="617" priority="283" operator="lessThanOrEqual">
      <formula>0.5</formula>
    </cfRule>
    <cfRule type="cellIs" dxfId="616" priority="284" operator="greaterThanOrEqual">
      <formula>1.5</formula>
    </cfRule>
  </conditionalFormatting>
  <conditionalFormatting sqref="L1581">
    <cfRule type="cellIs" dxfId="615" priority="281" operator="lessThanOrEqual">
      <formula>0.5</formula>
    </cfRule>
    <cfRule type="cellIs" dxfId="614" priority="282" operator="greaterThanOrEqual">
      <formula>1.5</formula>
    </cfRule>
  </conditionalFormatting>
  <conditionalFormatting sqref="O1584">
    <cfRule type="cellIs" dxfId="613" priority="279" operator="lessThanOrEqual">
      <formula>0.5</formula>
    </cfRule>
    <cfRule type="cellIs" dxfId="612" priority="280" operator="greaterThanOrEqual">
      <formula>1.5</formula>
    </cfRule>
  </conditionalFormatting>
  <conditionalFormatting sqref="N1584">
    <cfRule type="cellIs" dxfId="611" priority="277" operator="lessThanOrEqual">
      <formula>0.5</formula>
    </cfRule>
    <cfRule type="cellIs" dxfId="610" priority="278" operator="greaterThanOrEqual">
      <formula>1.5</formula>
    </cfRule>
  </conditionalFormatting>
  <conditionalFormatting sqref="K1584">
    <cfRule type="cellIs" dxfId="609" priority="275" operator="lessThanOrEqual">
      <formula>0.5</formula>
    </cfRule>
    <cfRule type="cellIs" dxfId="608" priority="276" operator="greaterThanOrEqual">
      <formula>1.5</formula>
    </cfRule>
  </conditionalFormatting>
  <conditionalFormatting sqref="L1584">
    <cfRule type="cellIs" dxfId="607" priority="273" operator="lessThanOrEqual">
      <formula>0.5</formula>
    </cfRule>
    <cfRule type="cellIs" dxfId="606" priority="274" operator="greaterThanOrEqual">
      <formula>1.5</formula>
    </cfRule>
  </conditionalFormatting>
  <conditionalFormatting sqref="O1587">
    <cfRule type="cellIs" dxfId="605" priority="271" operator="lessThanOrEqual">
      <formula>0.5</formula>
    </cfRule>
    <cfRule type="cellIs" dxfId="604" priority="272" operator="greaterThanOrEqual">
      <formula>1.5</formula>
    </cfRule>
  </conditionalFormatting>
  <conditionalFormatting sqref="N1587">
    <cfRule type="cellIs" dxfId="603" priority="269" operator="lessThanOrEqual">
      <formula>0.5</formula>
    </cfRule>
    <cfRule type="cellIs" dxfId="602" priority="270" operator="greaterThanOrEqual">
      <formula>1.5</formula>
    </cfRule>
  </conditionalFormatting>
  <conditionalFormatting sqref="K1587">
    <cfRule type="cellIs" dxfId="601" priority="267" operator="lessThanOrEqual">
      <formula>0.5</formula>
    </cfRule>
    <cfRule type="cellIs" dxfId="600" priority="268" operator="greaterThanOrEqual">
      <formula>1.5</formula>
    </cfRule>
  </conditionalFormatting>
  <conditionalFormatting sqref="L1587">
    <cfRule type="cellIs" dxfId="599" priority="265" operator="lessThanOrEqual">
      <formula>0.5</formula>
    </cfRule>
    <cfRule type="cellIs" dxfId="598" priority="266" operator="greaterThanOrEqual">
      <formula>1.5</formula>
    </cfRule>
  </conditionalFormatting>
  <conditionalFormatting sqref="O1590">
    <cfRule type="cellIs" dxfId="597" priority="263" operator="lessThanOrEqual">
      <formula>0.5</formula>
    </cfRule>
    <cfRule type="cellIs" dxfId="596" priority="264" operator="greaterThanOrEqual">
      <formula>1.5</formula>
    </cfRule>
  </conditionalFormatting>
  <conditionalFormatting sqref="N1590">
    <cfRule type="cellIs" dxfId="595" priority="261" operator="lessThanOrEqual">
      <formula>0.5</formula>
    </cfRule>
    <cfRule type="cellIs" dxfId="594" priority="262" operator="greaterThanOrEqual">
      <formula>1.5</formula>
    </cfRule>
  </conditionalFormatting>
  <conditionalFormatting sqref="K1590">
    <cfRule type="cellIs" dxfId="593" priority="259" operator="lessThanOrEqual">
      <formula>0.5</formula>
    </cfRule>
    <cfRule type="cellIs" dxfId="592" priority="260" operator="greaterThanOrEqual">
      <formula>1.5</formula>
    </cfRule>
  </conditionalFormatting>
  <conditionalFormatting sqref="L1590">
    <cfRule type="cellIs" dxfId="591" priority="257" operator="lessThanOrEqual">
      <formula>0.5</formula>
    </cfRule>
    <cfRule type="cellIs" dxfId="590" priority="258" operator="greaterThanOrEqual">
      <formula>1.5</formula>
    </cfRule>
  </conditionalFormatting>
  <conditionalFormatting sqref="O1593">
    <cfRule type="cellIs" dxfId="589" priority="255" operator="lessThanOrEqual">
      <formula>0.5</formula>
    </cfRule>
    <cfRule type="cellIs" dxfId="588" priority="256" operator="greaterThanOrEqual">
      <formula>1.5</formula>
    </cfRule>
  </conditionalFormatting>
  <conditionalFormatting sqref="N1593">
    <cfRule type="cellIs" dxfId="587" priority="253" operator="lessThanOrEqual">
      <formula>0.5</formula>
    </cfRule>
    <cfRule type="cellIs" dxfId="586" priority="254" operator="greaterThanOrEqual">
      <formula>1.5</formula>
    </cfRule>
  </conditionalFormatting>
  <conditionalFormatting sqref="K1593">
    <cfRule type="cellIs" dxfId="585" priority="251" operator="lessThanOrEqual">
      <formula>0.5</formula>
    </cfRule>
    <cfRule type="cellIs" dxfId="584" priority="252" operator="greaterThanOrEqual">
      <formula>1.5</formula>
    </cfRule>
  </conditionalFormatting>
  <conditionalFormatting sqref="L1593">
    <cfRule type="cellIs" dxfId="583" priority="249" operator="lessThanOrEqual">
      <formula>0.5</formula>
    </cfRule>
    <cfRule type="cellIs" dxfId="582" priority="250" operator="greaterThanOrEqual">
      <formula>1.5</formula>
    </cfRule>
  </conditionalFormatting>
  <conditionalFormatting sqref="O1596">
    <cfRule type="cellIs" dxfId="581" priority="247" operator="lessThanOrEqual">
      <formula>0.5</formula>
    </cfRule>
    <cfRule type="cellIs" dxfId="580" priority="248" operator="greaterThanOrEqual">
      <formula>1.5</formula>
    </cfRule>
  </conditionalFormatting>
  <conditionalFormatting sqref="N1596">
    <cfRule type="cellIs" dxfId="579" priority="245" operator="lessThanOrEqual">
      <formula>0.5</formula>
    </cfRule>
    <cfRule type="cellIs" dxfId="578" priority="246" operator="greaterThanOrEqual">
      <formula>1.5</formula>
    </cfRule>
  </conditionalFormatting>
  <conditionalFormatting sqref="K1596">
    <cfRule type="cellIs" dxfId="577" priority="243" operator="lessThanOrEqual">
      <formula>0.5</formula>
    </cfRule>
    <cfRule type="cellIs" dxfId="576" priority="244" operator="greaterThanOrEqual">
      <formula>1.5</formula>
    </cfRule>
  </conditionalFormatting>
  <conditionalFormatting sqref="L1596">
    <cfRule type="cellIs" dxfId="575" priority="241" operator="lessThanOrEqual">
      <formula>0.5</formula>
    </cfRule>
    <cfRule type="cellIs" dxfId="574" priority="242" operator="greaterThanOrEqual">
      <formula>1.5</formula>
    </cfRule>
  </conditionalFormatting>
  <conditionalFormatting sqref="O1599">
    <cfRule type="cellIs" dxfId="573" priority="239" operator="lessThanOrEqual">
      <formula>0.5</formula>
    </cfRule>
    <cfRule type="cellIs" dxfId="572" priority="240" operator="greaterThanOrEqual">
      <formula>1.5</formula>
    </cfRule>
  </conditionalFormatting>
  <conditionalFormatting sqref="N1599">
    <cfRule type="cellIs" dxfId="571" priority="237" operator="lessThanOrEqual">
      <formula>0.5</formula>
    </cfRule>
    <cfRule type="cellIs" dxfId="570" priority="238" operator="greaterThanOrEqual">
      <formula>1.5</formula>
    </cfRule>
  </conditionalFormatting>
  <conditionalFormatting sqref="K1599">
    <cfRule type="cellIs" dxfId="569" priority="235" operator="lessThanOrEqual">
      <formula>0.5</formula>
    </cfRule>
    <cfRule type="cellIs" dxfId="568" priority="236" operator="greaterThanOrEqual">
      <formula>1.5</formula>
    </cfRule>
  </conditionalFormatting>
  <conditionalFormatting sqref="L1599">
    <cfRule type="cellIs" dxfId="567" priority="233" operator="lessThanOrEqual">
      <formula>0.5</formula>
    </cfRule>
    <cfRule type="cellIs" dxfId="566" priority="234" operator="greaterThanOrEqual">
      <formula>1.5</formula>
    </cfRule>
  </conditionalFormatting>
  <conditionalFormatting sqref="O1602">
    <cfRule type="cellIs" dxfId="565" priority="231" operator="lessThanOrEqual">
      <formula>0.5</formula>
    </cfRule>
    <cfRule type="cellIs" dxfId="564" priority="232" operator="greaterThanOrEqual">
      <formula>1.5</formula>
    </cfRule>
  </conditionalFormatting>
  <conditionalFormatting sqref="N1602">
    <cfRule type="cellIs" dxfId="563" priority="229" operator="lessThanOrEqual">
      <formula>0.5</formula>
    </cfRule>
    <cfRule type="cellIs" dxfId="562" priority="230" operator="greaterThanOrEqual">
      <formula>1.5</formula>
    </cfRule>
  </conditionalFormatting>
  <conditionalFormatting sqref="K1602">
    <cfRule type="cellIs" dxfId="561" priority="227" operator="lessThanOrEqual">
      <formula>0.5</formula>
    </cfRule>
    <cfRule type="cellIs" dxfId="560" priority="228" operator="greaterThanOrEqual">
      <formula>1.5</formula>
    </cfRule>
  </conditionalFormatting>
  <conditionalFormatting sqref="L1602">
    <cfRule type="cellIs" dxfId="559" priority="225" operator="lessThanOrEqual">
      <formula>0.5</formula>
    </cfRule>
    <cfRule type="cellIs" dxfId="558" priority="226" operator="greaterThanOrEqual">
      <formula>1.5</formula>
    </cfRule>
  </conditionalFormatting>
  <conditionalFormatting sqref="O1605">
    <cfRule type="cellIs" dxfId="557" priority="223" operator="lessThanOrEqual">
      <formula>0.5</formula>
    </cfRule>
    <cfRule type="cellIs" dxfId="556" priority="224" operator="greaterThanOrEqual">
      <formula>1.5</formula>
    </cfRule>
  </conditionalFormatting>
  <conditionalFormatting sqref="N1605">
    <cfRule type="cellIs" dxfId="555" priority="221" operator="lessThanOrEqual">
      <formula>0.5</formula>
    </cfRule>
    <cfRule type="cellIs" dxfId="554" priority="222" operator="greaterThanOrEqual">
      <formula>1.5</formula>
    </cfRule>
  </conditionalFormatting>
  <conditionalFormatting sqref="K1605">
    <cfRule type="cellIs" dxfId="553" priority="219" operator="lessThanOrEqual">
      <formula>0.5</formula>
    </cfRule>
    <cfRule type="cellIs" dxfId="552" priority="220" operator="greaterThanOrEqual">
      <formula>1.5</formula>
    </cfRule>
  </conditionalFormatting>
  <conditionalFormatting sqref="L1605">
    <cfRule type="cellIs" dxfId="551" priority="217" operator="lessThanOrEqual">
      <formula>0.5</formula>
    </cfRule>
    <cfRule type="cellIs" dxfId="550" priority="218" operator="greaterThanOrEqual">
      <formula>1.5</formula>
    </cfRule>
  </conditionalFormatting>
  <conditionalFormatting sqref="O1608">
    <cfRule type="cellIs" dxfId="549" priority="215" operator="lessThanOrEqual">
      <formula>0.5</formula>
    </cfRule>
    <cfRule type="cellIs" dxfId="548" priority="216" operator="greaterThanOrEqual">
      <formula>1.5</formula>
    </cfRule>
  </conditionalFormatting>
  <conditionalFormatting sqref="N1608">
    <cfRule type="cellIs" dxfId="547" priority="213" operator="lessThanOrEqual">
      <formula>0.5</formula>
    </cfRule>
    <cfRule type="cellIs" dxfId="546" priority="214" operator="greaterThanOrEqual">
      <formula>1.5</formula>
    </cfRule>
  </conditionalFormatting>
  <conditionalFormatting sqref="K1608">
    <cfRule type="cellIs" dxfId="545" priority="211" operator="lessThanOrEqual">
      <formula>0.5</formula>
    </cfRule>
    <cfRule type="cellIs" dxfId="544" priority="212" operator="greaterThanOrEqual">
      <formula>1.5</formula>
    </cfRule>
  </conditionalFormatting>
  <conditionalFormatting sqref="L1608">
    <cfRule type="cellIs" dxfId="543" priority="209" operator="lessThanOrEqual">
      <formula>0.5</formula>
    </cfRule>
    <cfRule type="cellIs" dxfId="542" priority="210" operator="greaterThanOrEqual">
      <formula>1.5</formula>
    </cfRule>
  </conditionalFormatting>
  <conditionalFormatting sqref="O1611">
    <cfRule type="cellIs" dxfId="541" priority="207" operator="lessThanOrEqual">
      <formula>0.5</formula>
    </cfRule>
    <cfRule type="cellIs" dxfId="540" priority="208" operator="greaterThanOrEqual">
      <formula>1.5</formula>
    </cfRule>
  </conditionalFormatting>
  <conditionalFormatting sqref="N1611">
    <cfRule type="cellIs" dxfId="539" priority="205" operator="lessThanOrEqual">
      <formula>0.5</formula>
    </cfRule>
    <cfRule type="cellIs" dxfId="538" priority="206" operator="greaterThanOrEqual">
      <formula>1.5</formula>
    </cfRule>
  </conditionalFormatting>
  <conditionalFormatting sqref="K1611">
    <cfRule type="cellIs" dxfId="537" priority="203" operator="lessThanOrEqual">
      <formula>0.5</formula>
    </cfRule>
    <cfRule type="cellIs" dxfId="536" priority="204" operator="greaterThanOrEqual">
      <formula>1.5</formula>
    </cfRule>
  </conditionalFormatting>
  <conditionalFormatting sqref="L1611">
    <cfRule type="cellIs" dxfId="535" priority="201" operator="lessThanOrEqual">
      <formula>0.5</formula>
    </cfRule>
    <cfRule type="cellIs" dxfId="534" priority="202" operator="greaterThanOrEqual">
      <formula>1.5</formula>
    </cfRule>
  </conditionalFormatting>
  <conditionalFormatting sqref="O1614">
    <cfRule type="cellIs" dxfId="533" priority="199" operator="lessThanOrEqual">
      <formula>0.5</formula>
    </cfRule>
    <cfRule type="cellIs" dxfId="532" priority="200" operator="greaterThanOrEqual">
      <formula>1.5</formula>
    </cfRule>
  </conditionalFormatting>
  <conditionalFormatting sqref="N1614">
    <cfRule type="cellIs" dxfId="531" priority="197" operator="lessThanOrEqual">
      <formula>0.5</formula>
    </cfRule>
    <cfRule type="cellIs" dxfId="530" priority="198" operator="greaterThanOrEqual">
      <formula>1.5</formula>
    </cfRule>
  </conditionalFormatting>
  <conditionalFormatting sqref="K1614">
    <cfRule type="cellIs" dxfId="529" priority="195" operator="lessThanOrEqual">
      <formula>0.5</formula>
    </cfRule>
    <cfRule type="cellIs" dxfId="528" priority="196" operator="greaterThanOrEqual">
      <formula>1.5</formula>
    </cfRule>
  </conditionalFormatting>
  <conditionalFormatting sqref="L1614">
    <cfRule type="cellIs" dxfId="527" priority="193" operator="lessThanOrEqual">
      <formula>0.5</formula>
    </cfRule>
    <cfRule type="cellIs" dxfId="526" priority="194" operator="greaterThanOrEqual">
      <formula>1.5</formula>
    </cfRule>
  </conditionalFormatting>
  <conditionalFormatting sqref="O1617">
    <cfRule type="cellIs" dxfId="525" priority="191" operator="lessThanOrEqual">
      <formula>0.5</formula>
    </cfRule>
    <cfRule type="cellIs" dxfId="524" priority="192" operator="greaterThanOrEqual">
      <formula>1.5</formula>
    </cfRule>
  </conditionalFormatting>
  <conditionalFormatting sqref="N1617">
    <cfRule type="cellIs" dxfId="523" priority="189" operator="lessThanOrEqual">
      <formula>0.5</formula>
    </cfRule>
    <cfRule type="cellIs" dxfId="522" priority="190" operator="greaterThanOrEqual">
      <formula>1.5</formula>
    </cfRule>
  </conditionalFormatting>
  <conditionalFormatting sqref="K1617">
    <cfRule type="cellIs" dxfId="521" priority="187" operator="lessThanOrEqual">
      <formula>0.5</formula>
    </cfRule>
    <cfRule type="cellIs" dxfId="520" priority="188" operator="greaterThanOrEqual">
      <formula>1.5</formula>
    </cfRule>
  </conditionalFormatting>
  <conditionalFormatting sqref="L1617">
    <cfRule type="cellIs" dxfId="519" priority="185" operator="lessThanOrEqual">
      <formula>0.5</formula>
    </cfRule>
    <cfRule type="cellIs" dxfId="518" priority="186" operator="greaterThanOrEqual">
      <formula>1.5</formula>
    </cfRule>
  </conditionalFormatting>
  <conditionalFormatting sqref="O1620">
    <cfRule type="cellIs" dxfId="517" priority="183" operator="lessThanOrEqual">
      <formula>0.5</formula>
    </cfRule>
    <cfRule type="cellIs" dxfId="516" priority="184" operator="greaterThanOrEqual">
      <formula>1.5</formula>
    </cfRule>
  </conditionalFormatting>
  <conditionalFormatting sqref="N1620">
    <cfRule type="cellIs" dxfId="515" priority="181" operator="lessThanOrEqual">
      <formula>0.5</formula>
    </cfRule>
    <cfRule type="cellIs" dxfId="514" priority="182" operator="greaterThanOrEqual">
      <formula>1.5</formula>
    </cfRule>
  </conditionalFormatting>
  <conditionalFormatting sqref="K1620">
    <cfRule type="cellIs" dxfId="513" priority="179" operator="lessThanOrEqual">
      <formula>0.5</formula>
    </cfRule>
    <cfRule type="cellIs" dxfId="512" priority="180" operator="greaterThanOrEqual">
      <formula>1.5</formula>
    </cfRule>
  </conditionalFormatting>
  <conditionalFormatting sqref="L1620">
    <cfRule type="cellIs" dxfId="511" priority="177" operator="lessThanOrEqual">
      <formula>0.5</formula>
    </cfRule>
    <cfRule type="cellIs" dxfId="510" priority="178" operator="greaterThanOrEqual">
      <formula>1.5</formula>
    </cfRule>
  </conditionalFormatting>
  <conditionalFormatting sqref="O1623">
    <cfRule type="cellIs" dxfId="509" priority="175" operator="lessThanOrEqual">
      <formula>0.5</formula>
    </cfRule>
    <cfRule type="cellIs" dxfId="508" priority="176" operator="greaterThanOrEqual">
      <formula>1.5</formula>
    </cfRule>
  </conditionalFormatting>
  <conditionalFormatting sqref="N1623">
    <cfRule type="cellIs" dxfId="507" priority="173" operator="lessThanOrEqual">
      <formula>0.5</formula>
    </cfRule>
    <cfRule type="cellIs" dxfId="506" priority="174" operator="greaterThanOrEqual">
      <formula>1.5</formula>
    </cfRule>
  </conditionalFormatting>
  <conditionalFormatting sqref="K1623">
    <cfRule type="cellIs" dxfId="505" priority="171" operator="lessThanOrEqual">
      <formula>0.5</formula>
    </cfRule>
    <cfRule type="cellIs" dxfId="504" priority="172" operator="greaterThanOrEqual">
      <formula>1.5</formula>
    </cfRule>
  </conditionalFormatting>
  <conditionalFormatting sqref="L1623">
    <cfRule type="cellIs" dxfId="503" priority="169" operator="lessThanOrEqual">
      <formula>0.5</formula>
    </cfRule>
    <cfRule type="cellIs" dxfId="502" priority="170" operator="greaterThanOrEqual">
      <formula>1.5</formula>
    </cfRule>
  </conditionalFormatting>
  <conditionalFormatting sqref="O1626">
    <cfRule type="cellIs" dxfId="501" priority="167" operator="lessThanOrEqual">
      <formula>0.5</formula>
    </cfRule>
    <cfRule type="cellIs" dxfId="500" priority="168" operator="greaterThanOrEqual">
      <formula>1.5</formula>
    </cfRule>
  </conditionalFormatting>
  <conditionalFormatting sqref="N1626">
    <cfRule type="cellIs" dxfId="499" priority="165" operator="lessThanOrEqual">
      <formula>0.5</formula>
    </cfRule>
    <cfRule type="cellIs" dxfId="498" priority="166" operator="greaterThanOrEqual">
      <formula>1.5</formula>
    </cfRule>
  </conditionalFormatting>
  <conditionalFormatting sqref="K1626">
    <cfRule type="cellIs" dxfId="497" priority="163" operator="lessThanOrEqual">
      <formula>0.5</formula>
    </cfRule>
    <cfRule type="cellIs" dxfId="496" priority="164" operator="greaterThanOrEqual">
      <formula>1.5</formula>
    </cfRule>
  </conditionalFormatting>
  <conditionalFormatting sqref="L1626">
    <cfRule type="cellIs" dxfId="495" priority="161" operator="lessThanOrEqual">
      <formula>0.5</formula>
    </cfRule>
    <cfRule type="cellIs" dxfId="494" priority="162" operator="greaterThanOrEqual">
      <formula>1.5</formula>
    </cfRule>
  </conditionalFormatting>
  <conditionalFormatting sqref="O1629">
    <cfRule type="cellIs" dxfId="493" priority="159" operator="lessThanOrEqual">
      <formula>0.5</formula>
    </cfRule>
    <cfRule type="cellIs" dxfId="492" priority="160" operator="greaterThanOrEqual">
      <formula>1.5</formula>
    </cfRule>
  </conditionalFormatting>
  <conditionalFormatting sqref="N1629">
    <cfRule type="cellIs" dxfId="491" priority="157" operator="lessThanOrEqual">
      <formula>0.5</formula>
    </cfRule>
    <cfRule type="cellIs" dxfId="490" priority="158" operator="greaterThanOrEqual">
      <formula>1.5</formula>
    </cfRule>
  </conditionalFormatting>
  <conditionalFormatting sqref="K1629">
    <cfRule type="cellIs" dxfId="489" priority="155" operator="lessThanOrEqual">
      <formula>0.5</formula>
    </cfRule>
    <cfRule type="cellIs" dxfId="488" priority="156" operator="greaterThanOrEqual">
      <formula>1.5</formula>
    </cfRule>
  </conditionalFormatting>
  <conditionalFormatting sqref="L1629">
    <cfRule type="cellIs" dxfId="487" priority="153" operator="lessThanOrEqual">
      <formula>0.5</formula>
    </cfRule>
    <cfRule type="cellIs" dxfId="486" priority="154" operator="greaterThanOrEqual">
      <formula>1.5</formula>
    </cfRule>
  </conditionalFormatting>
  <conditionalFormatting sqref="O1632">
    <cfRule type="cellIs" dxfId="485" priority="151" operator="lessThanOrEqual">
      <formula>0.5</formula>
    </cfRule>
    <cfRule type="cellIs" dxfId="484" priority="152" operator="greaterThanOrEqual">
      <formula>1.5</formula>
    </cfRule>
  </conditionalFormatting>
  <conditionalFormatting sqref="N1632">
    <cfRule type="cellIs" dxfId="483" priority="149" operator="lessThanOrEqual">
      <formula>0.5</formula>
    </cfRule>
    <cfRule type="cellIs" dxfId="482" priority="150" operator="greaterThanOrEqual">
      <formula>1.5</formula>
    </cfRule>
  </conditionalFormatting>
  <conditionalFormatting sqref="K1632">
    <cfRule type="cellIs" dxfId="481" priority="147" operator="lessThanOrEqual">
      <formula>0.5</formula>
    </cfRule>
    <cfRule type="cellIs" dxfId="480" priority="148" operator="greaterThanOrEqual">
      <formula>1.5</formula>
    </cfRule>
  </conditionalFormatting>
  <conditionalFormatting sqref="L1632">
    <cfRule type="cellIs" dxfId="479" priority="145" operator="lessThanOrEqual">
      <formula>0.5</formula>
    </cfRule>
    <cfRule type="cellIs" dxfId="478" priority="146" operator="greaterThanOrEqual">
      <formula>1.5</formula>
    </cfRule>
  </conditionalFormatting>
  <conditionalFormatting sqref="O1635">
    <cfRule type="cellIs" dxfId="477" priority="143" operator="lessThanOrEqual">
      <formula>0.5</formula>
    </cfRule>
    <cfRule type="cellIs" dxfId="476" priority="144" operator="greaterThanOrEqual">
      <formula>1.5</formula>
    </cfRule>
  </conditionalFormatting>
  <conditionalFormatting sqref="N1635">
    <cfRule type="cellIs" dxfId="475" priority="141" operator="lessThanOrEqual">
      <formula>0.5</formula>
    </cfRule>
    <cfRule type="cellIs" dxfId="474" priority="142" operator="greaterThanOrEqual">
      <formula>1.5</formula>
    </cfRule>
  </conditionalFormatting>
  <conditionalFormatting sqref="K1635">
    <cfRule type="cellIs" dxfId="473" priority="139" operator="lessThanOrEqual">
      <formula>0.5</formula>
    </cfRule>
    <cfRule type="cellIs" dxfId="472" priority="140" operator="greaterThanOrEqual">
      <formula>1.5</formula>
    </cfRule>
  </conditionalFormatting>
  <conditionalFormatting sqref="L1635">
    <cfRule type="cellIs" dxfId="471" priority="137" operator="lessThanOrEqual">
      <formula>0.5</formula>
    </cfRule>
    <cfRule type="cellIs" dxfId="470" priority="138" operator="greaterThanOrEqual">
      <formula>1.5</formula>
    </cfRule>
  </conditionalFormatting>
  <conditionalFormatting sqref="O1638">
    <cfRule type="cellIs" dxfId="469" priority="135" operator="lessThanOrEqual">
      <formula>0.5</formula>
    </cfRule>
    <cfRule type="cellIs" dxfId="468" priority="136" operator="greaterThanOrEqual">
      <formula>1.5</formula>
    </cfRule>
  </conditionalFormatting>
  <conditionalFormatting sqref="N1638">
    <cfRule type="cellIs" dxfId="467" priority="133" operator="lessThanOrEqual">
      <formula>0.5</formula>
    </cfRule>
    <cfRule type="cellIs" dxfId="466" priority="134" operator="greaterThanOrEqual">
      <formula>1.5</formula>
    </cfRule>
  </conditionalFormatting>
  <conditionalFormatting sqref="K1638">
    <cfRule type="cellIs" dxfId="465" priority="131" operator="lessThanOrEqual">
      <formula>0.5</formula>
    </cfRule>
    <cfRule type="cellIs" dxfId="464" priority="132" operator="greaterThanOrEqual">
      <formula>1.5</formula>
    </cfRule>
  </conditionalFormatting>
  <conditionalFormatting sqref="L1638">
    <cfRule type="cellIs" dxfId="463" priority="129" operator="lessThanOrEqual">
      <formula>0.5</formula>
    </cfRule>
    <cfRule type="cellIs" dxfId="462" priority="130" operator="greaterThanOrEqual">
      <formula>1.5</formula>
    </cfRule>
  </conditionalFormatting>
  <conditionalFormatting sqref="O1641">
    <cfRule type="cellIs" dxfId="461" priority="127" operator="lessThanOrEqual">
      <formula>0.5</formula>
    </cfRule>
    <cfRule type="cellIs" dxfId="460" priority="128" operator="greaterThanOrEqual">
      <formula>1.5</formula>
    </cfRule>
  </conditionalFormatting>
  <conditionalFormatting sqref="N1641">
    <cfRule type="cellIs" dxfId="459" priority="125" operator="lessThanOrEqual">
      <formula>0.5</formula>
    </cfRule>
    <cfRule type="cellIs" dxfId="458" priority="126" operator="greaterThanOrEqual">
      <formula>1.5</formula>
    </cfRule>
  </conditionalFormatting>
  <conditionalFormatting sqref="K1641">
    <cfRule type="cellIs" dxfId="457" priority="123" operator="lessThanOrEqual">
      <formula>0.5</formula>
    </cfRule>
    <cfRule type="cellIs" dxfId="456" priority="124" operator="greaterThanOrEqual">
      <formula>1.5</formula>
    </cfRule>
  </conditionalFormatting>
  <conditionalFormatting sqref="L1641">
    <cfRule type="cellIs" dxfId="455" priority="121" operator="lessThanOrEqual">
      <formula>0.5</formula>
    </cfRule>
    <cfRule type="cellIs" dxfId="454" priority="122" operator="greaterThanOrEqual">
      <formula>1.5</formula>
    </cfRule>
  </conditionalFormatting>
  <conditionalFormatting sqref="O1644">
    <cfRule type="cellIs" dxfId="453" priority="119" operator="lessThanOrEqual">
      <formula>0.5</formula>
    </cfRule>
    <cfRule type="cellIs" dxfId="452" priority="120" operator="greaterThanOrEqual">
      <formula>1.5</formula>
    </cfRule>
  </conditionalFormatting>
  <conditionalFormatting sqref="N1644">
    <cfRule type="cellIs" dxfId="451" priority="117" operator="lessThanOrEqual">
      <formula>0.5</formula>
    </cfRule>
    <cfRule type="cellIs" dxfId="450" priority="118" operator="greaterThanOrEqual">
      <formula>1.5</formula>
    </cfRule>
  </conditionalFormatting>
  <conditionalFormatting sqref="K1644">
    <cfRule type="cellIs" dxfId="449" priority="115" operator="lessThanOrEqual">
      <formula>0.5</formula>
    </cfRule>
    <cfRule type="cellIs" dxfId="448" priority="116" operator="greaterThanOrEqual">
      <formula>1.5</formula>
    </cfRule>
  </conditionalFormatting>
  <conditionalFormatting sqref="L1644">
    <cfRule type="cellIs" dxfId="447" priority="113" operator="lessThanOrEqual">
      <formula>0.5</formula>
    </cfRule>
    <cfRule type="cellIs" dxfId="446" priority="114" operator="greaterThanOrEqual">
      <formula>1.5</formula>
    </cfRule>
  </conditionalFormatting>
  <conditionalFormatting sqref="O1647">
    <cfRule type="cellIs" dxfId="445" priority="111" operator="lessThanOrEqual">
      <formula>0.5</formula>
    </cfRule>
    <cfRule type="cellIs" dxfId="444" priority="112" operator="greaterThanOrEqual">
      <formula>1.5</formula>
    </cfRule>
  </conditionalFormatting>
  <conditionalFormatting sqref="N1647">
    <cfRule type="cellIs" dxfId="443" priority="109" operator="lessThanOrEqual">
      <formula>0.5</formula>
    </cfRule>
    <cfRule type="cellIs" dxfId="442" priority="110" operator="greaterThanOrEqual">
      <formula>1.5</formula>
    </cfRule>
  </conditionalFormatting>
  <conditionalFormatting sqref="K1647">
    <cfRule type="cellIs" dxfId="441" priority="107" operator="lessThanOrEqual">
      <formula>0.5</formula>
    </cfRule>
    <cfRule type="cellIs" dxfId="440" priority="108" operator="greaterThanOrEqual">
      <formula>1.5</formula>
    </cfRule>
  </conditionalFormatting>
  <conditionalFormatting sqref="L1647">
    <cfRule type="cellIs" dxfId="439" priority="105" operator="lessThanOrEqual">
      <formula>0.5</formula>
    </cfRule>
    <cfRule type="cellIs" dxfId="438" priority="106" operator="greaterThanOrEqual">
      <formula>1.5</formula>
    </cfRule>
  </conditionalFormatting>
  <conditionalFormatting sqref="O1650">
    <cfRule type="cellIs" dxfId="437" priority="103" operator="lessThanOrEqual">
      <formula>0.5</formula>
    </cfRule>
    <cfRule type="cellIs" dxfId="436" priority="104" operator="greaterThanOrEqual">
      <formula>1.5</formula>
    </cfRule>
  </conditionalFormatting>
  <conditionalFormatting sqref="N1650">
    <cfRule type="cellIs" dxfId="435" priority="101" operator="lessThanOrEqual">
      <formula>0.5</formula>
    </cfRule>
    <cfRule type="cellIs" dxfId="434" priority="102" operator="greaterThanOrEqual">
      <formula>1.5</formula>
    </cfRule>
  </conditionalFormatting>
  <conditionalFormatting sqref="K1650">
    <cfRule type="cellIs" dxfId="433" priority="99" operator="lessThanOrEqual">
      <formula>0.5</formula>
    </cfRule>
    <cfRule type="cellIs" dxfId="432" priority="100" operator="greaterThanOrEqual">
      <formula>1.5</formula>
    </cfRule>
  </conditionalFormatting>
  <conditionalFormatting sqref="L1650">
    <cfRule type="cellIs" dxfId="431" priority="97" operator="lessThanOrEqual">
      <formula>0.5</formula>
    </cfRule>
    <cfRule type="cellIs" dxfId="430" priority="98" operator="greaterThanOrEqual">
      <formula>1.5</formula>
    </cfRule>
  </conditionalFormatting>
  <conditionalFormatting sqref="O1653">
    <cfRule type="cellIs" dxfId="429" priority="95" operator="lessThanOrEqual">
      <formula>0.5</formula>
    </cfRule>
    <cfRule type="cellIs" dxfId="428" priority="96" operator="greaterThanOrEqual">
      <formula>1.5</formula>
    </cfRule>
  </conditionalFormatting>
  <conditionalFormatting sqref="N1653">
    <cfRule type="cellIs" dxfId="427" priority="93" operator="lessThanOrEqual">
      <formula>0.5</formula>
    </cfRule>
    <cfRule type="cellIs" dxfId="426" priority="94" operator="greaterThanOrEqual">
      <formula>1.5</formula>
    </cfRule>
  </conditionalFormatting>
  <conditionalFormatting sqref="K1653">
    <cfRule type="cellIs" dxfId="425" priority="91" operator="lessThanOrEqual">
      <formula>0.5</formula>
    </cfRule>
    <cfRule type="cellIs" dxfId="424" priority="92" operator="greaterThanOrEqual">
      <formula>1.5</formula>
    </cfRule>
  </conditionalFormatting>
  <conditionalFormatting sqref="L1653">
    <cfRule type="cellIs" dxfId="423" priority="89" operator="lessThanOrEqual">
      <formula>0.5</formula>
    </cfRule>
    <cfRule type="cellIs" dxfId="422" priority="90" operator="greaterThanOrEqual">
      <formula>1.5</formula>
    </cfRule>
  </conditionalFormatting>
  <conditionalFormatting sqref="O1656">
    <cfRule type="cellIs" dxfId="421" priority="87" operator="lessThanOrEqual">
      <formula>0.5</formula>
    </cfRule>
    <cfRule type="cellIs" dxfId="420" priority="88" operator="greaterThanOrEqual">
      <formula>1.5</formula>
    </cfRule>
  </conditionalFormatting>
  <conditionalFormatting sqref="N1656">
    <cfRule type="cellIs" dxfId="419" priority="85" operator="lessThanOrEqual">
      <formula>0.5</formula>
    </cfRule>
    <cfRule type="cellIs" dxfId="418" priority="86" operator="greaterThanOrEqual">
      <formula>1.5</formula>
    </cfRule>
  </conditionalFormatting>
  <conditionalFormatting sqref="K1656">
    <cfRule type="cellIs" dxfId="417" priority="83" operator="lessThanOrEqual">
      <formula>0.5</formula>
    </cfRule>
    <cfRule type="cellIs" dxfId="416" priority="84" operator="greaterThanOrEqual">
      <formula>1.5</formula>
    </cfRule>
  </conditionalFormatting>
  <conditionalFormatting sqref="L1656">
    <cfRule type="cellIs" dxfId="415" priority="81" operator="lessThanOrEqual">
      <formula>0.5</formula>
    </cfRule>
    <cfRule type="cellIs" dxfId="414" priority="82" operator="greaterThanOrEqual">
      <formula>1.5</formula>
    </cfRule>
  </conditionalFormatting>
  <conditionalFormatting sqref="O1659">
    <cfRule type="cellIs" dxfId="413" priority="79" operator="lessThanOrEqual">
      <formula>0.5</formula>
    </cfRule>
    <cfRule type="cellIs" dxfId="412" priority="80" operator="greaterThanOrEqual">
      <formula>1.5</formula>
    </cfRule>
  </conditionalFormatting>
  <conditionalFormatting sqref="N1659">
    <cfRule type="cellIs" dxfId="411" priority="77" operator="lessThanOrEqual">
      <formula>0.5</formula>
    </cfRule>
    <cfRule type="cellIs" dxfId="410" priority="78" operator="greaterThanOrEqual">
      <formula>1.5</formula>
    </cfRule>
  </conditionalFormatting>
  <conditionalFormatting sqref="K1659">
    <cfRule type="cellIs" dxfId="409" priority="75" operator="lessThanOrEqual">
      <formula>0.5</formula>
    </cfRule>
    <cfRule type="cellIs" dxfId="408" priority="76" operator="greaterThanOrEqual">
      <formula>1.5</formula>
    </cfRule>
  </conditionalFormatting>
  <conditionalFormatting sqref="L1659">
    <cfRule type="cellIs" dxfId="407" priority="73" operator="lessThanOrEqual">
      <formula>0.5</formula>
    </cfRule>
    <cfRule type="cellIs" dxfId="406" priority="74" operator="greaterThanOrEqual">
      <formula>1.5</formula>
    </cfRule>
  </conditionalFormatting>
  <conditionalFormatting sqref="O1662">
    <cfRule type="cellIs" dxfId="405" priority="71" operator="lessThanOrEqual">
      <formula>0.5</formula>
    </cfRule>
    <cfRule type="cellIs" dxfId="404" priority="72" operator="greaterThanOrEqual">
      <formula>1.5</formula>
    </cfRule>
  </conditionalFormatting>
  <conditionalFormatting sqref="N1662">
    <cfRule type="cellIs" dxfId="403" priority="69" operator="lessThanOrEqual">
      <formula>0.5</formula>
    </cfRule>
    <cfRule type="cellIs" dxfId="402" priority="70" operator="greaterThanOrEqual">
      <formula>1.5</formula>
    </cfRule>
  </conditionalFormatting>
  <conditionalFormatting sqref="K1662">
    <cfRule type="cellIs" dxfId="401" priority="67" operator="lessThanOrEqual">
      <formula>0.5</formula>
    </cfRule>
    <cfRule type="cellIs" dxfId="400" priority="68" operator="greaterThanOrEqual">
      <formula>1.5</formula>
    </cfRule>
  </conditionalFormatting>
  <conditionalFormatting sqref="L1662">
    <cfRule type="cellIs" dxfId="399" priority="65" operator="lessThanOrEqual">
      <formula>0.5</formula>
    </cfRule>
    <cfRule type="cellIs" dxfId="398" priority="66" operator="greaterThanOrEqual">
      <formula>1.5</formula>
    </cfRule>
  </conditionalFormatting>
  <conditionalFormatting sqref="O1665">
    <cfRule type="cellIs" dxfId="397" priority="63" operator="lessThanOrEqual">
      <formula>0.5</formula>
    </cfRule>
    <cfRule type="cellIs" dxfId="396" priority="64" operator="greaterThanOrEqual">
      <formula>1.5</formula>
    </cfRule>
  </conditionalFormatting>
  <conditionalFormatting sqref="N1665">
    <cfRule type="cellIs" dxfId="395" priority="61" operator="lessThanOrEqual">
      <formula>0.5</formula>
    </cfRule>
    <cfRule type="cellIs" dxfId="394" priority="62" operator="greaterThanOrEqual">
      <formula>1.5</formula>
    </cfRule>
  </conditionalFormatting>
  <conditionalFormatting sqref="K1665">
    <cfRule type="cellIs" dxfId="393" priority="59" operator="lessThanOrEqual">
      <formula>0.5</formula>
    </cfRule>
    <cfRule type="cellIs" dxfId="392" priority="60" operator="greaterThanOrEqual">
      <formula>1.5</formula>
    </cfRule>
  </conditionalFormatting>
  <conditionalFormatting sqref="L1665">
    <cfRule type="cellIs" dxfId="391" priority="57" operator="lessThanOrEqual">
      <formula>0.5</formula>
    </cfRule>
    <cfRule type="cellIs" dxfId="390" priority="58" operator="greaterThanOrEqual">
      <formula>1.5</formula>
    </cfRule>
  </conditionalFormatting>
  <conditionalFormatting sqref="O1668">
    <cfRule type="cellIs" dxfId="389" priority="55" operator="lessThanOrEqual">
      <formula>0.5</formula>
    </cfRule>
    <cfRule type="cellIs" dxfId="388" priority="56" operator="greaterThanOrEqual">
      <formula>1.5</formula>
    </cfRule>
  </conditionalFormatting>
  <conditionalFormatting sqref="N1668">
    <cfRule type="cellIs" dxfId="387" priority="53" operator="lessThanOrEqual">
      <formula>0.5</formula>
    </cfRule>
    <cfRule type="cellIs" dxfId="386" priority="54" operator="greaterThanOrEqual">
      <formula>1.5</formula>
    </cfRule>
  </conditionalFormatting>
  <conditionalFormatting sqref="K1668">
    <cfRule type="cellIs" dxfId="385" priority="51" operator="lessThanOrEqual">
      <formula>0.5</formula>
    </cfRule>
    <cfRule type="cellIs" dxfId="384" priority="52" operator="greaterThanOrEqual">
      <formula>1.5</formula>
    </cfRule>
  </conditionalFormatting>
  <conditionalFormatting sqref="L1668">
    <cfRule type="cellIs" dxfId="383" priority="49" operator="lessThanOrEqual">
      <formula>0.5</formula>
    </cfRule>
    <cfRule type="cellIs" dxfId="382" priority="50" operator="greaterThanOrEqual">
      <formula>1.5</formula>
    </cfRule>
  </conditionalFormatting>
  <conditionalFormatting sqref="O1671">
    <cfRule type="cellIs" dxfId="381" priority="47" operator="lessThanOrEqual">
      <formula>0.5</formula>
    </cfRule>
    <cfRule type="cellIs" dxfId="380" priority="48" operator="greaterThanOrEqual">
      <formula>1.5</formula>
    </cfRule>
  </conditionalFormatting>
  <conditionalFormatting sqref="N1671">
    <cfRule type="cellIs" dxfId="379" priority="45" operator="lessThanOrEqual">
      <formula>0.5</formula>
    </cfRule>
    <cfRule type="cellIs" dxfId="378" priority="46" operator="greaterThanOrEqual">
      <formula>1.5</formula>
    </cfRule>
  </conditionalFormatting>
  <conditionalFormatting sqref="K1671">
    <cfRule type="cellIs" dxfId="377" priority="43" operator="lessThanOrEqual">
      <formula>0.5</formula>
    </cfRule>
    <cfRule type="cellIs" dxfId="376" priority="44" operator="greaterThanOrEqual">
      <formula>1.5</formula>
    </cfRule>
  </conditionalFormatting>
  <conditionalFormatting sqref="L1671">
    <cfRule type="cellIs" dxfId="375" priority="41" operator="lessThanOrEqual">
      <formula>0.5</formula>
    </cfRule>
    <cfRule type="cellIs" dxfId="374" priority="42" operator="greaterThanOrEqual">
      <formula>1.5</formula>
    </cfRule>
  </conditionalFormatting>
  <conditionalFormatting sqref="O1674">
    <cfRule type="cellIs" dxfId="373" priority="39" operator="lessThanOrEqual">
      <formula>0.5</formula>
    </cfRule>
    <cfRule type="cellIs" dxfId="372" priority="40" operator="greaterThanOrEqual">
      <formula>1.5</formula>
    </cfRule>
  </conditionalFormatting>
  <conditionalFormatting sqref="N1674">
    <cfRule type="cellIs" dxfId="371" priority="37" operator="lessThanOrEqual">
      <formula>0.5</formula>
    </cfRule>
    <cfRule type="cellIs" dxfId="370" priority="38" operator="greaterThanOrEqual">
      <formula>1.5</formula>
    </cfRule>
  </conditionalFormatting>
  <conditionalFormatting sqref="K1674">
    <cfRule type="cellIs" dxfId="369" priority="35" operator="lessThanOrEqual">
      <formula>0.5</formula>
    </cfRule>
    <cfRule type="cellIs" dxfId="368" priority="36" operator="greaterThanOrEqual">
      <formula>1.5</formula>
    </cfRule>
  </conditionalFormatting>
  <conditionalFormatting sqref="L1674">
    <cfRule type="cellIs" dxfId="367" priority="33" operator="lessThanOrEqual">
      <formula>0.5</formula>
    </cfRule>
    <cfRule type="cellIs" dxfId="366" priority="34" operator="greaterThanOrEqual">
      <formula>1.5</formula>
    </cfRule>
  </conditionalFormatting>
  <conditionalFormatting sqref="O1677">
    <cfRule type="cellIs" dxfId="365" priority="31" operator="lessThanOrEqual">
      <formula>0.5</formula>
    </cfRule>
    <cfRule type="cellIs" dxfId="364" priority="32" operator="greaterThanOrEqual">
      <formula>1.5</formula>
    </cfRule>
  </conditionalFormatting>
  <conditionalFormatting sqref="N1677">
    <cfRule type="cellIs" dxfId="363" priority="29" operator="lessThanOrEqual">
      <formula>0.5</formula>
    </cfRule>
    <cfRule type="cellIs" dxfId="362" priority="30" operator="greaterThanOrEqual">
      <formula>1.5</formula>
    </cfRule>
  </conditionalFormatting>
  <conditionalFormatting sqref="K1677">
    <cfRule type="cellIs" dxfId="361" priority="27" operator="lessThanOrEqual">
      <formula>0.5</formula>
    </cfRule>
    <cfRule type="cellIs" dxfId="360" priority="28" operator="greaterThanOrEqual">
      <formula>1.5</formula>
    </cfRule>
  </conditionalFormatting>
  <conditionalFormatting sqref="L1677">
    <cfRule type="cellIs" dxfId="359" priority="25" operator="lessThanOrEqual">
      <formula>0.5</formula>
    </cfRule>
    <cfRule type="cellIs" dxfId="358" priority="26" operator="greaterThanOrEqual">
      <formula>1.5</formula>
    </cfRule>
  </conditionalFormatting>
  <conditionalFormatting sqref="O1680">
    <cfRule type="cellIs" dxfId="357" priority="23" operator="lessThanOrEqual">
      <formula>0.5</formula>
    </cfRule>
    <cfRule type="cellIs" dxfId="356" priority="24" operator="greaterThanOrEqual">
      <formula>1.5</formula>
    </cfRule>
  </conditionalFormatting>
  <conditionalFormatting sqref="N1680">
    <cfRule type="cellIs" dxfId="355" priority="21" operator="lessThanOrEqual">
      <formula>0.5</formula>
    </cfRule>
    <cfRule type="cellIs" dxfId="354" priority="22" operator="greaterThanOrEqual">
      <formula>1.5</formula>
    </cfRule>
  </conditionalFormatting>
  <conditionalFormatting sqref="K1680">
    <cfRule type="cellIs" dxfId="353" priority="19" operator="lessThanOrEqual">
      <formula>0.5</formula>
    </cfRule>
    <cfRule type="cellIs" dxfId="352" priority="20" operator="greaterThanOrEqual">
      <formula>1.5</formula>
    </cfRule>
  </conditionalFormatting>
  <conditionalFormatting sqref="L1680">
    <cfRule type="cellIs" dxfId="351" priority="17" operator="lessThanOrEqual">
      <formula>0.5</formula>
    </cfRule>
    <cfRule type="cellIs" dxfId="350" priority="18" operator="greaterThanOrEqual">
      <formula>1.5</formula>
    </cfRule>
  </conditionalFormatting>
  <conditionalFormatting sqref="O1683">
    <cfRule type="cellIs" dxfId="349" priority="15" operator="lessThanOrEqual">
      <formula>0.5</formula>
    </cfRule>
    <cfRule type="cellIs" dxfId="348" priority="16" operator="greaterThanOrEqual">
      <formula>1.5</formula>
    </cfRule>
  </conditionalFormatting>
  <conditionalFormatting sqref="N1683">
    <cfRule type="cellIs" dxfId="347" priority="13" operator="lessThanOrEqual">
      <formula>0.5</formula>
    </cfRule>
    <cfRule type="cellIs" dxfId="346" priority="14" operator="greaterThanOrEqual">
      <formula>1.5</formula>
    </cfRule>
  </conditionalFormatting>
  <conditionalFormatting sqref="K1683">
    <cfRule type="cellIs" dxfId="345" priority="11" operator="lessThanOrEqual">
      <formula>0.5</formula>
    </cfRule>
    <cfRule type="cellIs" dxfId="344" priority="12" operator="greaterThanOrEqual">
      <formula>1.5</formula>
    </cfRule>
  </conditionalFormatting>
  <conditionalFormatting sqref="L1683">
    <cfRule type="cellIs" dxfId="343" priority="9" operator="lessThanOrEqual">
      <formula>0.5</formula>
    </cfRule>
    <cfRule type="cellIs" dxfId="342" priority="10" operator="greaterThanOrEqual">
      <formula>1.5</formula>
    </cfRule>
  </conditionalFormatting>
  <conditionalFormatting sqref="O1686">
    <cfRule type="cellIs" dxfId="341" priority="7" operator="lessThanOrEqual">
      <formula>0.5</formula>
    </cfRule>
    <cfRule type="cellIs" dxfId="340" priority="8" operator="greaterThanOrEqual">
      <formula>1.5</formula>
    </cfRule>
  </conditionalFormatting>
  <conditionalFormatting sqref="N1686">
    <cfRule type="cellIs" dxfId="339" priority="5" operator="lessThanOrEqual">
      <formula>0.5</formula>
    </cfRule>
    <cfRule type="cellIs" dxfId="338" priority="6" operator="greaterThanOrEqual">
      <formula>1.5</formula>
    </cfRule>
  </conditionalFormatting>
  <conditionalFormatting sqref="K1686">
    <cfRule type="cellIs" dxfId="337" priority="3" operator="lessThanOrEqual">
      <formula>0.5</formula>
    </cfRule>
    <cfRule type="cellIs" dxfId="336" priority="4" operator="greaterThanOrEqual">
      <formula>1.5</formula>
    </cfRule>
  </conditionalFormatting>
  <conditionalFormatting sqref="L1686">
    <cfRule type="cellIs" dxfId="335" priority="1" operator="lessThanOrEqual">
      <formula>0.5</formula>
    </cfRule>
    <cfRule type="cellIs" dxfId="334" priority="2" operator="greaterThanOrEqual">
      <formula>1.5</formula>
    </cfRule>
  </conditionalFormatting>
  <pageMargins left="0.25" right="0.25" top="0.75" bottom="0.75" header="0.3" footer="0.3"/>
  <pageSetup scale="50"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AE565"/>
  <sheetViews>
    <sheetView tabSelected="1" zoomScale="85" zoomScaleNormal="85" workbookViewId="0">
      <pane xSplit="3" ySplit="3" topLeftCell="E538" activePane="bottomRight" state="frozen"/>
      <selection pane="topRight" activeCell="C1" sqref="C1"/>
      <selection pane="bottomLeft" activeCell="A2" sqref="A2"/>
      <selection pane="bottomRight" activeCell="B546" sqref="B546"/>
    </sheetView>
  </sheetViews>
  <sheetFormatPr defaultRowHeight="15" x14ac:dyDescent="0.25"/>
  <cols>
    <col min="1" max="1" width="16.7109375" customWidth="1"/>
    <col min="2" max="2" width="30.140625" customWidth="1"/>
    <col min="5" max="5" width="6.85546875" customWidth="1"/>
    <col min="8" max="8" width="10.7109375" customWidth="1"/>
    <col min="9" max="9" width="12" customWidth="1"/>
    <col min="13" max="13" width="8.28515625" customWidth="1"/>
    <col min="14" max="14" width="7.140625" customWidth="1"/>
    <col min="16" max="16" width="6.28515625" customWidth="1"/>
    <col min="21" max="30" width="7.42578125" customWidth="1"/>
    <col min="31" max="31" width="42.28515625" customWidth="1"/>
  </cols>
  <sheetData>
    <row r="1" spans="1:31" s="84" customFormat="1" ht="18.75" x14ac:dyDescent="0.3">
      <c r="A1" s="82" t="s">
        <v>1230</v>
      </c>
      <c r="B1" s="82"/>
      <c r="C1" s="82"/>
      <c r="D1" s="82"/>
      <c r="E1" s="82"/>
      <c r="F1" s="82"/>
      <c r="G1" s="82"/>
      <c r="H1" s="82"/>
      <c r="I1" s="82"/>
      <c r="J1" s="82"/>
      <c r="K1" s="82"/>
      <c r="L1" s="82"/>
      <c r="M1" s="82"/>
      <c r="N1" s="82"/>
      <c r="O1" s="82"/>
      <c r="P1" s="82"/>
      <c r="Q1" s="82"/>
      <c r="R1" s="82"/>
      <c r="S1" s="82"/>
      <c r="T1" s="82"/>
      <c r="U1" s="83"/>
      <c r="V1" s="83"/>
      <c r="W1" s="83"/>
      <c r="X1" s="83"/>
      <c r="Y1" s="83"/>
      <c r="Z1" s="83"/>
      <c r="AA1" s="83"/>
      <c r="AB1" s="83"/>
      <c r="AC1" s="83"/>
      <c r="AD1" s="83"/>
      <c r="AE1" s="83"/>
    </row>
    <row r="2" spans="1:31" ht="15.75" thickBot="1" x14ac:dyDescent="0.3"/>
    <row r="3" spans="1:31" ht="57.75" customHeight="1" thickBot="1" x14ac:dyDescent="0.3">
      <c r="A3" s="1" t="s">
        <v>0</v>
      </c>
      <c r="B3" s="1" t="s">
        <v>951</v>
      </c>
      <c r="C3" s="1" t="s">
        <v>1</v>
      </c>
      <c r="D3" s="1" t="s">
        <v>2</v>
      </c>
      <c r="E3" s="1" t="s">
        <v>3</v>
      </c>
      <c r="F3" s="1" t="s">
        <v>4</v>
      </c>
      <c r="G3" s="1" t="s">
        <v>5</v>
      </c>
      <c r="H3" s="1" t="s">
        <v>6</v>
      </c>
      <c r="I3" s="1" t="s">
        <v>7</v>
      </c>
      <c r="J3" s="2" t="s">
        <v>8</v>
      </c>
      <c r="K3" s="2" t="s">
        <v>9</v>
      </c>
      <c r="L3" s="2" t="s">
        <v>965</v>
      </c>
      <c r="M3" s="2" t="s">
        <v>964</v>
      </c>
      <c r="N3" s="1" t="s">
        <v>963</v>
      </c>
      <c r="O3" s="1" t="s">
        <v>10</v>
      </c>
      <c r="P3" s="1" t="s">
        <v>11</v>
      </c>
      <c r="Q3" s="1" t="s">
        <v>957</v>
      </c>
      <c r="R3" s="1" t="s">
        <v>958</v>
      </c>
      <c r="S3" s="1" t="s">
        <v>955</v>
      </c>
      <c r="T3" s="1" t="s">
        <v>956</v>
      </c>
      <c r="U3" s="38" t="s">
        <v>18</v>
      </c>
      <c r="V3" s="38" t="s">
        <v>23</v>
      </c>
      <c r="W3" s="39" t="s">
        <v>19</v>
      </c>
      <c r="X3" s="38" t="s">
        <v>24</v>
      </c>
      <c r="Y3" s="38" t="s">
        <v>843</v>
      </c>
      <c r="Z3" s="38" t="s">
        <v>17</v>
      </c>
      <c r="AA3" s="38" t="s">
        <v>15</v>
      </c>
      <c r="AB3" s="38" t="s">
        <v>22</v>
      </c>
      <c r="AC3" s="38" t="s">
        <v>20</v>
      </c>
      <c r="AD3" s="38" t="s">
        <v>21</v>
      </c>
      <c r="AE3" s="3" t="s">
        <v>13</v>
      </c>
    </row>
    <row r="4" spans="1:31" ht="18" customHeight="1" thickBot="1" x14ac:dyDescent="0.3">
      <c r="A4" s="4" t="s">
        <v>25</v>
      </c>
      <c r="B4" s="4" t="s">
        <v>950</v>
      </c>
      <c r="C4" s="5" t="s">
        <v>14</v>
      </c>
      <c r="D4" s="5" t="s">
        <v>26</v>
      </c>
      <c r="E4" s="5" t="s">
        <v>27</v>
      </c>
      <c r="F4" s="5" t="s">
        <v>28</v>
      </c>
      <c r="G4" s="5" t="s">
        <v>16</v>
      </c>
      <c r="H4" s="6" t="s">
        <v>33</v>
      </c>
      <c r="I4" s="7" t="s">
        <v>359</v>
      </c>
      <c r="J4" s="8" t="s">
        <v>27</v>
      </c>
      <c r="K4" s="8">
        <v>0.66159999999999997</v>
      </c>
      <c r="L4" s="8">
        <v>1.3667232597623091</v>
      </c>
      <c r="M4" s="5"/>
      <c r="N4" s="8">
        <v>1.3667232597623091</v>
      </c>
      <c r="O4" s="9">
        <v>2.0657848545379518</v>
      </c>
      <c r="P4" s="10" t="s">
        <v>31</v>
      </c>
      <c r="Q4" s="10">
        <f>IF(K4&gt;1.5,1,0)</f>
        <v>0</v>
      </c>
      <c r="R4" s="10">
        <f>IF(K4&lt;0.5,1,0)</f>
        <v>0</v>
      </c>
      <c r="S4" s="10">
        <f>IF(O4&gt;1.5,1,0)</f>
        <v>1</v>
      </c>
      <c r="T4" s="10">
        <f>IF(O4&lt;0.5,1,0)</f>
        <v>0</v>
      </c>
      <c r="U4" s="11">
        <f>IF(ISNUMBER(SEARCH(U$3,$AE4)), 1,"")</f>
        <v>1</v>
      </c>
      <c r="V4" s="11" t="str">
        <f t="shared" ref="V4:AD19" si="0">IF(ISNUMBER(SEARCH(V$3,$AE4)), 1,"")</f>
        <v/>
      </c>
      <c r="W4" s="11" t="str">
        <f t="shared" si="0"/>
        <v/>
      </c>
      <c r="X4" s="11" t="str">
        <f t="shared" si="0"/>
        <v/>
      </c>
      <c r="Y4" s="11" t="str">
        <f t="shared" si="0"/>
        <v/>
      </c>
      <c r="Z4" s="11">
        <f t="shared" si="0"/>
        <v>1</v>
      </c>
      <c r="AA4" s="11">
        <f t="shared" si="0"/>
        <v>1</v>
      </c>
      <c r="AB4" s="11" t="str">
        <f t="shared" si="0"/>
        <v/>
      </c>
      <c r="AC4" s="11" t="str">
        <f t="shared" si="0"/>
        <v/>
      </c>
      <c r="AD4" s="11" t="str">
        <f t="shared" si="0"/>
        <v/>
      </c>
      <c r="AE4" s="12" t="s">
        <v>1108</v>
      </c>
    </row>
    <row r="5" spans="1:31" ht="18" customHeight="1" thickTop="1" thickBot="1" x14ac:dyDescent="0.3">
      <c r="A5" s="4" t="s">
        <v>34</v>
      </c>
      <c r="B5" s="4" t="s">
        <v>950</v>
      </c>
      <c r="C5" s="5" t="s">
        <v>35</v>
      </c>
      <c r="D5" s="5" t="s">
        <v>26</v>
      </c>
      <c r="E5" s="5" t="s">
        <v>36</v>
      </c>
      <c r="F5" s="5" t="s">
        <v>37</v>
      </c>
      <c r="G5" s="5" t="s">
        <v>16</v>
      </c>
      <c r="H5" s="6" t="s">
        <v>39</v>
      </c>
      <c r="I5" s="7" t="s">
        <v>38</v>
      </c>
      <c r="J5" s="8" t="s">
        <v>27</v>
      </c>
      <c r="K5" s="8">
        <v>1</v>
      </c>
      <c r="L5" s="8">
        <v>1.0973550928531233</v>
      </c>
      <c r="M5" s="5"/>
      <c r="N5" s="8">
        <v>1.0973550928531233</v>
      </c>
      <c r="O5" s="9">
        <v>1.0973550928531233</v>
      </c>
      <c r="P5" s="10" t="s">
        <v>27</v>
      </c>
      <c r="Q5" s="10">
        <f t="shared" ref="Q5:Q68" si="1">IF(K5&gt;1.5,1,0)</f>
        <v>0</v>
      </c>
      <c r="R5" s="10">
        <f t="shared" ref="R5:R68" si="2">IF(K5&lt;0.5,1,0)</f>
        <v>0</v>
      </c>
      <c r="S5" s="10">
        <f>IF(O5&gt;1.5,1,0)</f>
        <v>0</v>
      </c>
      <c r="T5" s="10">
        <f>IF(O5&lt;0.5,1,0)</f>
        <v>0</v>
      </c>
      <c r="U5" s="11" t="str">
        <f t="shared" ref="U5:AD43" si="3">IF(ISNUMBER(SEARCH(U$3,$AE5)), 1,"")</f>
        <v/>
      </c>
      <c r="V5" s="11" t="str">
        <f t="shared" si="0"/>
        <v/>
      </c>
      <c r="W5" s="11" t="str">
        <f t="shared" si="0"/>
        <v/>
      </c>
      <c r="X5" s="11" t="str">
        <f t="shared" si="0"/>
        <v/>
      </c>
      <c r="Y5" s="11" t="str">
        <f t="shared" si="0"/>
        <v/>
      </c>
      <c r="Z5" s="11" t="str">
        <f t="shared" si="0"/>
        <v/>
      </c>
      <c r="AA5" s="11" t="str">
        <f t="shared" si="0"/>
        <v/>
      </c>
      <c r="AB5" s="11" t="str">
        <f t="shared" si="0"/>
        <v/>
      </c>
      <c r="AC5" s="11" t="str">
        <f t="shared" si="0"/>
        <v/>
      </c>
      <c r="AD5" s="11" t="str">
        <f t="shared" si="0"/>
        <v/>
      </c>
      <c r="AE5" s="12" t="s">
        <v>27</v>
      </c>
    </row>
    <row r="6" spans="1:31" ht="18" customHeight="1" thickTop="1" thickBot="1" x14ac:dyDescent="0.3">
      <c r="A6" s="4" t="s">
        <v>34</v>
      </c>
      <c r="B6" s="4" t="s">
        <v>950</v>
      </c>
      <c r="C6" s="5" t="s">
        <v>35</v>
      </c>
      <c r="D6" s="5" t="s">
        <v>26</v>
      </c>
      <c r="E6" s="5" t="s">
        <v>40</v>
      </c>
      <c r="F6" s="5" t="s">
        <v>41</v>
      </c>
      <c r="G6" s="5" t="s">
        <v>16</v>
      </c>
      <c r="H6" s="6" t="s">
        <v>39</v>
      </c>
      <c r="I6" s="7" t="s">
        <v>387</v>
      </c>
      <c r="J6" s="8" t="s">
        <v>27</v>
      </c>
      <c r="K6" s="8">
        <v>1</v>
      </c>
      <c r="L6" s="8">
        <v>1.7350157728706626</v>
      </c>
      <c r="M6" s="5"/>
      <c r="N6" s="8">
        <v>1.7350157728706626</v>
      </c>
      <c r="O6" s="9">
        <v>1.7350157728706626</v>
      </c>
      <c r="P6" s="10" t="s">
        <v>31</v>
      </c>
      <c r="Q6" s="10">
        <f t="shared" si="1"/>
        <v>0</v>
      </c>
      <c r="R6" s="10">
        <f t="shared" si="2"/>
        <v>0</v>
      </c>
      <c r="S6" s="10">
        <f t="shared" ref="S6:S68" si="4">IF(O6&gt;1.5,1,0)</f>
        <v>1</v>
      </c>
      <c r="T6" s="10">
        <f t="shared" ref="T6:T68" si="5">IF(O6&lt;0.5,1,0)</f>
        <v>0</v>
      </c>
      <c r="U6" s="11">
        <f t="shared" si="3"/>
        <v>1</v>
      </c>
      <c r="V6" s="11" t="str">
        <f t="shared" si="0"/>
        <v/>
      </c>
      <c r="W6" s="11" t="str">
        <f t="shared" si="0"/>
        <v/>
      </c>
      <c r="X6" s="11" t="str">
        <f t="shared" si="0"/>
        <v/>
      </c>
      <c r="Y6" s="11" t="str">
        <f t="shared" si="0"/>
        <v/>
      </c>
      <c r="Z6" s="11" t="str">
        <f t="shared" si="0"/>
        <v/>
      </c>
      <c r="AA6" s="11">
        <f t="shared" si="0"/>
        <v>1</v>
      </c>
      <c r="AB6" s="11" t="str">
        <f t="shared" si="0"/>
        <v/>
      </c>
      <c r="AC6" s="11" t="str">
        <f t="shared" si="0"/>
        <v/>
      </c>
      <c r="AD6" s="11">
        <f t="shared" si="0"/>
        <v>1</v>
      </c>
      <c r="AE6" s="12" t="s">
        <v>1110</v>
      </c>
    </row>
    <row r="7" spans="1:31" ht="18" customHeight="1" thickTop="1" thickBot="1" x14ac:dyDescent="0.3">
      <c r="A7" s="4" t="s">
        <v>34</v>
      </c>
      <c r="B7" s="4" t="s">
        <v>950</v>
      </c>
      <c r="C7" s="5" t="s">
        <v>35</v>
      </c>
      <c r="D7" s="5" t="s">
        <v>42</v>
      </c>
      <c r="E7" s="5" t="s">
        <v>27</v>
      </c>
      <c r="F7" s="5" t="s">
        <v>43</v>
      </c>
      <c r="G7" s="5" t="s">
        <v>16</v>
      </c>
      <c r="H7" s="6" t="s">
        <v>39</v>
      </c>
      <c r="I7" s="7" t="s">
        <v>44</v>
      </c>
      <c r="J7" s="8">
        <v>1.1875</v>
      </c>
      <c r="K7" s="8">
        <v>1</v>
      </c>
      <c r="L7" s="8">
        <v>1.430761369443025</v>
      </c>
      <c r="M7" s="5"/>
      <c r="N7" s="8">
        <v>1.430761369443025</v>
      </c>
      <c r="O7" s="9">
        <v>1.430761369443025</v>
      </c>
      <c r="P7" s="10" t="s">
        <v>27</v>
      </c>
      <c r="Q7" s="10">
        <f t="shared" si="1"/>
        <v>0</v>
      </c>
      <c r="R7" s="10">
        <f t="shared" si="2"/>
        <v>0</v>
      </c>
      <c r="S7" s="10">
        <f t="shared" si="4"/>
        <v>0</v>
      </c>
      <c r="T7" s="10">
        <f t="shared" si="5"/>
        <v>0</v>
      </c>
      <c r="U7" s="11" t="str">
        <f t="shared" si="3"/>
        <v/>
      </c>
      <c r="V7" s="11" t="str">
        <f t="shared" si="0"/>
        <v/>
      </c>
      <c r="W7" s="11" t="str">
        <f t="shared" si="0"/>
        <v/>
      </c>
      <c r="X7" s="11" t="str">
        <f t="shared" si="0"/>
        <v/>
      </c>
      <c r="Y7" s="11" t="str">
        <f t="shared" si="0"/>
        <v/>
      </c>
      <c r="Z7" s="11" t="str">
        <f t="shared" si="0"/>
        <v/>
      </c>
      <c r="AA7" s="11" t="str">
        <f t="shared" si="0"/>
        <v/>
      </c>
      <c r="AB7" s="11" t="str">
        <f t="shared" si="0"/>
        <v/>
      </c>
      <c r="AC7" s="11" t="str">
        <f t="shared" si="0"/>
        <v/>
      </c>
      <c r="AD7" s="11" t="str">
        <f t="shared" si="0"/>
        <v/>
      </c>
      <c r="AE7" s="12" t="s">
        <v>27</v>
      </c>
    </row>
    <row r="8" spans="1:31" ht="18" customHeight="1" thickTop="1" thickBot="1" x14ac:dyDescent="0.3">
      <c r="A8" s="4" t="s">
        <v>45</v>
      </c>
      <c r="B8" s="4" t="s">
        <v>947</v>
      </c>
      <c r="C8" s="5" t="s">
        <v>46</v>
      </c>
      <c r="D8" s="5" t="s">
        <v>26</v>
      </c>
      <c r="E8" s="5" t="s">
        <v>27</v>
      </c>
      <c r="F8" s="5" t="s">
        <v>47</v>
      </c>
      <c r="G8" s="5" t="s">
        <v>16</v>
      </c>
      <c r="H8" s="6" t="s">
        <v>48</v>
      </c>
      <c r="I8" s="7" t="s">
        <v>359</v>
      </c>
      <c r="J8" s="8" t="s">
        <v>27</v>
      </c>
      <c r="K8" s="8">
        <v>1.3636363636363635</v>
      </c>
      <c r="L8" s="8">
        <v>1.1383371824480371</v>
      </c>
      <c r="M8" s="5"/>
      <c r="N8" s="8">
        <v>1.1383371824480371</v>
      </c>
      <c r="O8" s="9">
        <v>0.83478060046189384</v>
      </c>
      <c r="P8" s="10" t="s">
        <v>27</v>
      </c>
      <c r="Q8" s="10">
        <f t="shared" si="1"/>
        <v>0</v>
      </c>
      <c r="R8" s="10">
        <f t="shared" si="2"/>
        <v>0</v>
      </c>
      <c r="S8" s="10">
        <f t="shared" si="4"/>
        <v>0</v>
      </c>
      <c r="T8" s="10">
        <f t="shared" si="5"/>
        <v>0</v>
      </c>
      <c r="U8" s="11" t="str">
        <f t="shared" si="3"/>
        <v/>
      </c>
      <c r="V8" s="11" t="str">
        <f t="shared" si="0"/>
        <v/>
      </c>
      <c r="W8" s="11" t="str">
        <f t="shared" si="0"/>
        <v/>
      </c>
      <c r="X8" s="11" t="str">
        <f t="shared" si="0"/>
        <v/>
      </c>
      <c r="Y8" s="11" t="str">
        <f t="shared" si="0"/>
        <v/>
      </c>
      <c r="Z8" s="11" t="str">
        <f t="shared" si="0"/>
        <v/>
      </c>
      <c r="AA8" s="11" t="str">
        <f t="shared" si="0"/>
        <v/>
      </c>
      <c r="AB8" s="11" t="str">
        <f t="shared" si="0"/>
        <v/>
      </c>
      <c r="AC8" s="11" t="str">
        <f t="shared" si="0"/>
        <v/>
      </c>
      <c r="AD8" s="11" t="str">
        <f t="shared" si="0"/>
        <v/>
      </c>
      <c r="AE8" s="12" t="s">
        <v>27</v>
      </c>
    </row>
    <row r="9" spans="1:31" ht="18" customHeight="1" thickTop="1" thickBot="1" x14ac:dyDescent="0.3">
      <c r="A9" s="4" t="s">
        <v>49</v>
      </c>
      <c r="B9" s="4" t="s">
        <v>947</v>
      </c>
      <c r="C9" s="5" t="s">
        <v>50</v>
      </c>
      <c r="D9" s="5" t="s">
        <v>26</v>
      </c>
      <c r="E9" s="5" t="s">
        <v>27</v>
      </c>
      <c r="F9" s="5" t="s">
        <v>51</v>
      </c>
      <c r="G9" s="5" t="s">
        <v>16</v>
      </c>
      <c r="H9" s="6" t="s">
        <v>52</v>
      </c>
      <c r="I9" s="7" t="s">
        <v>38</v>
      </c>
      <c r="J9" s="8" t="s">
        <v>27</v>
      </c>
      <c r="K9" s="8">
        <v>1.0308641975308641</v>
      </c>
      <c r="L9" s="8">
        <v>1.0113636363636365</v>
      </c>
      <c r="M9" s="5"/>
      <c r="N9" s="8">
        <v>1.0113636363636365</v>
      </c>
      <c r="O9" s="9">
        <v>0.98108328796951561</v>
      </c>
      <c r="P9" s="10" t="s">
        <v>27</v>
      </c>
      <c r="Q9" s="10">
        <f t="shared" si="1"/>
        <v>0</v>
      </c>
      <c r="R9" s="10">
        <f t="shared" si="2"/>
        <v>0</v>
      </c>
      <c r="S9" s="10">
        <f t="shared" si="4"/>
        <v>0</v>
      </c>
      <c r="T9" s="10">
        <f t="shared" si="5"/>
        <v>0</v>
      </c>
      <c r="U9" s="11" t="str">
        <f t="shared" si="3"/>
        <v/>
      </c>
      <c r="V9" s="11" t="str">
        <f t="shared" si="0"/>
        <v/>
      </c>
      <c r="W9" s="11" t="str">
        <f t="shared" si="0"/>
        <v/>
      </c>
      <c r="X9" s="11" t="str">
        <f t="shared" si="0"/>
        <v/>
      </c>
      <c r="Y9" s="11" t="str">
        <f t="shared" si="0"/>
        <v/>
      </c>
      <c r="Z9" s="11" t="str">
        <f t="shared" si="0"/>
        <v/>
      </c>
      <c r="AA9" s="11" t="str">
        <f t="shared" si="0"/>
        <v/>
      </c>
      <c r="AB9" s="11" t="str">
        <f t="shared" si="0"/>
        <v/>
      </c>
      <c r="AC9" s="11" t="str">
        <f t="shared" si="0"/>
        <v/>
      </c>
      <c r="AD9" s="11" t="str">
        <f t="shared" si="0"/>
        <v/>
      </c>
      <c r="AE9" s="12" t="s">
        <v>27</v>
      </c>
    </row>
    <row r="10" spans="1:31" ht="18" customHeight="1" thickTop="1" thickBot="1" x14ac:dyDescent="0.3">
      <c r="A10" s="4" t="s">
        <v>53</v>
      </c>
      <c r="B10" s="4" t="s">
        <v>945</v>
      </c>
      <c r="C10" s="5" t="s">
        <v>54</v>
      </c>
      <c r="D10" s="5" t="s">
        <v>26</v>
      </c>
      <c r="E10" s="5" t="s">
        <v>27</v>
      </c>
      <c r="F10" s="5" t="s">
        <v>55</v>
      </c>
      <c r="G10" s="5" t="s">
        <v>16</v>
      </c>
      <c r="H10" s="6" t="s">
        <v>57</v>
      </c>
      <c r="I10" s="7" t="s">
        <v>56</v>
      </c>
      <c r="J10" s="8">
        <v>1.1538461538461537</v>
      </c>
      <c r="K10" s="8">
        <v>1</v>
      </c>
      <c r="L10" s="8">
        <v>1.7180160083978482</v>
      </c>
      <c r="M10" s="5"/>
      <c r="N10" s="8">
        <v>1.7180160083978482</v>
      </c>
      <c r="O10" s="9">
        <v>1.7180160083978484</v>
      </c>
      <c r="P10" s="10" t="s">
        <v>31</v>
      </c>
      <c r="Q10" s="10">
        <f t="shared" si="1"/>
        <v>0</v>
      </c>
      <c r="R10" s="10">
        <f t="shared" si="2"/>
        <v>0</v>
      </c>
      <c r="S10" s="10">
        <f t="shared" si="4"/>
        <v>1</v>
      </c>
      <c r="T10" s="10">
        <f t="shared" si="5"/>
        <v>0</v>
      </c>
      <c r="U10" s="11">
        <f t="shared" si="3"/>
        <v>1</v>
      </c>
      <c r="V10" s="11" t="str">
        <f t="shared" si="0"/>
        <v/>
      </c>
      <c r="W10" s="11" t="str">
        <f t="shared" si="0"/>
        <v/>
      </c>
      <c r="X10" s="11" t="str">
        <f t="shared" si="0"/>
        <v/>
      </c>
      <c r="Y10" s="11" t="str">
        <f t="shared" si="0"/>
        <v/>
      </c>
      <c r="Z10" s="11">
        <f t="shared" si="0"/>
        <v>1</v>
      </c>
      <c r="AA10" s="11" t="str">
        <f t="shared" si="0"/>
        <v/>
      </c>
      <c r="AB10" s="11" t="str">
        <f t="shared" si="0"/>
        <v/>
      </c>
      <c r="AC10" s="11" t="str">
        <f t="shared" si="0"/>
        <v/>
      </c>
      <c r="AD10" s="11" t="str">
        <f t="shared" si="0"/>
        <v/>
      </c>
      <c r="AE10" s="12" t="s">
        <v>1112</v>
      </c>
    </row>
    <row r="11" spans="1:31" ht="18" customHeight="1" thickTop="1" thickBot="1" x14ac:dyDescent="0.3">
      <c r="A11" s="4" t="s">
        <v>58</v>
      </c>
      <c r="B11" s="4" t="s">
        <v>947</v>
      </c>
      <c r="C11" s="5" t="s">
        <v>59</v>
      </c>
      <c r="D11" s="5" t="s">
        <v>60</v>
      </c>
      <c r="E11" s="5" t="s">
        <v>27</v>
      </c>
      <c r="F11" s="5" t="s">
        <v>61</v>
      </c>
      <c r="G11" s="5" t="s">
        <v>16</v>
      </c>
      <c r="H11" s="6" t="s">
        <v>62</v>
      </c>
      <c r="I11" s="7" t="s">
        <v>111</v>
      </c>
      <c r="J11" s="8">
        <v>1.3</v>
      </c>
      <c r="K11" s="8">
        <v>0.97846153846153849</v>
      </c>
      <c r="L11" s="8">
        <v>1.3371298405466971</v>
      </c>
      <c r="M11" s="5"/>
      <c r="N11" s="8">
        <v>1.3371298405466971</v>
      </c>
      <c r="O11" s="9">
        <v>1.3665635162820018</v>
      </c>
      <c r="P11" s="10" t="s">
        <v>27</v>
      </c>
      <c r="Q11" s="10">
        <f t="shared" si="1"/>
        <v>0</v>
      </c>
      <c r="R11" s="10">
        <f t="shared" si="2"/>
        <v>0</v>
      </c>
      <c r="S11" s="10">
        <f t="shared" si="4"/>
        <v>0</v>
      </c>
      <c r="T11" s="10">
        <f t="shared" si="5"/>
        <v>0</v>
      </c>
      <c r="U11" s="11" t="str">
        <f t="shared" si="3"/>
        <v/>
      </c>
      <c r="V11" s="11" t="str">
        <f t="shared" si="0"/>
        <v/>
      </c>
      <c r="W11" s="11" t="str">
        <f t="shared" si="0"/>
        <v/>
      </c>
      <c r="X11" s="11" t="str">
        <f t="shared" si="0"/>
        <v/>
      </c>
      <c r="Y11" s="11" t="str">
        <f t="shared" si="0"/>
        <v/>
      </c>
      <c r="Z11" s="11" t="str">
        <f t="shared" si="0"/>
        <v/>
      </c>
      <c r="AA11" s="11" t="str">
        <f t="shared" si="0"/>
        <v/>
      </c>
      <c r="AB11" s="11" t="str">
        <f t="shared" si="0"/>
        <v/>
      </c>
      <c r="AC11" s="11" t="str">
        <f t="shared" si="0"/>
        <v/>
      </c>
      <c r="AD11" s="11" t="str">
        <f t="shared" si="0"/>
        <v/>
      </c>
      <c r="AE11" s="12" t="s">
        <v>27</v>
      </c>
    </row>
    <row r="12" spans="1:31" ht="18" customHeight="1" thickTop="1" thickBot="1" x14ac:dyDescent="0.3">
      <c r="A12" s="4" t="s">
        <v>63</v>
      </c>
      <c r="B12" s="4" t="s">
        <v>950</v>
      </c>
      <c r="C12" s="5" t="s">
        <v>64</v>
      </c>
      <c r="D12" s="5" t="s">
        <v>26</v>
      </c>
      <c r="E12" s="5" t="s">
        <v>36</v>
      </c>
      <c r="F12" s="5" t="s">
        <v>65</v>
      </c>
      <c r="G12" s="5" t="s">
        <v>16</v>
      </c>
      <c r="H12" s="6" t="s">
        <v>66</v>
      </c>
      <c r="I12" s="7" t="s">
        <v>387</v>
      </c>
      <c r="J12" s="8">
        <v>1.4166666666666667</v>
      </c>
      <c r="K12" s="8">
        <v>1</v>
      </c>
      <c r="L12" s="8">
        <v>1.4197601370645343</v>
      </c>
      <c r="M12" s="5"/>
      <c r="N12" s="8">
        <v>1.4197601370645343</v>
      </c>
      <c r="O12" s="9">
        <v>1.4197601370645343</v>
      </c>
      <c r="P12" s="10" t="s">
        <v>27</v>
      </c>
      <c r="Q12" s="10">
        <f t="shared" si="1"/>
        <v>0</v>
      </c>
      <c r="R12" s="10">
        <f t="shared" si="2"/>
        <v>0</v>
      </c>
      <c r="S12" s="10">
        <f t="shared" si="4"/>
        <v>0</v>
      </c>
      <c r="T12" s="10">
        <f t="shared" si="5"/>
        <v>0</v>
      </c>
      <c r="U12" s="11" t="str">
        <f t="shared" si="3"/>
        <v/>
      </c>
      <c r="V12" s="11" t="str">
        <f t="shared" si="0"/>
        <v/>
      </c>
      <c r="W12" s="11" t="str">
        <f t="shared" si="0"/>
        <v/>
      </c>
      <c r="X12" s="11" t="str">
        <f t="shared" si="0"/>
        <v/>
      </c>
      <c r="Y12" s="11" t="str">
        <f t="shared" si="0"/>
        <v/>
      </c>
      <c r="Z12" s="11" t="str">
        <f t="shared" si="0"/>
        <v/>
      </c>
      <c r="AA12" s="11" t="str">
        <f t="shared" si="0"/>
        <v/>
      </c>
      <c r="AB12" s="11" t="str">
        <f t="shared" si="0"/>
        <v/>
      </c>
      <c r="AC12" s="11" t="str">
        <f t="shared" si="0"/>
        <v/>
      </c>
      <c r="AD12" s="11" t="str">
        <f t="shared" si="0"/>
        <v/>
      </c>
      <c r="AE12" s="12" t="s">
        <v>27</v>
      </c>
    </row>
    <row r="13" spans="1:31" ht="18" customHeight="1" thickTop="1" thickBot="1" x14ac:dyDescent="0.3">
      <c r="A13" s="4" t="s">
        <v>63</v>
      </c>
      <c r="B13" s="4" t="s">
        <v>950</v>
      </c>
      <c r="C13" s="5" t="s">
        <v>64</v>
      </c>
      <c r="D13" s="5" t="s">
        <v>26</v>
      </c>
      <c r="E13" s="5" t="s">
        <v>40</v>
      </c>
      <c r="F13" s="5" t="s">
        <v>67</v>
      </c>
      <c r="G13" s="5" t="s">
        <v>16</v>
      </c>
      <c r="H13" s="6" t="s">
        <v>66</v>
      </c>
      <c r="I13" s="7" t="s">
        <v>68</v>
      </c>
      <c r="J13" s="8">
        <v>1.1388888888888888</v>
      </c>
      <c r="K13" s="8">
        <v>1</v>
      </c>
      <c r="L13" s="8">
        <v>1.505426356589147</v>
      </c>
      <c r="M13" s="5"/>
      <c r="N13" s="8">
        <v>1.505426356589147</v>
      </c>
      <c r="O13" s="9">
        <v>1.505426356589147</v>
      </c>
      <c r="P13" s="10" t="s">
        <v>31</v>
      </c>
      <c r="Q13" s="10">
        <f t="shared" si="1"/>
        <v>0</v>
      </c>
      <c r="R13" s="10">
        <f t="shared" si="2"/>
        <v>0</v>
      </c>
      <c r="S13" s="10">
        <f t="shared" si="4"/>
        <v>1</v>
      </c>
      <c r="T13" s="10">
        <f t="shared" si="5"/>
        <v>0</v>
      </c>
      <c r="U13" s="11">
        <f t="shared" si="3"/>
        <v>1</v>
      </c>
      <c r="V13" s="11" t="str">
        <f t="shared" si="0"/>
        <v/>
      </c>
      <c r="W13" s="11" t="str">
        <f t="shared" si="0"/>
        <v/>
      </c>
      <c r="X13" s="11" t="str">
        <f t="shared" si="0"/>
        <v/>
      </c>
      <c r="Y13" s="11" t="str">
        <f t="shared" si="0"/>
        <v/>
      </c>
      <c r="Z13" s="11" t="str">
        <f t="shared" si="0"/>
        <v/>
      </c>
      <c r="AA13" s="11" t="str">
        <f t="shared" si="0"/>
        <v/>
      </c>
      <c r="AB13" s="11" t="str">
        <f t="shared" si="0"/>
        <v/>
      </c>
      <c r="AC13" s="11" t="str">
        <f t="shared" si="0"/>
        <v/>
      </c>
      <c r="AD13" s="11" t="str">
        <f t="shared" si="0"/>
        <v/>
      </c>
      <c r="AE13" s="12" t="s">
        <v>1114</v>
      </c>
    </row>
    <row r="14" spans="1:31" ht="18" customHeight="1" thickTop="1" thickBot="1" x14ac:dyDescent="0.3">
      <c r="A14" s="4" t="s">
        <v>63</v>
      </c>
      <c r="B14" s="4" t="s">
        <v>950</v>
      </c>
      <c r="C14" s="5" t="s">
        <v>64</v>
      </c>
      <c r="D14" s="5" t="s">
        <v>26</v>
      </c>
      <c r="E14" s="5" t="s">
        <v>69</v>
      </c>
      <c r="F14" s="5" t="s">
        <v>70</v>
      </c>
      <c r="G14" s="5" t="s">
        <v>16</v>
      </c>
      <c r="H14" s="6" t="s">
        <v>66</v>
      </c>
      <c r="I14" s="7" t="s">
        <v>387</v>
      </c>
      <c r="J14" s="8">
        <v>1.1666666666666667</v>
      </c>
      <c r="K14" s="8">
        <v>1</v>
      </c>
      <c r="L14" s="8">
        <v>1.3824139361260888</v>
      </c>
      <c r="M14" s="5"/>
      <c r="N14" s="8">
        <v>1.3824139361260888</v>
      </c>
      <c r="O14" s="9">
        <v>1.3824139361260885</v>
      </c>
      <c r="P14" s="10" t="s">
        <v>27</v>
      </c>
      <c r="Q14" s="10">
        <f t="shared" si="1"/>
        <v>0</v>
      </c>
      <c r="R14" s="10">
        <f t="shared" si="2"/>
        <v>0</v>
      </c>
      <c r="S14" s="10">
        <f t="shared" si="4"/>
        <v>0</v>
      </c>
      <c r="T14" s="10">
        <f t="shared" si="5"/>
        <v>0</v>
      </c>
      <c r="U14" s="11" t="str">
        <f t="shared" si="3"/>
        <v/>
      </c>
      <c r="V14" s="11" t="str">
        <f t="shared" si="0"/>
        <v/>
      </c>
      <c r="W14" s="11" t="str">
        <f t="shared" si="0"/>
        <v/>
      </c>
      <c r="X14" s="11" t="str">
        <f t="shared" si="0"/>
        <v/>
      </c>
      <c r="Y14" s="11" t="str">
        <f t="shared" si="0"/>
        <v/>
      </c>
      <c r="Z14" s="11" t="str">
        <f t="shared" si="0"/>
        <v/>
      </c>
      <c r="AA14" s="11" t="str">
        <f t="shared" si="0"/>
        <v/>
      </c>
      <c r="AB14" s="11" t="str">
        <f t="shared" si="0"/>
        <v/>
      </c>
      <c r="AC14" s="11" t="str">
        <f t="shared" si="0"/>
        <v/>
      </c>
      <c r="AD14" s="11" t="str">
        <f t="shared" si="0"/>
        <v/>
      </c>
      <c r="AE14" s="12" t="s">
        <v>27</v>
      </c>
    </row>
    <row r="15" spans="1:31" ht="18" customHeight="1" thickTop="1" thickBot="1" x14ac:dyDescent="0.3">
      <c r="A15" s="4" t="s">
        <v>63</v>
      </c>
      <c r="B15" s="4" t="s">
        <v>950</v>
      </c>
      <c r="C15" s="5" t="s">
        <v>64</v>
      </c>
      <c r="D15" s="5" t="s">
        <v>26</v>
      </c>
      <c r="E15" s="5" t="s">
        <v>71</v>
      </c>
      <c r="F15" s="5" t="s">
        <v>72</v>
      </c>
      <c r="G15" s="5" t="s">
        <v>16</v>
      </c>
      <c r="H15" s="6" t="s">
        <v>66</v>
      </c>
      <c r="I15" s="7" t="s">
        <v>387</v>
      </c>
      <c r="J15" s="8">
        <v>1.5555555555555556</v>
      </c>
      <c r="K15" s="8">
        <v>1</v>
      </c>
      <c r="L15" s="8">
        <v>1.7683912691996768</v>
      </c>
      <c r="M15" s="5"/>
      <c r="N15" s="8">
        <v>1.7683912691996768</v>
      </c>
      <c r="O15" s="9">
        <v>1.7683912691996768</v>
      </c>
      <c r="P15" s="10" t="s">
        <v>31</v>
      </c>
      <c r="Q15" s="10">
        <f t="shared" si="1"/>
        <v>0</v>
      </c>
      <c r="R15" s="10">
        <f t="shared" si="2"/>
        <v>0</v>
      </c>
      <c r="S15" s="10">
        <f t="shared" si="4"/>
        <v>1</v>
      </c>
      <c r="T15" s="10">
        <f t="shared" si="5"/>
        <v>0</v>
      </c>
      <c r="U15" s="11">
        <f t="shared" si="3"/>
        <v>1</v>
      </c>
      <c r="V15" s="11" t="str">
        <f t="shared" si="0"/>
        <v/>
      </c>
      <c r="W15" s="11" t="str">
        <f t="shared" si="0"/>
        <v/>
      </c>
      <c r="X15" s="11" t="str">
        <f t="shared" si="0"/>
        <v/>
      </c>
      <c r="Y15" s="11" t="str">
        <f t="shared" si="0"/>
        <v/>
      </c>
      <c r="Z15" s="11" t="str">
        <f t="shared" si="0"/>
        <v/>
      </c>
      <c r="AA15" s="11" t="str">
        <f t="shared" si="0"/>
        <v/>
      </c>
      <c r="AB15" s="11" t="str">
        <f t="shared" si="0"/>
        <v/>
      </c>
      <c r="AC15" s="11" t="str">
        <f t="shared" si="0"/>
        <v/>
      </c>
      <c r="AD15" s="11" t="str">
        <f t="shared" si="0"/>
        <v/>
      </c>
      <c r="AE15" s="12" t="s">
        <v>1114</v>
      </c>
    </row>
    <row r="16" spans="1:31" ht="18" customHeight="1" thickTop="1" thickBot="1" x14ac:dyDescent="0.3">
      <c r="A16" s="4" t="s">
        <v>63</v>
      </c>
      <c r="B16" s="4" t="s">
        <v>950</v>
      </c>
      <c r="C16" s="5" t="s">
        <v>64</v>
      </c>
      <c r="D16" s="5" t="s">
        <v>42</v>
      </c>
      <c r="E16" s="5" t="s">
        <v>27</v>
      </c>
      <c r="F16" s="5" t="s">
        <v>73</v>
      </c>
      <c r="G16" s="5" t="s">
        <v>16</v>
      </c>
      <c r="H16" s="6" t="s">
        <v>66</v>
      </c>
      <c r="I16" s="7" t="s">
        <v>74</v>
      </c>
      <c r="J16" s="8">
        <v>1.1666666666666667</v>
      </c>
      <c r="K16" s="8">
        <v>0.82914572864321601</v>
      </c>
      <c r="L16" s="8">
        <v>0.67794836008374038</v>
      </c>
      <c r="M16" s="5"/>
      <c r="N16" s="8">
        <v>0.67794836008374038</v>
      </c>
      <c r="O16" s="9">
        <v>0.81764681004038997</v>
      </c>
      <c r="P16" s="10" t="s">
        <v>27</v>
      </c>
      <c r="Q16" s="10">
        <f t="shared" si="1"/>
        <v>0</v>
      </c>
      <c r="R16" s="10">
        <f t="shared" si="2"/>
        <v>0</v>
      </c>
      <c r="S16" s="10">
        <f t="shared" si="4"/>
        <v>0</v>
      </c>
      <c r="T16" s="10">
        <f t="shared" si="5"/>
        <v>0</v>
      </c>
      <c r="U16" s="11" t="str">
        <f t="shared" si="3"/>
        <v/>
      </c>
      <c r="V16" s="11" t="str">
        <f t="shared" si="0"/>
        <v/>
      </c>
      <c r="W16" s="11" t="str">
        <f t="shared" si="0"/>
        <v/>
      </c>
      <c r="X16" s="11" t="str">
        <f t="shared" si="0"/>
        <v/>
      </c>
      <c r="Y16" s="11" t="str">
        <f t="shared" si="0"/>
        <v/>
      </c>
      <c r="Z16" s="11" t="str">
        <f t="shared" si="0"/>
        <v/>
      </c>
      <c r="AA16" s="11" t="str">
        <f t="shared" si="0"/>
        <v/>
      </c>
      <c r="AB16" s="11" t="str">
        <f t="shared" si="0"/>
        <v/>
      </c>
      <c r="AC16" s="11" t="str">
        <f t="shared" si="0"/>
        <v/>
      </c>
      <c r="AD16" s="11" t="str">
        <f t="shared" si="0"/>
        <v/>
      </c>
      <c r="AE16" s="12" t="s">
        <v>27</v>
      </c>
    </row>
    <row r="17" spans="1:31" ht="18" customHeight="1" thickTop="1" thickBot="1" x14ac:dyDescent="0.3">
      <c r="A17" s="4" t="s">
        <v>75</v>
      </c>
      <c r="B17" s="4" t="s">
        <v>948</v>
      </c>
      <c r="C17" s="5" t="s">
        <v>76</v>
      </c>
      <c r="D17" s="5" t="s">
        <v>26</v>
      </c>
      <c r="E17" s="5" t="s">
        <v>27</v>
      </c>
      <c r="F17" s="5" t="s">
        <v>77</v>
      </c>
      <c r="G17" s="5" t="s">
        <v>16</v>
      </c>
      <c r="H17" s="6" t="s">
        <v>79</v>
      </c>
      <c r="I17" s="7" t="s">
        <v>78</v>
      </c>
      <c r="J17" s="8" t="s">
        <v>27</v>
      </c>
      <c r="K17" s="8">
        <v>1.55</v>
      </c>
      <c r="L17" s="8">
        <v>4.2650406504065037</v>
      </c>
      <c r="M17" s="5"/>
      <c r="N17" s="8">
        <v>4.2650406504065037</v>
      </c>
      <c r="O17" s="9">
        <v>2.751639129294519</v>
      </c>
      <c r="P17" s="10" t="s">
        <v>31</v>
      </c>
      <c r="Q17" s="10">
        <f t="shared" si="1"/>
        <v>1</v>
      </c>
      <c r="R17" s="10">
        <f t="shared" si="2"/>
        <v>0</v>
      </c>
      <c r="S17" s="10">
        <f t="shared" si="4"/>
        <v>1</v>
      </c>
      <c r="T17" s="10">
        <f t="shared" si="5"/>
        <v>0</v>
      </c>
      <c r="U17" s="11" t="str">
        <f t="shared" si="3"/>
        <v/>
      </c>
      <c r="V17" s="11">
        <f t="shared" si="0"/>
        <v>1</v>
      </c>
      <c r="W17" s="11" t="str">
        <f t="shared" si="0"/>
        <v/>
      </c>
      <c r="X17" s="11" t="str">
        <f t="shared" si="0"/>
        <v/>
      </c>
      <c r="Y17" s="11" t="str">
        <f t="shared" si="0"/>
        <v/>
      </c>
      <c r="Z17" s="11" t="str">
        <f t="shared" si="0"/>
        <v/>
      </c>
      <c r="AA17" s="11" t="str">
        <f t="shared" si="0"/>
        <v/>
      </c>
      <c r="AB17" s="11" t="str">
        <f t="shared" si="0"/>
        <v/>
      </c>
      <c r="AC17" s="11">
        <f t="shared" si="0"/>
        <v>1</v>
      </c>
      <c r="AD17" s="11">
        <f t="shared" si="0"/>
        <v>1</v>
      </c>
      <c r="AE17" s="12" t="s">
        <v>1117</v>
      </c>
    </row>
    <row r="18" spans="1:31" ht="18" customHeight="1" thickTop="1" thickBot="1" x14ac:dyDescent="0.3">
      <c r="A18" s="4" t="s">
        <v>75</v>
      </c>
      <c r="B18" s="4" t="s">
        <v>948</v>
      </c>
      <c r="C18" s="5" t="s">
        <v>76</v>
      </c>
      <c r="D18" s="5" t="s">
        <v>42</v>
      </c>
      <c r="E18" s="5" t="s">
        <v>27</v>
      </c>
      <c r="F18" s="5" t="s">
        <v>80</v>
      </c>
      <c r="G18" s="5" t="s">
        <v>16</v>
      </c>
      <c r="H18" s="6" t="s">
        <v>79</v>
      </c>
      <c r="I18" s="7" t="s">
        <v>78</v>
      </c>
      <c r="J18" s="8" t="s">
        <v>27</v>
      </c>
      <c r="K18" s="8">
        <v>1.4063829787234043</v>
      </c>
      <c r="L18" s="8">
        <v>1.9644760213143873</v>
      </c>
      <c r="M18" s="5"/>
      <c r="N18" s="8">
        <v>1.9644760213143873</v>
      </c>
      <c r="O18" s="9">
        <v>1.396828638453498</v>
      </c>
      <c r="P18" s="10" t="s">
        <v>27</v>
      </c>
      <c r="Q18" s="10">
        <f t="shared" si="1"/>
        <v>0</v>
      </c>
      <c r="R18" s="10">
        <f t="shared" si="2"/>
        <v>0</v>
      </c>
      <c r="S18" s="10">
        <f t="shared" si="4"/>
        <v>0</v>
      </c>
      <c r="T18" s="10">
        <f t="shared" si="5"/>
        <v>0</v>
      </c>
      <c r="U18" s="11" t="str">
        <f t="shared" si="3"/>
        <v/>
      </c>
      <c r="V18" s="11" t="str">
        <f t="shared" si="0"/>
        <v/>
      </c>
      <c r="W18" s="11" t="str">
        <f t="shared" si="0"/>
        <v/>
      </c>
      <c r="X18" s="11" t="str">
        <f t="shared" si="0"/>
        <v/>
      </c>
      <c r="Y18" s="11" t="str">
        <f t="shared" si="0"/>
        <v/>
      </c>
      <c r="Z18" s="11" t="str">
        <f t="shared" si="0"/>
        <v/>
      </c>
      <c r="AA18" s="11" t="str">
        <f t="shared" si="0"/>
        <v/>
      </c>
      <c r="AB18" s="11" t="str">
        <f t="shared" si="0"/>
        <v/>
      </c>
      <c r="AC18" s="11" t="str">
        <f t="shared" si="0"/>
        <v/>
      </c>
      <c r="AD18" s="11" t="str">
        <f t="shared" si="0"/>
        <v/>
      </c>
      <c r="AE18" s="12" t="s">
        <v>27</v>
      </c>
    </row>
    <row r="19" spans="1:31" ht="18" customHeight="1" thickTop="1" thickBot="1" x14ac:dyDescent="0.3">
      <c r="A19" s="4" t="s">
        <v>81</v>
      </c>
      <c r="B19" s="4" t="s">
        <v>945</v>
      </c>
      <c r="C19" s="5" t="s">
        <v>82</v>
      </c>
      <c r="D19" s="5" t="s">
        <v>26</v>
      </c>
      <c r="E19" s="5" t="s">
        <v>27</v>
      </c>
      <c r="F19" s="5" t="s">
        <v>83</v>
      </c>
      <c r="G19" s="5" t="s">
        <v>16</v>
      </c>
      <c r="H19" s="6" t="s">
        <v>85</v>
      </c>
      <c r="I19" s="7" t="s">
        <v>84</v>
      </c>
      <c r="J19" s="8">
        <v>1</v>
      </c>
      <c r="K19" s="8">
        <v>1</v>
      </c>
      <c r="L19" s="8">
        <v>1.1108829568788501</v>
      </c>
      <c r="M19" s="5"/>
      <c r="N19" s="8">
        <v>1.1108829568788501</v>
      </c>
      <c r="O19" s="9">
        <v>1.1108829568788501</v>
      </c>
      <c r="P19" s="10" t="s">
        <v>27</v>
      </c>
      <c r="Q19" s="10">
        <f t="shared" si="1"/>
        <v>0</v>
      </c>
      <c r="R19" s="10">
        <f t="shared" si="2"/>
        <v>0</v>
      </c>
      <c r="S19" s="10">
        <f t="shared" si="4"/>
        <v>0</v>
      </c>
      <c r="T19" s="10">
        <f t="shared" si="5"/>
        <v>0</v>
      </c>
      <c r="U19" s="11" t="str">
        <f t="shared" si="3"/>
        <v/>
      </c>
      <c r="V19" s="11" t="str">
        <f t="shared" si="0"/>
        <v/>
      </c>
      <c r="W19" s="11" t="str">
        <f t="shared" si="0"/>
        <v/>
      </c>
      <c r="X19" s="11" t="str">
        <f t="shared" si="0"/>
        <v/>
      </c>
      <c r="Y19" s="11" t="str">
        <f t="shared" si="0"/>
        <v/>
      </c>
      <c r="Z19" s="11" t="str">
        <f t="shared" si="0"/>
        <v/>
      </c>
      <c r="AA19" s="11" t="str">
        <f t="shared" si="0"/>
        <v/>
      </c>
      <c r="AB19" s="11" t="str">
        <f t="shared" si="0"/>
        <v/>
      </c>
      <c r="AC19" s="11" t="str">
        <f t="shared" si="0"/>
        <v/>
      </c>
      <c r="AD19" s="11" t="str">
        <f t="shared" si="0"/>
        <v/>
      </c>
      <c r="AE19" s="12" t="s">
        <v>27</v>
      </c>
    </row>
    <row r="20" spans="1:31" ht="18" customHeight="1" thickTop="1" thickBot="1" x14ac:dyDescent="0.3">
      <c r="A20" s="4" t="s">
        <v>86</v>
      </c>
      <c r="B20" s="4" t="s">
        <v>945</v>
      </c>
      <c r="C20" s="5" t="s">
        <v>87</v>
      </c>
      <c r="D20" s="5" t="s">
        <v>26</v>
      </c>
      <c r="E20" s="5" t="s">
        <v>27</v>
      </c>
      <c r="F20" s="5" t="s">
        <v>88</v>
      </c>
      <c r="G20" s="5" t="s">
        <v>16</v>
      </c>
      <c r="H20" s="6" t="s">
        <v>89</v>
      </c>
      <c r="I20" s="7" t="s">
        <v>359</v>
      </c>
      <c r="J20" s="8">
        <v>1.9027777777777777</v>
      </c>
      <c r="K20" s="8">
        <v>1</v>
      </c>
      <c r="L20" s="8">
        <v>2.8192918192918195</v>
      </c>
      <c r="M20" s="5"/>
      <c r="N20" s="8">
        <v>2.8192918192918195</v>
      </c>
      <c r="O20" s="9">
        <v>2.8192918192918199</v>
      </c>
      <c r="P20" s="10" t="s">
        <v>31</v>
      </c>
      <c r="Q20" s="10">
        <f t="shared" si="1"/>
        <v>0</v>
      </c>
      <c r="R20" s="10">
        <f t="shared" si="2"/>
        <v>0</v>
      </c>
      <c r="S20" s="10">
        <f t="shared" si="4"/>
        <v>1</v>
      </c>
      <c r="T20" s="10">
        <f t="shared" si="5"/>
        <v>0</v>
      </c>
      <c r="U20" s="11">
        <f t="shared" si="3"/>
        <v>1</v>
      </c>
      <c r="V20" s="11" t="str">
        <f t="shared" si="3"/>
        <v/>
      </c>
      <c r="W20" s="11">
        <f t="shared" si="3"/>
        <v>1</v>
      </c>
      <c r="X20" s="11" t="str">
        <f t="shared" si="3"/>
        <v/>
      </c>
      <c r="Y20" s="11" t="str">
        <f t="shared" si="3"/>
        <v/>
      </c>
      <c r="Z20" s="11">
        <f t="shared" si="3"/>
        <v>1</v>
      </c>
      <c r="AA20" s="11" t="str">
        <f t="shared" si="3"/>
        <v/>
      </c>
      <c r="AB20" s="11" t="str">
        <f t="shared" si="3"/>
        <v/>
      </c>
      <c r="AC20" s="11" t="str">
        <f t="shared" si="3"/>
        <v/>
      </c>
      <c r="AD20" s="11" t="str">
        <f t="shared" si="3"/>
        <v/>
      </c>
      <c r="AE20" s="12" t="s">
        <v>1119</v>
      </c>
    </row>
    <row r="21" spans="1:31" ht="18" customHeight="1" thickTop="1" thickBot="1" x14ac:dyDescent="0.3">
      <c r="A21" s="4" t="s">
        <v>90</v>
      </c>
      <c r="B21" s="4" t="s">
        <v>946</v>
      </c>
      <c r="C21" s="5" t="s">
        <v>91</v>
      </c>
      <c r="D21" s="5" t="s">
        <v>26</v>
      </c>
      <c r="E21" s="5" t="s">
        <v>27</v>
      </c>
      <c r="F21" s="5" t="s">
        <v>92</v>
      </c>
      <c r="G21" s="5" t="s">
        <v>16</v>
      </c>
      <c r="H21" s="6" t="s">
        <v>93</v>
      </c>
      <c r="I21" s="7" t="s">
        <v>78</v>
      </c>
      <c r="J21" s="8" t="s">
        <v>27</v>
      </c>
      <c r="K21" s="8">
        <v>0.83333333333333337</v>
      </c>
      <c r="L21" s="8">
        <v>1.2411575562700965</v>
      </c>
      <c r="M21" s="5"/>
      <c r="N21" s="8">
        <v>1.2411575562700965</v>
      </c>
      <c r="O21" s="9">
        <v>1.4893890675241159</v>
      </c>
      <c r="P21" s="10" t="s">
        <v>27</v>
      </c>
      <c r="Q21" s="10">
        <f t="shared" si="1"/>
        <v>0</v>
      </c>
      <c r="R21" s="10">
        <f t="shared" si="2"/>
        <v>0</v>
      </c>
      <c r="S21" s="10">
        <f t="shared" si="4"/>
        <v>0</v>
      </c>
      <c r="T21" s="10">
        <f t="shared" si="5"/>
        <v>0</v>
      </c>
      <c r="U21" s="11" t="str">
        <f t="shared" si="3"/>
        <v/>
      </c>
      <c r="V21" s="11" t="str">
        <f t="shared" si="3"/>
        <v/>
      </c>
      <c r="W21" s="11" t="str">
        <f t="shared" si="3"/>
        <v/>
      </c>
      <c r="X21" s="11" t="str">
        <f t="shared" si="3"/>
        <v/>
      </c>
      <c r="Y21" s="11" t="str">
        <f t="shared" si="3"/>
        <v/>
      </c>
      <c r="Z21" s="11" t="str">
        <f t="shared" si="3"/>
        <v/>
      </c>
      <c r="AA21" s="11" t="str">
        <f t="shared" si="3"/>
        <v/>
      </c>
      <c r="AB21" s="11" t="str">
        <f t="shared" si="3"/>
        <v/>
      </c>
      <c r="AC21" s="11" t="str">
        <f t="shared" si="3"/>
        <v/>
      </c>
      <c r="AD21" s="11" t="str">
        <f t="shared" si="3"/>
        <v/>
      </c>
      <c r="AE21" s="12" t="s">
        <v>27</v>
      </c>
    </row>
    <row r="22" spans="1:31" ht="18" customHeight="1" thickTop="1" thickBot="1" x14ac:dyDescent="0.3">
      <c r="A22" s="4" t="s">
        <v>90</v>
      </c>
      <c r="B22" s="4" t="s">
        <v>946</v>
      </c>
      <c r="C22" s="5" t="s">
        <v>91</v>
      </c>
      <c r="D22" s="5" t="s">
        <v>42</v>
      </c>
      <c r="E22" s="5" t="s">
        <v>27</v>
      </c>
      <c r="F22" s="5" t="s">
        <v>94</v>
      </c>
      <c r="G22" s="5" t="s">
        <v>16</v>
      </c>
      <c r="H22" s="6" t="s">
        <v>93</v>
      </c>
      <c r="I22" s="7" t="s">
        <v>68</v>
      </c>
      <c r="J22" s="8" t="s">
        <v>27</v>
      </c>
      <c r="K22" s="8">
        <v>0.9</v>
      </c>
      <c r="L22" s="8">
        <v>0.93765586034912718</v>
      </c>
      <c r="M22" s="5"/>
      <c r="N22" s="8">
        <v>0.93765586034912718</v>
      </c>
      <c r="O22" s="9">
        <v>1.0418398448323636</v>
      </c>
      <c r="P22" s="10" t="s">
        <v>27</v>
      </c>
      <c r="Q22" s="10">
        <f t="shared" si="1"/>
        <v>0</v>
      </c>
      <c r="R22" s="10">
        <f t="shared" si="2"/>
        <v>0</v>
      </c>
      <c r="S22" s="10">
        <f t="shared" si="4"/>
        <v>0</v>
      </c>
      <c r="T22" s="10">
        <f t="shared" si="5"/>
        <v>0</v>
      </c>
      <c r="U22" s="11" t="str">
        <f t="shared" si="3"/>
        <v/>
      </c>
      <c r="V22" s="11" t="str">
        <f t="shared" si="3"/>
        <v/>
      </c>
      <c r="W22" s="11" t="str">
        <f t="shared" si="3"/>
        <v/>
      </c>
      <c r="X22" s="11" t="str">
        <f t="shared" si="3"/>
        <v/>
      </c>
      <c r="Y22" s="11" t="str">
        <f t="shared" si="3"/>
        <v/>
      </c>
      <c r="Z22" s="11" t="str">
        <f t="shared" si="3"/>
        <v/>
      </c>
      <c r="AA22" s="11" t="str">
        <f t="shared" si="3"/>
        <v/>
      </c>
      <c r="AB22" s="11" t="str">
        <f t="shared" si="3"/>
        <v/>
      </c>
      <c r="AC22" s="11" t="str">
        <f t="shared" si="3"/>
        <v/>
      </c>
      <c r="AD22" s="11" t="str">
        <f t="shared" si="3"/>
        <v/>
      </c>
      <c r="AE22" s="12" t="s">
        <v>27</v>
      </c>
    </row>
    <row r="23" spans="1:31" ht="18" customHeight="1" thickTop="1" thickBot="1" x14ac:dyDescent="0.3">
      <c r="A23" s="4" t="s">
        <v>95</v>
      </c>
      <c r="B23" s="4" t="s">
        <v>945</v>
      </c>
      <c r="C23" s="5" t="s">
        <v>96</v>
      </c>
      <c r="D23" s="5" t="s">
        <v>26</v>
      </c>
      <c r="E23" s="5" t="s">
        <v>27</v>
      </c>
      <c r="F23" s="5" t="s">
        <v>97</v>
      </c>
      <c r="G23" s="5" t="s">
        <v>16</v>
      </c>
      <c r="H23" s="6" t="s">
        <v>98</v>
      </c>
      <c r="I23" s="7" t="s">
        <v>387</v>
      </c>
      <c r="J23" s="8" t="s">
        <v>27</v>
      </c>
      <c r="K23" s="8">
        <v>1.2162921348314606</v>
      </c>
      <c r="L23" s="8">
        <v>1.0688481675392669</v>
      </c>
      <c r="M23" s="5"/>
      <c r="N23" s="8">
        <v>1.0688481675392669</v>
      </c>
      <c r="O23" s="9">
        <v>0.87877586060965129</v>
      </c>
      <c r="P23" s="10" t="s">
        <v>27</v>
      </c>
      <c r="Q23" s="10">
        <f t="shared" si="1"/>
        <v>0</v>
      </c>
      <c r="R23" s="10">
        <f t="shared" si="2"/>
        <v>0</v>
      </c>
      <c r="S23" s="10">
        <f t="shared" si="4"/>
        <v>0</v>
      </c>
      <c r="T23" s="10">
        <f t="shared" si="5"/>
        <v>0</v>
      </c>
      <c r="U23" s="11" t="str">
        <f t="shared" si="3"/>
        <v/>
      </c>
      <c r="V23" s="11" t="str">
        <f t="shared" si="3"/>
        <v/>
      </c>
      <c r="W23" s="11" t="str">
        <f t="shared" si="3"/>
        <v/>
      </c>
      <c r="X23" s="11" t="str">
        <f t="shared" si="3"/>
        <v/>
      </c>
      <c r="Y23" s="11" t="str">
        <f t="shared" si="3"/>
        <v/>
      </c>
      <c r="Z23" s="11" t="str">
        <f t="shared" si="3"/>
        <v/>
      </c>
      <c r="AA23" s="11" t="str">
        <f t="shared" si="3"/>
        <v/>
      </c>
      <c r="AB23" s="11" t="str">
        <f t="shared" si="3"/>
        <v/>
      </c>
      <c r="AC23" s="11" t="str">
        <f t="shared" si="3"/>
        <v/>
      </c>
      <c r="AD23" s="11" t="str">
        <f t="shared" si="3"/>
        <v/>
      </c>
      <c r="AE23" s="12" t="s">
        <v>27</v>
      </c>
    </row>
    <row r="24" spans="1:31" ht="18" customHeight="1" thickTop="1" thickBot="1" x14ac:dyDescent="0.3">
      <c r="A24" s="4" t="s">
        <v>81</v>
      </c>
      <c r="B24" s="4" t="s">
        <v>945</v>
      </c>
      <c r="C24" s="5" t="s">
        <v>99</v>
      </c>
      <c r="D24" s="5" t="s">
        <v>26</v>
      </c>
      <c r="E24" s="5" t="s">
        <v>27</v>
      </c>
      <c r="F24" s="5" t="s">
        <v>100</v>
      </c>
      <c r="G24" s="5" t="s">
        <v>16</v>
      </c>
      <c r="H24" s="6" t="s">
        <v>101</v>
      </c>
      <c r="I24" s="7" t="s">
        <v>56</v>
      </c>
      <c r="J24" s="8" t="s">
        <v>27</v>
      </c>
      <c r="K24" s="8">
        <v>1.3191489361702127</v>
      </c>
      <c r="L24" s="8">
        <v>1.2008220786846739</v>
      </c>
      <c r="M24" s="5"/>
      <c r="N24" s="8">
        <v>1.2008220786846739</v>
      </c>
      <c r="O24" s="9">
        <v>0.91030060803515611</v>
      </c>
      <c r="P24" s="10" t="s">
        <v>27</v>
      </c>
      <c r="Q24" s="10">
        <f t="shared" si="1"/>
        <v>0</v>
      </c>
      <c r="R24" s="10">
        <f t="shared" si="2"/>
        <v>0</v>
      </c>
      <c r="S24" s="10">
        <f t="shared" si="4"/>
        <v>0</v>
      </c>
      <c r="T24" s="10">
        <f t="shared" si="5"/>
        <v>0</v>
      </c>
      <c r="U24" s="11" t="str">
        <f t="shared" si="3"/>
        <v/>
      </c>
      <c r="V24" s="11" t="str">
        <f t="shared" si="3"/>
        <v/>
      </c>
      <c r="W24" s="11" t="str">
        <f t="shared" si="3"/>
        <v/>
      </c>
      <c r="X24" s="11" t="str">
        <f t="shared" si="3"/>
        <v/>
      </c>
      <c r="Y24" s="11" t="str">
        <f t="shared" si="3"/>
        <v/>
      </c>
      <c r="Z24" s="11" t="str">
        <f t="shared" si="3"/>
        <v/>
      </c>
      <c r="AA24" s="11" t="str">
        <f t="shared" si="3"/>
        <v/>
      </c>
      <c r="AB24" s="11" t="str">
        <f t="shared" si="3"/>
        <v/>
      </c>
      <c r="AC24" s="11" t="str">
        <f t="shared" si="3"/>
        <v/>
      </c>
      <c r="AD24" s="11" t="str">
        <f t="shared" si="3"/>
        <v/>
      </c>
      <c r="AE24" s="12" t="s">
        <v>27</v>
      </c>
    </row>
    <row r="25" spans="1:31" ht="18" customHeight="1" thickTop="1" thickBot="1" x14ac:dyDescent="0.3">
      <c r="A25" s="4" t="s">
        <v>102</v>
      </c>
      <c r="B25" s="4" t="s">
        <v>950</v>
      </c>
      <c r="C25" s="5" t="s">
        <v>103</v>
      </c>
      <c r="D25" s="5" t="s">
        <v>26</v>
      </c>
      <c r="E25" s="5" t="s">
        <v>27</v>
      </c>
      <c r="F25" s="5" t="s">
        <v>104</v>
      </c>
      <c r="G25" s="5" t="s">
        <v>16</v>
      </c>
      <c r="H25" s="6" t="s">
        <v>105</v>
      </c>
      <c r="I25" s="7" t="s">
        <v>38</v>
      </c>
      <c r="J25" s="8">
        <v>3.4285714285714284</v>
      </c>
      <c r="K25" s="8">
        <v>0.83359872611464969</v>
      </c>
      <c r="L25" s="8">
        <v>1.4375</v>
      </c>
      <c r="M25" s="5"/>
      <c r="N25" s="8">
        <v>1.4375</v>
      </c>
      <c r="O25" s="9">
        <v>1.7244508118433619</v>
      </c>
      <c r="P25" s="10" t="s">
        <v>31</v>
      </c>
      <c r="Q25" s="10">
        <f t="shared" si="1"/>
        <v>0</v>
      </c>
      <c r="R25" s="10">
        <f t="shared" si="2"/>
        <v>0</v>
      </c>
      <c r="S25" s="10">
        <f t="shared" si="4"/>
        <v>1</v>
      </c>
      <c r="T25" s="10">
        <f t="shared" si="5"/>
        <v>0</v>
      </c>
      <c r="U25" s="11" t="str">
        <f t="shared" si="3"/>
        <v/>
      </c>
      <c r="V25" s="11">
        <f t="shared" si="3"/>
        <v>1</v>
      </c>
      <c r="W25" s="11" t="str">
        <f t="shared" si="3"/>
        <v/>
      </c>
      <c r="X25" s="11" t="str">
        <f t="shared" si="3"/>
        <v/>
      </c>
      <c r="Y25" s="11" t="str">
        <f t="shared" si="3"/>
        <v/>
      </c>
      <c r="Z25" s="11">
        <f t="shared" si="3"/>
        <v>1</v>
      </c>
      <c r="AA25" s="11" t="str">
        <f t="shared" si="3"/>
        <v/>
      </c>
      <c r="AB25" s="11" t="str">
        <f t="shared" si="3"/>
        <v/>
      </c>
      <c r="AC25" s="11">
        <f t="shared" si="3"/>
        <v>1</v>
      </c>
      <c r="AD25" s="11" t="str">
        <f t="shared" si="3"/>
        <v/>
      </c>
      <c r="AE25" s="12" t="s">
        <v>1121</v>
      </c>
    </row>
    <row r="26" spans="1:31" ht="18" customHeight="1" thickTop="1" thickBot="1" x14ac:dyDescent="0.3">
      <c r="A26" s="4" t="s">
        <v>81</v>
      </c>
      <c r="B26" s="4" t="s">
        <v>945</v>
      </c>
      <c r="C26" s="5" t="s">
        <v>106</v>
      </c>
      <c r="D26" s="5" t="s">
        <v>26</v>
      </c>
      <c r="E26" s="5" t="s">
        <v>27</v>
      </c>
      <c r="F26" s="5" t="s">
        <v>107</v>
      </c>
      <c r="G26" s="5" t="s">
        <v>16</v>
      </c>
      <c r="H26" s="6" t="s">
        <v>108</v>
      </c>
      <c r="I26" s="7" t="s">
        <v>68</v>
      </c>
      <c r="J26" s="8">
        <v>1.25</v>
      </c>
      <c r="K26" s="8">
        <v>0.97923728813559319</v>
      </c>
      <c r="L26" s="8">
        <v>0.85701692524682649</v>
      </c>
      <c r="M26" s="5"/>
      <c r="N26" s="8">
        <v>0.85701692524682649</v>
      </c>
      <c r="O26" s="9">
        <v>0.87518820579078782</v>
      </c>
      <c r="P26" s="10" t="s">
        <v>27</v>
      </c>
      <c r="Q26" s="10">
        <f t="shared" si="1"/>
        <v>0</v>
      </c>
      <c r="R26" s="10">
        <f t="shared" si="2"/>
        <v>0</v>
      </c>
      <c r="S26" s="10">
        <f t="shared" si="4"/>
        <v>0</v>
      </c>
      <c r="T26" s="10">
        <f t="shared" si="5"/>
        <v>0</v>
      </c>
      <c r="U26" s="11" t="str">
        <f t="shared" si="3"/>
        <v/>
      </c>
      <c r="V26" s="11" t="str">
        <f t="shared" si="3"/>
        <v/>
      </c>
      <c r="W26" s="11" t="str">
        <f t="shared" si="3"/>
        <v/>
      </c>
      <c r="X26" s="11" t="str">
        <f t="shared" si="3"/>
        <v/>
      </c>
      <c r="Y26" s="11" t="str">
        <f t="shared" si="3"/>
        <v/>
      </c>
      <c r="Z26" s="11" t="str">
        <f t="shared" si="3"/>
        <v/>
      </c>
      <c r="AA26" s="11" t="str">
        <f t="shared" si="3"/>
        <v/>
      </c>
      <c r="AB26" s="11" t="str">
        <f t="shared" si="3"/>
        <v/>
      </c>
      <c r="AC26" s="11" t="str">
        <f t="shared" si="3"/>
        <v/>
      </c>
      <c r="AD26" s="11" t="str">
        <f t="shared" si="3"/>
        <v/>
      </c>
      <c r="AE26" s="12" t="s">
        <v>27</v>
      </c>
    </row>
    <row r="27" spans="1:31" ht="18" customHeight="1" thickTop="1" thickBot="1" x14ac:dyDescent="0.3">
      <c r="A27" s="4" t="s">
        <v>81</v>
      </c>
      <c r="B27" s="4" t="s">
        <v>945</v>
      </c>
      <c r="C27" s="5" t="s">
        <v>109</v>
      </c>
      <c r="D27" s="5" t="s">
        <v>26</v>
      </c>
      <c r="E27" s="5" t="s">
        <v>36</v>
      </c>
      <c r="F27" s="5" t="s">
        <v>110</v>
      </c>
      <c r="G27" s="5" t="s">
        <v>16</v>
      </c>
      <c r="H27" s="6" t="s">
        <v>33</v>
      </c>
      <c r="I27" s="7" t="s">
        <v>111</v>
      </c>
      <c r="J27" s="8" t="s">
        <v>27</v>
      </c>
      <c r="K27" s="8">
        <v>0.98461538461538467</v>
      </c>
      <c r="L27" s="8">
        <v>0.68261964735516378</v>
      </c>
      <c r="M27" s="5"/>
      <c r="N27" s="8">
        <v>0.68261964735516378</v>
      </c>
      <c r="O27" s="9">
        <v>0.69328557934508817</v>
      </c>
      <c r="P27" s="10" t="s">
        <v>27</v>
      </c>
      <c r="Q27" s="10">
        <f t="shared" si="1"/>
        <v>0</v>
      </c>
      <c r="R27" s="10">
        <f t="shared" si="2"/>
        <v>0</v>
      </c>
      <c r="S27" s="10">
        <f t="shared" si="4"/>
        <v>0</v>
      </c>
      <c r="T27" s="10">
        <f t="shared" si="5"/>
        <v>0</v>
      </c>
      <c r="U27" s="11" t="str">
        <f t="shared" si="3"/>
        <v/>
      </c>
      <c r="V27" s="11" t="str">
        <f t="shared" si="3"/>
        <v/>
      </c>
      <c r="W27" s="11" t="str">
        <f t="shared" si="3"/>
        <v/>
      </c>
      <c r="X27" s="11" t="str">
        <f t="shared" si="3"/>
        <v/>
      </c>
      <c r="Y27" s="11" t="str">
        <f t="shared" si="3"/>
        <v/>
      </c>
      <c r="Z27" s="11" t="str">
        <f t="shared" si="3"/>
        <v/>
      </c>
      <c r="AA27" s="11" t="str">
        <f t="shared" si="3"/>
        <v/>
      </c>
      <c r="AB27" s="11" t="str">
        <f t="shared" si="3"/>
        <v/>
      </c>
      <c r="AC27" s="11" t="str">
        <f t="shared" si="3"/>
        <v/>
      </c>
      <c r="AD27" s="11" t="str">
        <f t="shared" si="3"/>
        <v/>
      </c>
      <c r="AE27" s="12" t="s">
        <v>27</v>
      </c>
    </row>
    <row r="28" spans="1:31" ht="18" customHeight="1" thickTop="1" thickBot="1" x14ac:dyDescent="0.3">
      <c r="A28" s="4" t="s">
        <v>81</v>
      </c>
      <c r="B28" s="4" t="s">
        <v>945</v>
      </c>
      <c r="C28" s="5" t="s">
        <v>109</v>
      </c>
      <c r="D28" s="5" t="s">
        <v>42</v>
      </c>
      <c r="E28" s="5" t="s">
        <v>27</v>
      </c>
      <c r="F28" s="5" t="s">
        <v>112</v>
      </c>
      <c r="G28" s="5" t="s">
        <v>16</v>
      </c>
      <c r="H28" s="6" t="s">
        <v>33</v>
      </c>
      <c r="I28" s="7" t="s">
        <v>387</v>
      </c>
      <c r="J28" s="8" t="s">
        <v>27</v>
      </c>
      <c r="K28" s="8">
        <v>1.0111111111111111</v>
      </c>
      <c r="L28" s="8">
        <v>0.7917282127031019</v>
      </c>
      <c r="M28" s="5"/>
      <c r="N28" s="8">
        <v>0.7917282127031019</v>
      </c>
      <c r="O28" s="9">
        <v>0.7830279026733975</v>
      </c>
      <c r="P28" s="10" t="s">
        <v>27</v>
      </c>
      <c r="Q28" s="10">
        <f t="shared" si="1"/>
        <v>0</v>
      </c>
      <c r="R28" s="10">
        <f t="shared" si="2"/>
        <v>0</v>
      </c>
      <c r="S28" s="10">
        <f t="shared" si="4"/>
        <v>0</v>
      </c>
      <c r="T28" s="10">
        <f t="shared" si="5"/>
        <v>0</v>
      </c>
      <c r="U28" s="11" t="str">
        <f t="shared" si="3"/>
        <v/>
      </c>
      <c r="V28" s="11" t="str">
        <f t="shared" si="3"/>
        <v/>
      </c>
      <c r="W28" s="11" t="str">
        <f t="shared" si="3"/>
        <v/>
      </c>
      <c r="X28" s="11" t="str">
        <f t="shared" si="3"/>
        <v/>
      </c>
      <c r="Y28" s="11" t="str">
        <f t="shared" si="3"/>
        <v/>
      </c>
      <c r="Z28" s="11" t="str">
        <f t="shared" si="3"/>
        <v/>
      </c>
      <c r="AA28" s="11" t="str">
        <f t="shared" si="3"/>
        <v/>
      </c>
      <c r="AB28" s="11" t="str">
        <f t="shared" si="3"/>
        <v/>
      </c>
      <c r="AC28" s="11" t="str">
        <f t="shared" si="3"/>
        <v/>
      </c>
      <c r="AD28" s="11" t="str">
        <f t="shared" si="3"/>
        <v/>
      </c>
      <c r="AE28" s="12" t="s">
        <v>27</v>
      </c>
    </row>
    <row r="29" spans="1:31" ht="18" customHeight="1" thickTop="1" thickBot="1" x14ac:dyDescent="0.3">
      <c r="A29" s="4" t="s">
        <v>113</v>
      </c>
      <c r="B29" s="4" t="s">
        <v>948</v>
      </c>
      <c r="C29" s="5" t="s">
        <v>114</v>
      </c>
      <c r="D29" s="5" t="s">
        <v>26</v>
      </c>
      <c r="E29" s="5" t="s">
        <v>27</v>
      </c>
      <c r="F29" s="5" t="s">
        <v>115</v>
      </c>
      <c r="G29" s="5" t="s">
        <v>16</v>
      </c>
      <c r="H29" s="6" t="s">
        <v>116</v>
      </c>
      <c r="I29" s="7" t="s">
        <v>74</v>
      </c>
      <c r="J29" s="8">
        <v>1.2333333333333334</v>
      </c>
      <c r="K29" s="8">
        <v>1.0554098360655737</v>
      </c>
      <c r="L29" s="8">
        <v>1.008</v>
      </c>
      <c r="M29" s="5"/>
      <c r="N29" s="8">
        <v>1.008</v>
      </c>
      <c r="O29" s="9">
        <v>0.95507921714818267</v>
      </c>
      <c r="P29" s="10" t="s">
        <v>27</v>
      </c>
      <c r="Q29" s="10">
        <f t="shared" si="1"/>
        <v>0</v>
      </c>
      <c r="R29" s="10">
        <f t="shared" si="2"/>
        <v>0</v>
      </c>
      <c r="S29" s="10">
        <f t="shared" si="4"/>
        <v>0</v>
      </c>
      <c r="T29" s="10">
        <f t="shared" si="5"/>
        <v>0</v>
      </c>
      <c r="U29" s="11" t="str">
        <f t="shared" si="3"/>
        <v/>
      </c>
      <c r="V29" s="11" t="str">
        <f t="shared" si="3"/>
        <v/>
      </c>
      <c r="W29" s="11" t="str">
        <f t="shared" si="3"/>
        <v/>
      </c>
      <c r="X29" s="11" t="str">
        <f t="shared" si="3"/>
        <v/>
      </c>
      <c r="Y29" s="11" t="str">
        <f t="shared" si="3"/>
        <v/>
      </c>
      <c r="Z29" s="11" t="str">
        <f t="shared" si="3"/>
        <v/>
      </c>
      <c r="AA29" s="11" t="str">
        <f t="shared" si="3"/>
        <v/>
      </c>
      <c r="AB29" s="11" t="str">
        <f t="shared" si="3"/>
        <v/>
      </c>
      <c r="AC29" s="11" t="str">
        <f t="shared" si="3"/>
        <v/>
      </c>
      <c r="AD29" s="11" t="str">
        <f t="shared" si="3"/>
        <v/>
      </c>
      <c r="AE29" s="12" t="s">
        <v>27</v>
      </c>
    </row>
    <row r="30" spans="1:31" ht="18" customHeight="1" thickTop="1" thickBot="1" x14ac:dyDescent="0.3">
      <c r="A30" s="4" t="s">
        <v>117</v>
      </c>
      <c r="B30" s="4" t="s">
        <v>950</v>
      </c>
      <c r="C30" s="5" t="s">
        <v>118</v>
      </c>
      <c r="D30" s="5" t="s">
        <v>26</v>
      </c>
      <c r="E30" s="5" t="s">
        <v>27</v>
      </c>
      <c r="F30" s="5" t="s">
        <v>119</v>
      </c>
      <c r="G30" s="5" t="s">
        <v>16</v>
      </c>
      <c r="H30" s="6" t="s">
        <v>120</v>
      </c>
      <c r="I30" s="7" t="s">
        <v>359</v>
      </c>
      <c r="J30" s="8" t="s">
        <v>27</v>
      </c>
      <c r="K30" s="8">
        <v>1</v>
      </c>
      <c r="L30" s="8">
        <v>1.4532862481571638</v>
      </c>
      <c r="M30" s="5"/>
      <c r="N30" s="8">
        <v>1.4532862481571638</v>
      </c>
      <c r="O30" s="9">
        <v>1.453286248157164</v>
      </c>
      <c r="P30" s="10" t="s">
        <v>27</v>
      </c>
      <c r="Q30" s="10">
        <f t="shared" si="1"/>
        <v>0</v>
      </c>
      <c r="R30" s="10">
        <f t="shared" si="2"/>
        <v>0</v>
      </c>
      <c r="S30" s="10">
        <f t="shared" si="4"/>
        <v>0</v>
      </c>
      <c r="T30" s="10">
        <f t="shared" si="5"/>
        <v>0</v>
      </c>
      <c r="U30" s="11" t="str">
        <f t="shared" si="3"/>
        <v/>
      </c>
      <c r="V30" s="11" t="str">
        <f t="shared" si="3"/>
        <v/>
      </c>
      <c r="W30" s="11" t="str">
        <f t="shared" si="3"/>
        <v/>
      </c>
      <c r="X30" s="11" t="str">
        <f t="shared" si="3"/>
        <v/>
      </c>
      <c r="Y30" s="11" t="str">
        <f t="shared" si="3"/>
        <v/>
      </c>
      <c r="Z30" s="11" t="str">
        <f t="shared" si="3"/>
        <v/>
      </c>
      <c r="AA30" s="11" t="str">
        <f t="shared" si="3"/>
        <v/>
      </c>
      <c r="AB30" s="11" t="str">
        <f t="shared" si="3"/>
        <v/>
      </c>
      <c r="AC30" s="11" t="str">
        <f t="shared" si="3"/>
        <v/>
      </c>
      <c r="AD30" s="11" t="str">
        <f t="shared" si="3"/>
        <v/>
      </c>
      <c r="AE30" s="12" t="s">
        <v>27</v>
      </c>
    </row>
    <row r="31" spans="1:31" ht="18" customHeight="1" thickTop="1" thickBot="1" x14ac:dyDescent="0.3">
      <c r="A31" s="4" t="s">
        <v>117</v>
      </c>
      <c r="B31" s="4" t="s">
        <v>950</v>
      </c>
      <c r="C31" s="5" t="s">
        <v>118</v>
      </c>
      <c r="D31" s="5" t="s">
        <v>42</v>
      </c>
      <c r="E31" s="5" t="s">
        <v>27</v>
      </c>
      <c r="F31" s="5" t="s">
        <v>121</v>
      </c>
      <c r="G31" s="5" t="s">
        <v>16</v>
      </c>
      <c r="H31" s="6" t="s">
        <v>120</v>
      </c>
      <c r="I31" s="7" t="s">
        <v>122</v>
      </c>
      <c r="J31" s="8" t="s">
        <v>27</v>
      </c>
      <c r="K31" s="8">
        <v>1.0142857142857142</v>
      </c>
      <c r="L31" s="8">
        <v>0.85256746823480001</v>
      </c>
      <c r="M31" s="5"/>
      <c r="N31" s="8">
        <v>0.85256746823480001</v>
      </c>
      <c r="O31" s="9">
        <v>0.84055947572445056</v>
      </c>
      <c r="P31" s="10" t="s">
        <v>27</v>
      </c>
      <c r="Q31" s="10">
        <f t="shared" si="1"/>
        <v>0</v>
      </c>
      <c r="R31" s="10">
        <f t="shared" si="2"/>
        <v>0</v>
      </c>
      <c r="S31" s="10">
        <f t="shared" si="4"/>
        <v>0</v>
      </c>
      <c r="T31" s="10">
        <f t="shared" si="5"/>
        <v>0</v>
      </c>
      <c r="U31" s="11" t="str">
        <f t="shared" si="3"/>
        <v/>
      </c>
      <c r="V31" s="11" t="str">
        <f t="shared" si="3"/>
        <v/>
      </c>
      <c r="W31" s="11" t="str">
        <f t="shared" si="3"/>
        <v/>
      </c>
      <c r="X31" s="11" t="str">
        <f t="shared" si="3"/>
        <v/>
      </c>
      <c r="Y31" s="11" t="str">
        <f t="shared" si="3"/>
        <v/>
      </c>
      <c r="Z31" s="11" t="str">
        <f t="shared" si="3"/>
        <v/>
      </c>
      <c r="AA31" s="11" t="str">
        <f t="shared" si="3"/>
        <v/>
      </c>
      <c r="AB31" s="11" t="str">
        <f t="shared" si="3"/>
        <v/>
      </c>
      <c r="AC31" s="11" t="str">
        <f t="shared" si="3"/>
        <v/>
      </c>
      <c r="AD31" s="11" t="str">
        <f t="shared" si="3"/>
        <v/>
      </c>
      <c r="AE31" s="12" t="s">
        <v>27</v>
      </c>
    </row>
    <row r="32" spans="1:31" ht="18" customHeight="1" thickTop="1" thickBot="1" x14ac:dyDescent="0.3">
      <c r="A32" s="4" t="s">
        <v>123</v>
      </c>
      <c r="B32" s="4" t="s">
        <v>948</v>
      </c>
      <c r="C32" s="5" t="s">
        <v>124</v>
      </c>
      <c r="D32" s="5" t="s">
        <v>26</v>
      </c>
      <c r="E32" s="5" t="s">
        <v>27</v>
      </c>
      <c r="F32" s="5" t="s">
        <v>125</v>
      </c>
      <c r="G32" s="5" t="s">
        <v>16</v>
      </c>
      <c r="H32" s="6" t="s">
        <v>126</v>
      </c>
      <c r="I32" s="7" t="s">
        <v>387</v>
      </c>
      <c r="J32" s="8">
        <v>1.25</v>
      </c>
      <c r="K32" s="8">
        <v>0.70545829042224506</v>
      </c>
      <c r="L32" s="8">
        <v>0.75874125874125875</v>
      </c>
      <c r="M32" s="5"/>
      <c r="N32" s="8">
        <v>0.75874125874125875</v>
      </c>
      <c r="O32" s="9">
        <v>1.075529579909142</v>
      </c>
      <c r="P32" s="10" t="s">
        <v>27</v>
      </c>
      <c r="Q32" s="10">
        <f t="shared" si="1"/>
        <v>0</v>
      </c>
      <c r="R32" s="10">
        <f t="shared" si="2"/>
        <v>0</v>
      </c>
      <c r="S32" s="10">
        <f t="shared" si="4"/>
        <v>0</v>
      </c>
      <c r="T32" s="10">
        <f t="shared" si="5"/>
        <v>0</v>
      </c>
      <c r="U32" s="11" t="str">
        <f t="shared" si="3"/>
        <v/>
      </c>
      <c r="V32" s="11" t="str">
        <f t="shared" si="3"/>
        <v/>
      </c>
      <c r="W32" s="11" t="str">
        <f t="shared" si="3"/>
        <v/>
      </c>
      <c r="X32" s="11" t="str">
        <f t="shared" si="3"/>
        <v/>
      </c>
      <c r="Y32" s="11" t="str">
        <f t="shared" si="3"/>
        <v/>
      </c>
      <c r="Z32" s="11" t="str">
        <f t="shared" si="3"/>
        <v/>
      </c>
      <c r="AA32" s="11" t="str">
        <f t="shared" si="3"/>
        <v/>
      </c>
      <c r="AB32" s="11" t="str">
        <f t="shared" si="3"/>
        <v/>
      </c>
      <c r="AC32" s="11" t="str">
        <f t="shared" si="3"/>
        <v/>
      </c>
      <c r="AD32" s="11" t="str">
        <f t="shared" si="3"/>
        <v/>
      </c>
      <c r="AE32" s="12" t="s">
        <v>27</v>
      </c>
    </row>
    <row r="33" spans="1:31" ht="18" customHeight="1" thickTop="1" thickBot="1" x14ac:dyDescent="0.3">
      <c r="A33" s="4" t="s">
        <v>123</v>
      </c>
      <c r="B33" s="4" t="s">
        <v>948</v>
      </c>
      <c r="C33" s="5" t="s">
        <v>124</v>
      </c>
      <c r="D33" s="5" t="s">
        <v>42</v>
      </c>
      <c r="E33" s="5" t="s">
        <v>27</v>
      </c>
      <c r="F33" s="5" t="s">
        <v>127</v>
      </c>
      <c r="G33" s="5" t="s">
        <v>16</v>
      </c>
      <c r="H33" s="6" t="s">
        <v>126</v>
      </c>
      <c r="I33" s="7" t="s">
        <v>68</v>
      </c>
      <c r="J33" s="8">
        <v>1.25</v>
      </c>
      <c r="K33" s="8">
        <v>0.76004775169120575</v>
      </c>
      <c r="L33" s="8">
        <v>1.2033747779751334</v>
      </c>
      <c r="M33" s="5"/>
      <c r="N33" s="8">
        <v>1.2033747779751334</v>
      </c>
      <c r="O33" s="9">
        <v>1.5832883858908426</v>
      </c>
      <c r="P33" s="10" t="s">
        <v>31</v>
      </c>
      <c r="Q33" s="10">
        <f t="shared" si="1"/>
        <v>0</v>
      </c>
      <c r="R33" s="10">
        <f t="shared" si="2"/>
        <v>0</v>
      </c>
      <c r="S33" s="10">
        <f t="shared" si="4"/>
        <v>1</v>
      </c>
      <c r="T33" s="10">
        <f t="shared" si="5"/>
        <v>0</v>
      </c>
      <c r="U33" s="11">
        <f t="shared" si="3"/>
        <v>1</v>
      </c>
      <c r="V33" s="11" t="str">
        <f t="shared" si="3"/>
        <v/>
      </c>
      <c r="W33" s="11" t="str">
        <f t="shared" si="3"/>
        <v/>
      </c>
      <c r="X33" s="11" t="str">
        <f t="shared" si="3"/>
        <v/>
      </c>
      <c r="Y33" s="11" t="str">
        <f t="shared" si="3"/>
        <v/>
      </c>
      <c r="Z33" s="11">
        <f t="shared" si="3"/>
        <v>1</v>
      </c>
      <c r="AA33" s="11" t="str">
        <f t="shared" si="3"/>
        <v/>
      </c>
      <c r="AB33" s="11" t="str">
        <f t="shared" si="3"/>
        <v/>
      </c>
      <c r="AC33" s="11" t="str">
        <f t="shared" si="3"/>
        <v/>
      </c>
      <c r="AD33" s="11" t="str">
        <f t="shared" si="3"/>
        <v/>
      </c>
      <c r="AE33" s="12" t="s">
        <v>1123</v>
      </c>
    </row>
    <row r="34" spans="1:31" ht="18" customHeight="1" thickTop="1" thickBot="1" x14ac:dyDescent="0.3">
      <c r="A34" s="4" t="s">
        <v>128</v>
      </c>
      <c r="B34" s="4" t="s">
        <v>946</v>
      </c>
      <c r="C34" s="5" t="s">
        <v>129</v>
      </c>
      <c r="D34" s="5" t="s">
        <v>26</v>
      </c>
      <c r="E34" s="5" t="s">
        <v>27</v>
      </c>
      <c r="F34" s="5" t="s">
        <v>130</v>
      </c>
      <c r="G34" s="5" t="s">
        <v>16</v>
      </c>
      <c r="H34" s="6" t="s">
        <v>108</v>
      </c>
      <c r="I34" s="7" t="s">
        <v>131</v>
      </c>
      <c r="J34" s="8" t="s">
        <v>27</v>
      </c>
      <c r="K34" s="8">
        <v>0.98645161290322581</v>
      </c>
      <c r="L34" s="8">
        <v>1.0906593406593408</v>
      </c>
      <c r="M34" s="5"/>
      <c r="N34" s="8">
        <v>1.0906593406593408</v>
      </c>
      <c r="O34" s="9">
        <v>1.1056389653511955</v>
      </c>
      <c r="P34" s="10" t="s">
        <v>27</v>
      </c>
      <c r="Q34" s="10">
        <f t="shared" si="1"/>
        <v>0</v>
      </c>
      <c r="R34" s="10">
        <f t="shared" si="2"/>
        <v>0</v>
      </c>
      <c r="S34" s="10">
        <f t="shared" si="4"/>
        <v>0</v>
      </c>
      <c r="T34" s="10">
        <f t="shared" si="5"/>
        <v>0</v>
      </c>
      <c r="U34" s="11" t="str">
        <f t="shared" si="3"/>
        <v/>
      </c>
      <c r="V34" s="11" t="str">
        <f t="shared" si="3"/>
        <v/>
      </c>
      <c r="W34" s="11" t="str">
        <f t="shared" si="3"/>
        <v/>
      </c>
      <c r="X34" s="11" t="str">
        <f t="shared" si="3"/>
        <v/>
      </c>
      <c r="Y34" s="11" t="str">
        <f t="shared" si="3"/>
        <v/>
      </c>
      <c r="Z34" s="11" t="str">
        <f t="shared" si="3"/>
        <v/>
      </c>
      <c r="AA34" s="11" t="str">
        <f t="shared" si="3"/>
        <v/>
      </c>
      <c r="AB34" s="11" t="str">
        <f t="shared" si="3"/>
        <v/>
      </c>
      <c r="AC34" s="11" t="str">
        <f t="shared" si="3"/>
        <v/>
      </c>
      <c r="AD34" s="11" t="str">
        <f t="shared" si="3"/>
        <v/>
      </c>
      <c r="AE34" s="12" t="s">
        <v>27</v>
      </c>
    </row>
    <row r="35" spans="1:31" ht="18" customHeight="1" thickTop="1" thickBot="1" x14ac:dyDescent="0.3">
      <c r="A35" s="4" t="s">
        <v>128</v>
      </c>
      <c r="B35" s="4" t="s">
        <v>946</v>
      </c>
      <c r="C35" s="5" t="s">
        <v>129</v>
      </c>
      <c r="D35" s="5" t="s">
        <v>42</v>
      </c>
      <c r="E35" s="5" t="s">
        <v>27</v>
      </c>
      <c r="F35" s="5" t="s">
        <v>132</v>
      </c>
      <c r="G35" s="5" t="s">
        <v>16</v>
      </c>
      <c r="H35" s="6" t="s">
        <v>108</v>
      </c>
      <c r="I35" s="7" t="s">
        <v>387</v>
      </c>
      <c r="J35" s="8" t="s">
        <v>27</v>
      </c>
      <c r="K35" s="8">
        <v>0.95666666666666667</v>
      </c>
      <c r="L35" s="8">
        <v>1.136546184738956</v>
      </c>
      <c r="M35" s="5"/>
      <c r="N35" s="8">
        <v>1.136546184738956</v>
      </c>
      <c r="O35" s="9">
        <v>1.1880273708072711</v>
      </c>
      <c r="P35" s="10" t="s">
        <v>27</v>
      </c>
      <c r="Q35" s="10">
        <f t="shared" si="1"/>
        <v>0</v>
      </c>
      <c r="R35" s="10">
        <f t="shared" si="2"/>
        <v>0</v>
      </c>
      <c r="S35" s="10">
        <f t="shared" si="4"/>
        <v>0</v>
      </c>
      <c r="T35" s="10">
        <f t="shared" si="5"/>
        <v>0</v>
      </c>
      <c r="U35" s="11" t="str">
        <f t="shared" si="3"/>
        <v/>
      </c>
      <c r="V35" s="11" t="str">
        <f t="shared" si="3"/>
        <v/>
      </c>
      <c r="W35" s="11" t="str">
        <f t="shared" si="3"/>
        <v/>
      </c>
      <c r="X35" s="11" t="str">
        <f t="shared" si="3"/>
        <v/>
      </c>
      <c r="Y35" s="11" t="str">
        <f t="shared" si="3"/>
        <v/>
      </c>
      <c r="Z35" s="11" t="str">
        <f t="shared" si="3"/>
        <v/>
      </c>
      <c r="AA35" s="11" t="str">
        <f t="shared" si="3"/>
        <v/>
      </c>
      <c r="AB35" s="11" t="str">
        <f t="shared" si="3"/>
        <v/>
      </c>
      <c r="AC35" s="11" t="str">
        <f t="shared" si="3"/>
        <v/>
      </c>
      <c r="AD35" s="11" t="str">
        <f t="shared" si="3"/>
        <v/>
      </c>
      <c r="AE35" s="12" t="s">
        <v>27</v>
      </c>
    </row>
    <row r="36" spans="1:31" ht="18" customHeight="1" thickTop="1" thickBot="1" x14ac:dyDescent="0.3">
      <c r="A36" s="4" t="s">
        <v>133</v>
      </c>
      <c r="B36" s="4" t="s">
        <v>947</v>
      </c>
      <c r="C36" s="5" t="s">
        <v>134</v>
      </c>
      <c r="D36" s="5" t="s">
        <v>26</v>
      </c>
      <c r="E36" s="5" t="s">
        <v>36</v>
      </c>
      <c r="F36" s="5" t="s">
        <v>135</v>
      </c>
      <c r="G36" s="5" t="s">
        <v>16</v>
      </c>
      <c r="H36" s="6" t="s">
        <v>137</v>
      </c>
      <c r="I36" s="7" t="s">
        <v>44</v>
      </c>
      <c r="J36" s="8" t="s">
        <v>27</v>
      </c>
      <c r="K36" s="8">
        <v>0.55909090909090908</v>
      </c>
      <c r="L36" s="8">
        <v>1.3697260273972602</v>
      </c>
      <c r="M36" s="5"/>
      <c r="N36" s="8">
        <v>1.3697260273972602</v>
      </c>
      <c r="O36" s="9">
        <v>2.4499164717674575</v>
      </c>
      <c r="P36" s="10" t="s">
        <v>31</v>
      </c>
      <c r="Q36" s="10">
        <f t="shared" si="1"/>
        <v>0</v>
      </c>
      <c r="R36" s="10">
        <f t="shared" si="2"/>
        <v>0</v>
      </c>
      <c r="S36" s="10">
        <f t="shared" si="4"/>
        <v>1</v>
      </c>
      <c r="T36" s="10">
        <f t="shared" si="5"/>
        <v>0</v>
      </c>
      <c r="U36" s="11">
        <f t="shared" si="3"/>
        <v>1</v>
      </c>
      <c r="V36" s="11" t="str">
        <f t="shared" si="3"/>
        <v/>
      </c>
      <c r="W36" s="11">
        <f t="shared" si="3"/>
        <v>1</v>
      </c>
      <c r="X36" s="11" t="str">
        <f t="shared" si="3"/>
        <v/>
      </c>
      <c r="Y36" s="11" t="str">
        <f t="shared" si="3"/>
        <v/>
      </c>
      <c r="Z36" s="11">
        <f t="shared" si="3"/>
        <v>1</v>
      </c>
      <c r="AA36" s="11" t="str">
        <f t="shared" si="3"/>
        <v/>
      </c>
      <c r="AB36" s="11" t="str">
        <f t="shared" si="3"/>
        <v/>
      </c>
      <c r="AC36" s="11" t="str">
        <f t="shared" si="3"/>
        <v/>
      </c>
      <c r="AD36" s="11" t="str">
        <f t="shared" si="3"/>
        <v/>
      </c>
      <c r="AE36" s="12" t="s">
        <v>1125</v>
      </c>
    </row>
    <row r="37" spans="1:31" ht="18" customHeight="1" thickTop="1" thickBot="1" x14ac:dyDescent="0.3">
      <c r="A37" s="4" t="s">
        <v>133</v>
      </c>
      <c r="B37" s="4" t="s">
        <v>947</v>
      </c>
      <c r="C37" s="5" t="s">
        <v>134</v>
      </c>
      <c r="D37" s="5" t="s">
        <v>26</v>
      </c>
      <c r="E37" s="5" t="s">
        <v>40</v>
      </c>
      <c r="F37" s="5" t="s">
        <v>138</v>
      </c>
      <c r="G37" s="5" t="s">
        <v>16</v>
      </c>
      <c r="H37" s="6" t="s">
        <v>137</v>
      </c>
      <c r="I37" s="7" t="s">
        <v>44</v>
      </c>
      <c r="J37" s="8" t="s">
        <v>27</v>
      </c>
      <c r="K37" s="8">
        <v>0.57307692307692304</v>
      </c>
      <c r="L37" s="8">
        <v>1.2620689655172415</v>
      </c>
      <c r="M37" s="5"/>
      <c r="N37" s="8">
        <v>1.2620689655172415</v>
      </c>
      <c r="O37" s="9">
        <v>2.2022679935200191</v>
      </c>
      <c r="P37" s="10" t="s">
        <v>31</v>
      </c>
      <c r="Q37" s="10">
        <f t="shared" si="1"/>
        <v>0</v>
      </c>
      <c r="R37" s="10">
        <f t="shared" si="2"/>
        <v>0</v>
      </c>
      <c r="S37" s="10">
        <f t="shared" si="4"/>
        <v>1</v>
      </c>
      <c r="T37" s="10">
        <f t="shared" si="5"/>
        <v>0</v>
      </c>
      <c r="U37" s="11">
        <f t="shared" si="3"/>
        <v>1</v>
      </c>
      <c r="V37" s="11" t="str">
        <f t="shared" si="3"/>
        <v/>
      </c>
      <c r="W37" s="11">
        <f t="shared" si="3"/>
        <v>1</v>
      </c>
      <c r="X37" s="11" t="str">
        <f t="shared" si="3"/>
        <v/>
      </c>
      <c r="Y37" s="11" t="str">
        <f t="shared" si="3"/>
        <v/>
      </c>
      <c r="Z37" s="11">
        <f t="shared" si="3"/>
        <v>1</v>
      </c>
      <c r="AA37" s="11" t="str">
        <f t="shared" si="3"/>
        <v/>
      </c>
      <c r="AB37" s="11" t="str">
        <f t="shared" si="3"/>
        <v/>
      </c>
      <c r="AC37" s="11" t="str">
        <f t="shared" si="3"/>
        <v/>
      </c>
      <c r="AD37" s="11" t="str">
        <f t="shared" si="3"/>
        <v/>
      </c>
      <c r="AE37" s="12" t="s">
        <v>1125</v>
      </c>
    </row>
    <row r="38" spans="1:31" ht="18" customHeight="1" thickTop="1" thickBot="1" x14ac:dyDescent="0.3">
      <c r="A38" s="4" t="s">
        <v>133</v>
      </c>
      <c r="B38" s="4" t="s">
        <v>947</v>
      </c>
      <c r="C38" s="5" t="s">
        <v>134</v>
      </c>
      <c r="D38" s="5" t="s">
        <v>26</v>
      </c>
      <c r="E38" s="5" t="s">
        <v>69</v>
      </c>
      <c r="F38" s="5" t="s">
        <v>139</v>
      </c>
      <c r="G38" s="5" t="s">
        <v>16</v>
      </c>
      <c r="H38" s="6" t="s">
        <v>137</v>
      </c>
      <c r="I38" s="7" t="s">
        <v>68</v>
      </c>
      <c r="J38" s="8">
        <v>0.26666666666666666</v>
      </c>
      <c r="K38" s="8">
        <v>0.96666666666666667</v>
      </c>
      <c r="L38" s="8">
        <v>9.8947368421052631E-2</v>
      </c>
      <c r="M38" s="5"/>
      <c r="N38" s="8">
        <v>9.8947368421052631E-2</v>
      </c>
      <c r="O38" s="9">
        <v>0.10235934664246825</v>
      </c>
      <c r="P38" s="10" t="s">
        <v>31</v>
      </c>
      <c r="Q38" s="10">
        <f t="shared" si="1"/>
        <v>0</v>
      </c>
      <c r="R38" s="10">
        <f t="shared" si="2"/>
        <v>0</v>
      </c>
      <c r="S38" s="10">
        <f t="shared" si="4"/>
        <v>0</v>
      </c>
      <c r="T38" s="10">
        <f t="shared" si="5"/>
        <v>1</v>
      </c>
      <c r="U38" s="11">
        <f t="shared" si="3"/>
        <v>1</v>
      </c>
      <c r="V38" s="11" t="str">
        <f t="shared" si="3"/>
        <v/>
      </c>
      <c r="W38" s="11">
        <f t="shared" si="3"/>
        <v>1</v>
      </c>
      <c r="X38" s="11" t="str">
        <f t="shared" si="3"/>
        <v/>
      </c>
      <c r="Y38" s="11" t="str">
        <f t="shared" si="3"/>
        <v/>
      </c>
      <c r="Z38" s="11">
        <f t="shared" si="3"/>
        <v>1</v>
      </c>
      <c r="AA38" s="11" t="str">
        <f t="shared" si="3"/>
        <v/>
      </c>
      <c r="AB38" s="11" t="str">
        <f t="shared" si="3"/>
        <v/>
      </c>
      <c r="AC38" s="11" t="str">
        <f t="shared" si="3"/>
        <v/>
      </c>
      <c r="AD38" s="11" t="str">
        <f t="shared" si="3"/>
        <v/>
      </c>
      <c r="AE38" s="12" t="s">
        <v>1125</v>
      </c>
    </row>
    <row r="39" spans="1:31" ht="18" customHeight="1" thickTop="1" thickBot="1" x14ac:dyDescent="0.3">
      <c r="A39" s="4" t="s">
        <v>133</v>
      </c>
      <c r="B39" s="4" t="s">
        <v>947</v>
      </c>
      <c r="C39" s="5" t="s">
        <v>134</v>
      </c>
      <c r="D39" s="5" t="s">
        <v>26</v>
      </c>
      <c r="E39" s="5" t="s">
        <v>71</v>
      </c>
      <c r="F39" s="5" t="s">
        <v>140</v>
      </c>
      <c r="G39" s="5" t="s">
        <v>16</v>
      </c>
      <c r="H39" s="6" t="s">
        <v>137</v>
      </c>
      <c r="I39" s="7" t="s">
        <v>44</v>
      </c>
      <c r="J39" s="8">
        <v>0.53333333333333333</v>
      </c>
      <c r="K39" s="8">
        <v>0.87142857142857144</v>
      </c>
      <c r="L39" s="8">
        <v>1.1125874125874127</v>
      </c>
      <c r="M39" s="5"/>
      <c r="N39" s="8">
        <v>1.1125874125874127</v>
      </c>
      <c r="O39" s="9">
        <v>1.276739653788834</v>
      </c>
      <c r="P39" s="10" t="s">
        <v>27</v>
      </c>
      <c r="Q39" s="10">
        <f t="shared" si="1"/>
        <v>0</v>
      </c>
      <c r="R39" s="10">
        <f t="shared" si="2"/>
        <v>0</v>
      </c>
      <c r="S39" s="10">
        <f t="shared" si="4"/>
        <v>0</v>
      </c>
      <c r="T39" s="10">
        <f t="shared" si="5"/>
        <v>0</v>
      </c>
      <c r="U39" s="11" t="str">
        <f t="shared" si="3"/>
        <v/>
      </c>
      <c r="V39" s="11" t="str">
        <f t="shared" si="3"/>
        <v/>
      </c>
      <c r="W39" s="11" t="str">
        <f t="shared" si="3"/>
        <v/>
      </c>
      <c r="X39" s="11" t="str">
        <f t="shared" si="3"/>
        <v/>
      </c>
      <c r="Y39" s="11" t="str">
        <f t="shared" si="3"/>
        <v/>
      </c>
      <c r="Z39" s="11" t="str">
        <f t="shared" si="3"/>
        <v/>
      </c>
      <c r="AA39" s="11" t="str">
        <f t="shared" si="3"/>
        <v/>
      </c>
      <c r="AB39" s="11" t="str">
        <f t="shared" si="3"/>
        <v/>
      </c>
      <c r="AC39" s="11" t="str">
        <f t="shared" si="3"/>
        <v/>
      </c>
      <c r="AD39" s="11" t="str">
        <f t="shared" si="3"/>
        <v/>
      </c>
      <c r="AE39" s="12" t="s">
        <v>27</v>
      </c>
    </row>
    <row r="40" spans="1:31" ht="18" customHeight="1" thickTop="1" thickBot="1" x14ac:dyDescent="0.3">
      <c r="A40" s="4" t="s">
        <v>133</v>
      </c>
      <c r="B40" s="4" t="s">
        <v>947</v>
      </c>
      <c r="C40" s="5" t="s">
        <v>134</v>
      </c>
      <c r="D40" s="5" t="s">
        <v>26</v>
      </c>
      <c r="E40" s="5" t="s">
        <v>141</v>
      </c>
      <c r="F40" s="5" t="s">
        <v>142</v>
      </c>
      <c r="G40" s="5" t="s">
        <v>16</v>
      </c>
      <c r="H40" s="6" t="s">
        <v>137</v>
      </c>
      <c r="I40" s="7" t="s">
        <v>68</v>
      </c>
      <c r="J40" s="8">
        <v>2.9333333333333331</v>
      </c>
      <c r="K40" s="8">
        <v>0.78999999999999992</v>
      </c>
      <c r="L40" s="8">
        <v>1.1796296296296294</v>
      </c>
      <c r="M40" s="5"/>
      <c r="N40" s="8">
        <v>1.1796296296296294</v>
      </c>
      <c r="O40" s="9">
        <v>1.4932020628223157</v>
      </c>
      <c r="P40" s="10" t="s">
        <v>27</v>
      </c>
      <c r="Q40" s="10">
        <f t="shared" si="1"/>
        <v>0</v>
      </c>
      <c r="R40" s="10">
        <f t="shared" si="2"/>
        <v>0</v>
      </c>
      <c r="S40" s="10">
        <f t="shared" si="4"/>
        <v>0</v>
      </c>
      <c r="T40" s="10">
        <f t="shared" si="5"/>
        <v>0</v>
      </c>
      <c r="U40" s="11" t="str">
        <f t="shared" si="3"/>
        <v/>
      </c>
      <c r="V40" s="11" t="str">
        <f t="shared" si="3"/>
        <v/>
      </c>
      <c r="W40" s="11" t="str">
        <f t="shared" si="3"/>
        <v/>
      </c>
      <c r="X40" s="11" t="str">
        <f t="shared" si="3"/>
        <v/>
      </c>
      <c r="Y40" s="11" t="str">
        <f t="shared" si="3"/>
        <v/>
      </c>
      <c r="Z40" s="11" t="str">
        <f t="shared" si="3"/>
        <v/>
      </c>
      <c r="AA40" s="11" t="str">
        <f t="shared" si="3"/>
        <v/>
      </c>
      <c r="AB40" s="11" t="str">
        <f t="shared" si="3"/>
        <v/>
      </c>
      <c r="AC40" s="11" t="str">
        <f t="shared" si="3"/>
        <v/>
      </c>
      <c r="AD40" s="11" t="str">
        <f t="shared" si="3"/>
        <v/>
      </c>
      <c r="AE40" s="12" t="s">
        <v>27</v>
      </c>
    </row>
    <row r="41" spans="1:31" ht="18" customHeight="1" thickTop="1" thickBot="1" x14ac:dyDescent="0.3">
      <c r="A41" s="4" t="s">
        <v>133</v>
      </c>
      <c r="B41" s="4" t="s">
        <v>947</v>
      </c>
      <c r="C41" s="5" t="s">
        <v>134</v>
      </c>
      <c r="D41" s="5" t="s">
        <v>26</v>
      </c>
      <c r="E41" s="5" t="s">
        <v>143</v>
      </c>
      <c r="F41" s="5" t="s">
        <v>144</v>
      </c>
      <c r="G41" s="5" t="s">
        <v>16</v>
      </c>
      <c r="H41" s="6" t="s">
        <v>137</v>
      </c>
      <c r="I41" s="7" t="s">
        <v>44</v>
      </c>
      <c r="J41" s="8">
        <v>0.26666666666666666</v>
      </c>
      <c r="K41" s="8">
        <v>6.25E-2</v>
      </c>
      <c r="L41" s="8">
        <v>0.12166666666666666</v>
      </c>
      <c r="M41" s="5"/>
      <c r="N41" s="8">
        <v>0.12166666666666666</v>
      </c>
      <c r="O41" s="9">
        <v>1.9466666666666668</v>
      </c>
      <c r="P41" s="10" t="s">
        <v>31</v>
      </c>
      <c r="Q41" s="10">
        <f t="shared" si="1"/>
        <v>0</v>
      </c>
      <c r="R41" s="10">
        <f t="shared" si="2"/>
        <v>1</v>
      </c>
      <c r="S41" s="10">
        <f t="shared" si="4"/>
        <v>1</v>
      </c>
      <c r="T41" s="10">
        <f t="shared" si="5"/>
        <v>0</v>
      </c>
      <c r="U41" s="11">
        <f t="shared" si="3"/>
        <v>1</v>
      </c>
      <c r="V41" s="11" t="str">
        <f t="shared" si="3"/>
        <v/>
      </c>
      <c r="W41" s="11" t="str">
        <f t="shared" si="3"/>
        <v/>
      </c>
      <c r="X41" s="11" t="str">
        <f t="shared" si="3"/>
        <v/>
      </c>
      <c r="Y41" s="11" t="str">
        <f t="shared" si="3"/>
        <v/>
      </c>
      <c r="Z41" s="11">
        <f t="shared" si="3"/>
        <v>1</v>
      </c>
      <c r="AA41" s="11" t="str">
        <f t="shared" si="3"/>
        <v/>
      </c>
      <c r="AB41" s="11" t="str">
        <f t="shared" si="3"/>
        <v/>
      </c>
      <c r="AC41" s="11" t="str">
        <f t="shared" si="3"/>
        <v/>
      </c>
      <c r="AD41" s="11" t="str">
        <f t="shared" si="3"/>
        <v/>
      </c>
      <c r="AE41" s="12" t="s">
        <v>1129</v>
      </c>
    </row>
    <row r="42" spans="1:31" ht="18" customHeight="1" thickTop="1" thickBot="1" x14ac:dyDescent="0.3">
      <c r="A42" s="4" t="s">
        <v>123</v>
      </c>
      <c r="B42" s="4" t="s">
        <v>948</v>
      </c>
      <c r="C42" s="5" t="s">
        <v>145</v>
      </c>
      <c r="D42" s="5" t="s">
        <v>26</v>
      </c>
      <c r="E42" s="5" t="s">
        <v>27</v>
      </c>
      <c r="F42" s="5" t="s">
        <v>146</v>
      </c>
      <c r="G42" s="5" t="s">
        <v>16</v>
      </c>
      <c r="H42" s="6" t="s">
        <v>147</v>
      </c>
      <c r="I42" s="7" t="s">
        <v>364</v>
      </c>
      <c r="J42" s="8" t="s">
        <v>27</v>
      </c>
      <c r="K42" s="8">
        <v>0.94565217391304346</v>
      </c>
      <c r="L42" s="8">
        <v>2.3830250272034821</v>
      </c>
      <c r="M42" s="5"/>
      <c r="N42" s="8">
        <v>2.3830250272034821</v>
      </c>
      <c r="O42" s="9">
        <v>2.5199804885370156</v>
      </c>
      <c r="P42" s="10" t="s">
        <v>31</v>
      </c>
      <c r="Q42" s="10">
        <f t="shared" si="1"/>
        <v>0</v>
      </c>
      <c r="R42" s="10">
        <f t="shared" si="2"/>
        <v>0</v>
      </c>
      <c r="S42" s="10">
        <f t="shared" si="4"/>
        <v>1</v>
      </c>
      <c r="T42" s="10">
        <f t="shared" si="5"/>
        <v>0</v>
      </c>
      <c r="U42" s="11">
        <f t="shared" si="3"/>
        <v>1</v>
      </c>
      <c r="V42" s="11" t="str">
        <f t="shared" si="3"/>
        <v/>
      </c>
      <c r="W42" s="11">
        <f t="shared" si="3"/>
        <v>1</v>
      </c>
      <c r="X42" s="11" t="str">
        <f t="shared" si="3"/>
        <v/>
      </c>
      <c r="Y42" s="11" t="str">
        <f t="shared" si="3"/>
        <v/>
      </c>
      <c r="Z42" s="11" t="str">
        <f t="shared" si="3"/>
        <v/>
      </c>
      <c r="AA42" s="11">
        <f t="shared" si="3"/>
        <v>1</v>
      </c>
      <c r="AB42" s="11" t="str">
        <f t="shared" si="3"/>
        <v/>
      </c>
      <c r="AC42" s="11" t="str">
        <f t="shared" si="3"/>
        <v/>
      </c>
      <c r="AD42" s="11" t="str">
        <f t="shared" si="3"/>
        <v/>
      </c>
      <c r="AE42" s="12" t="s">
        <v>1131</v>
      </c>
    </row>
    <row r="43" spans="1:31" ht="18" customHeight="1" thickTop="1" thickBot="1" x14ac:dyDescent="0.3">
      <c r="A43" s="4" t="s">
        <v>123</v>
      </c>
      <c r="B43" s="4" t="s">
        <v>948</v>
      </c>
      <c r="C43" s="5" t="s">
        <v>145</v>
      </c>
      <c r="D43" s="5" t="s">
        <v>42</v>
      </c>
      <c r="E43" s="5" t="s">
        <v>27</v>
      </c>
      <c r="F43" s="5" t="s">
        <v>148</v>
      </c>
      <c r="G43" s="5" t="s">
        <v>16</v>
      </c>
      <c r="H43" s="6" t="s">
        <v>147</v>
      </c>
      <c r="I43" s="7" t="s">
        <v>78</v>
      </c>
      <c r="J43" s="8" t="s">
        <v>27</v>
      </c>
      <c r="K43" s="8">
        <v>0.57692307692307687</v>
      </c>
      <c r="L43" s="8">
        <v>0.64552661381653453</v>
      </c>
      <c r="M43" s="5"/>
      <c r="N43" s="8">
        <v>0.64552661381653453</v>
      </c>
      <c r="O43" s="9">
        <v>1.1189127972819932</v>
      </c>
      <c r="P43" s="10" t="s">
        <v>27</v>
      </c>
      <c r="Q43" s="10">
        <f t="shared" si="1"/>
        <v>0</v>
      </c>
      <c r="R43" s="10">
        <f t="shared" si="2"/>
        <v>0</v>
      </c>
      <c r="S43" s="10">
        <f t="shared" si="4"/>
        <v>0</v>
      </c>
      <c r="T43" s="10">
        <f t="shared" si="5"/>
        <v>0</v>
      </c>
      <c r="U43" s="11" t="str">
        <f t="shared" si="3"/>
        <v/>
      </c>
      <c r="V43" s="11" t="str">
        <f t="shared" si="3"/>
        <v/>
      </c>
      <c r="W43" s="11" t="str">
        <f t="shared" si="3"/>
        <v/>
      </c>
      <c r="X43" s="11" t="str">
        <f t="shared" si="3"/>
        <v/>
      </c>
      <c r="Y43" s="11" t="str">
        <f t="shared" si="3"/>
        <v/>
      </c>
      <c r="Z43" s="11" t="str">
        <f t="shared" si="3"/>
        <v/>
      </c>
      <c r="AA43" s="11" t="str">
        <f t="shared" si="3"/>
        <v/>
      </c>
      <c r="AB43" s="11" t="str">
        <f t="shared" si="3"/>
        <v/>
      </c>
      <c r="AC43" s="11" t="str">
        <f t="shared" si="3"/>
        <v/>
      </c>
      <c r="AD43" s="11" t="str">
        <f t="shared" si="3"/>
        <v/>
      </c>
      <c r="AE43" s="12" t="s">
        <v>27</v>
      </c>
    </row>
    <row r="44" spans="1:31" ht="18" customHeight="1" thickTop="1" thickBot="1" x14ac:dyDescent="0.3">
      <c r="A44" s="4" t="s">
        <v>149</v>
      </c>
      <c r="B44" s="4" t="s">
        <v>945</v>
      </c>
      <c r="C44" s="5" t="s">
        <v>150</v>
      </c>
      <c r="D44" s="5" t="s">
        <v>26</v>
      </c>
      <c r="E44" s="5" t="s">
        <v>27</v>
      </c>
      <c r="F44" s="5" t="s">
        <v>151</v>
      </c>
      <c r="G44" s="5" t="s">
        <v>16</v>
      </c>
      <c r="H44" s="6" t="s">
        <v>33</v>
      </c>
      <c r="I44" s="7" t="s">
        <v>359</v>
      </c>
      <c r="J44" s="8" t="s">
        <v>27</v>
      </c>
      <c r="K44" s="8">
        <v>2.0087719298245612</v>
      </c>
      <c r="L44" s="8">
        <v>0.86192810457516345</v>
      </c>
      <c r="M44" s="5"/>
      <c r="N44" s="8">
        <v>0.86192810457516345</v>
      </c>
      <c r="O44" s="9">
        <v>0.42908211319462286</v>
      </c>
      <c r="P44" s="10" t="s">
        <v>31</v>
      </c>
      <c r="Q44" s="10">
        <f t="shared" si="1"/>
        <v>1</v>
      </c>
      <c r="R44" s="10">
        <f t="shared" si="2"/>
        <v>0</v>
      </c>
      <c r="S44" s="10">
        <f t="shared" si="4"/>
        <v>0</v>
      </c>
      <c r="T44" s="10">
        <f t="shared" si="5"/>
        <v>1</v>
      </c>
      <c r="U44" s="11">
        <f t="shared" ref="U44:AD69" si="6">IF(ISNUMBER(SEARCH(U$3,$AE44)), 1,"")</f>
        <v>1</v>
      </c>
      <c r="V44" s="11" t="str">
        <f t="shared" si="6"/>
        <v/>
      </c>
      <c r="W44" s="11" t="str">
        <f t="shared" si="6"/>
        <v/>
      </c>
      <c r="X44" s="11" t="str">
        <f t="shared" si="6"/>
        <v/>
      </c>
      <c r="Y44" s="11" t="str">
        <f t="shared" si="6"/>
        <v/>
      </c>
      <c r="Z44" s="11" t="str">
        <f t="shared" si="6"/>
        <v/>
      </c>
      <c r="AA44" s="11" t="str">
        <f t="shared" si="6"/>
        <v/>
      </c>
      <c r="AB44" s="11" t="str">
        <f t="shared" si="6"/>
        <v/>
      </c>
      <c r="AC44" s="11">
        <f t="shared" si="6"/>
        <v>1</v>
      </c>
      <c r="AD44" s="11">
        <f t="shared" si="6"/>
        <v>1</v>
      </c>
      <c r="AE44" s="12" t="s">
        <v>1134</v>
      </c>
    </row>
    <row r="45" spans="1:31" ht="18" customHeight="1" thickTop="1" thickBot="1" x14ac:dyDescent="0.3">
      <c r="A45" s="4" t="s">
        <v>149</v>
      </c>
      <c r="B45" s="4" t="s">
        <v>945</v>
      </c>
      <c r="C45" s="5" t="s">
        <v>150</v>
      </c>
      <c r="D45" s="5" t="s">
        <v>42</v>
      </c>
      <c r="E45" s="5" t="s">
        <v>27</v>
      </c>
      <c r="F45" s="5" t="s">
        <v>152</v>
      </c>
      <c r="G45" s="5" t="s">
        <v>16</v>
      </c>
      <c r="H45" s="6" t="s">
        <v>33</v>
      </c>
      <c r="I45" s="7" t="s">
        <v>387</v>
      </c>
      <c r="J45" s="8" t="s">
        <v>27</v>
      </c>
      <c r="K45" s="8">
        <v>1.6270491803278688</v>
      </c>
      <c r="L45" s="8">
        <v>1.3822784810126583</v>
      </c>
      <c r="M45" s="5"/>
      <c r="N45" s="8">
        <v>1.3822784810126583</v>
      </c>
      <c r="O45" s="9">
        <v>0.8495615853075279</v>
      </c>
      <c r="P45" s="10" t="s">
        <v>31</v>
      </c>
      <c r="Q45" s="10">
        <f t="shared" si="1"/>
        <v>1</v>
      </c>
      <c r="R45" s="10">
        <f t="shared" si="2"/>
        <v>0</v>
      </c>
      <c r="S45" s="10">
        <f t="shared" si="4"/>
        <v>0</v>
      </c>
      <c r="T45" s="10">
        <f t="shared" si="5"/>
        <v>0</v>
      </c>
      <c r="U45" s="11">
        <f t="shared" si="6"/>
        <v>1</v>
      </c>
      <c r="V45" s="11" t="str">
        <f t="shared" si="6"/>
        <v/>
      </c>
      <c r="W45" s="11" t="str">
        <f t="shared" si="6"/>
        <v/>
      </c>
      <c r="X45" s="11" t="str">
        <f t="shared" si="6"/>
        <v/>
      </c>
      <c r="Y45" s="11" t="str">
        <f t="shared" si="6"/>
        <v/>
      </c>
      <c r="Z45" s="11" t="str">
        <f t="shared" si="6"/>
        <v/>
      </c>
      <c r="AA45" s="11" t="str">
        <f t="shared" si="6"/>
        <v/>
      </c>
      <c r="AB45" s="11" t="str">
        <f t="shared" si="6"/>
        <v/>
      </c>
      <c r="AC45" s="11">
        <f t="shared" si="6"/>
        <v>1</v>
      </c>
      <c r="AD45" s="11" t="str">
        <f t="shared" si="6"/>
        <v/>
      </c>
      <c r="AE45" s="12" t="s">
        <v>1136</v>
      </c>
    </row>
    <row r="46" spans="1:31" ht="18" customHeight="1" thickTop="1" thickBot="1" x14ac:dyDescent="0.3">
      <c r="A46" s="4" t="s">
        <v>81</v>
      </c>
      <c r="B46" s="4" t="s">
        <v>945</v>
      </c>
      <c r="C46" s="5" t="s">
        <v>153</v>
      </c>
      <c r="D46" s="5" t="s">
        <v>26</v>
      </c>
      <c r="E46" s="5" t="s">
        <v>36</v>
      </c>
      <c r="F46" s="5" t="s">
        <v>154</v>
      </c>
      <c r="G46" s="5" t="s">
        <v>16</v>
      </c>
      <c r="H46" s="6" t="s">
        <v>155</v>
      </c>
      <c r="I46" s="7" t="s">
        <v>84</v>
      </c>
      <c r="J46" s="8" t="s">
        <v>27</v>
      </c>
      <c r="K46" s="8">
        <v>1</v>
      </c>
      <c r="L46" s="8">
        <v>2.057450968026739</v>
      </c>
      <c r="M46" s="5"/>
      <c r="N46" s="8">
        <v>2.057450968026739</v>
      </c>
      <c r="O46" s="9">
        <v>2.057450968026739</v>
      </c>
      <c r="P46" s="10" t="s">
        <v>31</v>
      </c>
      <c r="Q46" s="10">
        <f t="shared" si="1"/>
        <v>0</v>
      </c>
      <c r="R46" s="10">
        <f t="shared" si="2"/>
        <v>0</v>
      </c>
      <c r="S46" s="10">
        <f t="shared" si="4"/>
        <v>1</v>
      </c>
      <c r="T46" s="10">
        <f t="shared" si="5"/>
        <v>0</v>
      </c>
      <c r="U46" s="11">
        <f t="shared" si="6"/>
        <v>1</v>
      </c>
      <c r="V46" s="11" t="str">
        <f t="shared" si="6"/>
        <v/>
      </c>
      <c r="W46" s="11" t="str">
        <f t="shared" si="6"/>
        <v/>
      </c>
      <c r="X46" s="11" t="str">
        <f t="shared" si="6"/>
        <v/>
      </c>
      <c r="Y46" s="11" t="str">
        <f t="shared" si="6"/>
        <v/>
      </c>
      <c r="Z46" s="11" t="str">
        <f t="shared" si="6"/>
        <v/>
      </c>
      <c r="AA46" s="11" t="str">
        <f t="shared" si="6"/>
        <v/>
      </c>
      <c r="AB46" s="11" t="str">
        <f t="shared" si="6"/>
        <v/>
      </c>
      <c r="AC46" s="11">
        <f t="shared" si="6"/>
        <v>1</v>
      </c>
      <c r="AD46" s="11" t="str">
        <f t="shared" si="6"/>
        <v/>
      </c>
      <c r="AE46" s="12" t="s">
        <v>1138</v>
      </c>
    </row>
    <row r="47" spans="1:31" ht="18" customHeight="1" thickTop="1" thickBot="1" x14ac:dyDescent="0.3">
      <c r="A47" s="4" t="s">
        <v>81</v>
      </c>
      <c r="B47" s="4" t="s">
        <v>945</v>
      </c>
      <c r="C47" s="5" t="s">
        <v>153</v>
      </c>
      <c r="D47" s="5" t="s">
        <v>26</v>
      </c>
      <c r="E47" s="5" t="s">
        <v>40</v>
      </c>
      <c r="F47" s="5" t="s">
        <v>156</v>
      </c>
      <c r="G47" s="5" t="s">
        <v>16</v>
      </c>
      <c r="H47" s="6" t="s">
        <v>155</v>
      </c>
      <c r="I47" s="7" t="s">
        <v>111</v>
      </c>
      <c r="J47" s="8" t="s">
        <v>27</v>
      </c>
      <c r="K47" s="8">
        <v>1</v>
      </c>
      <c r="L47" s="8">
        <v>1.0497911982010921</v>
      </c>
      <c r="M47" s="5"/>
      <c r="N47" s="8">
        <v>1.0497911982010921</v>
      </c>
      <c r="O47" s="9">
        <v>1.0497911982010923</v>
      </c>
      <c r="P47" s="10" t="s">
        <v>27</v>
      </c>
      <c r="Q47" s="10">
        <f t="shared" si="1"/>
        <v>0</v>
      </c>
      <c r="R47" s="10">
        <f t="shared" si="2"/>
        <v>0</v>
      </c>
      <c r="S47" s="10">
        <f t="shared" si="4"/>
        <v>0</v>
      </c>
      <c r="T47" s="10">
        <f t="shared" si="5"/>
        <v>0</v>
      </c>
      <c r="U47" s="11" t="str">
        <f t="shared" si="6"/>
        <v/>
      </c>
      <c r="V47" s="11" t="str">
        <f t="shared" si="6"/>
        <v/>
      </c>
      <c r="W47" s="11" t="str">
        <f t="shared" si="6"/>
        <v/>
      </c>
      <c r="X47" s="11" t="str">
        <f t="shared" si="6"/>
        <v/>
      </c>
      <c r="Y47" s="11" t="str">
        <f t="shared" si="6"/>
        <v/>
      </c>
      <c r="Z47" s="11" t="str">
        <f t="shared" si="6"/>
        <v/>
      </c>
      <c r="AA47" s="11" t="str">
        <f t="shared" si="6"/>
        <v/>
      </c>
      <c r="AB47" s="11" t="str">
        <f t="shared" si="6"/>
        <v/>
      </c>
      <c r="AC47" s="11" t="str">
        <f t="shared" si="6"/>
        <v/>
      </c>
      <c r="AD47" s="11" t="str">
        <f t="shared" si="6"/>
        <v/>
      </c>
      <c r="AE47" s="12" t="s">
        <v>27</v>
      </c>
    </row>
    <row r="48" spans="1:31" ht="18" customHeight="1" thickTop="1" thickBot="1" x14ac:dyDescent="0.3">
      <c r="A48" s="4" t="s">
        <v>123</v>
      </c>
      <c r="B48" s="4" t="s">
        <v>948</v>
      </c>
      <c r="C48" s="5" t="s">
        <v>157</v>
      </c>
      <c r="D48" s="5" t="s">
        <v>26</v>
      </c>
      <c r="E48" s="5" t="s">
        <v>27</v>
      </c>
      <c r="F48" s="5" t="s">
        <v>158</v>
      </c>
      <c r="G48" s="5" t="s">
        <v>16</v>
      </c>
      <c r="H48" s="6" t="s">
        <v>101</v>
      </c>
      <c r="I48" s="7" t="s">
        <v>56</v>
      </c>
      <c r="J48" s="8" t="s">
        <v>27</v>
      </c>
      <c r="K48" s="8">
        <v>0.99228571428571422</v>
      </c>
      <c r="L48" s="8">
        <v>1.1235438778151696</v>
      </c>
      <c r="M48" s="5"/>
      <c r="N48" s="8">
        <v>1.1235438778151696</v>
      </c>
      <c r="O48" s="9">
        <v>1.1322785984316421</v>
      </c>
      <c r="P48" s="10" t="s">
        <v>27</v>
      </c>
      <c r="Q48" s="10">
        <f t="shared" si="1"/>
        <v>0</v>
      </c>
      <c r="R48" s="10">
        <f t="shared" si="2"/>
        <v>0</v>
      </c>
      <c r="S48" s="10">
        <f t="shared" si="4"/>
        <v>0</v>
      </c>
      <c r="T48" s="10">
        <f t="shared" si="5"/>
        <v>0</v>
      </c>
      <c r="U48" s="11" t="str">
        <f t="shared" si="6"/>
        <v/>
      </c>
      <c r="V48" s="11" t="str">
        <f t="shared" si="6"/>
        <v/>
      </c>
      <c r="W48" s="11" t="str">
        <f t="shared" si="6"/>
        <v/>
      </c>
      <c r="X48" s="11" t="str">
        <f t="shared" si="6"/>
        <v/>
      </c>
      <c r="Y48" s="11" t="str">
        <f t="shared" si="6"/>
        <v/>
      </c>
      <c r="Z48" s="11" t="str">
        <f t="shared" si="6"/>
        <v/>
      </c>
      <c r="AA48" s="11" t="str">
        <f t="shared" si="6"/>
        <v/>
      </c>
      <c r="AB48" s="11" t="str">
        <f t="shared" si="6"/>
        <v/>
      </c>
      <c r="AC48" s="11" t="str">
        <f t="shared" si="6"/>
        <v/>
      </c>
      <c r="AD48" s="11" t="str">
        <f t="shared" si="6"/>
        <v/>
      </c>
      <c r="AE48" s="12" t="s">
        <v>27</v>
      </c>
    </row>
    <row r="49" spans="1:31" ht="18" customHeight="1" thickTop="1" thickBot="1" x14ac:dyDescent="0.3">
      <c r="A49" s="4" t="s">
        <v>159</v>
      </c>
      <c r="B49" s="4" t="s">
        <v>948</v>
      </c>
      <c r="C49" s="5" t="s">
        <v>160</v>
      </c>
      <c r="D49" s="5" t="s">
        <v>26</v>
      </c>
      <c r="E49" s="5" t="s">
        <v>27</v>
      </c>
      <c r="F49" s="5" t="s">
        <v>161</v>
      </c>
      <c r="G49" s="5" t="s">
        <v>16</v>
      </c>
      <c r="H49" s="6" t="s">
        <v>62</v>
      </c>
      <c r="I49" s="7" t="s">
        <v>162</v>
      </c>
      <c r="J49" s="8" t="s">
        <v>27</v>
      </c>
      <c r="K49" s="8">
        <v>1.0136363636363637</v>
      </c>
      <c r="L49" s="8">
        <v>1.3595262640173127</v>
      </c>
      <c r="M49" s="5"/>
      <c r="N49" s="8">
        <v>0.95600782904482673</v>
      </c>
      <c r="O49" s="9">
        <v>0.94314673717426856</v>
      </c>
      <c r="P49" s="10" t="s">
        <v>27</v>
      </c>
      <c r="Q49" s="10">
        <f t="shared" si="1"/>
        <v>0</v>
      </c>
      <c r="R49" s="10">
        <f t="shared" si="2"/>
        <v>0</v>
      </c>
      <c r="S49" s="10">
        <f t="shared" si="4"/>
        <v>0</v>
      </c>
      <c r="T49" s="10">
        <f t="shared" si="5"/>
        <v>0</v>
      </c>
      <c r="U49" s="11" t="str">
        <f t="shared" si="6"/>
        <v/>
      </c>
      <c r="V49" s="11" t="str">
        <f t="shared" si="6"/>
        <v/>
      </c>
      <c r="W49" s="11" t="str">
        <f t="shared" si="6"/>
        <v/>
      </c>
      <c r="X49" s="11" t="str">
        <f t="shared" si="6"/>
        <v/>
      </c>
      <c r="Y49" s="11" t="str">
        <f t="shared" si="6"/>
        <v/>
      </c>
      <c r="Z49" s="11" t="str">
        <f t="shared" si="6"/>
        <v/>
      </c>
      <c r="AA49" s="11" t="str">
        <f t="shared" si="6"/>
        <v/>
      </c>
      <c r="AB49" s="11" t="str">
        <f t="shared" si="6"/>
        <v/>
      </c>
      <c r="AC49" s="11" t="str">
        <f t="shared" si="6"/>
        <v/>
      </c>
      <c r="AD49" s="11" t="str">
        <f t="shared" si="6"/>
        <v/>
      </c>
      <c r="AE49" s="12" t="s">
        <v>27</v>
      </c>
    </row>
    <row r="50" spans="1:31" ht="18" customHeight="1" thickTop="1" thickBot="1" x14ac:dyDescent="0.3">
      <c r="A50" s="4" t="s">
        <v>159</v>
      </c>
      <c r="B50" s="4" t="s">
        <v>948</v>
      </c>
      <c r="C50" s="5" t="s">
        <v>160</v>
      </c>
      <c r="D50" s="5" t="s">
        <v>42</v>
      </c>
      <c r="E50" s="5" t="s">
        <v>27</v>
      </c>
      <c r="F50" s="5" t="s">
        <v>164</v>
      </c>
      <c r="G50" s="5" t="s">
        <v>16</v>
      </c>
      <c r="H50" s="6" t="s">
        <v>62</v>
      </c>
      <c r="I50" s="7" t="s">
        <v>387</v>
      </c>
      <c r="J50" s="8" t="s">
        <v>27</v>
      </c>
      <c r="K50" s="8">
        <v>1.03</v>
      </c>
      <c r="L50" s="8">
        <v>1.5435929694727106</v>
      </c>
      <c r="M50" s="5"/>
      <c r="N50" s="8">
        <v>1.0854420416372859</v>
      </c>
      <c r="O50" s="9">
        <v>1.0538272248905687</v>
      </c>
      <c r="P50" s="10" t="s">
        <v>27</v>
      </c>
      <c r="Q50" s="10">
        <f t="shared" si="1"/>
        <v>0</v>
      </c>
      <c r="R50" s="10">
        <f t="shared" si="2"/>
        <v>0</v>
      </c>
      <c r="S50" s="10">
        <f t="shared" si="4"/>
        <v>0</v>
      </c>
      <c r="T50" s="10">
        <f t="shared" si="5"/>
        <v>0</v>
      </c>
      <c r="U50" s="11" t="str">
        <f t="shared" si="6"/>
        <v/>
      </c>
      <c r="V50" s="11" t="str">
        <f t="shared" si="6"/>
        <v/>
      </c>
      <c r="W50" s="11" t="str">
        <f t="shared" si="6"/>
        <v/>
      </c>
      <c r="X50" s="11" t="str">
        <f t="shared" si="6"/>
        <v/>
      </c>
      <c r="Y50" s="11" t="str">
        <f t="shared" si="6"/>
        <v/>
      </c>
      <c r="Z50" s="11" t="str">
        <f t="shared" si="6"/>
        <v/>
      </c>
      <c r="AA50" s="11" t="str">
        <f t="shared" si="6"/>
        <v/>
      </c>
      <c r="AB50" s="11" t="str">
        <f t="shared" si="6"/>
        <v/>
      </c>
      <c r="AC50" s="11" t="str">
        <f t="shared" si="6"/>
        <v/>
      </c>
      <c r="AD50" s="11" t="str">
        <f t="shared" si="6"/>
        <v/>
      </c>
      <c r="AE50" s="12" t="s">
        <v>27</v>
      </c>
    </row>
    <row r="51" spans="1:31" ht="18" customHeight="1" thickTop="1" thickBot="1" x14ac:dyDescent="0.3">
      <c r="A51" s="4" t="s">
        <v>159</v>
      </c>
      <c r="B51" s="4" t="s">
        <v>948</v>
      </c>
      <c r="C51" s="5" t="s">
        <v>160</v>
      </c>
      <c r="D51" s="5" t="s">
        <v>60</v>
      </c>
      <c r="E51" s="5" t="s">
        <v>27</v>
      </c>
      <c r="F51" s="5" t="s">
        <v>165</v>
      </c>
      <c r="G51" s="5" t="s">
        <v>16</v>
      </c>
      <c r="H51" s="6" t="s">
        <v>62</v>
      </c>
      <c r="I51" s="7" t="s">
        <v>68</v>
      </c>
      <c r="J51" s="8" t="s">
        <v>27</v>
      </c>
      <c r="K51" s="8">
        <v>1.4133333333333333</v>
      </c>
      <c r="L51" s="8">
        <v>1.5274113712374582</v>
      </c>
      <c r="M51" s="5"/>
      <c r="N51" s="8">
        <v>1.0740632731582958</v>
      </c>
      <c r="O51" s="9">
        <v>0.75995042912143573</v>
      </c>
      <c r="P51" s="10" t="s">
        <v>27</v>
      </c>
      <c r="Q51" s="10">
        <f t="shared" si="1"/>
        <v>0</v>
      </c>
      <c r="R51" s="10">
        <f t="shared" si="2"/>
        <v>0</v>
      </c>
      <c r="S51" s="10">
        <f t="shared" si="4"/>
        <v>0</v>
      </c>
      <c r="T51" s="10">
        <f t="shared" si="5"/>
        <v>0</v>
      </c>
      <c r="U51" s="11" t="str">
        <f t="shared" si="6"/>
        <v/>
      </c>
      <c r="V51" s="11" t="str">
        <f t="shared" si="6"/>
        <v/>
      </c>
      <c r="W51" s="11" t="str">
        <f t="shared" si="6"/>
        <v/>
      </c>
      <c r="X51" s="11" t="str">
        <f t="shared" si="6"/>
        <v/>
      </c>
      <c r="Y51" s="11" t="str">
        <f t="shared" si="6"/>
        <v/>
      </c>
      <c r="Z51" s="11" t="str">
        <f t="shared" si="6"/>
        <v/>
      </c>
      <c r="AA51" s="11" t="str">
        <f t="shared" si="6"/>
        <v/>
      </c>
      <c r="AB51" s="11" t="str">
        <f t="shared" si="6"/>
        <v/>
      </c>
      <c r="AC51" s="11" t="str">
        <f t="shared" si="6"/>
        <v/>
      </c>
      <c r="AD51" s="11" t="str">
        <f t="shared" si="6"/>
        <v/>
      </c>
      <c r="AE51" s="12" t="s">
        <v>27</v>
      </c>
    </row>
    <row r="52" spans="1:31" ht="18" customHeight="1" thickTop="1" thickBot="1" x14ac:dyDescent="0.3">
      <c r="A52" s="4" t="s">
        <v>166</v>
      </c>
      <c r="B52" s="4" t="s">
        <v>950</v>
      </c>
      <c r="C52" s="5" t="s">
        <v>167</v>
      </c>
      <c r="D52" s="5" t="s">
        <v>26</v>
      </c>
      <c r="E52" s="5" t="s">
        <v>27</v>
      </c>
      <c r="F52" s="5" t="s">
        <v>168</v>
      </c>
      <c r="G52" s="5" t="s">
        <v>16</v>
      </c>
      <c r="H52" s="6" t="s">
        <v>169</v>
      </c>
      <c r="I52" s="7" t="s">
        <v>359</v>
      </c>
      <c r="J52" s="8" t="s">
        <v>27</v>
      </c>
      <c r="K52" s="8">
        <v>0.46666666666666667</v>
      </c>
      <c r="L52" s="8">
        <v>0.93333333333333335</v>
      </c>
      <c r="M52" s="5"/>
      <c r="N52" s="8">
        <v>0.93333333333333335</v>
      </c>
      <c r="O52" s="9">
        <v>2</v>
      </c>
      <c r="P52" s="10" t="s">
        <v>31</v>
      </c>
      <c r="Q52" s="10">
        <f t="shared" si="1"/>
        <v>0</v>
      </c>
      <c r="R52" s="10">
        <f t="shared" si="2"/>
        <v>1</v>
      </c>
      <c r="S52" s="10">
        <f t="shared" si="4"/>
        <v>1</v>
      </c>
      <c r="T52" s="10">
        <f t="shared" si="5"/>
        <v>0</v>
      </c>
      <c r="U52" s="11" t="str">
        <f t="shared" si="6"/>
        <v/>
      </c>
      <c r="V52" s="11" t="str">
        <f t="shared" si="6"/>
        <v/>
      </c>
      <c r="W52" s="11" t="str">
        <f t="shared" si="6"/>
        <v/>
      </c>
      <c r="X52" s="11" t="str">
        <f t="shared" si="6"/>
        <v/>
      </c>
      <c r="Y52" s="11" t="str">
        <f t="shared" si="6"/>
        <v/>
      </c>
      <c r="Z52" s="11" t="str">
        <f t="shared" si="6"/>
        <v/>
      </c>
      <c r="AA52" s="11" t="str">
        <f t="shared" si="6"/>
        <v/>
      </c>
      <c r="AB52" s="11" t="str">
        <f t="shared" si="6"/>
        <v/>
      </c>
      <c r="AC52" s="11" t="str">
        <f t="shared" si="6"/>
        <v/>
      </c>
      <c r="AD52" s="11">
        <f t="shared" si="6"/>
        <v>1</v>
      </c>
      <c r="AE52" s="12" t="s">
        <v>1140</v>
      </c>
    </row>
    <row r="53" spans="1:31" ht="18" customHeight="1" thickTop="1" thickBot="1" x14ac:dyDescent="0.3">
      <c r="A53" s="4" t="s">
        <v>123</v>
      </c>
      <c r="B53" s="4" t="s">
        <v>948</v>
      </c>
      <c r="C53" s="5" t="s">
        <v>170</v>
      </c>
      <c r="D53" s="5" t="s">
        <v>26</v>
      </c>
      <c r="E53" s="5" t="s">
        <v>27</v>
      </c>
      <c r="F53" s="5" t="s">
        <v>171</v>
      </c>
      <c r="G53" s="5" t="s">
        <v>16</v>
      </c>
      <c r="H53" s="6" t="s">
        <v>66</v>
      </c>
      <c r="I53" s="7" t="s">
        <v>111</v>
      </c>
      <c r="J53" s="8">
        <v>2.625</v>
      </c>
      <c r="K53" s="8">
        <v>1.0010860839590121</v>
      </c>
      <c r="L53" s="8">
        <v>1.2535252277359512</v>
      </c>
      <c r="M53" s="5"/>
      <c r="N53" s="8">
        <v>1.2535252277359512</v>
      </c>
      <c r="O53" s="9">
        <v>1.2521652711209548</v>
      </c>
      <c r="P53" s="10" t="s">
        <v>27</v>
      </c>
      <c r="Q53" s="10">
        <f t="shared" si="1"/>
        <v>0</v>
      </c>
      <c r="R53" s="10">
        <f t="shared" si="2"/>
        <v>0</v>
      </c>
      <c r="S53" s="10">
        <f t="shared" si="4"/>
        <v>0</v>
      </c>
      <c r="T53" s="10">
        <f t="shared" si="5"/>
        <v>0</v>
      </c>
      <c r="U53" s="11" t="str">
        <f t="shared" si="6"/>
        <v/>
      </c>
      <c r="V53" s="11" t="str">
        <f t="shared" si="6"/>
        <v/>
      </c>
      <c r="W53" s="11" t="str">
        <f t="shared" si="6"/>
        <v/>
      </c>
      <c r="X53" s="11" t="str">
        <f t="shared" si="6"/>
        <v/>
      </c>
      <c r="Y53" s="11" t="str">
        <f t="shared" si="6"/>
        <v/>
      </c>
      <c r="Z53" s="11" t="str">
        <f t="shared" si="6"/>
        <v/>
      </c>
      <c r="AA53" s="11" t="str">
        <f t="shared" si="6"/>
        <v/>
      </c>
      <c r="AB53" s="11" t="str">
        <f t="shared" si="6"/>
        <v/>
      </c>
      <c r="AC53" s="11" t="str">
        <f t="shared" si="6"/>
        <v/>
      </c>
      <c r="AD53" s="11" t="str">
        <f t="shared" si="6"/>
        <v/>
      </c>
      <c r="AE53" s="12" t="s">
        <v>27</v>
      </c>
    </row>
    <row r="54" spans="1:31" ht="18" customHeight="1" thickTop="1" thickBot="1" x14ac:dyDescent="0.3">
      <c r="A54" s="4" t="s">
        <v>172</v>
      </c>
      <c r="B54" s="4" t="s">
        <v>950</v>
      </c>
      <c r="C54" s="5" t="s">
        <v>173</v>
      </c>
      <c r="D54" s="5" t="s">
        <v>26</v>
      </c>
      <c r="E54" s="5" t="s">
        <v>36</v>
      </c>
      <c r="F54" s="5" t="s">
        <v>174</v>
      </c>
      <c r="G54" s="5" t="s">
        <v>16</v>
      </c>
      <c r="H54" s="6" t="s">
        <v>175</v>
      </c>
      <c r="I54" s="7" t="s">
        <v>387</v>
      </c>
      <c r="J54" s="8" t="s">
        <v>27</v>
      </c>
      <c r="K54" s="8">
        <v>0.98399999999999999</v>
      </c>
      <c r="L54" s="8">
        <v>2.202340425531915</v>
      </c>
      <c r="M54" s="5"/>
      <c r="N54" s="8">
        <v>2.202340425531915</v>
      </c>
      <c r="O54" s="9">
        <v>2.2381508389551983</v>
      </c>
      <c r="P54" s="10" t="s">
        <v>31</v>
      </c>
      <c r="Q54" s="10">
        <f t="shared" si="1"/>
        <v>0</v>
      </c>
      <c r="R54" s="10">
        <f t="shared" si="2"/>
        <v>0</v>
      </c>
      <c r="S54" s="10">
        <f t="shared" si="4"/>
        <v>1</v>
      </c>
      <c r="T54" s="10">
        <f t="shared" si="5"/>
        <v>0</v>
      </c>
      <c r="U54" s="11">
        <f t="shared" si="6"/>
        <v>1</v>
      </c>
      <c r="V54" s="11">
        <f t="shared" si="6"/>
        <v>1</v>
      </c>
      <c r="W54" s="11" t="str">
        <f t="shared" si="6"/>
        <v/>
      </c>
      <c r="X54" s="11" t="str">
        <f t="shared" si="6"/>
        <v/>
      </c>
      <c r="Y54" s="11" t="str">
        <f t="shared" si="6"/>
        <v/>
      </c>
      <c r="Z54" s="11" t="str">
        <f t="shared" si="6"/>
        <v/>
      </c>
      <c r="AA54" s="11" t="str">
        <f t="shared" si="6"/>
        <v/>
      </c>
      <c r="AB54" s="11" t="str">
        <f t="shared" si="6"/>
        <v/>
      </c>
      <c r="AC54" s="11">
        <f t="shared" si="6"/>
        <v>1</v>
      </c>
      <c r="AD54" s="11" t="str">
        <f t="shared" si="6"/>
        <v/>
      </c>
      <c r="AE54" s="12" t="s">
        <v>1142</v>
      </c>
    </row>
    <row r="55" spans="1:31" ht="18" customHeight="1" thickTop="1" thickBot="1" x14ac:dyDescent="0.3">
      <c r="A55" s="4" t="s">
        <v>172</v>
      </c>
      <c r="B55" s="4" t="s">
        <v>950</v>
      </c>
      <c r="C55" s="5" t="s">
        <v>173</v>
      </c>
      <c r="D55" s="5" t="s">
        <v>26</v>
      </c>
      <c r="E55" s="5" t="s">
        <v>40</v>
      </c>
      <c r="F55" s="5" t="s">
        <v>176</v>
      </c>
      <c r="G55" s="5" t="s">
        <v>16</v>
      </c>
      <c r="H55" s="6" t="s">
        <v>175</v>
      </c>
      <c r="I55" s="7" t="s">
        <v>387</v>
      </c>
      <c r="J55" s="8" t="s">
        <v>27</v>
      </c>
      <c r="K55" s="8">
        <v>0.22058823529411764</v>
      </c>
      <c r="L55" s="8">
        <v>1.8511866581141758</v>
      </c>
      <c r="M55" s="5"/>
      <c r="N55" s="8">
        <v>1.8511866581141758</v>
      </c>
      <c r="O55" s="9">
        <v>8.3920461834509297</v>
      </c>
      <c r="P55" s="10" t="s">
        <v>31</v>
      </c>
      <c r="Q55" s="10">
        <f t="shared" si="1"/>
        <v>0</v>
      </c>
      <c r="R55" s="10">
        <f t="shared" si="2"/>
        <v>1</v>
      </c>
      <c r="S55" s="10">
        <f t="shared" si="4"/>
        <v>1</v>
      </c>
      <c r="T55" s="10">
        <f t="shared" si="5"/>
        <v>0</v>
      </c>
      <c r="U55" s="11">
        <f t="shared" si="6"/>
        <v>1</v>
      </c>
      <c r="V55" s="11">
        <f t="shared" si="6"/>
        <v>1</v>
      </c>
      <c r="W55" s="11" t="str">
        <f t="shared" si="6"/>
        <v/>
      </c>
      <c r="X55" s="11" t="str">
        <f t="shared" si="6"/>
        <v/>
      </c>
      <c r="Y55" s="11" t="str">
        <f t="shared" si="6"/>
        <v/>
      </c>
      <c r="Z55" s="11" t="str">
        <f t="shared" si="6"/>
        <v/>
      </c>
      <c r="AA55" s="11" t="str">
        <f t="shared" si="6"/>
        <v/>
      </c>
      <c r="AB55" s="11" t="str">
        <f t="shared" si="6"/>
        <v/>
      </c>
      <c r="AC55" s="11">
        <f t="shared" si="6"/>
        <v>1</v>
      </c>
      <c r="AD55" s="11" t="str">
        <f t="shared" si="6"/>
        <v/>
      </c>
      <c r="AE55" s="12" t="s">
        <v>1142</v>
      </c>
    </row>
    <row r="56" spans="1:31" ht="18" customHeight="1" thickTop="1" thickBot="1" x14ac:dyDescent="0.3">
      <c r="A56" s="4" t="s">
        <v>177</v>
      </c>
      <c r="B56" s="4" t="s">
        <v>950</v>
      </c>
      <c r="C56" s="5" t="s">
        <v>178</v>
      </c>
      <c r="D56" s="5" t="s">
        <v>26</v>
      </c>
      <c r="E56" s="5" t="s">
        <v>27</v>
      </c>
      <c r="F56" s="5" t="s">
        <v>179</v>
      </c>
      <c r="G56" s="5" t="s">
        <v>16</v>
      </c>
      <c r="H56" s="6" t="s">
        <v>180</v>
      </c>
      <c r="I56" s="7" t="s">
        <v>364</v>
      </c>
      <c r="J56" s="8" t="s">
        <v>27</v>
      </c>
      <c r="K56" s="8">
        <v>1.173913043478261</v>
      </c>
      <c r="L56" s="8">
        <v>1.167727507311199</v>
      </c>
      <c r="M56" s="5"/>
      <c r="N56" s="8">
        <v>1.167727507311199</v>
      </c>
      <c r="O56" s="9">
        <v>0.99473083956139163</v>
      </c>
      <c r="P56" s="10" t="s">
        <v>27</v>
      </c>
      <c r="Q56" s="10">
        <f t="shared" si="1"/>
        <v>0</v>
      </c>
      <c r="R56" s="10">
        <f t="shared" si="2"/>
        <v>0</v>
      </c>
      <c r="S56" s="10">
        <f t="shared" si="4"/>
        <v>0</v>
      </c>
      <c r="T56" s="10">
        <f t="shared" si="5"/>
        <v>0</v>
      </c>
      <c r="U56" s="11" t="str">
        <f t="shared" si="6"/>
        <v/>
      </c>
      <c r="V56" s="11" t="str">
        <f t="shared" si="6"/>
        <v/>
      </c>
      <c r="W56" s="11" t="str">
        <f t="shared" si="6"/>
        <v/>
      </c>
      <c r="X56" s="11" t="str">
        <f t="shared" si="6"/>
        <v/>
      </c>
      <c r="Y56" s="11" t="str">
        <f t="shared" si="6"/>
        <v/>
      </c>
      <c r="Z56" s="11" t="str">
        <f t="shared" si="6"/>
        <v/>
      </c>
      <c r="AA56" s="11" t="str">
        <f t="shared" si="6"/>
        <v/>
      </c>
      <c r="AB56" s="11" t="str">
        <f t="shared" si="6"/>
        <v/>
      </c>
      <c r="AC56" s="11" t="str">
        <f t="shared" si="6"/>
        <v/>
      </c>
      <c r="AD56" s="11" t="str">
        <f t="shared" si="6"/>
        <v/>
      </c>
      <c r="AE56" s="12" t="s">
        <v>27</v>
      </c>
    </row>
    <row r="57" spans="1:31" ht="18" customHeight="1" thickTop="1" thickBot="1" x14ac:dyDescent="0.3">
      <c r="A57" s="4" t="s">
        <v>181</v>
      </c>
      <c r="B57" s="4" t="s">
        <v>945</v>
      </c>
      <c r="C57" s="5" t="s">
        <v>182</v>
      </c>
      <c r="D57" s="5" t="s">
        <v>42</v>
      </c>
      <c r="E57" s="5" t="s">
        <v>27</v>
      </c>
      <c r="F57" s="5" t="s">
        <v>183</v>
      </c>
      <c r="G57" s="5" t="s">
        <v>16</v>
      </c>
      <c r="H57" s="6" t="s">
        <v>62</v>
      </c>
      <c r="I57" s="7" t="s">
        <v>56</v>
      </c>
      <c r="J57" s="8">
        <v>1</v>
      </c>
      <c r="K57" s="8">
        <v>1.1817808219178081</v>
      </c>
      <c r="L57" s="8">
        <v>0.80564387917329094</v>
      </c>
      <c r="M57" s="5"/>
      <c r="N57" s="8">
        <v>0.80564387917329094</v>
      </c>
      <c r="O57" s="9">
        <v>0.68172021768459756</v>
      </c>
      <c r="P57" s="10" t="s">
        <v>27</v>
      </c>
      <c r="Q57" s="10">
        <f t="shared" si="1"/>
        <v>0</v>
      </c>
      <c r="R57" s="10">
        <f t="shared" si="2"/>
        <v>0</v>
      </c>
      <c r="S57" s="10">
        <f t="shared" si="4"/>
        <v>0</v>
      </c>
      <c r="T57" s="10">
        <f t="shared" si="5"/>
        <v>0</v>
      </c>
      <c r="U57" s="11" t="str">
        <f t="shared" si="6"/>
        <v/>
      </c>
      <c r="V57" s="11" t="str">
        <f t="shared" si="6"/>
        <v/>
      </c>
      <c r="W57" s="11" t="str">
        <f t="shared" si="6"/>
        <v/>
      </c>
      <c r="X57" s="11" t="str">
        <f t="shared" si="6"/>
        <v/>
      </c>
      <c r="Y57" s="11" t="str">
        <f t="shared" si="6"/>
        <v/>
      </c>
      <c r="Z57" s="11" t="str">
        <f t="shared" si="6"/>
        <v/>
      </c>
      <c r="AA57" s="11" t="str">
        <f t="shared" si="6"/>
        <v/>
      </c>
      <c r="AB57" s="11" t="str">
        <f t="shared" si="6"/>
        <v/>
      </c>
      <c r="AC57" s="11" t="str">
        <f t="shared" si="6"/>
        <v/>
      </c>
      <c r="AD57" s="11" t="str">
        <f t="shared" si="6"/>
        <v/>
      </c>
      <c r="AE57" s="12" t="s">
        <v>27</v>
      </c>
    </row>
    <row r="58" spans="1:31" ht="18" customHeight="1" thickTop="1" thickBot="1" x14ac:dyDescent="0.3">
      <c r="A58" s="4" t="s">
        <v>53</v>
      </c>
      <c r="B58" s="4" t="s">
        <v>945</v>
      </c>
      <c r="C58" s="5" t="s">
        <v>184</v>
      </c>
      <c r="D58" s="5" t="s">
        <v>26</v>
      </c>
      <c r="E58" s="5" t="s">
        <v>27</v>
      </c>
      <c r="F58" s="5" t="s">
        <v>185</v>
      </c>
      <c r="G58" s="5" t="s">
        <v>16</v>
      </c>
      <c r="H58" s="6" t="s">
        <v>186</v>
      </c>
      <c r="I58" s="7" t="s">
        <v>78</v>
      </c>
      <c r="J58" s="8" t="s">
        <v>27</v>
      </c>
      <c r="K58" s="8">
        <v>1.0422222222222222</v>
      </c>
      <c r="L58" s="8">
        <v>1.9147250333411783</v>
      </c>
      <c r="M58" s="5"/>
      <c r="N58" s="8">
        <v>1.9147250333411783</v>
      </c>
      <c r="O58" s="9">
        <v>1.8371562153593395</v>
      </c>
      <c r="P58" s="10" t="s">
        <v>31</v>
      </c>
      <c r="Q58" s="10">
        <f t="shared" si="1"/>
        <v>0</v>
      </c>
      <c r="R58" s="10">
        <f t="shared" si="2"/>
        <v>0</v>
      </c>
      <c r="S58" s="10">
        <f t="shared" si="4"/>
        <v>1</v>
      </c>
      <c r="T58" s="10">
        <f t="shared" si="5"/>
        <v>0</v>
      </c>
      <c r="U58" s="11">
        <f t="shared" si="6"/>
        <v>1</v>
      </c>
      <c r="V58" s="11" t="str">
        <f t="shared" si="6"/>
        <v/>
      </c>
      <c r="W58" s="11" t="str">
        <f t="shared" si="6"/>
        <v/>
      </c>
      <c r="X58" s="11" t="str">
        <f t="shared" si="6"/>
        <v/>
      </c>
      <c r="Y58" s="11" t="str">
        <f t="shared" si="6"/>
        <v/>
      </c>
      <c r="Z58" s="11" t="str">
        <f t="shared" si="6"/>
        <v/>
      </c>
      <c r="AA58" s="11" t="str">
        <f t="shared" si="6"/>
        <v/>
      </c>
      <c r="AB58" s="11" t="str">
        <f t="shared" si="6"/>
        <v/>
      </c>
      <c r="AC58" s="11">
        <f t="shared" si="6"/>
        <v>1</v>
      </c>
      <c r="AD58" s="11">
        <f t="shared" si="6"/>
        <v>1</v>
      </c>
      <c r="AE58" s="12" t="s">
        <v>1145</v>
      </c>
    </row>
    <row r="59" spans="1:31" ht="18" customHeight="1" thickTop="1" thickBot="1" x14ac:dyDescent="0.3">
      <c r="A59" s="4" t="s">
        <v>53</v>
      </c>
      <c r="B59" s="4" t="s">
        <v>945</v>
      </c>
      <c r="C59" s="5" t="s">
        <v>184</v>
      </c>
      <c r="D59" s="5" t="s">
        <v>42</v>
      </c>
      <c r="E59" s="5" t="s">
        <v>27</v>
      </c>
      <c r="F59" s="5" t="s">
        <v>187</v>
      </c>
      <c r="G59" s="5" t="s">
        <v>16</v>
      </c>
      <c r="H59" s="6" t="s">
        <v>186</v>
      </c>
      <c r="I59" s="7" t="s">
        <v>44</v>
      </c>
      <c r="J59" s="8">
        <v>1</v>
      </c>
      <c r="K59" s="8">
        <v>1.6585000000000001</v>
      </c>
      <c r="L59" s="8">
        <v>3.1817447495961226</v>
      </c>
      <c r="M59" s="5"/>
      <c r="N59" s="8">
        <v>3.1817447495961226</v>
      </c>
      <c r="O59" s="9">
        <v>1.9184472412397484</v>
      </c>
      <c r="P59" s="10" t="s">
        <v>31</v>
      </c>
      <c r="Q59" s="10">
        <f t="shared" si="1"/>
        <v>1</v>
      </c>
      <c r="R59" s="10">
        <f t="shared" si="2"/>
        <v>0</v>
      </c>
      <c r="S59" s="10">
        <f t="shared" si="4"/>
        <v>1</v>
      </c>
      <c r="T59" s="10">
        <f t="shared" si="5"/>
        <v>0</v>
      </c>
      <c r="U59" s="11">
        <f t="shared" si="6"/>
        <v>1</v>
      </c>
      <c r="V59" s="11" t="str">
        <f t="shared" si="6"/>
        <v/>
      </c>
      <c r="W59" s="11" t="str">
        <f t="shared" si="6"/>
        <v/>
      </c>
      <c r="X59" s="11" t="str">
        <f t="shared" si="6"/>
        <v/>
      </c>
      <c r="Y59" s="11" t="str">
        <f t="shared" si="6"/>
        <v/>
      </c>
      <c r="Z59" s="11" t="str">
        <f t="shared" si="6"/>
        <v/>
      </c>
      <c r="AA59" s="11" t="str">
        <f t="shared" si="6"/>
        <v/>
      </c>
      <c r="AB59" s="11" t="str">
        <f t="shared" si="6"/>
        <v/>
      </c>
      <c r="AC59" s="11">
        <f t="shared" si="6"/>
        <v>1</v>
      </c>
      <c r="AD59" s="11">
        <f t="shared" si="6"/>
        <v>1</v>
      </c>
      <c r="AE59" s="12" t="s">
        <v>1147</v>
      </c>
    </row>
    <row r="60" spans="1:31" ht="18" customHeight="1" thickTop="1" thickBot="1" x14ac:dyDescent="0.3">
      <c r="A60" s="4" t="s">
        <v>188</v>
      </c>
      <c r="B60" s="4" t="s">
        <v>950</v>
      </c>
      <c r="C60" s="5" t="s">
        <v>189</v>
      </c>
      <c r="D60" s="5" t="s">
        <v>26</v>
      </c>
      <c r="E60" s="5" t="s">
        <v>27</v>
      </c>
      <c r="F60" s="5" t="s">
        <v>190</v>
      </c>
      <c r="G60" s="5" t="s">
        <v>16</v>
      </c>
      <c r="H60" s="6" t="s">
        <v>191</v>
      </c>
      <c r="I60" s="7" t="s">
        <v>38</v>
      </c>
      <c r="J60" s="8" t="s">
        <v>27</v>
      </c>
      <c r="K60" s="8">
        <v>2.0754716981132075</v>
      </c>
      <c r="L60" s="8">
        <v>3.0051764705882351</v>
      </c>
      <c r="M60" s="5"/>
      <c r="N60" s="8">
        <v>3.0051764705882351</v>
      </c>
      <c r="O60" s="9">
        <v>1.4479486631016043</v>
      </c>
      <c r="P60" s="10" t="s">
        <v>31</v>
      </c>
      <c r="Q60" s="10">
        <f t="shared" si="1"/>
        <v>1</v>
      </c>
      <c r="R60" s="10">
        <f t="shared" si="2"/>
        <v>0</v>
      </c>
      <c r="S60" s="10">
        <f t="shared" si="4"/>
        <v>0</v>
      </c>
      <c r="T60" s="10">
        <f t="shared" si="5"/>
        <v>0</v>
      </c>
      <c r="U60" s="11" t="str">
        <f t="shared" si="6"/>
        <v/>
      </c>
      <c r="V60" s="11" t="str">
        <f t="shared" si="6"/>
        <v/>
      </c>
      <c r="W60" s="11" t="str">
        <f t="shared" si="6"/>
        <v/>
      </c>
      <c r="X60" s="11" t="str">
        <f t="shared" si="6"/>
        <v/>
      </c>
      <c r="Y60" s="11" t="str">
        <f t="shared" si="6"/>
        <v/>
      </c>
      <c r="Z60" s="11" t="str">
        <f t="shared" si="6"/>
        <v/>
      </c>
      <c r="AA60" s="11" t="str">
        <f t="shared" si="6"/>
        <v/>
      </c>
      <c r="AB60" s="11" t="str">
        <f t="shared" si="6"/>
        <v/>
      </c>
      <c r="AC60" s="11" t="str">
        <f t="shared" si="6"/>
        <v/>
      </c>
      <c r="AD60" s="11">
        <f t="shared" si="6"/>
        <v>1</v>
      </c>
      <c r="AE60" s="12" t="s">
        <v>988</v>
      </c>
    </row>
    <row r="61" spans="1:31" ht="18" customHeight="1" thickTop="1" thickBot="1" x14ac:dyDescent="0.3">
      <c r="A61" s="4" t="s">
        <v>81</v>
      </c>
      <c r="B61" s="4" t="s">
        <v>945</v>
      </c>
      <c r="C61" s="5" t="s">
        <v>192</v>
      </c>
      <c r="D61" s="5" t="s">
        <v>26</v>
      </c>
      <c r="E61" s="5" t="s">
        <v>27</v>
      </c>
      <c r="F61" s="5" t="s">
        <v>193</v>
      </c>
      <c r="G61" s="5" t="s">
        <v>16</v>
      </c>
      <c r="H61" s="6" t="s">
        <v>195</v>
      </c>
      <c r="I61" s="7" t="s">
        <v>111</v>
      </c>
      <c r="J61" s="8">
        <v>0.9285714285714286</v>
      </c>
      <c r="K61" s="8">
        <v>0.99974171330176498</v>
      </c>
      <c r="L61" s="8">
        <v>0.84813823314675107</v>
      </c>
      <c r="M61" s="5"/>
      <c r="N61" s="8">
        <v>1.0257132951379448</v>
      </c>
      <c r="O61" s="9">
        <v>1.0259782916833646</v>
      </c>
      <c r="P61" s="10" t="s">
        <v>27</v>
      </c>
      <c r="Q61" s="10">
        <f t="shared" si="1"/>
        <v>0</v>
      </c>
      <c r="R61" s="10">
        <f t="shared" si="2"/>
        <v>0</v>
      </c>
      <c r="S61" s="10">
        <f t="shared" si="4"/>
        <v>0</v>
      </c>
      <c r="T61" s="10">
        <f t="shared" si="5"/>
        <v>0</v>
      </c>
      <c r="U61" s="11" t="str">
        <f t="shared" si="6"/>
        <v/>
      </c>
      <c r="V61" s="11" t="str">
        <f t="shared" si="6"/>
        <v/>
      </c>
      <c r="W61" s="11" t="str">
        <f t="shared" si="6"/>
        <v/>
      </c>
      <c r="X61" s="11" t="str">
        <f t="shared" si="6"/>
        <v/>
      </c>
      <c r="Y61" s="11" t="str">
        <f t="shared" si="6"/>
        <v/>
      </c>
      <c r="Z61" s="11" t="str">
        <f t="shared" si="6"/>
        <v/>
      </c>
      <c r="AA61" s="11" t="str">
        <f t="shared" si="6"/>
        <v/>
      </c>
      <c r="AB61" s="11" t="str">
        <f t="shared" si="6"/>
        <v/>
      </c>
      <c r="AC61" s="11" t="str">
        <f t="shared" si="6"/>
        <v/>
      </c>
      <c r="AD61" s="11" t="str">
        <f t="shared" si="6"/>
        <v/>
      </c>
      <c r="AE61" s="12" t="s">
        <v>27</v>
      </c>
    </row>
    <row r="62" spans="1:31" ht="18" customHeight="1" thickTop="1" thickBot="1" x14ac:dyDescent="0.3">
      <c r="A62" s="4" t="s">
        <v>81</v>
      </c>
      <c r="B62" s="4" t="s">
        <v>945</v>
      </c>
      <c r="C62" s="5" t="s">
        <v>192</v>
      </c>
      <c r="D62" s="5" t="s">
        <v>26</v>
      </c>
      <c r="E62" s="5" t="s">
        <v>36</v>
      </c>
      <c r="F62" s="5" t="s">
        <v>196</v>
      </c>
      <c r="G62" s="5" t="s">
        <v>16</v>
      </c>
      <c r="H62" s="6" t="s">
        <v>195</v>
      </c>
      <c r="I62" s="7" t="s">
        <v>111</v>
      </c>
      <c r="J62" s="8" t="s">
        <v>27</v>
      </c>
      <c r="K62" s="8">
        <v>1.1415292879691337</v>
      </c>
      <c r="L62" s="8">
        <v>1.1346423562412342</v>
      </c>
      <c r="M62" s="5"/>
      <c r="N62" s="8">
        <v>1.3722029081336156</v>
      </c>
      <c r="O62" s="9">
        <v>1.2020742022089224</v>
      </c>
      <c r="P62" s="10" t="s">
        <v>27</v>
      </c>
      <c r="Q62" s="10">
        <f t="shared" si="1"/>
        <v>0</v>
      </c>
      <c r="R62" s="10">
        <f t="shared" si="2"/>
        <v>0</v>
      </c>
      <c r="S62" s="10">
        <f t="shared" si="4"/>
        <v>0</v>
      </c>
      <c r="T62" s="10">
        <f t="shared" si="5"/>
        <v>0</v>
      </c>
      <c r="U62" s="11" t="str">
        <f t="shared" si="6"/>
        <v/>
      </c>
      <c r="V62" s="11" t="str">
        <f t="shared" si="6"/>
        <v/>
      </c>
      <c r="W62" s="11" t="str">
        <f t="shared" si="6"/>
        <v/>
      </c>
      <c r="X62" s="11" t="str">
        <f t="shared" si="6"/>
        <v/>
      </c>
      <c r="Y62" s="11" t="str">
        <f t="shared" si="6"/>
        <v/>
      </c>
      <c r="Z62" s="11" t="str">
        <f t="shared" si="6"/>
        <v/>
      </c>
      <c r="AA62" s="11" t="str">
        <f t="shared" si="6"/>
        <v/>
      </c>
      <c r="AB62" s="11" t="str">
        <f t="shared" si="6"/>
        <v/>
      </c>
      <c r="AC62" s="11" t="str">
        <f t="shared" si="6"/>
        <v/>
      </c>
      <c r="AD62" s="11" t="str">
        <f t="shared" si="6"/>
        <v/>
      </c>
      <c r="AE62" s="12" t="s">
        <v>27</v>
      </c>
    </row>
    <row r="63" spans="1:31" ht="18" customHeight="1" thickTop="1" thickBot="1" x14ac:dyDescent="0.3">
      <c r="A63" s="4" t="s">
        <v>81</v>
      </c>
      <c r="B63" s="4" t="s">
        <v>945</v>
      </c>
      <c r="C63" s="5" t="s">
        <v>192</v>
      </c>
      <c r="D63" s="5" t="s">
        <v>26</v>
      </c>
      <c r="E63" s="5" t="s">
        <v>40</v>
      </c>
      <c r="F63" s="5" t="s">
        <v>197</v>
      </c>
      <c r="G63" s="5" t="s">
        <v>16</v>
      </c>
      <c r="H63" s="6" t="s">
        <v>195</v>
      </c>
      <c r="I63" s="7" t="s">
        <v>111</v>
      </c>
      <c r="J63" s="8" t="s">
        <v>27</v>
      </c>
      <c r="K63" s="8">
        <v>0.84371807967313572</v>
      </c>
      <c r="L63" s="8">
        <v>1.0787746170678336</v>
      </c>
      <c r="M63" s="5"/>
      <c r="N63" s="8">
        <v>1.3046381166881855</v>
      </c>
      <c r="O63" s="9">
        <v>1.5462962666316391</v>
      </c>
      <c r="P63" s="10" t="s">
        <v>31</v>
      </c>
      <c r="Q63" s="10">
        <f t="shared" si="1"/>
        <v>0</v>
      </c>
      <c r="R63" s="10">
        <f t="shared" si="2"/>
        <v>0</v>
      </c>
      <c r="S63" s="10">
        <f t="shared" si="4"/>
        <v>1</v>
      </c>
      <c r="T63" s="10">
        <f t="shared" si="5"/>
        <v>0</v>
      </c>
      <c r="U63" s="11">
        <f t="shared" si="6"/>
        <v>1</v>
      </c>
      <c r="V63" s="11" t="str">
        <f t="shared" si="6"/>
        <v/>
      </c>
      <c r="W63" s="11" t="str">
        <f t="shared" si="6"/>
        <v/>
      </c>
      <c r="X63" s="11" t="str">
        <f t="shared" si="6"/>
        <v/>
      </c>
      <c r="Y63" s="11" t="str">
        <f t="shared" si="6"/>
        <v/>
      </c>
      <c r="Z63" s="11" t="str">
        <f t="shared" si="6"/>
        <v/>
      </c>
      <c r="AA63" s="11" t="str">
        <f t="shared" si="6"/>
        <v/>
      </c>
      <c r="AB63" s="11">
        <f t="shared" si="6"/>
        <v>1</v>
      </c>
      <c r="AC63" s="11" t="str">
        <f t="shared" si="6"/>
        <v/>
      </c>
      <c r="AD63" s="11" t="str">
        <f t="shared" si="6"/>
        <v/>
      </c>
      <c r="AE63" s="12" t="s">
        <v>1150</v>
      </c>
    </row>
    <row r="64" spans="1:31" ht="18" customHeight="1" thickTop="1" thickBot="1" x14ac:dyDescent="0.3">
      <c r="A64" s="4" t="s">
        <v>81</v>
      </c>
      <c r="B64" s="4" t="s">
        <v>945</v>
      </c>
      <c r="C64" s="5" t="s">
        <v>192</v>
      </c>
      <c r="D64" s="5" t="s">
        <v>26</v>
      </c>
      <c r="E64" s="5" t="s">
        <v>69</v>
      </c>
      <c r="F64" s="5" t="s">
        <v>198</v>
      </c>
      <c r="G64" s="5" t="s">
        <v>16</v>
      </c>
      <c r="H64" s="6" t="s">
        <v>195</v>
      </c>
      <c r="I64" s="7" t="s">
        <v>111</v>
      </c>
      <c r="J64" s="8" t="s">
        <v>27</v>
      </c>
      <c r="K64" s="8">
        <v>0.95579567779960717</v>
      </c>
      <c r="L64" s="8">
        <v>0.29474485910129472</v>
      </c>
      <c r="M64" s="5"/>
      <c r="N64" s="8">
        <v>0.35645571539922322</v>
      </c>
      <c r="O64" s="9">
        <v>0.37294133430257881</v>
      </c>
      <c r="P64" s="10" t="s">
        <v>31</v>
      </c>
      <c r="Q64" s="10">
        <f t="shared" si="1"/>
        <v>0</v>
      </c>
      <c r="R64" s="10">
        <f t="shared" si="2"/>
        <v>0</v>
      </c>
      <c r="S64" s="10">
        <f t="shared" si="4"/>
        <v>0</v>
      </c>
      <c r="T64" s="10">
        <f t="shared" si="5"/>
        <v>1</v>
      </c>
      <c r="U64" s="11" t="str">
        <f t="shared" si="6"/>
        <v/>
      </c>
      <c r="V64" s="11" t="str">
        <f t="shared" si="6"/>
        <v/>
      </c>
      <c r="W64" s="11" t="str">
        <f t="shared" si="6"/>
        <v/>
      </c>
      <c r="X64" s="11" t="str">
        <f t="shared" si="6"/>
        <v/>
      </c>
      <c r="Y64" s="11" t="str">
        <f t="shared" si="6"/>
        <v/>
      </c>
      <c r="Z64" s="11" t="str">
        <f t="shared" si="6"/>
        <v/>
      </c>
      <c r="AA64" s="11" t="str">
        <f t="shared" si="6"/>
        <v/>
      </c>
      <c r="AB64" s="11" t="str">
        <f t="shared" si="6"/>
        <v/>
      </c>
      <c r="AC64" s="11">
        <f t="shared" si="6"/>
        <v>1</v>
      </c>
      <c r="AD64" s="11" t="str">
        <f t="shared" si="6"/>
        <v/>
      </c>
      <c r="AE64" s="12" t="s">
        <v>982</v>
      </c>
    </row>
    <row r="65" spans="1:31" ht="18" customHeight="1" thickTop="1" thickBot="1" x14ac:dyDescent="0.3">
      <c r="A65" s="4" t="s">
        <v>81</v>
      </c>
      <c r="B65" s="4" t="s">
        <v>945</v>
      </c>
      <c r="C65" s="5" t="s">
        <v>192</v>
      </c>
      <c r="D65" s="5" t="s">
        <v>42</v>
      </c>
      <c r="E65" s="5" t="s">
        <v>27</v>
      </c>
      <c r="F65" s="5" t="s">
        <v>199</v>
      </c>
      <c r="G65" s="5" t="s">
        <v>16</v>
      </c>
      <c r="H65" s="6" t="s">
        <v>195</v>
      </c>
      <c r="I65" s="7" t="s">
        <v>387</v>
      </c>
      <c r="J65" s="8" t="s">
        <v>27</v>
      </c>
      <c r="K65" s="8">
        <v>0.96090534979423869</v>
      </c>
      <c r="L65" s="8">
        <v>0.72099999999999997</v>
      </c>
      <c r="M65" s="5"/>
      <c r="N65" s="8">
        <v>0.87195607613469983</v>
      </c>
      <c r="O65" s="9">
        <v>0.90743180514232136</v>
      </c>
      <c r="P65" s="10" t="s">
        <v>27</v>
      </c>
      <c r="Q65" s="10">
        <f t="shared" si="1"/>
        <v>0</v>
      </c>
      <c r="R65" s="10">
        <f t="shared" si="2"/>
        <v>0</v>
      </c>
      <c r="S65" s="10">
        <f t="shared" si="4"/>
        <v>0</v>
      </c>
      <c r="T65" s="10">
        <f t="shared" si="5"/>
        <v>0</v>
      </c>
      <c r="U65" s="11" t="str">
        <f t="shared" si="6"/>
        <v/>
      </c>
      <c r="V65" s="11" t="str">
        <f t="shared" si="6"/>
        <v/>
      </c>
      <c r="W65" s="11" t="str">
        <f t="shared" si="6"/>
        <v/>
      </c>
      <c r="X65" s="11" t="str">
        <f t="shared" si="6"/>
        <v/>
      </c>
      <c r="Y65" s="11" t="str">
        <f t="shared" si="6"/>
        <v/>
      </c>
      <c r="Z65" s="11" t="str">
        <f t="shared" si="6"/>
        <v/>
      </c>
      <c r="AA65" s="11" t="str">
        <f t="shared" si="6"/>
        <v/>
      </c>
      <c r="AB65" s="11" t="str">
        <f t="shared" si="6"/>
        <v/>
      </c>
      <c r="AC65" s="11" t="str">
        <f t="shared" si="6"/>
        <v/>
      </c>
      <c r="AD65" s="11" t="str">
        <f t="shared" si="6"/>
        <v/>
      </c>
      <c r="AE65" s="12" t="s">
        <v>27</v>
      </c>
    </row>
    <row r="66" spans="1:31" ht="18" customHeight="1" thickTop="1" thickBot="1" x14ac:dyDescent="0.3">
      <c r="A66" s="4" t="s">
        <v>81</v>
      </c>
      <c r="B66" s="4" t="s">
        <v>945</v>
      </c>
      <c r="C66" s="5" t="s">
        <v>192</v>
      </c>
      <c r="D66" s="5" t="s">
        <v>42</v>
      </c>
      <c r="E66" s="5" t="s">
        <v>36</v>
      </c>
      <c r="F66" s="5" t="s">
        <v>200</v>
      </c>
      <c r="G66" s="5" t="s">
        <v>16</v>
      </c>
      <c r="H66" s="6" t="s">
        <v>195</v>
      </c>
      <c r="I66" s="7" t="s">
        <v>387</v>
      </c>
      <c r="J66" s="8" t="s">
        <v>27</v>
      </c>
      <c r="K66" s="8">
        <v>1.0013513513513512</v>
      </c>
      <c r="L66" s="8">
        <v>0.66418918918918912</v>
      </c>
      <c r="M66" s="5"/>
      <c r="N66" s="8">
        <v>0.80325076174270893</v>
      </c>
      <c r="O66" s="9">
        <v>0.80216675261755022</v>
      </c>
      <c r="P66" s="10" t="s">
        <v>27</v>
      </c>
      <c r="Q66" s="10">
        <f t="shared" si="1"/>
        <v>0</v>
      </c>
      <c r="R66" s="10">
        <f t="shared" si="2"/>
        <v>0</v>
      </c>
      <c r="S66" s="10">
        <f t="shared" si="4"/>
        <v>0</v>
      </c>
      <c r="T66" s="10">
        <f t="shared" si="5"/>
        <v>0</v>
      </c>
      <c r="U66" s="11" t="str">
        <f t="shared" si="6"/>
        <v/>
      </c>
      <c r="V66" s="11" t="str">
        <f t="shared" si="6"/>
        <v/>
      </c>
      <c r="W66" s="11" t="str">
        <f t="shared" si="6"/>
        <v/>
      </c>
      <c r="X66" s="11" t="str">
        <f t="shared" si="6"/>
        <v/>
      </c>
      <c r="Y66" s="11" t="str">
        <f t="shared" si="6"/>
        <v/>
      </c>
      <c r="Z66" s="11" t="str">
        <f t="shared" si="6"/>
        <v/>
      </c>
      <c r="AA66" s="11" t="str">
        <f t="shared" si="6"/>
        <v/>
      </c>
      <c r="AB66" s="11" t="str">
        <f t="shared" si="6"/>
        <v/>
      </c>
      <c r="AC66" s="11" t="str">
        <f t="shared" si="6"/>
        <v/>
      </c>
      <c r="AD66" s="11" t="str">
        <f t="shared" si="6"/>
        <v/>
      </c>
      <c r="AE66" s="12" t="s">
        <v>27</v>
      </c>
    </row>
    <row r="67" spans="1:31" ht="18" customHeight="1" thickTop="1" thickBot="1" x14ac:dyDescent="0.3">
      <c r="A67" s="4" t="s">
        <v>81</v>
      </c>
      <c r="B67" s="4" t="s">
        <v>945</v>
      </c>
      <c r="C67" s="5" t="s">
        <v>192</v>
      </c>
      <c r="D67" s="5" t="s">
        <v>42</v>
      </c>
      <c r="E67" s="5" t="s">
        <v>40</v>
      </c>
      <c r="F67" s="5" t="s">
        <v>201</v>
      </c>
      <c r="G67" s="5" t="s">
        <v>16</v>
      </c>
      <c r="H67" s="6" t="s">
        <v>195</v>
      </c>
      <c r="I67" s="7" t="s">
        <v>387</v>
      </c>
      <c r="J67" s="8" t="s">
        <v>27</v>
      </c>
      <c r="K67" s="8">
        <v>1.1142857142857143</v>
      </c>
      <c r="L67" s="8">
        <v>0.94857142857142862</v>
      </c>
      <c r="M67" s="5"/>
      <c r="N67" s="8">
        <v>1.1471742313323574</v>
      </c>
      <c r="O67" s="9">
        <v>1.02951533581109</v>
      </c>
      <c r="P67" s="10" t="s">
        <v>27</v>
      </c>
      <c r="Q67" s="10">
        <f t="shared" si="1"/>
        <v>0</v>
      </c>
      <c r="R67" s="10">
        <f t="shared" si="2"/>
        <v>0</v>
      </c>
      <c r="S67" s="10">
        <f t="shared" si="4"/>
        <v>0</v>
      </c>
      <c r="T67" s="10">
        <f t="shared" si="5"/>
        <v>0</v>
      </c>
      <c r="U67" s="11" t="str">
        <f t="shared" si="6"/>
        <v/>
      </c>
      <c r="V67" s="11" t="str">
        <f t="shared" si="6"/>
        <v/>
      </c>
      <c r="W67" s="11" t="str">
        <f t="shared" si="6"/>
        <v/>
      </c>
      <c r="X67" s="11" t="str">
        <f t="shared" si="6"/>
        <v/>
      </c>
      <c r="Y67" s="11" t="str">
        <f t="shared" si="6"/>
        <v/>
      </c>
      <c r="Z67" s="11" t="str">
        <f t="shared" si="6"/>
        <v/>
      </c>
      <c r="AA67" s="11" t="str">
        <f t="shared" si="6"/>
        <v/>
      </c>
      <c r="AB67" s="11" t="str">
        <f t="shared" si="6"/>
        <v/>
      </c>
      <c r="AC67" s="11" t="str">
        <f t="shared" si="6"/>
        <v/>
      </c>
      <c r="AD67" s="11" t="str">
        <f t="shared" si="6"/>
        <v/>
      </c>
      <c r="AE67" s="12" t="s">
        <v>27</v>
      </c>
    </row>
    <row r="68" spans="1:31" ht="18" customHeight="1" thickTop="1" thickBot="1" x14ac:dyDescent="0.3">
      <c r="A68" s="4" t="s">
        <v>81</v>
      </c>
      <c r="B68" s="4" t="s">
        <v>945</v>
      </c>
      <c r="C68" s="5" t="s">
        <v>192</v>
      </c>
      <c r="D68" s="5" t="s">
        <v>42</v>
      </c>
      <c r="E68" s="5" t="s">
        <v>69</v>
      </c>
      <c r="F68" s="5" t="s">
        <v>202</v>
      </c>
      <c r="G68" s="5" t="s">
        <v>16</v>
      </c>
      <c r="H68" s="6" t="s">
        <v>195</v>
      </c>
      <c r="I68" s="7" t="s">
        <v>387</v>
      </c>
      <c r="J68" s="8" t="s">
        <v>27</v>
      </c>
      <c r="K68" s="8">
        <v>0.82727272727272727</v>
      </c>
      <c r="L68" s="8">
        <v>0.84545454545454557</v>
      </c>
      <c r="M68" s="5"/>
      <c r="N68" s="8">
        <v>1.0224677226141354</v>
      </c>
      <c r="O68" s="9">
        <v>1.2359499943687351</v>
      </c>
      <c r="P68" s="10" t="s">
        <v>27</v>
      </c>
      <c r="Q68" s="10">
        <f t="shared" si="1"/>
        <v>0</v>
      </c>
      <c r="R68" s="10">
        <f t="shared" si="2"/>
        <v>0</v>
      </c>
      <c r="S68" s="10">
        <f t="shared" si="4"/>
        <v>0</v>
      </c>
      <c r="T68" s="10">
        <f t="shared" si="5"/>
        <v>0</v>
      </c>
      <c r="U68" s="11" t="str">
        <f t="shared" si="6"/>
        <v/>
      </c>
      <c r="V68" s="11" t="str">
        <f t="shared" si="6"/>
        <v/>
      </c>
      <c r="W68" s="11" t="str">
        <f t="shared" si="6"/>
        <v/>
      </c>
      <c r="X68" s="11" t="str">
        <f t="shared" si="6"/>
        <v/>
      </c>
      <c r="Y68" s="11" t="str">
        <f t="shared" si="6"/>
        <v/>
      </c>
      <c r="Z68" s="11" t="str">
        <f t="shared" si="6"/>
        <v/>
      </c>
      <c r="AA68" s="11" t="str">
        <f t="shared" si="6"/>
        <v/>
      </c>
      <c r="AB68" s="11" t="str">
        <f t="shared" si="6"/>
        <v/>
      </c>
      <c r="AC68" s="11" t="str">
        <f t="shared" si="6"/>
        <v/>
      </c>
      <c r="AD68" s="11" t="str">
        <f t="shared" si="6"/>
        <v/>
      </c>
      <c r="AE68" s="12" t="s">
        <v>27</v>
      </c>
    </row>
    <row r="69" spans="1:31" ht="18" customHeight="1" thickTop="1" thickBot="1" x14ac:dyDescent="0.3">
      <c r="A69" s="4" t="s">
        <v>81</v>
      </c>
      <c r="B69" s="4" t="s">
        <v>945</v>
      </c>
      <c r="C69" s="5" t="s">
        <v>192</v>
      </c>
      <c r="D69" s="5" t="s">
        <v>42</v>
      </c>
      <c r="E69" s="5" t="s">
        <v>71</v>
      </c>
      <c r="F69" s="5" t="s">
        <v>203</v>
      </c>
      <c r="G69" s="5" t="s">
        <v>16</v>
      </c>
      <c r="H69" s="6" t="s">
        <v>195</v>
      </c>
      <c r="I69" s="7" t="s">
        <v>387</v>
      </c>
      <c r="J69" s="8" t="s">
        <v>27</v>
      </c>
      <c r="K69" s="8">
        <v>0.86052631578947381</v>
      </c>
      <c r="L69" s="8">
        <v>0.72666666666666668</v>
      </c>
      <c r="M69" s="5"/>
      <c r="N69" s="8">
        <v>0.8788091752074183</v>
      </c>
      <c r="O69" s="9">
        <v>1.0212461363266634</v>
      </c>
      <c r="P69" s="10" t="s">
        <v>27</v>
      </c>
      <c r="Q69" s="10">
        <f t="shared" ref="Q69:Q132" si="7">IF(K69&gt;1.5,1,0)</f>
        <v>0</v>
      </c>
      <c r="R69" s="10">
        <f t="shared" ref="R69:R132" si="8">IF(K69&lt;0.5,1,0)</f>
        <v>0</v>
      </c>
      <c r="S69" s="10">
        <f t="shared" ref="S69:S132" si="9">IF(O69&gt;1.5,1,0)</f>
        <v>0</v>
      </c>
      <c r="T69" s="10">
        <f t="shared" ref="T69:T132" si="10">IF(O69&lt;0.5,1,0)</f>
        <v>0</v>
      </c>
      <c r="U69" s="11" t="str">
        <f t="shared" si="6"/>
        <v/>
      </c>
      <c r="V69" s="11" t="str">
        <f t="shared" si="6"/>
        <v/>
      </c>
      <c r="W69" s="11" t="str">
        <f t="shared" si="6"/>
        <v/>
      </c>
      <c r="X69" s="11" t="str">
        <f t="shared" si="6"/>
        <v/>
      </c>
      <c r="Y69" s="11" t="str">
        <f t="shared" si="6"/>
        <v/>
      </c>
      <c r="Z69" s="11" t="str">
        <f t="shared" ref="V69:AD97" si="11">IF(ISNUMBER(SEARCH(Z$3,$AE69)), 1,"")</f>
        <v/>
      </c>
      <c r="AA69" s="11" t="str">
        <f t="shared" si="11"/>
        <v/>
      </c>
      <c r="AB69" s="11" t="str">
        <f t="shared" si="11"/>
        <v/>
      </c>
      <c r="AC69" s="11" t="str">
        <f t="shared" si="11"/>
        <v/>
      </c>
      <c r="AD69" s="11" t="str">
        <f t="shared" si="11"/>
        <v/>
      </c>
      <c r="AE69" s="12" t="s">
        <v>27</v>
      </c>
    </row>
    <row r="70" spans="1:31" ht="18" customHeight="1" thickTop="1" thickBot="1" x14ac:dyDescent="0.3">
      <c r="A70" s="4" t="s">
        <v>81</v>
      </c>
      <c r="B70" s="4" t="s">
        <v>945</v>
      </c>
      <c r="C70" s="5" t="s">
        <v>192</v>
      </c>
      <c r="D70" s="5" t="s">
        <v>42</v>
      </c>
      <c r="E70" s="5" t="s">
        <v>141</v>
      </c>
      <c r="F70" s="5" t="s">
        <v>204</v>
      </c>
      <c r="G70" s="5" t="s">
        <v>16</v>
      </c>
      <c r="H70" s="6" t="s">
        <v>195</v>
      </c>
      <c r="I70" s="7" t="s">
        <v>387</v>
      </c>
      <c r="J70" s="8" t="s">
        <v>27</v>
      </c>
      <c r="K70" s="8">
        <v>0.98653846153846148</v>
      </c>
      <c r="L70" s="8">
        <v>0.53846153846153844</v>
      </c>
      <c r="M70" s="5"/>
      <c r="N70" s="8">
        <v>0.65119945939858093</v>
      </c>
      <c r="O70" s="9">
        <v>0.66008522200246011</v>
      </c>
      <c r="P70" s="10" t="s">
        <v>27</v>
      </c>
      <c r="Q70" s="10">
        <f t="shared" si="7"/>
        <v>0</v>
      </c>
      <c r="R70" s="10">
        <f t="shared" si="8"/>
        <v>0</v>
      </c>
      <c r="S70" s="10">
        <f t="shared" si="9"/>
        <v>0</v>
      </c>
      <c r="T70" s="10">
        <f t="shared" si="10"/>
        <v>0</v>
      </c>
      <c r="U70" s="11" t="str">
        <f t="shared" ref="U70:U133" si="12">IF(ISNUMBER(SEARCH(U$3,$AE70)), 1,"")</f>
        <v/>
      </c>
      <c r="V70" s="11" t="str">
        <f t="shared" si="11"/>
        <v/>
      </c>
      <c r="W70" s="11" t="str">
        <f t="shared" si="11"/>
        <v/>
      </c>
      <c r="X70" s="11" t="str">
        <f t="shared" si="11"/>
        <v/>
      </c>
      <c r="Y70" s="11" t="str">
        <f t="shared" si="11"/>
        <v/>
      </c>
      <c r="Z70" s="11" t="str">
        <f t="shared" si="11"/>
        <v/>
      </c>
      <c r="AA70" s="11" t="str">
        <f t="shared" si="11"/>
        <v/>
      </c>
      <c r="AB70" s="11" t="str">
        <f t="shared" si="11"/>
        <v/>
      </c>
      <c r="AC70" s="11" t="str">
        <f t="shared" si="11"/>
        <v/>
      </c>
      <c r="AD70" s="11" t="str">
        <f t="shared" si="11"/>
        <v/>
      </c>
      <c r="AE70" s="12" t="s">
        <v>27</v>
      </c>
    </row>
    <row r="71" spans="1:31" ht="18" customHeight="1" thickTop="1" thickBot="1" x14ac:dyDescent="0.3">
      <c r="A71" s="4" t="s">
        <v>123</v>
      </c>
      <c r="B71" s="4" t="s">
        <v>948</v>
      </c>
      <c r="C71" s="5" t="s">
        <v>205</v>
      </c>
      <c r="D71" s="5" t="s">
        <v>26</v>
      </c>
      <c r="E71" s="5" t="s">
        <v>27</v>
      </c>
      <c r="F71" s="5" t="s">
        <v>206</v>
      </c>
      <c r="G71" s="5" t="s">
        <v>16</v>
      </c>
      <c r="H71" s="6" t="s">
        <v>175</v>
      </c>
      <c r="I71" s="7" t="s">
        <v>56</v>
      </c>
      <c r="J71" s="8">
        <v>1.75</v>
      </c>
      <c r="K71" s="8">
        <v>0.67701863354037262</v>
      </c>
      <c r="L71" s="8">
        <v>0.99657478794823573</v>
      </c>
      <c r="M71" s="5"/>
      <c r="N71" s="8">
        <v>0.99657478794823573</v>
      </c>
      <c r="O71" s="9">
        <v>1.4720049620152837</v>
      </c>
      <c r="P71" s="10" t="s">
        <v>27</v>
      </c>
      <c r="Q71" s="10">
        <f t="shared" si="7"/>
        <v>0</v>
      </c>
      <c r="R71" s="10">
        <f t="shared" si="8"/>
        <v>0</v>
      </c>
      <c r="S71" s="10">
        <f t="shared" si="9"/>
        <v>0</v>
      </c>
      <c r="T71" s="10">
        <f t="shared" si="10"/>
        <v>0</v>
      </c>
      <c r="U71" s="11" t="str">
        <f t="shared" si="12"/>
        <v/>
      </c>
      <c r="V71" s="11" t="str">
        <f t="shared" si="11"/>
        <v/>
      </c>
      <c r="W71" s="11" t="str">
        <f t="shared" si="11"/>
        <v/>
      </c>
      <c r="X71" s="11" t="str">
        <f t="shared" si="11"/>
        <v/>
      </c>
      <c r="Y71" s="11" t="str">
        <f t="shared" si="11"/>
        <v/>
      </c>
      <c r="Z71" s="11" t="str">
        <f t="shared" si="11"/>
        <v/>
      </c>
      <c r="AA71" s="11" t="str">
        <f t="shared" si="11"/>
        <v/>
      </c>
      <c r="AB71" s="11" t="str">
        <f t="shared" si="11"/>
        <v/>
      </c>
      <c r="AC71" s="11" t="str">
        <f t="shared" si="11"/>
        <v/>
      </c>
      <c r="AD71" s="11" t="str">
        <f t="shared" si="11"/>
        <v/>
      </c>
      <c r="AE71" s="12" t="s">
        <v>27</v>
      </c>
    </row>
    <row r="72" spans="1:31" ht="18" customHeight="1" thickTop="1" thickBot="1" x14ac:dyDescent="0.3">
      <c r="A72" s="4" t="s">
        <v>207</v>
      </c>
      <c r="B72" s="4" t="s">
        <v>950</v>
      </c>
      <c r="C72" s="5" t="s">
        <v>208</v>
      </c>
      <c r="D72" s="5" t="s">
        <v>26</v>
      </c>
      <c r="E72" s="5" t="s">
        <v>27</v>
      </c>
      <c r="F72" s="5" t="s">
        <v>209</v>
      </c>
      <c r="G72" s="5" t="s">
        <v>16</v>
      </c>
      <c r="H72" s="6" t="s">
        <v>210</v>
      </c>
      <c r="I72" s="7" t="s">
        <v>122</v>
      </c>
      <c r="J72" s="8" t="s">
        <v>27</v>
      </c>
      <c r="K72" s="8">
        <v>0.74308300395256921</v>
      </c>
      <c r="L72" s="8">
        <v>1.2484560570071259</v>
      </c>
      <c r="M72" s="5"/>
      <c r="N72" s="8">
        <v>1.2484560570071259</v>
      </c>
      <c r="O72" s="9">
        <v>1.680103097993632</v>
      </c>
      <c r="P72" s="10" t="s">
        <v>31</v>
      </c>
      <c r="Q72" s="10">
        <f t="shared" si="7"/>
        <v>0</v>
      </c>
      <c r="R72" s="10">
        <f t="shared" si="8"/>
        <v>0</v>
      </c>
      <c r="S72" s="10">
        <f t="shared" si="9"/>
        <v>1</v>
      </c>
      <c r="T72" s="10">
        <f t="shared" si="10"/>
        <v>0</v>
      </c>
      <c r="U72" s="11" t="str">
        <f t="shared" si="12"/>
        <v/>
      </c>
      <c r="V72" s="11">
        <f t="shared" si="11"/>
        <v>1</v>
      </c>
      <c r="W72" s="11" t="str">
        <f t="shared" si="11"/>
        <v/>
      </c>
      <c r="X72" s="11" t="str">
        <f t="shared" si="11"/>
        <v/>
      </c>
      <c r="Y72" s="11" t="str">
        <f t="shared" si="11"/>
        <v/>
      </c>
      <c r="Z72" s="11" t="str">
        <f t="shared" si="11"/>
        <v/>
      </c>
      <c r="AA72" s="11" t="str">
        <f t="shared" si="11"/>
        <v/>
      </c>
      <c r="AB72" s="11">
        <f t="shared" si="11"/>
        <v>1</v>
      </c>
      <c r="AC72" s="11" t="str">
        <f t="shared" si="11"/>
        <v/>
      </c>
      <c r="AD72" s="11" t="str">
        <f t="shared" si="11"/>
        <v/>
      </c>
      <c r="AE72" s="12" t="s">
        <v>1153</v>
      </c>
    </row>
    <row r="73" spans="1:31" ht="18" customHeight="1" thickTop="1" thickBot="1" x14ac:dyDescent="0.3">
      <c r="A73" s="4" t="s">
        <v>133</v>
      </c>
      <c r="B73" s="4" t="s">
        <v>947</v>
      </c>
      <c r="C73" s="5" t="s">
        <v>211</v>
      </c>
      <c r="D73" s="5" t="s">
        <v>26</v>
      </c>
      <c r="E73" s="5" t="s">
        <v>36</v>
      </c>
      <c r="F73" s="5" t="s">
        <v>212</v>
      </c>
      <c r="G73" s="5" t="s">
        <v>16</v>
      </c>
      <c r="H73" s="6" t="s">
        <v>147</v>
      </c>
      <c r="I73" s="7" t="s">
        <v>111</v>
      </c>
      <c r="J73" s="8">
        <v>2.2272727272727271</v>
      </c>
      <c r="K73" s="8">
        <v>1</v>
      </c>
      <c r="L73" s="8">
        <v>1.1753246753246753</v>
      </c>
      <c r="M73" s="5"/>
      <c r="N73" s="8">
        <v>1.1753246753246753</v>
      </c>
      <c r="O73" s="9">
        <v>1.1753246753246755</v>
      </c>
      <c r="P73" s="10" t="s">
        <v>27</v>
      </c>
      <c r="Q73" s="10">
        <f t="shared" si="7"/>
        <v>0</v>
      </c>
      <c r="R73" s="10">
        <f t="shared" si="8"/>
        <v>0</v>
      </c>
      <c r="S73" s="10">
        <f t="shared" si="9"/>
        <v>0</v>
      </c>
      <c r="T73" s="10">
        <f t="shared" si="10"/>
        <v>0</v>
      </c>
      <c r="U73" s="11" t="str">
        <f t="shared" si="12"/>
        <v/>
      </c>
      <c r="V73" s="11" t="str">
        <f t="shared" si="11"/>
        <v/>
      </c>
      <c r="W73" s="11" t="str">
        <f t="shared" si="11"/>
        <v/>
      </c>
      <c r="X73" s="11" t="str">
        <f t="shared" si="11"/>
        <v/>
      </c>
      <c r="Y73" s="11" t="str">
        <f t="shared" si="11"/>
        <v/>
      </c>
      <c r="Z73" s="11" t="str">
        <f t="shared" si="11"/>
        <v/>
      </c>
      <c r="AA73" s="11" t="str">
        <f t="shared" si="11"/>
        <v/>
      </c>
      <c r="AB73" s="11" t="str">
        <f t="shared" si="11"/>
        <v/>
      </c>
      <c r="AC73" s="11" t="str">
        <f t="shared" si="11"/>
        <v/>
      </c>
      <c r="AD73" s="11" t="str">
        <f t="shared" si="11"/>
        <v/>
      </c>
      <c r="AE73" s="12" t="s">
        <v>27</v>
      </c>
    </row>
    <row r="74" spans="1:31" ht="18" customHeight="1" thickTop="1" thickBot="1" x14ac:dyDescent="0.3">
      <c r="A74" s="4" t="s">
        <v>133</v>
      </c>
      <c r="B74" s="4" t="s">
        <v>947</v>
      </c>
      <c r="C74" s="5" t="s">
        <v>211</v>
      </c>
      <c r="D74" s="5" t="s">
        <v>26</v>
      </c>
      <c r="E74" s="5" t="s">
        <v>40</v>
      </c>
      <c r="F74" s="5" t="s">
        <v>214</v>
      </c>
      <c r="G74" s="5" t="s">
        <v>16</v>
      </c>
      <c r="H74" s="6" t="s">
        <v>147</v>
      </c>
      <c r="I74" s="7" t="s">
        <v>111</v>
      </c>
      <c r="J74" s="8">
        <v>3.7272727272727271</v>
      </c>
      <c r="K74" s="8">
        <v>1</v>
      </c>
      <c r="L74" s="8">
        <v>0.9662921348314607</v>
      </c>
      <c r="M74" s="5"/>
      <c r="N74" s="8">
        <v>0.9662921348314607</v>
      </c>
      <c r="O74" s="9">
        <v>0.96629213483146081</v>
      </c>
      <c r="P74" s="10" t="s">
        <v>27</v>
      </c>
      <c r="Q74" s="10">
        <f t="shared" si="7"/>
        <v>0</v>
      </c>
      <c r="R74" s="10">
        <f t="shared" si="8"/>
        <v>0</v>
      </c>
      <c r="S74" s="10">
        <f t="shared" si="9"/>
        <v>0</v>
      </c>
      <c r="T74" s="10">
        <f t="shared" si="10"/>
        <v>0</v>
      </c>
      <c r="U74" s="11" t="str">
        <f t="shared" si="12"/>
        <v/>
      </c>
      <c r="V74" s="11" t="str">
        <f t="shared" si="11"/>
        <v/>
      </c>
      <c r="W74" s="11" t="str">
        <f t="shared" si="11"/>
        <v/>
      </c>
      <c r="X74" s="11" t="str">
        <f t="shared" si="11"/>
        <v/>
      </c>
      <c r="Y74" s="11" t="str">
        <f t="shared" si="11"/>
        <v/>
      </c>
      <c r="Z74" s="11" t="str">
        <f t="shared" si="11"/>
        <v/>
      </c>
      <c r="AA74" s="11" t="str">
        <f t="shared" si="11"/>
        <v/>
      </c>
      <c r="AB74" s="11" t="str">
        <f t="shared" si="11"/>
        <v/>
      </c>
      <c r="AC74" s="11" t="str">
        <f t="shared" si="11"/>
        <v/>
      </c>
      <c r="AD74" s="11" t="str">
        <f t="shared" si="11"/>
        <v/>
      </c>
      <c r="AE74" s="12" t="s">
        <v>27</v>
      </c>
    </row>
    <row r="75" spans="1:31" ht="18" customHeight="1" thickTop="1" thickBot="1" x14ac:dyDescent="0.3">
      <c r="A75" s="4" t="s">
        <v>133</v>
      </c>
      <c r="B75" s="4" t="s">
        <v>947</v>
      </c>
      <c r="C75" s="5" t="s">
        <v>211</v>
      </c>
      <c r="D75" s="5" t="s">
        <v>26</v>
      </c>
      <c r="E75" s="5" t="s">
        <v>69</v>
      </c>
      <c r="F75" s="5" t="s">
        <v>215</v>
      </c>
      <c r="G75" s="5" t="s">
        <v>16</v>
      </c>
      <c r="H75" s="6" t="s">
        <v>147</v>
      </c>
      <c r="I75" s="7" t="s">
        <v>111</v>
      </c>
      <c r="J75" s="8">
        <v>2.1875</v>
      </c>
      <c r="K75" s="8">
        <v>1</v>
      </c>
      <c r="L75" s="8">
        <v>1.0333333333333334</v>
      </c>
      <c r="M75" s="5"/>
      <c r="N75" s="8">
        <v>1.0333333333333334</v>
      </c>
      <c r="O75" s="9">
        <v>1.0333333333333334</v>
      </c>
      <c r="P75" s="10" t="s">
        <v>27</v>
      </c>
      <c r="Q75" s="10">
        <f t="shared" si="7"/>
        <v>0</v>
      </c>
      <c r="R75" s="10">
        <f t="shared" si="8"/>
        <v>0</v>
      </c>
      <c r="S75" s="10">
        <f t="shared" si="9"/>
        <v>0</v>
      </c>
      <c r="T75" s="10">
        <f t="shared" si="10"/>
        <v>0</v>
      </c>
      <c r="U75" s="11" t="str">
        <f t="shared" si="12"/>
        <v/>
      </c>
      <c r="V75" s="11" t="str">
        <f t="shared" si="11"/>
        <v/>
      </c>
      <c r="W75" s="11" t="str">
        <f t="shared" si="11"/>
        <v/>
      </c>
      <c r="X75" s="11" t="str">
        <f t="shared" si="11"/>
        <v/>
      </c>
      <c r="Y75" s="11" t="str">
        <f t="shared" si="11"/>
        <v/>
      </c>
      <c r="Z75" s="11" t="str">
        <f t="shared" si="11"/>
        <v/>
      </c>
      <c r="AA75" s="11" t="str">
        <f t="shared" si="11"/>
        <v/>
      </c>
      <c r="AB75" s="11" t="str">
        <f t="shared" si="11"/>
        <v/>
      </c>
      <c r="AC75" s="11" t="str">
        <f t="shared" si="11"/>
        <v/>
      </c>
      <c r="AD75" s="11" t="str">
        <f t="shared" si="11"/>
        <v/>
      </c>
      <c r="AE75" s="12" t="s">
        <v>27</v>
      </c>
    </row>
    <row r="76" spans="1:31" ht="18" customHeight="1" thickTop="1" thickBot="1" x14ac:dyDescent="0.3">
      <c r="A76" s="4" t="s">
        <v>216</v>
      </c>
      <c r="B76" s="4" t="s">
        <v>950</v>
      </c>
      <c r="C76" s="5" t="s">
        <v>217</v>
      </c>
      <c r="D76" s="5" t="s">
        <v>26</v>
      </c>
      <c r="E76" s="5" t="s">
        <v>36</v>
      </c>
      <c r="F76" s="5" t="s">
        <v>218</v>
      </c>
      <c r="G76" s="5" t="s">
        <v>16</v>
      </c>
      <c r="H76" s="6" t="s">
        <v>219</v>
      </c>
      <c r="I76" s="7" t="s">
        <v>131</v>
      </c>
      <c r="J76" s="8">
        <v>1.2222222222222223</v>
      </c>
      <c r="K76" s="8">
        <v>1</v>
      </c>
      <c r="L76" s="8">
        <v>1.2655263157894738</v>
      </c>
      <c r="M76" s="5"/>
      <c r="N76" s="8">
        <v>1.2655263157894738</v>
      </c>
      <c r="O76" s="9">
        <v>1.2655263157894738</v>
      </c>
      <c r="P76" s="10" t="s">
        <v>27</v>
      </c>
      <c r="Q76" s="10">
        <f t="shared" si="7"/>
        <v>0</v>
      </c>
      <c r="R76" s="10">
        <f t="shared" si="8"/>
        <v>0</v>
      </c>
      <c r="S76" s="10">
        <f t="shared" si="9"/>
        <v>0</v>
      </c>
      <c r="T76" s="10">
        <f t="shared" si="10"/>
        <v>0</v>
      </c>
      <c r="U76" s="11" t="str">
        <f t="shared" si="12"/>
        <v/>
      </c>
      <c r="V76" s="11" t="str">
        <f t="shared" si="11"/>
        <v/>
      </c>
      <c r="W76" s="11" t="str">
        <f t="shared" si="11"/>
        <v/>
      </c>
      <c r="X76" s="11" t="str">
        <f t="shared" si="11"/>
        <v/>
      </c>
      <c r="Y76" s="11" t="str">
        <f t="shared" si="11"/>
        <v/>
      </c>
      <c r="Z76" s="11" t="str">
        <f t="shared" si="11"/>
        <v/>
      </c>
      <c r="AA76" s="11" t="str">
        <f t="shared" si="11"/>
        <v/>
      </c>
      <c r="AB76" s="11" t="str">
        <f t="shared" si="11"/>
        <v/>
      </c>
      <c r="AC76" s="11" t="str">
        <f t="shared" si="11"/>
        <v/>
      </c>
      <c r="AD76" s="11" t="str">
        <f t="shared" si="11"/>
        <v/>
      </c>
      <c r="AE76" s="12" t="s">
        <v>27</v>
      </c>
    </row>
    <row r="77" spans="1:31" ht="18" customHeight="1" thickTop="1" thickBot="1" x14ac:dyDescent="0.3">
      <c r="A77" s="4" t="s">
        <v>220</v>
      </c>
      <c r="B77" s="4" t="s">
        <v>950</v>
      </c>
      <c r="C77" s="5" t="s">
        <v>221</v>
      </c>
      <c r="D77" s="5" t="s">
        <v>26</v>
      </c>
      <c r="E77" s="5" t="s">
        <v>40</v>
      </c>
      <c r="F77" s="5" t="s">
        <v>222</v>
      </c>
      <c r="G77" s="5" t="s">
        <v>16</v>
      </c>
      <c r="H77" s="6" t="s">
        <v>223</v>
      </c>
      <c r="I77" s="7" t="s">
        <v>68</v>
      </c>
      <c r="J77" s="8" t="s">
        <v>27</v>
      </c>
      <c r="K77" s="8">
        <v>1.2922077922077921</v>
      </c>
      <c r="L77" s="8">
        <v>6.9</v>
      </c>
      <c r="M77" s="5"/>
      <c r="N77" s="8">
        <v>6.9</v>
      </c>
      <c r="O77" s="9">
        <v>5.3396984924623112</v>
      </c>
      <c r="P77" s="10" t="s">
        <v>31</v>
      </c>
      <c r="Q77" s="10">
        <f t="shared" si="7"/>
        <v>0</v>
      </c>
      <c r="R77" s="10">
        <f t="shared" si="8"/>
        <v>0</v>
      </c>
      <c r="S77" s="10">
        <f t="shared" si="9"/>
        <v>1</v>
      </c>
      <c r="T77" s="10">
        <f t="shared" si="10"/>
        <v>0</v>
      </c>
      <c r="U77" s="11" t="str">
        <f t="shared" si="12"/>
        <v/>
      </c>
      <c r="V77" s="11" t="str">
        <f t="shared" si="11"/>
        <v/>
      </c>
      <c r="W77" s="11" t="str">
        <f t="shared" si="11"/>
        <v/>
      </c>
      <c r="X77" s="11" t="str">
        <f t="shared" si="11"/>
        <v/>
      </c>
      <c r="Y77" s="11" t="str">
        <f t="shared" si="11"/>
        <v/>
      </c>
      <c r="Z77" s="11" t="str">
        <f t="shared" si="11"/>
        <v/>
      </c>
      <c r="AA77" s="11" t="str">
        <f t="shared" si="11"/>
        <v/>
      </c>
      <c r="AB77" s="11" t="str">
        <f t="shared" si="11"/>
        <v/>
      </c>
      <c r="AC77" s="11">
        <f t="shared" si="11"/>
        <v>1</v>
      </c>
      <c r="AD77" s="11" t="str">
        <f t="shared" si="11"/>
        <v/>
      </c>
      <c r="AE77" s="12" t="s">
        <v>982</v>
      </c>
    </row>
    <row r="78" spans="1:31" ht="18" customHeight="1" thickTop="1" thickBot="1" x14ac:dyDescent="0.3">
      <c r="A78" s="4" t="s">
        <v>81</v>
      </c>
      <c r="B78" s="4" t="s">
        <v>945</v>
      </c>
      <c r="C78" s="5" t="s">
        <v>224</v>
      </c>
      <c r="D78" s="5" t="s">
        <v>26</v>
      </c>
      <c r="E78" s="5" t="s">
        <v>27</v>
      </c>
      <c r="F78" s="5" t="s">
        <v>225</v>
      </c>
      <c r="G78" s="5" t="s">
        <v>16</v>
      </c>
      <c r="H78" s="6" t="s">
        <v>226</v>
      </c>
      <c r="I78" s="7" t="s">
        <v>111</v>
      </c>
      <c r="J78" s="8">
        <v>1</v>
      </c>
      <c r="K78" s="8">
        <v>1.0123691722169363</v>
      </c>
      <c r="L78" s="8">
        <v>1.6778436635075067</v>
      </c>
      <c r="M78" s="5"/>
      <c r="N78" s="8">
        <v>1.6778436635075067</v>
      </c>
      <c r="O78" s="9">
        <v>1.6573436939345765</v>
      </c>
      <c r="P78" s="10" t="s">
        <v>31</v>
      </c>
      <c r="Q78" s="10">
        <f t="shared" si="7"/>
        <v>0</v>
      </c>
      <c r="R78" s="10">
        <f t="shared" si="8"/>
        <v>0</v>
      </c>
      <c r="S78" s="10">
        <f t="shared" si="9"/>
        <v>1</v>
      </c>
      <c r="T78" s="10">
        <f t="shared" si="10"/>
        <v>0</v>
      </c>
      <c r="U78" s="11" t="str">
        <f t="shared" si="12"/>
        <v/>
      </c>
      <c r="V78" s="11" t="str">
        <f t="shared" si="11"/>
        <v/>
      </c>
      <c r="W78" s="11">
        <f t="shared" si="11"/>
        <v>1</v>
      </c>
      <c r="X78" s="11" t="str">
        <f t="shared" si="11"/>
        <v/>
      </c>
      <c r="Y78" s="11" t="str">
        <f t="shared" si="11"/>
        <v/>
      </c>
      <c r="Z78" s="11" t="str">
        <f t="shared" si="11"/>
        <v/>
      </c>
      <c r="AA78" s="11" t="str">
        <f t="shared" si="11"/>
        <v/>
      </c>
      <c r="AB78" s="11" t="str">
        <f t="shared" si="11"/>
        <v/>
      </c>
      <c r="AC78" s="11">
        <f t="shared" si="11"/>
        <v>1</v>
      </c>
      <c r="AD78" s="11" t="str">
        <f t="shared" si="11"/>
        <v/>
      </c>
      <c r="AE78" s="12" t="s">
        <v>1156</v>
      </c>
    </row>
    <row r="79" spans="1:31" ht="18" customHeight="1" thickTop="1" thickBot="1" x14ac:dyDescent="0.3">
      <c r="A79" s="4" t="s">
        <v>81</v>
      </c>
      <c r="B79" s="4" t="s">
        <v>945</v>
      </c>
      <c r="C79" s="5" t="s">
        <v>224</v>
      </c>
      <c r="D79" s="5" t="s">
        <v>42</v>
      </c>
      <c r="E79" s="5" t="s">
        <v>36</v>
      </c>
      <c r="F79" s="5" t="s">
        <v>227</v>
      </c>
      <c r="G79" s="5" t="s">
        <v>16</v>
      </c>
      <c r="H79" s="6" t="s">
        <v>226</v>
      </c>
      <c r="I79" s="7" t="s">
        <v>387</v>
      </c>
      <c r="J79" s="8">
        <v>1</v>
      </c>
      <c r="K79" s="8">
        <v>0.99277389277389294</v>
      </c>
      <c r="L79" s="8">
        <v>0.84554678692220964</v>
      </c>
      <c r="M79" s="5"/>
      <c r="N79" s="8">
        <v>1.0250552555952994</v>
      </c>
      <c r="O79" s="9">
        <v>1.0325163293035533</v>
      </c>
      <c r="P79" s="10" t="s">
        <v>27</v>
      </c>
      <c r="Q79" s="10">
        <f t="shared" si="7"/>
        <v>0</v>
      </c>
      <c r="R79" s="10">
        <f t="shared" si="8"/>
        <v>0</v>
      </c>
      <c r="S79" s="10">
        <f t="shared" si="9"/>
        <v>0</v>
      </c>
      <c r="T79" s="10">
        <f t="shared" si="10"/>
        <v>0</v>
      </c>
      <c r="U79" s="11" t="str">
        <f t="shared" si="12"/>
        <v/>
      </c>
      <c r="V79" s="11" t="str">
        <f t="shared" si="11"/>
        <v/>
      </c>
      <c r="W79" s="11" t="str">
        <f t="shared" si="11"/>
        <v/>
      </c>
      <c r="X79" s="11" t="str">
        <f t="shared" si="11"/>
        <v/>
      </c>
      <c r="Y79" s="11" t="str">
        <f t="shared" si="11"/>
        <v/>
      </c>
      <c r="Z79" s="11" t="str">
        <f t="shared" si="11"/>
        <v/>
      </c>
      <c r="AA79" s="11" t="str">
        <f t="shared" si="11"/>
        <v/>
      </c>
      <c r="AB79" s="11" t="str">
        <f t="shared" si="11"/>
        <v/>
      </c>
      <c r="AC79" s="11" t="str">
        <f t="shared" si="11"/>
        <v/>
      </c>
      <c r="AD79" s="11" t="str">
        <f t="shared" si="11"/>
        <v/>
      </c>
      <c r="AE79" s="12" t="s">
        <v>27</v>
      </c>
    </row>
    <row r="80" spans="1:31" ht="18" customHeight="1" thickTop="1" thickBot="1" x14ac:dyDescent="0.3">
      <c r="A80" s="4" t="s">
        <v>228</v>
      </c>
      <c r="B80" s="4" t="s">
        <v>949</v>
      </c>
      <c r="C80" s="5" t="s">
        <v>229</v>
      </c>
      <c r="D80" s="5" t="s">
        <v>26</v>
      </c>
      <c r="E80" s="5" t="s">
        <v>27</v>
      </c>
      <c r="F80" s="5" t="s">
        <v>230</v>
      </c>
      <c r="G80" s="5" t="s">
        <v>16</v>
      </c>
      <c r="H80" s="6" t="s">
        <v>232</v>
      </c>
      <c r="I80" s="7" t="s">
        <v>359</v>
      </c>
      <c r="J80" s="8">
        <v>1.2777777777777777</v>
      </c>
      <c r="K80" s="8">
        <v>0.83199999999999996</v>
      </c>
      <c r="L80" s="8">
        <v>1.1914052201423675</v>
      </c>
      <c r="M80" s="5"/>
      <c r="N80" s="8">
        <v>1.3228312156496789</v>
      </c>
      <c r="O80" s="9">
        <v>1.5899413649635565</v>
      </c>
      <c r="P80" s="10" t="s">
        <v>31</v>
      </c>
      <c r="Q80" s="10">
        <f t="shared" si="7"/>
        <v>0</v>
      </c>
      <c r="R80" s="10">
        <f t="shared" si="8"/>
        <v>0</v>
      </c>
      <c r="S80" s="10">
        <f t="shared" si="9"/>
        <v>1</v>
      </c>
      <c r="T80" s="10">
        <f t="shared" si="10"/>
        <v>0</v>
      </c>
      <c r="U80" s="11">
        <f t="shared" si="12"/>
        <v>1</v>
      </c>
      <c r="V80" s="11" t="str">
        <f t="shared" si="11"/>
        <v/>
      </c>
      <c r="W80" s="11" t="str">
        <f t="shared" si="11"/>
        <v/>
      </c>
      <c r="X80" s="11" t="str">
        <f t="shared" si="11"/>
        <v/>
      </c>
      <c r="Y80" s="11" t="str">
        <f t="shared" si="11"/>
        <v/>
      </c>
      <c r="Z80" s="11" t="str">
        <f t="shared" si="11"/>
        <v/>
      </c>
      <c r="AA80" s="11" t="str">
        <f t="shared" si="11"/>
        <v/>
      </c>
      <c r="AB80" s="11" t="str">
        <f t="shared" si="11"/>
        <v/>
      </c>
      <c r="AC80" s="11">
        <f t="shared" si="11"/>
        <v>1</v>
      </c>
      <c r="AD80" s="11" t="str">
        <f t="shared" si="11"/>
        <v/>
      </c>
      <c r="AE80" s="12" t="s">
        <v>986</v>
      </c>
    </row>
    <row r="81" spans="1:31" ht="18" customHeight="1" thickTop="1" thickBot="1" x14ac:dyDescent="0.3">
      <c r="A81" s="4" t="s">
        <v>228</v>
      </c>
      <c r="B81" s="4" t="s">
        <v>949</v>
      </c>
      <c r="C81" s="5" t="s">
        <v>229</v>
      </c>
      <c r="D81" s="5" t="s">
        <v>26</v>
      </c>
      <c r="E81" s="5" t="s">
        <v>36</v>
      </c>
      <c r="F81" s="5" t="s">
        <v>233</v>
      </c>
      <c r="G81" s="5" t="s">
        <v>16</v>
      </c>
      <c r="H81" s="6" t="s">
        <v>232</v>
      </c>
      <c r="I81" s="7" t="s">
        <v>359</v>
      </c>
      <c r="J81" s="8">
        <v>1.2777777777777777</v>
      </c>
      <c r="K81" s="8">
        <v>0.77916666666666667</v>
      </c>
      <c r="L81" s="8">
        <v>0.91597222222222219</v>
      </c>
      <c r="M81" s="5"/>
      <c r="N81" s="8">
        <v>1.0170147215560883</v>
      </c>
      <c r="O81" s="9">
        <v>1.3052595356869583</v>
      </c>
      <c r="P81" s="10" t="s">
        <v>27</v>
      </c>
      <c r="Q81" s="10">
        <f t="shared" si="7"/>
        <v>0</v>
      </c>
      <c r="R81" s="10">
        <f t="shared" si="8"/>
        <v>0</v>
      </c>
      <c r="S81" s="10">
        <f t="shared" si="9"/>
        <v>0</v>
      </c>
      <c r="T81" s="10">
        <f t="shared" si="10"/>
        <v>0</v>
      </c>
      <c r="U81" s="11" t="str">
        <f t="shared" si="12"/>
        <v/>
      </c>
      <c r="V81" s="11" t="str">
        <f t="shared" si="11"/>
        <v/>
      </c>
      <c r="W81" s="11" t="str">
        <f t="shared" si="11"/>
        <v/>
      </c>
      <c r="X81" s="11" t="str">
        <f t="shared" si="11"/>
        <v/>
      </c>
      <c r="Y81" s="11" t="str">
        <f t="shared" si="11"/>
        <v/>
      </c>
      <c r="Z81" s="11" t="str">
        <f t="shared" si="11"/>
        <v/>
      </c>
      <c r="AA81" s="11" t="str">
        <f t="shared" si="11"/>
        <v/>
      </c>
      <c r="AB81" s="11" t="str">
        <f t="shared" si="11"/>
        <v/>
      </c>
      <c r="AC81" s="11" t="str">
        <f t="shared" si="11"/>
        <v/>
      </c>
      <c r="AD81" s="11" t="str">
        <f t="shared" si="11"/>
        <v/>
      </c>
      <c r="AE81" s="12" t="s">
        <v>27</v>
      </c>
    </row>
    <row r="82" spans="1:31" ht="18" customHeight="1" thickTop="1" thickBot="1" x14ac:dyDescent="0.3">
      <c r="A82" s="4" t="s">
        <v>228</v>
      </c>
      <c r="B82" s="4" t="s">
        <v>949</v>
      </c>
      <c r="C82" s="5" t="s">
        <v>229</v>
      </c>
      <c r="D82" s="5" t="s">
        <v>26</v>
      </c>
      <c r="E82" s="5" t="s">
        <v>234</v>
      </c>
      <c r="F82" s="5" t="s">
        <v>235</v>
      </c>
      <c r="G82" s="5" t="s">
        <v>16</v>
      </c>
      <c r="H82" s="6" t="s">
        <v>232</v>
      </c>
      <c r="I82" s="7" t="s">
        <v>359</v>
      </c>
      <c r="J82" s="8">
        <v>1.2777777777777777</v>
      </c>
      <c r="K82" s="8">
        <v>0.97777777777777786</v>
      </c>
      <c r="L82" s="8">
        <v>1.6722222222222221</v>
      </c>
      <c r="M82" s="5"/>
      <c r="N82" s="8">
        <v>1.8566879829469756</v>
      </c>
      <c r="O82" s="9">
        <v>1.8988854371048609</v>
      </c>
      <c r="P82" s="10" t="s">
        <v>31</v>
      </c>
      <c r="Q82" s="10">
        <f t="shared" si="7"/>
        <v>0</v>
      </c>
      <c r="R82" s="10">
        <f t="shared" si="8"/>
        <v>0</v>
      </c>
      <c r="S82" s="10">
        <f t="shared" si="9"/>
        <v>1</v>
      </c>
      <c r="T82" s="10">
        <f t="shared" si="10"/>
        <v>0</v>
      </c>
      <c r="U82" s="11">
        <f t="shared" si="12"/>
        <v>1</v>
      </c>
      <c r="V82" s="11" t="str">
        <f t="shared" si="11"/>
        <v/>
      </c>
      <c r="W82" s="11" t="str">
        <f t="shared" si="11"/>
        <v/>
      </c>
      <c r="X82" s="11" t="str">
        <f t="shared" si="11"/>
        <v/>
      </c>
      <c r="Y82" s="11" t="str">
        <f t="shared" si="11"/>
        <v/>
      </c>
      <c r="Z82" s="11" t="str">
        <f t="shared" si="11"/>
        <v/>
      </c>
      <c r="AA82" s="11" t="str">
        <f t="shared" si="11"/>
        <v/>
      </c>
      <c r="AB82" s="11" t="str">
        <f t="shared" si="11"/>
        <v/>
      </c>
      <c r="AC82" s="11">
        <f t="shared" si="11"/>
        <v>1</v>
      </c>
      <c r="AD82" s="11" t="str">
        <f t="shared" si="11"/>
        <v/>
      </c>
      <c r="AE82" s="12" t="s">
        <v>986</v>
      </c>
    </row>
    <row r="83" spans="1:31" ht="18" customHeight="1" thickTop="1" thickBot="1" x14ac:dyDescent="0.3">
      <c r="A83" s="4" t="s">
        <v>228</v>
      </c>
      <c r="B83" s="4" t="s">
        <v>949</v>
      </c>
      <c r="C83" s="5" t="s">
        <v>229</v>
      </c>
      <c r="D83" s="5" t="s">
        <v>26</v>
      </c>
      <c r="E83" s="5" t="s">
        <v>236</v>
      </c>
      <c r="F83" s="5" t="s">
        <v>237</v>
      </c>
      <c r="G83" s="5" t="s">
        <v>16</v>
      </c>
      <c r="H83" s="6" t="s">
        <v>232</v>
      </c>
      <c r="I83" s="7" t="s">
        <v>359</v>
      </c>
      <c r="J83" s="8">
        <v>1.2777777777777777</v>
      </c>
      <c r="K83" s="8">
        <v>0.95</v>
      </c>
      <c r="L83" s="8">
        <v>2.3470588235294119</v>
      </c>
      <c r="M83" s="5"/>
      <c r="N83" s="8">
        <v>2.6059669911129921</v>
      </c>
      <c r="O83" s="9">
        <v>2.7431231485399916</v>
      </c>
      <c r="P83" s="10" t="s">
        <v>31</v>
      </c>
      <c r="Q83" s="10">
        <f t="shared" si="7"/>
        <v>0</v>
      </c>
      <c r="R83" s="10">
        <f t="shared" si="8"/>
        <v>0</v>
      </c>
      <c r="S83" s="10">
        <f t="shared" si="9"/>
        <v>1</v>
      </c>
      <c r="T83" s="10">
        <f t="shared" si="10"/>
        <v>0</v>
      </c>
      <c r="U83" s="11">
        <f t="shared" si="12"/>
        <v>1</v>
      </c>
      <c r="V83" s="11" t="str">
        <f t="shared" si="11"/>
        <v/>
      </c>
      <c r="W83" s="11" t="str">
        <f t="shared" si="11"/>
        <v/>
      </c>
      <c r="X83" s="11" t="str">
        <f t="shared" si="11"/>
        <v/>
      </c>
      <c r="Y83" s="11" t="str">
        <f t="shared" si="11"/>
        <v/>
      </c>
      <c r="Z83" s="11" t="str">
        <f t="shared" si="11"/>
        <v/>
      </c>
      <c r="AA83" s="11" t="str">
        <f t="shared" si="11"/>
        <v/>
      </c>
      <c r="AB83" s="11" t="str">
        <f t="shared" si="11"/>
        <v/>
      </c>
      <c r="AC83" s="11">
        <f t="shared" si="11"/>
        <v>1</v>
      </c>
      <c r="AD83" s="11" t="str">
        <f t="shared" si="11"/>
        <v/>
      </c>
      <c r="AE83" s="12" t="s">
        <v>986</v>
      </c>
    </row>
    <row r="84" spans="1:31" ht="18" customHeight="1" thickTop="1" thickBot="1" x14ac:dyDescent="0.3">
      <c r="A84" s="4" t="s">
        <v>228</v>
      </c>
      <c r="B84" s="4" t="s">
        <v>949</v>
      </c>
      <c r="C84" s="5" t="s">
        <v>229</v>
      </c>
      <c r="D84" s="5" t="s">
        <v>26</v>
      </c>
      <c r="E84" s="5" t="s">
        <v>238</v>
      </c>
      <c r="F84" s="5" t="s">
        <v>239</v>
      </c>
      <c r="G84" s="5" t="s">
        <v>16</v>
      </c>
      <c r="H84" s="6" t="s">
        <v>232</v>
      </c>
      <c r="I84" s="7" t="s">
        <v>359</v>
      </c>
      <c r="J84" s="8">
        <v>1.2777777777777777</v>
      </c>
      <c r="K84" s="8">
        <v>1.032142857142857</v>
      </c>
      <c r="L84" s="8">
        <v>1.0179924242424241</v>
      </c>
      <c r="M84" s="5"/>
      <c r="N84" s="8">
        <v>1.1302889506576557</v>
      </c>
      <c r="O84" s="9">
        <v>1.0950896407755835</v>
      </c>
      <c r="P84" s="10" t="s">
        <v>27</v>
      </c>
      <c r="Q84" s="10">
        <f t="shared" si="7"/>
        <v>0</v>
      </c>
      <c r="R84" s="10">
        <f t="shared" si="8"/>
        <v>0</v>
      </c>
      <c r="S84" s="10">
        <f t="shared" si="9"/>
        <v>0</v>
      </c>
      <c r="T84" s="10">
        <f t="shared" si="10"/>
        <v>0</v>
      </c>
      <c r="U84" s="11" t="str">
        <f t="shared" si="12"/>
        <v/>
      </c>
      <c r="V84" s="11" t="str">
        <f t="shared" si="11"/>
        <v/>
      </c>
      <c r="W84" s="11" t="str">
        <f t="shared" si="11"/>
        <v/>
      </c>
      <c r="X84" s="11" t="str">
        <f t="shared" si="11"/>
        <v/>
      </c>
      <c r="Y84" s="11" t="str">
        <f t="shared" si="11"/>
        <v/>
      </c>
      <c r="Z84" s="11" t="str">
        <f t="shared" si="11"/>
        <v/>
      </c>
      <c r="AA84" s="11" t="str">
        <f t="shared" si="11"/>
        <v/>
      </c>
      <c r="AB84" s="11" t="str">
        <f t="shared" si="11"/>
        <v/>
      </c>
      <c r="AC84" s="11" t="str">
        <f t="shared" si="11"/>
        <v/>
      </c>
      <c r="AD84" s="11" t="str">
        <f t="shared" si="11"/>
        <v/>
      </c>
      <c r="AE84" s="12" t="s">
        <v>27</v>
      </c>
    </row>
    <row r="85" spans="1:31" ht="18" customHeight="1" thickTop="1" thickBot="1" x14ac:dyDescent="0.3">
      <c r="A85" s="4" t="s">
        <v>228</v>
      </c>
      <c r="B85" s="4" t="s">
        <v>949</v>
      </c>
      <c r="C85" s="5" t="s">
        <v>229</v>
      </c>
      <c r="D85" s="5" t="s">
        <v>26</v>
      </c>
      <c r="E85" s="5" t="s">
        <v>40</v>
      </c>
      <c r="F85" s="5" t="s">
        <v>240</v>
      </c>
      <c r="G85" s="5" t="s">
        <v>16</v>
      </c>
      <c r="H85" s="6" t="s">
        <v>232</v>
      </c>
      <c r="I85" s="7" t="s">
        <v>359</v>
      </c>
      <c r="J85" s="8">
        <v>1.2777777777777777</v>
      </c>
      <c r="K85" s="8">
        <v>1.0036363636363637</v>
      </c>
      <c r="L85" s="8">
        <v>1.0925</v>
      </c>
      <c r="M85" s="5"/>
      <c r="N85" s="8">
        <v>1.213015587529976</v>
      </c>
      <c r="O85" s="9">
        <v>1.2086206035171863</v>
      </c>
      <c r="P85" s="10" t="s">
        <v>27</v>
      </c>
      <c r="Q85" s="10">
        <f t="shared" si="7"/>
        <v>0</v>
      </c>
      <c r="R85" s="10">
        <f t="shared" si="8"/>
        <v>0</v>
      </c>
      <c r="S85" s="10">
        <f t="shared" si="9"/>
        <v>0</v>
      </c>
      <c r="T85" s="10">
        <f t="shared" si="10"/>
        <v>0</v>
      </c>
      <c r="U85" s="11" t="str">
        <f t="shared" si="12"/>
        <v/>
      </c>
      <c r="V85" s="11" t="str">
        <f t="shared" si="11"/>
        <v/>
      </c>
      <c r="W85" s="11" t="str">
        <f t="shared" si="11"/>
        <v/>
      </c>
      <c r="X85" s="11" t="str">
        <f t="shared" si="11"/>
        <v/>
      </c>
      <c r="Y85" s="11" t="str">
        <f t="shared" si="11"/>
        <v/>
      </c>
      <c r="Z85" s="11" t="str">
        <f t="shared" si="11"/>
        <v/>
      </c>
      <c r="AA85" s="11" t="str">
        <f t="shared" si="11"/>
        <v/>
      </c>
      <c r="AB85" s="11" t="str">
        <f t="shared" si="11"/>
        <v/>
      </c>
      <c r="AC85" s="11" t="str">
        <f t="shared" si="11"/>
        <v/>
      </c>
      <c r="AD85" s="11" t="str">
        <f t="shared" si="11"/>
        <v/>
      </c>
      <c r="AE85" s="12" t="s">
        <v>27</v>
      </c>
    </row>
    <row r="86" spans="1:31" ht="18" customHeight="1" thickTop="1" thickBot="1" x14ac:dyDescent="0.3">
      <c r="A86" s="4" t="s">
        <v>228</v>
      </c>
      <c r="B86" s="4" t="s">
        <v>949</v>
      </c>
      <c r="C86" s="5" t="s">
        <v>229</v>
      </c>
      <c r="D86" s="5" t="s">
        <v>26</v>
      </c>
      <c r="E86" s="5" t="s">
        <v>69</v>
      </c>
      <c r="F86" s="5" t="s">
        <v>241</v>
      </c>
      <c r="G86" s="5" t="s">
        <v>16</v>
      </c>
      <c r="H86" s="6" t="s">
        <v>232</v>
      </c>
      <c r="I86" s="7" t="s">
        <v>359</v>
      </c>
      <c r="J86" s="8">
        <v>1.2777777777777777</v>
      </c>
      <c r="K86" s="8">
        <v>1.1000000000000001</v>
      </c>
      <c r="L86" s="8">
        <v>1.3590909090909091</v>
      </c>
      <c r="M86" s="5"/>
      <c r="N86" s="8">
        <v>1.5090146064966208</v>
      </c>
      <c r="O86" s="9">
        <v>1.3718314604514736</v>
      </c>
      <c r="P86" s="10" t="s">
        <v>27</v>
      </c>
      <c r="Q86" s="10">
        <f t="shared" si="7"/>
        <v>0</v>
      </c>
      <c r="R86" s="10">
        <f t="shared" si="8"/>
        <v>0</v>
      </c>
      <c r="S86" s="10">
        <f t="shared" si="9"/>
        <v>0</v>
      </c>
      <c r="T86" s="10">
        <f t="shared" si="10"/>
        <v>0</v>
      </c>
      <c r="U86" s="11" t="str">
        <f t="shared" si="12"/>
        <v/>
      </c>
      <c r="V86" s="11" t="str">
        <f t="shared" si="11"/>
        <v/>
      </c>
      <c r="W86" s="11" t="str">
        <f t="shared" si="11"/>
        <v/>
      </c>
      <c r="X86" s="11" t="str">
        <f t="shared" si="11"/>
        <v/>
      </c>
      <c r="Y86" s="11" t="str">
        <f t="shared" si="11"/>
        <v/>
      </c>
      <c r="Z86" s="11" t="str">
        <f t="shared" si="11"/>
        <v/>
      </c>
      <c r="AA86" s="11" t="str">
        <f t="shared" si="11"/>
        <v/>
      </c>
      <c r="AB86" s="11" t="str">
        <f t="shared" si="11"/>
        <v/>
      </c>
      <c r="AC86" s="11" t="str">
        <f t="shared" si="11"/>
        <v/>
      </c>
      <c r="AD86" s="11" t="str">
        <f t="shared" si="11"/>
        <v/>
      </c>
      <c r="AE86" s="12" t="s">
        <v>27</v>
      </c>
    </row>
    <row r="87" spans="1:31" ht="18" customHeight="1" thickTop="1" thickBot="1" x14ac:dyDescent="0.3">
      <c r="A87" s="4" t="s">
        <v>228</v>
      </c>
      <c r="B87" s="4" t="s">
        <v>949</v>
      </c>
      <c r="C87" s="5" t="s">
        <v>229</v>
      </c>
      <c r="D87" s="5" t="s">
        <v>26</v>
      </c>
      <c r="E87" s="5" t="s">
        <v>71</v>
      </c>
      <c r="F87" s="5" t="s">
        <v>242</v>
      </c>
      <c r="G87" s="5" t="s">
        <v>16</v>
      </c>
      <c r="H87" s="6" t="s">
        <v>232</v>
      </c>
      <c r="I87" s="7" t="s">
        <v>359</v>
      </c>
      <c r="J87" s="8">
        <v>1.2777777777777777</v>
      </c>
      <c r="K87" s="8">
        <v>0.97857142857142854</v>
      </c>
      <c r="L87" s="8">
        <v>1.0852272727272727</v>
      </c>
      <c r="M87" s="5"/>
      <c r="N87" s="8">
        <v>1.2049405929801613</v>
      </c>
      <c r="O87" s="9">
        <v>1.2313261534103841</v>
      </c>
      <c r="P87" s="10" t="s">
        <v>27</v>
      </c>
      <c r="Q87" s="10">
        <f t="shared" si="7"/>
        <v>0</v>
      </c>
      <c r="R87" s="10">
        <f t="shared" si="8"/>
        <v>0</v>
      </c>
      <c r="S87" s="10">
        <f t="shared" si="9"/>
        <v>0</v>
      </c>
      <c r="T87" s="10">
        <f t="shared" si="10"/>
        <v>0</v>
      </c>
      <c r="U87" s="11" t="str">
        <f t="shared" si="12"/>
        <v/>
      </c>
      <c r="V87" s="11" t="str">
        <f t="shared" si="11"/>
        <v/>
      </c>
      <c r="W87" s="11" t="str">
        <f t="shared" si="11"/>
        <v/>
      </c>
      <c r="X87" s="11" t="str">
        <f t="shared" si="11"/>
        <v/>
      </c>
      <c r="Y87" s="11" t="str">
        <f t="shared" si="11"/>
        <v/>
      </c>
      <c r="Z87" s="11" t="str">
        <f t="shared" si="11"/>
        <v/>
      </c>
      <c r="AA87" s="11" t="str">
        <f t="shared" si="11"/>
        <v/>
      </c>
      <c r="AB87" s="11" t="str">
        <f t="shared" si="11"/>
        <v/>
      </c>
      <c r="AC87" s="11" t="str">
        <f t="shared" si="11"/>
        <v/>
      </c>
      <c r="AD87" s="11" t="str">
        <f t="shared" si="11"/>
        <v/>
      </c>
      <c r="AE87" s="12" t="s">
        <v>27</v>
      </c>
    </row>
    <row r="88" spans="1:31" ht="18" customHeight="1" thickTop="1" thickBot="1" x14ac:dyDescent="0.3">
      <c r="A88" s="4" t="s">
        <v>228</v>
      </c>
      <c r="B88" s="4" t="s">
        <v>949</v>
      </c>
      <c r="C88" s="5" t="s">
        <v>229</v>
      </c>
      <c r="D88" s="5" t="s">
        <v>26</v>
      </c>
      <c r="E88" s="5" t="s">
        <v>141</v>
      </c>
      <c r="F88" s="5" t="s">
        <v>243</v>
      </c>
      <c r="G88" s="5" t="s">
        <v>16</v>
      </c>
      <c r="H88" s="6" t="s">
        <v>232</v>
      </c>
      <c r="I88" s="7" t="s">
        <v>359</v>
      </c>
      <c r="J88" s="8">
        <v>1.2777777777777777</v>
      </c>
      <c r="K88" s="8">
        <v>1.01</v>
      </c>
      <c r="L88" s="8">
        <v>0.88581730769230771</v>
      </c>
      <c r="M88" s="5"/>
      <c r="N88" s="8">
        <v>0.98353336561520011</v>
      </c>
      <c r="O88" s="9">
        <v>0.97379541150019822</v>
      </c>
      <c r="P88" s="10" t="s">
        <v>27</v>
      </c>
      <c r="Q88" s="10">
        <f t="shared" si="7"/>
        <v>0</v>
      </c>
      <c r="R88" s="10">
        <f t="shared" si="8"/>
        <v>0</v>
      </c>
      <c r="S88" s="10">
        <f t="shared" si="9"/>
        <v>0</v>
      </c>
      <c r="T88" s="10">
        <f t="shared" si="10"/>
        <v>0</v>
      </c>
      <c r="U88" s="11" t="str">
        <f t="shared" si="12"/>
        <v/>
      </c>
      <c r="V88" s="11" t="str">
        <f t="shared" si="11"/>
        <v/>
      </c>
      <c r="W88" s="11" t="str">
        <f t="shared" si="11"/>
        <v/>
      </c>
      <c r="X88" s="11" t="str">
        <f t="shared" si="11"/>
        <v/>
      </c>
      <c r="Y88" s="11" t="str">
        <f t="shared" si="11"/>
        <v/>
      </c>
      <c r="Z88" s="11" t="str">
        <f t="shared" si="11"/>
        <v/>
      </c>
      <c r="AA88" s="11" t="str">
        <f t="shared" si="11"/>
        <v/>
      </c>
      <c r="AB88" s="11" t="str">
        <f t="shared" si="11"/>
        <v/>
      </c>
      <c r="AC88" s="11" t="str">
        <f t="shared" si="11"/>
        <v/>
      </c>
      <c r="AD88" s="11" t="str">
        <f t="shared" si="11"/>
        <v/>
      </c>
      <c r="AE88" s="12" t="s">
        <v>27</v>
      </c>
    </row>
    <row r="89" spans="1:31" ht="18" customHeight="1" thickTop="1" thickBot="1" x14ac:dyDescent="0.3">
      <c r="A89" s="4" t="s">
        <v>228</v>
      </c>
      <c r="B89" s="4" t="s">
        <v>949</v>
      </c>
      <c r="C89" s="5" t="s">
        <v>229</v>
      </c>
      <c r="D89" s="5" t="s">
        <v>26</v>
      </c>
      <c r="E89" s="5" t="s">
        <v>143</v>
      </c>
      <c r="F89" s="5" t="s">
        <v>244</v>
      </c>
      <c r="G89" s="5" t="s">
        <v>16</v>
      </c>
      <c r="H89" s="6" t="s">
        <v>232</v>
      </c>
      <c r="I89" s="7" t="s">
        <v>359</v>
      </c>
      <c r="J89" s="8">
        <v>1.2777777777777777</v>
      </c>
      <c r="K89" s="8">
        <v>0.92500000000000004</v>
      </c>
      <c r="L89" s="8">
        <v>1.2353896103896105</v>
      </c>
      <c r="M89" s="5"/>
      <c r="N89" s="8">
        <v>1.3716676009841478</v>
      </c>
      <c r="O89" s="9">
        <v>1.4828838929558354</v>
      </c>
      <c r="P89" s="10" t="s">
        <v>27</v>
      </c>
      <c r="Q89" s="10">
        <f t="shared" si="7"/>
        <v>0</v>
      </c>
      <c r="R89" s="10">
        <f t="shared" si="8"/>
        <v>0</v>
      </c>
      <c r="S89" s="10">
        <f t="shared" si="9"/>
        <v>0</v>
      </c>
      <c r="T89" s="10">
        <f t="shared" si="10"/>
        <v>0</v>
      </c>
      <c r="U89" s="11" t="str">
        <f t="shared" si="12"/>
        <v/>
      </c>
      <c r="V89" s="11" t="str">
        <f t="shared" si="11"/>
        <v/>
      </c>
      <c r="W89" s="11" t="str">
        <f t="shared" si="11"/>
        <v/>
      </c>
      <c r="X89" s="11" t="str">
        <f t="shared" si="11"/>
        <v/>
      </c>
      <c r="Y89" s="11" t="str">
        <f t="shared" si="11"/>
        <v/>
      </c>
      <c r="Z89" s="11" t="str">
        <f t="shared" si="11"/>
        <v/>
      </c>
      <c r="AA89" s="11" t="str">
        <f t="shared" si="11"/>
        <v/>
      </c>
      <c r="AB89" s="11" t="str">
        <f t="shared" si="11"/>
        <v/>
      </c>
      <c r="AC89" s="11" t="str">
        <f t="shared" si="11"/>
        <v/>
      </c>
      <c r="AD89" s="11" t="str">
        <f t="shared" si="11"/>
        <v/>
      </c>
      <c r="AE89" s="12" t="s">
        <v>27</v>
      </c>
    </row>
    <row r="90" spans="1:31" ht="18" customHeight="1" thickTop="1" thickBot="1" x14ac:dyDescent="0.3">
      <c r="A90" s="4" t="s">
        <v>228</v>
      </c>
      <c r="B90" s="4" t="s">
        <v>949</v>
      </c>
      <c r="C90" s="5" t="s">
        <v>229</v>
      </c>
      <c r="D90" s="5" t="s">
        <v>26</v>
      </c>
      <c r="E90" s="5" t="s">
        <v>245</v>
      </c>
      <c r="F90" s="5" t="s">
        <v>246</v>
      </c>
      <c r="G90" s="5" t="s">
        <v>16</v>
      </c>
      <c r="H90" s="6" t="s">
        <v>232</v>
      </c>
      <c r="I90" s="7" t="s">
        <v>359</v>
      </c>
      <c r="J90" s="8">
        <v>1.2777777777777777</v>
      </c>
      <c r="K90" s="8">
        <v>0.88461538461538458</v>
      </c>
      <c r="L90" s="8">
        <v>0.93990384615384615</v>
      </c>
      <c r="M90" s="5"/>
      <c r="N90" s="8">
        <v>1.0435862848182993</v>
      </c>
      <c r="O90" s="9">
        <v>1.1797062350119905</v>
      </c>
      <c r="P90" s="10" t="s">
        <v>27</v>
      </c>
      <c r="Q90" s="10">
        <f t="shared" si="7"/>
        <v>0</v>
      </c>
      <c r="R90" s="10">
        <f t="shared" si="8"/>
        <v>0</v>
      </c>
      <c r="S90" s="10">
        <f t="shared" si="9"/>
        <v>0</v>
      </c>
      <c r="T90" s="10">
        <f t="shared" si="10"/>
        <v>0</v>
      </c>
      <c r="U90" s="11" t="str">
        <f t="shared" si="12"/>
        <v/>
      </c>
      <c r="V90" s="11" t="str">
        <f t="shared" si="11"/>
        <v/>
      </c>
      <c r="W90" s="11" t="str">
        <f t="shared" si="11"/>
        <v/>
      </c>
      <c r="X90" s="11" t="str">
        <f t="shared" si="11"/>
        <v/>
      </c>
      <c r="Y90" s="11" t="str">
        <f t="shared" si="11"/>
        <v/>
      </c>
      <c r="Z90" s="11" t="str">
        <f t="shared" si="11"/>
        <v/>
      </c>
      <c r="AA90" s="11" t="str">
        <f t="shared" si="11"/>
        <v/>
      </c>
      <c r="AB90" s="11" t="str">
        <f t="shared" si="11"/>
        <v/>
      </c>
      <c r="AC90" s="11" t="str">
        <f t="shared" si="11"/>
        <v/>
      </c>
      <c r="AD90" s="11" t="str">
        <f t="shared" si="11"/>
        <v/>
      </c>
      <c r="AE90" s="12" t="s">
        <v>27</v>
      </c>
    </row>
    <row r="91" spans="1:31" ht="18" customHeight="1" thickTop="1" thickBot="1" x14ac:dyDescent="0.3">
      <c r="A91" s="4" t="s">
        <v>228</v>
      </c>
      <c r="B91" s="4" t="s">
        <v>949</v>
      </c>
      <c r="C91" s="5" t="s">
        <v>229</v>
      </c>
      <c r="D91" s="5" t="s">
        <v>26</v>
      </c>
      <c r="E91" s="5" t="s">
        <v>247</v>
      </c>
      <c r="F91" s="5" t="s">
        <v>248</v>
      </c>
      <c r="G91" s="5" t="s">
        <v>16</v>
      </c>
      <c r="H91" s="6" t="s">
        <v>232</v>
      </c>
      <c r="I91" s="7" t="s">
        <v>359</v>
      </c>
      <c r="J91" s="8">
        <v>1.2777777777777777</v>
      </c>
      <c r="K91" s="8">
        <v>0.86153846153846148</v>
      </c>
      <c r="L91" s="8">
        <v>0.93990384615384615</v>
      </c>
      <c r="M91" s="5"/>
      <c r="N91" s="8">
        <v>1.0435862848182993</v>
      </c>
      <c r="O91" s="9">
        <v>1.2113055091640974</v>
      </c>
      <c r="P91" s="10" t="s">
        <v>27</v>
      </c>
      <c r="Q91" s="10">
        <f t="shared" si="7"/>
        <v>0</v>
      </c>
      <c r="R91" s="10">
        <f t="shared" si="8"/>
        <v>0</v>
      </c>
      <c r="S91" s="10">
        <f t="shared" si="9"/>
        <v>0</v>
      </c>
      <c r="T91" s="10">
        <f t="shared" si="10"/>
        <v>0</v>
      </c>
      <c r="U91" s="11" t="str">
        <f t="shared" si="12"/>
        <v/>
      </c>
      <c r="V91" s="11" t="str">
        <f t="shared" si="11"/>
        <v/>
      </c>
      <c r="W91" s="11" t="str">
        <f t="shared" si="11"/>
        <v/>
      </c>
      <c r="X91" s="11" t="str">
        <f t="shared" si="11"/>
        <v/>
      </c>
      <c r="Y91" s="11" t="str">
        <f t="shared" si="11"/>
        <v/>
      </c>
      <c r="Z91" s="11" t="str">
        <f t="shared" si="11"/>
        <v/>
      </c>
      <c r="AA91" s="11" t="str">
        <f t="shared" si="11"/>
        <v/>
      </c>
      <c r="AB91" s="11" t="str">
        <f t="shared" si="11"/>
        <v/>
      </c>
      <c r="AC91" s="11" t="str">
        <f t="shared" si="11"/>
        <v/>
      </c>
      <c r="AD91" s="11" t="str">
        <f t="shared" si="11"/>
        <v/>
      </c>
      <c r="AE91" s="12" t="s">
        <v>27</v>
      </c>
    </row>
    <row r="92" spans="1:31" ht="18" customHeight="1" thickTop="1" thickBot="1" x14ac:dyDescent="0.3">
      <c r="A92" s="4" t="s">
        <v>228</v>
      </c>
      <c r="B92" s="4" t="s">
        <v>949</v>
      </c>
      <c r="C92" s="5" t="s">
        <v>229</v>
      </c>
      <c r="D92" s="5" t="s">
        <v>26</v>
      </c>
      <c r="E92" s="5" t="s">
        <v>249</v>
      </c>
      <c r="F92" s="5" t="s">
        <v>250</v>
      </c>
      <c r="G92" s="5" t="s">
        <v>16</v>
      </c>
      <c r="H92" s="6" t="s">
        <v>232</v>
      </c>
      <c r="I92" s="7" t="s">
        <v>359</v>
      </c>
      <c r="J92" s="8">
        <v>1.2777777777777777</v>
      </c>
      <c r="K92" s="8">
        <v>1.4444444444444444</v>
      </c>
      <c r="L92" s="8">
        <v>2.046875</v>
      </c>
      <c r="M92" s="5"/>
      <c r="N92" s="8">
        <v>2.2726693645083933</v>
      </c>
      <c r="O92" s="9">
        <v>1.5733864831211952</v>
      </c>
      <c r="P92" s="10" t="s">
        <v>31</v>
      </c>
      <c r="Q92" s="10">
        <f t="shared" si="7"/>
        <v>0</v>
      </c>
      <c r="R92" s="10">
        <f t="shared" si="8"/>
        <v>0</v>
      </c>
      <c r="S92" s="10">
        <f t="shared" si="9"/>
        <v>1</v>
      </c>
      <c r="T92" s="10">
        <f t="shared" si="10"/>
        <v>0</v>
      </c>
      <c r="U92" s="11">
        <f t="shared" si="12"/>
        <v>1</v>
      </c>
      <c r="V92" s="11" t="str">
        <f t="shared" si="11"/>
        <v/>
      </c>
      <c r="W92" s="11" t="str">
        <f t="shared" si="11"/>
        <v/>
      </c>
      <c r="X92" s="11" t="str">
        <f t="shared" si="11"/>
        <v/>
      </c>
      <c r="Y92" s="11" t="str">
        <f t="shared" si="11"/>
        <v/>
      </c>
      <c r="Z92" s="11" t="str">
        <f t="shared" si="11"/>
        <v/>
      </c>
      <c r="AA92" s="11" t="str">
        <f t="shared" si="11"/>
        <v/>
      </c>
      <c r="AB92" s="11" t="str">
        <f t="shared" si="11"/>
        <v/>
      </c>
      <c r="AC92" s="11">
        <f t="shared" si="11"/>
        <v>1</v>
      </c>
      <c r="AD92" s="11" t="str">
        <f t="shared" si="11"/>
        <v/>
      </c>
      <c r="AE92" s="12" t="s">
        <v>986</v>
      </c>
    </row>
    <row r="93" spans="1:31" ht="18" customHeight="1" thickTop="1" thickBot="1" x14ac:dyDescent="0.3">
      <c r="A93" s="4" t="s">
        <v>166</v>
      </c>
      <c r="B93" s="4" t="s">
        <v>950</v>
      </c>
      <c r="C93" s="5" t="s">
        <v>251</v>
      </c>
      <c r="D93" s="5" t="s">
        <v>26</v>
      </c>
      <c r="E93" s="5" t="s">
        <v>36</v>
      </c>
      <c r="F93" s="5" t="s">
        <v>252</v>
      </c>
      <c r="G93" s="5" t="s">
        <v>16</v>
      </c>
      <c r="H93" s="6" t="s">
        <v>62</v>
      </c>
      <c r="I93" s="7" t="s">
        <v>68</v>
      </c>
      <c r="J93" s="8">
        <v>1.625</v>
      </c>
      <c r="K93" s="8">
        <v>1.2630522088353413</v>
      </c>
      <c r="L93" s="8">
        <v>6.3794760701283622</v>
      </c>
      <c r="M93" s="5"/>
      <c r="N93" s="8">
        <v>6.3794760701283622</v>
      </c>
      <c r="O93" s="9">
        <v>5.0508411493226149</v>
      </c>
      <c r="P93" s="10" t="s">
        <v>31</v>
      </c>
      <c r="Q93" s="10">
        <f t="shared" si="7"/>
        <v>0</v>
      </c>
      <c r="R93" s="10">
        <f t="shared" si="8"/>
        <v>0</v>
      </c>
      <c r="S93" s="10">
        <f t="shared" si="9"/>
        <v>1</v>
      </c>
      <c r="T93" s="10">
        <f t="shared" si="10"/>
        <v>0</v>
      </c>
      <c r="U93" s="11">
        <f t="shared" si="12"/>
        <v>1</v>
      </c>
      <c r="V93" s="11" t="str">
        <f t="shared" si="11"/>
        <v/>
      </c>
      <c r="W93" s="11">
        <f t="shared" si="11"/>
        <v>1</v>
      </c>
      <c r="X93" s="11" t="str">
        <f t="shared" si="11"/>
        <v/>
      </c>
      <c r="Y93" s="11" t="str">
        <f t="shared" si="11"/>
        <v/>
      </c>
      <c r="Z93" s="11" t="str">
        <f t="shared" si="11"/>
        <v/>
      </c>
      <c r="AA93" s="11" t="str">
        <f t="shared" si="11"/>
        <v/>
      </c>
      <c r="AB93" s="11" t="str">
        <f t="shared" si="11"/>
        <v/>
      </c>
      <c r="AC93" s="11" t="str">
        <f t="shared" si="11"/>
        <v/>
      </c>
      <c r="AD93" s="11" t="str">
        <f t="shared" si="11"/>
        <v/>
      </c>
      <c r="AE93" s="12" t="s">
        <v>1160</v>
      </c>
    </row>
    <row r="94" spans="1:31" ht="18" customHeight="1" thickTop="1" thickBot="1" x14ac:dyDescent="0.3">
      <c r="A94" s="4" t="s">
        <v>166</v>
      </c>
      <c r="B94" s="4" t="s">
        <v>950</v>
      </c>
      <c r="C94" s="5" t="s">
        <v>251</v>
      </c>
      <c r="D94" s="5" t="s">
        <v>26</v>
      </c>
      <c r="E94" s="5" t="s">
        <v>40</v>
      </c>
      <c r="F94" s="5" t="s">
        <v>253</v>
      </c>
      <c r="G94" s="5" t="s">
        <v>16</v>
      </c>
      <c r="H94" s="6" t="s">
        <v>62</v>
      </c>
      <c r="I94" s="7" t="s">
        <v>68</v>
      </c>
      <c r="J94" s="8">
        <v>1</v>
      </c>
      <c r="K94" s="8">
        <v>0.48779661016949155</v>
      </c>
      <c r="L94" s="8">
        <v>1.9009688798722191</v>
      </c>
      <c r="M94" s="5"/>
      <c r="N94" s="8">
        <v>1.9009688798722191</v>
      </c>
      <c r="O94" s="9">
        <v>3.897052255471193</v>
      </c>
      <c r="P94" s="10" t="s">
        <v>31</v>
      </c>
      <c r="Q94" s="10">
        <f t="shared" si="7"/>
        <v>0</v>
      </c>
      <c r="R94" s="10">
        <f t="shared" si="8"/>
        <v>1</v>
      </c>
      <c r="S94" s="10">
        <f t="shared" si="9"/>
        <v>1</v>
      </c>
      <c r="T94" s="10">
        <f t="shared" si="10"/>
        <v>0</v>
      </c>
      <c r="U94" s="11">
        <f t="shared" si="12"/>
        <v>1</v>
      </c>
      <c r="V94" s="11" t="str">
        <f t="shared" si="11"/>
        <v/>
      </c>
      <c r="W94" s="11">
        <f t="shared" si="11"/>
        <v>1</v>
      </c>
      <c r="X94" s="11" t="str">
        <f t="shared" si="11"/>
        <v/>
      </c>
      <c r="Y94" s="11" t="str">
        <f t="shared" si="11"/>
        <v/>
      </c>
      <c r="Z94" s="11" t="str">
        <f t="shared" si="11"/>
        <v/>
      </c>
      <c r="AA94" s="11" t="str">
        <f t="shared" si="11"/>
        <v/>
      </c>
      <c r="AB94" s="11" t="str">
        <f t="shared" si="11"/>
        <v/>
      </c>
      <c r="AC94" s="11" t="str">
        <f t="shared" si="11"/>
        <v/>
      </c>
      <c r="AD94" s="11">
        <f t="shared" si="11"/>
        <v>1</v>
      </c>
      <c r="AE94" s="12" t="s">
        <v>1162</v>
      </c>
    </row>
    <row r="95" spans="1:31" ht="18" customHeight="1" thickTop="1" thickBot="1" x14ac:dyDescent="0.3">
      <c r="A95" s="4" t="s">
        <v>166</v>
      </c>
      <c r="B95" s="4" t="s">
        <v>950</v>
      </c>
      <c r="C95" s="5" t="s">
        <v>251</v>
      </c>
      <c r="D95" s="5" t="s">
        <v>26</v>
      </c>
      <c r="E95" s="5" t="s">
        <v>69</v>
      </c>
      <c r="F95" s="5" t="s">
        <v>254</v>
      </c>
      <c r="G95" s="5" t="s">
        <v>16</v>
      </c>
      <c r="H95" s="6" t="s">
        <v>62</v>
      </c>
      <c r="I95" s="7" t="s">
        <v>122</v>
      </c>
      <c r="J95" s="8">
        <v>0.27777777777777779</v>
      </c>
      <c r="K95" s="8">
        <v>1.011049723756906</v>
      </c>
      <c r="L95" s="8">
        <v>9.8801425665107037E-2</v>
      </c>
      <c r="M95" s="5"/>
      <c r="N95" s="8">
        <v>9.8801425665107037E-2</v>
      </c>
      <c r="O95" s="9">
        <v>9.7721628663302584E-2</v>
      </c>
      <c r="P95" s="10" t="s">
        <v>31</v>
      </c>
      <c r="Q95" s="10">
        <f t="shared" si="7"/>
        <v>0</v>
      </c>
      <c r="R95" s="10">
        <f t="shared" si="8"/>
        <v>0</v>
      </c>
      <c r="S95" s="10">
        <f t="shared" si="9"/>
        <v>0</v>
      </c>
      <c r="T95" s="10">
        <f t="shared" si="10"/>
        <v>1</v>
      </c>
      <c r="U95" s="11" t="str">
        <f t="shared" si="12"/>
        <v/>
      </c>
      <c r="V95" s="11" t="str">
        <f t="shared" si="11"/>
        <v/>
      </c>
      <c r="W95" s="11" t="str">
        <f t="shared" si="11"/>
        <v/>
      </c>
      <c r="X95" s="11" t="str">
        <f t="shared" si="11"/>
        <v/>
      </c>
      <c r="Y95" s="11" t="str">
        <f t="shared" si="11"/>
        <v/>
      </c>
      <c r="Z95" s="11" t="str">
        <f t="shared" si="11"/>
        <v/>
      </c>
      <c r="AA95" s="11" t="str">
        <f t="shared" si="11"/>
        <v/>
      </c>
      <c r="AB95" s="11" t="str">
        <f t="shared" si="11"/>
        <v/>
      </c>
      <c r="AC95" s="11" t="str">
        <f t="shared" si="11"/>
        <v/>
      </c>
      <c r="AD95" s="11">
        <f t="shared" si="11"/>
        <v>1</v>
      </c>
      <c r="AE95" s="12" t="s">
        <v>1164</v>
      </c>
    </row>
    <row r="96" spans="1:31" ht="18" customHeight="1" thickTop="1" thickBot="1" x14ac:dyDescent="0.3">
      <c r="A96" s="4" t="s">
        <v>63</v>
      </c>
      <c r="B96" s="4" t="s">
        <v>950</v>
      </c>
      <c r="C96" s="5" t="s">
        <v>255</v>
      </c>
      <c r="D96" s="5" t="s">
        <v>26</v>
      </c>
      <c r="E96" s="5" t="s">
        <v>36</v>
      </c>
      <c r="F96" s="5" t="s">
        <v>256</v>
      </c>
      <c r="G96" s="5" t="s">
        <v>16</v>
      </c>
      <c r="H96" s="6" t="s">
        <v>175</v>
      </c>
      <c r="I96" s="7" t="s">
        <v>387</v>
      </c>
      <c r="J96" s="8" t="s">
        <v>27</v>
      </c>
      <c r="K96" s="8">
        <v>0.77848101265822789</v>
      </c>
      <c r="L96" s="8">
        <v>3.1677949709864603</v>
      </c>
      <c r="M96" s="5"/>
      <c r="N96" s="8">
        <v>3.1677949709864603</v>
      </c>
      <c r="O96" s="9">
        <v>4.0692000440313878</v>
      </c>
      <c r="P96" s="10" t="s">
        <v>31</v>
      </c>
      <c r="Q96" s="10">
        <f t="shared" si="7"/>
        <v>0</v>
      </c>
      <c r="R96" s="10">
        <f t="shared" si="8"/>
        <v>0</v>
      </c>
      <c r="S96" s="10">
        <f t="shared" si="9"/>
        <v>1</v>
      </c>
      <c r="T96" s="10">
        <f t="shared" si="10"/>
        <v>0</v>
      </c>
      <c r="U96" s="11" t="str">
        <f t="shared" si="12"/>
        <v/>
      </c>
      <c r="V96" s="11" t="str">
        <f t="shared" si="11"/>
        <v/>
      </c>
      <c r="W96" s="11" t="str">
        <f t="shared" si="11"/>
        <v/>
      </c>
      <c r="X96" s="11" t="str">
        <f t="shared" si="11"/>
        <v/>
      </c>
      <c r="Y96" s="11" t="str">
        <f t="shared" si="11"/>
        <v/>
      </c>
      <c r="Z96" s="11" t="str">
        <f t="shared" si="11"/>
        <v/>
      </c>
      <c r="AA96" s="11" t="str">
        <f t="shared" si="11"/>
        <v/>
      </c>
      <c r="AB96" s="11" t="str">
        <f t="shared" si="11"/>
        <v/>
      </c>
      <c r="AC96" s="11">
        <f t="shared" si="11"/>
        <v>1</v>
      </c>
      <c r="AD96" s="11">
        <f t="shared" si="11"/>
        <v>1</v>
      </c>
      <c r="AE96" s="12" t="s">
        <v>1059</v>
      </c>
    </row>
    <row r="97" spans="1:31" ht="18" customHeight="1" thickTop="1" thickBot="1" x14ac:dyDescent="0.3">
      <c r="A97" s="4" t="s">
        <v>63</v>
      </c>
      <c r="B97" s="4" t="s">
        <v>950</v>
      </c>
      <c r="C97" s="5" t="s">
        <v>255</v>
      </c>
      <c r="D97" s="5" t="s">
        <v>26</v>
      </c>
      <c r="E97" s="5" t="s">
        <v>40</v>
      </c>
      <c r="F97" s="5" t="s">
        <v>257</v>
      </c>
      <c r="G97" s="5" t="s">
        <v>16</v>
      </c>
      <c r="H97" s="6" t="s">
        <v>175</v>
      </c>
      <c r="I97" s="7" t="s">
        <v>387</v>
      </c>
      <c r="J97" s="8" t="s">
        <v>27</v>
      </c>
      <c r="K97" s="8">
        <v>1</v>
      </c>
      <c r="L97" s="8">
        <v>2.4344999999999999</v>
      </c>
      <c r="M97" s="5"/>
      <c r="N97" s="8">
        <v>2.4344999999999999</v>
      </c>
      <c r="O97" s="9">
        <v>2.4344999999999999</v>
      </c>
      <c r="P97" s="10" t="s">
        <v>31</v>
      </c>
      <c r="Q97" s="10">
        <f t="shared" si="7"/>
        <v>0</v>
      </c>
      <c r="R97" s="10">
        <f t="shared" si="8"/>
        <v>0</v>
      </c>
      <c r="S97" s="10">
        <f t="shared" si="9"/>
        <v>1</v>
      </c>
      <c r="T97" s="10">
        <f t="shared" si="10"/>
        <v>0</v>
      </c>
      <c r="U97" s="11" t="str">
        <f t="shared" si="12"/>
        <v/>
      </c>
      <c r="V97" s="11" t="str">
        <f t="shared" si="11"/>
        <v/>
      </c>
      <c r="W97" s="11" t="str">
        <f t="shared" si="11"/>
        <v/>
      </c>
      <c r="X97" s="11" t="str">
        <f t="shared" si="11"/>
        <v/>
      </c>
      <c r="Y97" s="11" t="str">
        <f t="shared" si="11"/>
        <v/>
      </c>
      <c r="Z97" s="11" t="str">
        <f t="shared" si="11"/>
        <v/>
      </c>
      <c r="AA97" s="11" t="str">
        <f t="shared" si="11"/>
        <v/>
      </c>
      <c r="AB97" s="11" t="str">
        <f t="shared" si="11"/>
        <v/>
      </c>
      <c r="AC97" s="11">
        <f t="shared" ref="V97:AD126" si="13">IF(ISNUMBER(SEARCH(AC$3,$AE97)), 1,"")</f>
        <v>1</v>
      </c>
      <c r="AD97" s="11">
        <f t="shared" si="13"/>
        <v>1</v>
      </c>
      <c r="AE97" s="12" t="s">
        <v>1059</v>
      </c>
    </row>
    <row r="98" spans="1:31" ht="18" customHeight="1" thickTop="1" thickBot="1" x14ac:dyDescent="0.3">
      <c r="A98" s="4" t="s">
        <v>63</v>
      </c>
      <c r="B98" s="4" t="s">
        <v>950</v>
      </c>
      <c r="C98" s="5" t="s">
        <v>255</v>
      </c>
      <c r="D98" s="5" t="s">
        <v>26</v>
      </c>
      <c r="E98" s="5" t="s">
        <v>69</v>
      </c>
      <c r="F98" s="5" t="s">
        <v>258</v>
      </c>
      <c r="G98" s="5" t="s">
        <v>16</v>
      </c>
      <c r="H98" s="6" t="s">
        <v>175</v>
      </c>
      <c r="I98" s="7" t="s">
        <v>387</v>
      </c>
      <c r="J98" s="8" t="s">
        <v>27</v>
      </c>
      <c r="K98" s="8">
        <v>1</v>
      </c>
      <c r="L98" s="8">
        <v>3.1646682653876903</v>
      </c>
      <c r="M98" s="5"/>
      <c r="N98" s="8">
        <v>3.1646682653876903</v>
      </c>
      <c r="O98" s="9">
        <v>3.1646682653876903</v>
      </c>
      <c r="P98" s="10" t="s">
        <v>31</v>
      </c>
      <c r="Q98" s="10">
        <f t="shared" si="7"/>
        <v>0</v>
      </c>
      <c r="R98" s="10">
        <f t="shared" si="8"/>
        <v>0</v>
      </c>
      <c r="S98" s="10">
        <f t="shared" si="9"/>
        <v>1</v>
      </c>
      <c r="T98" s="10">
        <f t="shared" si="10"/>
        <v>0</v>
      </c>
      <c r="U98" s="11" t="str">
        <f t="shared" si="12"/>
        <v/>
      </c>
      <c r="V98" s="11" t="str">
        <f t="shared" si="13"/>
        <v/>
      </c>
      <c r="W98" s="11" t="str">
        <f t="shared" si="13"/>
        <v/>
      </c>
      <c r="X98" s="11" t="str">
        <f t="shared" si="13"/>
        <v/>
      </c>
      <c r="Y98" s="11" t="str">
        <f t="shared" si="13"/>
        <v/>
      </c>
      <c r="Z98" s="11" t="str">
        <f t="shared" si="13"/>
        <v/>
      </c>
      <c r="AA98" s="11" t="str">
        <f t="shared" si="13"/>
        <v/>
      </c>
      <c r="AB98" s="11" t="str">
        <f t="shared" si="13"/>
        <v/>
      </c>
      <c r="AC98" s="11">
        <f t="shared" si="13"/>
        <v>1</v>
      </c>
      <c r="AD98" s="11">
        <f t="shared" si="13"/>
        <v>1</v>
      </c>
      <c r="AE98" s="12" t="s">
        <v>1059</v>
      </c>
    </row>
    <row r="99" spans="1:31" ht="18" customHeight="1" thickTop="1" thickBot="1" x14ac:dyDescent="0.3">
      <c r="A99" s="4" t="s">
        <v>63</v>
      </c>
      <c r="B99" s="4" t="s">
        <v>950</v>
      </c>
      <c r="C99" s="5" t="s">
        <v>255</v>
      </c>
      <c r="D99" s="5" t="s">
        <v>26</v>
      </c>
      <c r="E99" s="5" t="s">
        <v>71</v>
      </c>
      <c r="F99" s="5" t="s">
        <v>259</v>
      </c>
      <c r="G99" s="5" t="s">
        <v>16</v>
      </c>
      <c r="H99" s="6" t="s">
        <v>260</v>
      </c>
      <c r="I99" s="7" t="s">
        <v>387</v>
      </c>
      <c r="J99" s="8">
        <v>1.75</v>
      </c>
      <c r="K99" s="8">
        <v>1</v>
      </c>
      <c r="L99" s="8">
        <v>4.2753338570306356</v>
      </c>
      <c r="M99" s="5"/>
      <c r="N99" s="8">
        <v>4.2753338570306356</v>
      </c>
      <c r="O99" s="9">
        <v>4.2753338570306365</v>
      </c>
      <c r="P99" s="10" t="s">
        <v>31</v>
      </c>
      <c r="Q99" s="10">
        <f t="shared" si="7"/>
        <v>0</v>
      </c>
      <c r="R99" s="10">
        <f t="shared" si="8"/>
        <v>0</v>
      </c>
      <c r="S99" s="10">
        <f t="shared" si="9"/>
        <v>1</v>
      </c>
      <c r="T99" s="10">
        <f t="shared" si="10"/>
        <v>0</v>
      </c>
      <c r="U99" s="11" t="str">
        <f t="shared" si="12"/>
        <v/>
      </c>
      <c r="V99" s="11" t="str">
        <f t="shared" si="13"/>
        <v/>
      </c>
      <c r="W99" s="11" t="str">
        <f t="shared" si="13"/>
        <v/>
      </c>
      <c r="X99" s="11" t="str">
        <f t="shared" si="13"/>
        <v/>
      </c>
      <c r="Y99" s="11" t="str">
        <f t="shared" si="13"/>
        <v/>
      </c>
      <c r="Z99" s="11" t="str">
        <f t="shared" si="13"/>
        <v/>
      </c>
      <c r="AA99" s="11" t="str">
        <f t="shared" si="13"/>
        <v/>
      </c>
      <c r="AB99" s="11" t="str">
        <f t="shared" si="13"/>
        <v/>
      </c>
      <c r="AC99" s="11">
        <f t="shared" si="13"/>
        <v>1</v>
      </c>
      <c r="AD99" s="11">
        <f t="shared" si="13"/>
        <v>1</v>
      </c>
      <c r="AE99" s="12" t="s">
        <v>1059</v>
      </c>
    </row>
    <row r="100" spans="1:31" ht="18" customHeight="1" thickTop="1" thickBot="1" x14ac:dyDescent="0.3">
      <c r="A100" s="4" t="s">
        <v>63</v>
      </c>
      <c r="B100" s="4" t="s">
        <v>950</v>
      </c>
      <c r="C100" s="5" t="s">
        <v>255</v>
      </c>
      <c r="D100" s="5" t="s">
        <v>42</v>
      </c>
      <c r="E100" s="5" t="s">
        <v>36</v>
      </c>
      <c r="F100" s="5" t="s">
        <v>261</v>
      </c>
      <c r="G100" s="5" t="s">
        <v>16</v>
      </c>
      <c r="H100" s="6" t="s">
        <v>175</v>
      </c>
      <c r="I100" s="7" t="s">
        <v>213</v>
      </c>
      <c r="J100" s="8" t="s">
        <v>27</v>
      </c>
      <c r="K100" s="8">
        <v>1</v>
      </c>
      <c r="L100" s="8">
        <v>2.6570644718792868</v>
      </c>
      <c r="M100" s="5"/>
      <c r="N100" s="8">
        <v>2.6570644718792868</v>
      </c>
      <c r="O100" s="9">
        <v>2.6570644718792868</v>
      </c>
      <c r="P100" s="10" t="s">
        <v>31</v>
      </c>
      <c r="Q100" s="10">
        <f t="shared" si="7"/>
        <v>0</v>
      </c>
      <c r="R100" s="10">
        <f t="shared" si="8"/>
        <v>0</v>
      </c>
      <c r="S100" s="10">
        <f t="shared" si="9"/>
        <v>1</v>
      </c>
      <c r="T100" s="10">
        <f t="shared" si="10"/>
        <v>0</v>
      </c>
      <c r="U100" s="11" t="str">
        <f t="shared" si="12"/>
        <v/>
      </c>
      <c r="V100" s="11" t="str">
        <f t="shared" si="13"/>
        <v/>
      </c>
      <c r="W100" s="11" t="str">
        <f t="shared" si="13"/>
        <v/>
      </c>
      <c r="X100" s="11" t="str">
        <f t="shared" si="13"/>
        <v/>
      </c>
      <c r="Y100" s="11" t="str">
        <f t="shared" si="13"/>
        <v/>
      </c>
      <c r="Z100" s="11" t="str">
        <f t="shared" si="13"/>
        <v/>
      </c>
      <c r="AA100" s="11" t="str">
        <f t="shared" si="13"/>
        <v/>
      </c>
      <c r="AB100" s="11" t="str">
        <f t="shared" si="13"/>
        <v/>
      </c>
      <c r="AC100" s="11">
        <f t="shared" si="13"/>
        <v>1</v>
      </c>
      <c r="AD100" s="11">
        <f t="shared" si="13"/>
        <v>1</v>
      </c>
      <c r="AE100" s="12" t="s">
        <v>1059</v>
      </c>
    </row>
    <row r="101" spans="1:31" ht="18" customHeight="1" thickTop="1" thickBot="1" x14ac:dyDescent="0.3">
      <c r="A101" s="4" t="s">
        <v>63</v>
      </c>
      <c r="B101" s="4" t="s">
        <v>950</v>
      </c>
      <c r="C101" s="5" t="s">
        <v>255</v>
      </c>
      <c r="D101" s="5" t="s">
        <v>42</v>
      </c>
      <c r="E101" s="5" t="s">
        <v>40</v>
      </c>
      <c r="F101" s="5" t="s">
        <v>262</v>
      </c>
      <c r="G101" s="5" t="s">
        <v>16</v>
      </c>
      <c r="H101" s="6" t="s">
        <v>175</v>
      </c>
      <c r="I101" s="7" t="s">
        <v>213</v>
      </c>
      <c r="J101" s="8" t="s">
        <v>27</v>
      </c>
      <c r="K101" s="8">
        <v>1</v>
      </c>
      <c r="L101" s="8">
        <v>3.950755456071628</v>
      </c>
      <c r="M101" s="5"/>
      <c r="N101" s="8">
        <v>3.950755456071628</v>
      </c>
      <c r="O101" s="9">
        <v>3.950755456071628</v>
      </c>
      <c r="P101" s="10" t="s">
        <v>31</v>
      </c>
      <c r="Q101" s="10">
        <f t="shared" si="7"/>
        <v>0</v>
      </c>
      <c r="R101" s="10">
        <f t="shared" si="8"/>
        <v>0</v>
      </c>
      <c r="S101" s="10">
        <f t="shared" si="9"/>
        <v>1</v>
      </c>
      <c r="T101" s="10">
        <f t="shared" si="10"/>
        <v>0</v>
      </c>
      <c r="U101" s="11" t="str">
        <f t="shared" si="12"/>
        <v/>
      </c>
      <c r="V101" s="11" t="str">
        <f t="shared" si="13"/>
        <v/>
      </c>
      <c r="W101" s="11" t="str">
        <f t="shared" si="13"/>
        <v/>
      </c>
      <c r="X101" s="11" t="str">
        <f t="shared" si="13"/>
        <v/>
      </c>
      <c r="Y101" s="11" t="str">
        <f t="shared" si="13"/>
        <v/>
      </c>
      <c r="Z101" s="11" t="str">
        <f t="shared" si="13"/>
        <v/>
      </c>
      <c r="AA101" s="11" t="str">
        <f t="shared" si="13"/>
        <v/>
      </c>
      <c r="AB101" s="11" t="str">
        <f t="shared" si="13"/>
        <v/>
      </c>
      <c r="AC101" s="11">
        <f t="shared" si="13"/>
        <v>1</v>
      </c>
      <c r="AD101" s="11">
        <f t="shared" si="13"/>
        <v>1</v>
      </c>
      <c r="AE101" s="12" t="s">
        <v>1059</v>
      </c>
    </row>
    <row r="102" spans="1:31" ht="18" customHeight="1" thickTop="1" thickBot="1" x14ac:dyDescent="0.3">
      <c r="A102" s="4" t="s">
        <v>53</v>
      </c>
      <c r="B102" s="4" t="s">
        <v>945</v>
      </c>
      <c r="C102" s="5" t="s">
        <v>263</v>
      </c>
      <c r="D102" s="5" t="s">
        <v>26</v>
      </c>
      <c r="E102" s="5" t="s">
        <v>27</v>
      </c>
      <c r="F102" s="5" t="s">
        <v>264</v>
      </c>
      <c r="G102" s="5" t="s">
        <v>16</v>
      </c>
      <c r="H102" s="6" t="s">
        <v>265</v>
      </c>
      <c r="I102" s="7" t="s">
        <v>364</v>
      </c>
      <c r="J102" s="8">
        <v>2.1944444444444446</v>
      </c>
      <c r="K102" s="8">
        <v>0.62244897959183676</v>
      </c>
      <c r="L102" s="8">
        <v>1.0123357468490213</v>
      </c>
      <c r="M102" s="5"/>
      <c r="N102" s="8">
        <v>1.0123357468490213</v>
      </c>
      <c r="O102" s="9">
        <v>1.6263754621508864</v>
      </c>
      <c r="P102" s="10" t="s">
        <v>31</v>
      </c>
      <c r="Q102" s="10">
        <f t="shared" si="7"/>
        <v>0</v>
      </c>
      <c r="R102" s="10">
        <f t="shared" si="8"/>
        <v>0</v>
      </c>
      <c r="S102" s="10">
        <f t="shared" si="9"/>
        <v>1</v>
      </c>
      <c r="T102" s="10">
        <f t="shared" si="10"/>
        <v>0</v>
      </c>
      <c r="U102" s="11">
        <f t="shared" si="12"/>
        <v>1</v>
      </c>
      <c r="V102" s="11" t="str">
        <f t="shared" si="13"/>
        <v/>
      </c>
      <c r="W102" s="11" t="str">
        <f t="shared" si="13"/>
        <v/>
      </c>
      <c r="X102" s="11" t="str">
        <f t="shared" si="13"/>
        <v/>
      </c>
      <c r="Y102" s="11" t="str">
        <f t="shared" si="13"/>
        <v/>
      </c>
      <c r="Z102" s="11">
        <f t="shared" si="13"/>
        <v>1</v>
      </c>
      <c r="AA102" s="11" t="str">
        <f t="shared" si="13"/>
        <v/>
      </c>
      <c r="AB102" s="11" t="str">
        <f t="shared" si="13"/>
        <v/>
      </c>
      <c r="AC102" s="11" t="str">
        <f t="shared" si="13"/>
        <v/>
      </c>
      <c r="AD102" s="11" t="str">
        <f t="shared" si="13"/>
        <v/>
      </c>
      <c r="AE102" s="12" t="s">
        <v>1167</v>
      </c>
    </row>
    <row r="103" spans="1:31" ht="18" customHeight="1" thickTop="1" thickBot="1" x14ac:dyDescent="0.3">
      <c r="A103" s="4" t="s">
        <v>75</v>
      </c>
      <c r="B103" s="4" t="s">
        <v>948</v>
      </c>
      <c r="C103" s="5" t="s">
        <v>266</v>
      </c>
      <c r="D103" s="5" t="s">
        <v>26</v>
      </c>
      <c r="E103" s="5" t="s">
        <v>36</v>
      </c>
      <c r="F103" s="5" t="s">
        <v>267</v>
      </c>
      <c r="G103" s="5" t="s">
        <v>16</v>
      </c>
      <c r="H103" s="6" t="s">
        <v>210</v>
      </c>
      <c r="I103" s="7" t="s">
        <v>387</v>
      </c>
      <c r="J103" s="8" t="s">
        <v>27</v>
      </c>
      <c r="K103" s="8">
        <v>2.17625</v>
      </c>
      <c r="L103" s="8">
        <v>2.7154761904761902</v>
      </c>
      <c r="M103" s="5"/>
      <c r="N103" s="8">
        <v>2.7154761904761902</v>
      </c>
      <c r="O103" s="9">
        <v>1.2477776866059462</v>
      </c>
      <c r="P103" s="10" t="s">
        <v>31</v>
      </c>
      <c r="Q103" s="10">
        <f t="shared" si="7"/>
        <v>1</v>
      </c>
      <c r="R103" s="10">
        <f t="shared" si="8"/>
        <v>0</v>
      </c>
      <c r="S103" s="10">
        <f t="shared" si="9"/>
        <v>0</v>
      </c>
      <c r="T103" s="10">
        <f t="shared" si="10"/>
        <v>0</v>
      </c>
      <c r="U103" s="11">
        <f t="shared" si="12"/>
        <v>1</v>
      </c>
      <c r="V103" s="11" t="str">
        <f t="shared" si="13"/>
        <v/>
      </c>
      <c r="W103" s="11" t="str">
        <f t="shared" si="13"/>
        <v/>
      </c>
      <c r="X103" s="11">
        <f t="shared" si="13"/>
        <v>1</v>
      </c>
      <c r="Y103" s="11" t="str">
        <f t="shared" si="13"/>
        <v/>
      </c>
      <c r="Z103" s="11" t="str">
        <f t="shared" si="13"/>
        <v/>
      </c>
      <c r="AA103" s="11" t="str">
        <f t="shared" si="13"/>
        <v/>
      </c>
      <c r="AB103" s="11" t="str">
        <f t="shared" si="13"/>
        <v/>
      </c>
      <c r="AC103" s="11" t="str">
        <f t="shared" si="13"/>
        <v/>
      </c>
      <c r="AD103" s="11">
        <f t="shared" si="13"/>
        <v>1</v>
      </c>
      <c r="AE103" s="12" t="s">
        <v>1169</v>
      </c>
    </row>
    <row r="104" spans="1:31" ht="18" customHeight="1" thickTop="1" thickBot="1" x14ac:dyDescent="0.3">
      <c r="A104" s="4" t="s">
        <v>75</v>
      </c>
      <c r="B104" s="4" t="s">
        <v>948</v>
      </c>
      <c r="C104" s="5" t="s">
        <v>266</v>
      </c>
      <c r="D104" s="5" t="s">
        <v>26</v>
      </c>
      <c r="E104" s="5" t="s">
        <v>40</v>
      </c>
      <c r="F104" s="5" t="s">
        <v>268</v>
      </c>
      <c r="G104" s="5" t="s">
        <v>16</v>
      </c>
      <c r="H104" s="6" t="s">
        <v>210</v>
      </c>
      <c r="I104" s="7" t="s">
        <v>387</v>
      </c>
      <c r="J104" s="8" t="s">
        <v>27</v>
      </c>
      <c r="K104" s="8">
        <v>0.7</v>
      </c>
      <c r="L104" s="8">
        <v>0.76</v>
      </c>
      <c r="M104" s="5"/>
      <c r="N104" s="8">
        <v>0.76</v>
      </c>
      <c r="O104" s="9">
        <v>1.0857142857142856</v>
      </c>
      <c r="P104" s="10" t="s">
        <v>27</v>
      </c>
      <c r="Q104" s="10">
        <f t="shared" si="7"/>
        <v>0</v>
      </c>
      <c r="R104" s="10">
        <f t="shared" si="8"/>
        <v>0</v>
      </c>
      <c r="S104" s="10">
        <f t="shared" si="9"/>
        <v>0</v>
      </c>
      <c r="T104" s="10">
        <f t="shared" si="10"/>
        <v>0</v>
      </c>
      <c r="U104" s="11" t="str">
        <f t="shared" si="12"/>
        <v/>
      </c>
      <c r="V104" s="11" t="str">
        <f t="shared" si="13"/>
        <v/>
      </c>
      <c r="W104" s="11" t="str">
        <f t="shared" si="13"/>
        <v/>
      </c>
      <c r="X104" s="11" t="str">
        <f t="shared" si="13"/>
        <v/>
      </c>
      <c r="Y104" s="11" t="str">
        <f t="shared" si="13"/>
        <v/>
      </c>
      <c r="Z104" s="11" t="str">
        <f t="shared" si="13"/>
        <v/>
      </c>
      <c r="AA104" s="11" t="str">
        <f t="shared" si="13"/>
        <v/>
      </c>
      <c r="AB104" s="11" t="str">
        <f t="shared" si="13"/>
        <v/>
      </c>
      <c r="AC104" s="11" t="str">
        <f t="shared" si="13"/>
        <v/>
      </c>
      <c r="AD104" s="11" t="str">
        <f t="shared" si="13"/>
        <v/>
      </c>
      <c r="AE104" s="12" t="s">
        <v>27</v>
      </c>
    </row>
    <row r="105" spans="1:31" ht="18" customHeight="1" thickTop="1" thickBot="1" x14ac:dyDescent="0.3">
      <c r="A105" s="4" t="s">
        <v>75</v>
      </c>
      <c r="B105" s="4" t="s">
        <v>948</v>
      </c>
      <c r="C105" s="5" t="s">
        <v>266</v>
      </c>
      <c r="D105" s="5" t="s">
        <v>26</v>
      </c>
      <c r="E105" s="5" t="s">
        <v>69</v>
      </c>
      <c r="F105" s="5" t="s">
        <v>269</v>
      </c>
      <c r="G105" s="5" t="s">
        <v>16</v>
      </c>
      <c r="H105" s="6" t="s">
        <v>210</v>
      </c>
      <c r="I105" s="7" t="s">
        <v>44</v>
      </c>
      <c r="J105" s="8" t="s">
        <v>27</v>
      </c>
      <c r="K105" s="8">
        <v>1.3142857142857143</v>
      </c>
      <c r="L105" s="8">
        <v>2.0152091254752853</v>
      </c>
      <c r="M105" s="5"/>
      <c r="N105" s="8">
        <v>2.0152091254752853</v>
      </c>
      <c r="O105" s="9">
        <v>1.5333112911224998</v>
      </c>
      <c r="P105" s="10" t="s">
        <v>31</v>
      </c>
      <c r="Q105" s="10">
        <f t="shared" si="7"/>
        <v>0</v>
      </c>
      <c r="R105" s="10">
        <f t="shared" si="8"/>
        <v>0</v>
      </c>
      <c r="S105" s="10">
        <f t="shared" si="9"/>
        <v>1</v>
      </c>
      <c r="T105" s="10">
        <f t="shared" si="10"/>
        <v>0</v>
      </c>
      <c r="U105" s="11" t="str">
        <f t="shared" si="12"/>
        <v/>
      </c>
      <c r="V105" s="11">
        <f t="shared" si="13"/>
        <v>1</v>
      </c>
      <c r="W105" s="11" t="str">
        <f t="shared" si="13"/>
        <v/>
      </c>
      <c r="X105" s="11" t="str">
        <f t="shared" si="13"/>
        <v/>
      </c>
      <c r="Y105" s="11" t="str">
        <f t="shared" si="13"/>
        <v/>
      </c>
      <c r="Z105" s="11" t="str">
        <f t="shared" si="13"/>
        <v/>
      </c>
      <c r="AA105" s="11" t="str">
        <f t="shared" si="13"/>
        <v/>
      </c>
      <c r="AB105" s="11" t="str">
        <f t="shared" si="13"/>
        <v/>
      </c>
      <c r="AC105" s="11">
        <f t="shared" si="13"/>
        <v>1</v>
      </c>
      <c r="AD105" s="11" t="str">
        <f t="shared" si="13"/>
        <v/>
      </c>
      <c r="AE105" s="12" t="s">
        <v>1171</v>
      </c>
    </row>
    <row r="106" spans="1:31" ht="18" customHeight="1" thickTop="1" thickBot="1" x14ac:dyDescent="0.3">
      <c r="A106" s="4" t="s">
        <v>128</v>
      </c>
      <c r="B106" s="4" t="s">
        <v>946</v>
      </c>
      <c r="C106" s="5" t="s">
        <v>270</v>
      </c>
      <c r="D106" s="5" t="s">
        <v>26</v>
      </c>
      <c r="E106" s="5" t="s">
        <v>27</v>
      </c>
      <c r="F106" s="5" t="s">
        <v>271</v>
      </c>
      <c r="G106" s="5" t="s">
        <v>16</v>
      </c>
      <c r="H106" s="6" t="s">
        <v>191</v>
      </c>
      <c r="I106" s="7" t="s">
        <v>38</v>
      </c>
      <c r="J106" s="8" t="s">
        <v>27</v>
      </c>
      <c r="K106" s="8">
        <v>1.0111764705882353</v>
      </c>
      <c r="L106" s="8">
        <v>1.3514313919052319</v>
      </c>
      <c r="M106" s="5"/>
      <c r="N106" s="8">
        <v>1.3514313919052319</v>
      </c>
      <c r="O106" s="9">
        <v>1.3364941048510146</v>
      </c>
      <c r="P106" s="10" t="s">
        <v>27</v>
      </c>
      <c r="Q106" s="10">
        <f t="shared" si="7"/>
        <v>0</v>
      </c>
      <c r="R106" s="10">
        <f t="shared" si="8"/>
        <v>0</v>
      </c>
      <c r="S106" s="10">
        <f t="shared" si="9"/>
        <v>0</v>
      </c>
      <c r="T106" s="10">
        <f t="shared" si="10"/>
        <v>0</v>
      </c>
      <c r="U106" s="11" t="str">
        <f t="shared" si="12"/>
        <v/>
      </c>
      <c r="V106" s="11" t="str">
        <f t="shared" si="13"/>
        <v/>
      </c>
      <c r="W106" s="11" t="str">
        <f t="shared" si="13"/>
        <v/>
      </c>
      <c r="X106" s="11" t="str">
        <f t="shared" si="13"/>
        <v/>
      </c>
      <c r="Y106" s="11" t="str">
        <f t="shared" si="13"/>
        <v/>
      </c>
      <c r="Z106" s="11" t="str">
        <f t="shared" si="13"/>
        <v/>
      </c>
      <c r="AA106" s="11" t="str">
        <f t="shared" si="13"/>
        <v/>
      </c>
      <c r="AB106" s="11" t="str">
        <f t="shared" si="13"/>
        <v/>
      </c>
      <c r="AC106" s="11" t="str">
        <f t="shared" si="13"/>
        <v/>
      </c>
      <c r="AD106" s="11" t="str">
        <f t="shared" si="13"/>
        <v/>
      </c>
      <c r="AE106" s="12" t="s">
        <v>27</v>
      </c>
    </row>
    <row r="107" spans="1:31" ht="18" customHeight="1" thickTop="1" thickBot="1" x14ac:dyDescent="0.3">
      <c r="A107" s="4" t="s">
        <v>128</v>
      </c>
      <c r="B107" s="4" t="s">
        <v>946</v>
      </c>
      <c r="C107" s="5" t="s">
        <v>270</v>
      </c>
      <c r="D107" s="5" t="s">
        <v>42</v>
      </c>
      <c r="E107" s="5" t="s">
        <v>27</v>
      </c>
      <c r="F107" s="5" t="s">
        <v>272</v>
      </c>
      <c r="G107" s="5" t="s">
        <v>16</v>
      </c>
      <c r="H107" s="6" t="s">
        <v>191</v>
      </c>
      <c r="I107" s="7" t="s">
        <v>359</v>
      </c>
      <c r="J107" s="8" t="s">
        <v>27</v>
      </c>
      <c r="K107" s="8">
        <v>1.128125</v>
      </c>
      <c r="L107" s="8">
        <v>2.0714115118223075</v>
      </c>
      <c r="M107" s="5"/>
      <c r="N107" s="8">
        <v>2.0714115118223075</v>
      </c>
      <c r="O107" s="9">
        <v>1.8361542487067546</v>
      </c>
      <c r="P107" s="10" t="s">
        <v>31</v>
      </c>
      <c r="Q107" s="10">
        <f t="shared" si="7"/>
        <v>0</v>
      </c>
      <c r="R107" s="10">
        <f t="shared" si="8"/>
        <v>0</v>
      </c>
      <c r="S107" s="10">
        <f t="shared" si="9"/>
        <v>1</v>
      </c>
      <c r="T107" s="10">
        <f t="shared" si="10"/>
        <v>0</v>
      </c>
      <c r="U107" s="11">
        <f t="shared" si="12"/>
        <v>1</v>
      </c>
      <c r="V107" s="11" t="str">
        <f t="shared" si="13"/>
        <v/>
      </c>
      <c r="W107" s="11" t="str">
        <f t="shared" si="13"/>
        <v/>
      </c>
      <c r="X107" s="11" t="str">
        <f t="shared" si="13"/>
        <v/>
      </c>
      <c r="Y107" s="11" t="str">
        <f t="shared" si="13"/>
        <v/>
      </c>
      <c r="Z107" s="11" t="str">
        <f t="shared" si="13"/>
        <v/>
      </c>
      <c r="AA107" s="11" t="str">
        <f t="shared" si="13"/>
        <v/>
      </c>
      <c r="AB107" s="11" t="str">
        <f t="shared" si="13"/>
        <v/>
      </c>
      <c r="AC107" s="11" t="str">
        <f t="shared" si="13"/>
        <v/>
      </c>
      <c r="AD107" s="11">
        <f t="shared" si="13"/>
        <v>1</v>
      </c>
      <c r="AE107" s="12" t="s">
        <v>1074</v>
      </c>
    </row>
    <row r="108" spans="1:31" ht="18" customHeight="1" thickTop="1" thickBot="1" x14ac:dyDescent="0.3">
      <c r="A108" s="4" t="s">
        <v>128</v>
      </c>
      <c r="B108" s="4" t="s">
        <v>946</v>
      </c>
      <c r="C108" s="5" t="s">
        <v>270</v>
      </c>
      <c r="D108" s="5" t="s">
        <v>60</v>
      </c>
      <c r="E108" s="5" t="s">
        <v>27</v>
      </c>
      <c r="F108" s="5" t="s">
        <v>273</v>
      </c>
      <c r="G108" s="5" t="s">
        <v>16</v>
      </c>
      <c r="H108" s="6" t="s">
        <v>191</v>
      </c>
      <c r="I108" s="7" t="s">
        <v>44</v>
      </c>
      <c r="J108" s="8" t="s">
        <v>27</v>
      </c>
      <c r="K108" s="8">
        <v>1.2903225806451613</v>
      </c>
      <c r="L108" s="8">
        <v>1.6047120418848169</v>
      </c>
      <c r="M108" s="5"/>
      <c r="N108" s="8">
        <v>1.6047120418848169</v>
      </c>
      <c r="O108" s="9">
        <v>1.2436518324607331</v>
      </c>
      <c r="P108" s="10" t="s">
        <v>27</v>
      </c>
      <c r="Q108" s="10">
        <f t="shared" si="7"/>
        <v>0</v>
      </c>
      <c r="R108" s="10">
        <f t="shared" si="8"/>
        <v>0</v>
      </c>
      <c r="S108" s="10">
        <f t="shared" si="9"/>
        <v>0</v>
      </c>
      <c r="T108" s="10">
        <f t="shared" si="10"/>
        <v>0</v>
      </c>
      <c r="U108" s="11" t="str">
        <f t="shared" si="12"/>
        <v/>
      </c>
      <c r="V108" s="11" t="str">
        <f t="shared" si="13"/>
        <v/>
      </c>
      <c r="W108" s="11" t="str">
        <f t="shared" si="13"/>
        <v/>
      </c>
      <c r="X108" s="11" t="str">
        <f t="shared" si="13"/>
        <v/>
      </c>
      <c r="Y108" s="11" t="str">
        <f t="shared" si="13"/>
        <v/>
      </c>
      <c r="Z108" s="11" t="str">
        <f t="shared" si="13"/>
        <v/>
      </c>
      <c r="AA108" s="11" t="str">
        <f t="shared" si="13"/>
        <v/>
      </c>
      <c r="AB108" s="11" t="str">
        <f t="shared" si="13"/>
        <v/>
      </c>
      <c r="AC108" s="11" t="str">
        <f t="shared" si="13"/>
        <v/>
      </c>
      <c r="AD108" s="11" t="str">
        <f t="shared" si="13"/>
        <v/>
      </c>
      <c r="AE108" s="12" t="s">
        <v>27</v>
      </c>
    </row>
    <row r="109" spans="1:31" ht="18" customHeight="1" thickTop="1" thickBot="1" x14ac:dyDescent="0.3">
      <c r="A109" s="4" t="s">
        <v>274</v>
      </c>
      <c r="B109" s="4" t="s">
        <v>948</v>
      </c>
      <c r="C109" s="5" t="s">
        <v>275</v>
      </c>
      <c r="D109" s="5" t="s">
        <v>26</v>
      </c>
      <c r="E109" s="5" t="s">
        <v>27</v>
      </c>
      <c r="F109" s="5" t="s">
        <v>276</v>
      </c>
      <c r="G109" s="5" t="s">
        <v>16</v>
      </c>
      <c r="H109" s="6" t="s">
        <v>277</v>
      </c>
      <c r="I109" s="7" t="s">
        <v>387</v>
      </c>
      <c r="J109" s="8" t="s">
        <v>27</v>
      </c>
      <c r="K109" s="8">
        <v>0.24724409448818899</v>
      </c>
      <c r="L109" s="8">
        <v>1.3017928286852591</v>
      </c>
      <c r="M109" s="5"/>
      <c r="N109" s="8">
        <v>1.3017928286852591</v>
      </c>
      <c r="O109" s="9">
        <v>5.2652130332174494</v>
      </c>
      <c r="P109" s="10" t="s">
        <v>31</v>
      </c>
      <c r="Q109" s="10">
        <f t="shared" si="7"/>
        <v>0</v>
      </c>
      <c r="R109" s="10">
        <f t="shared" si="8"/>
        <v>1</v>
      </c>
      <c r="S109" s="10">
        <f t="shared" si="9"/>
        <v>1</v>
      </c>
      <c r="T109" s="10">
        <f t="shared" si="10"/>
        <v>0</v>
      </c>
      <c r="U109" s="11">
        <f t="shared" si="12"/>
        <v>1</v>
      </c>
      <c r="V109" s="11" t="str">
        <f t="shared" si="13"/>
        <v/>
      </c>
      <c r="W109" s="11" t="str">
        <f t="shared" si="13"/>
        <v/>
      </c>
      <c r="X109" s="11" t="str">
        <f t="shared" si="13"/>
        <v/>
      </c>
      <c r="Y109" s="11" t="str">
        <f t="shared" si="13"/>
        <v/>
      </c>
      <c r="Z109" s="11" t="str">
        <f t="shared" si="13"/>
        <v/>
      </c>
      <c r="AA109" s="11" t="str">
        <f t="shared" si="13"/>
        <v/>
      </c>
      <c r="AB109" s="11" t="str">
        <f t="shared" si="13"/>
        <v/>
      </c>
      <c r="AC109" s="11">
        <f t="shared" si="13"/>
        <v>1</v>
      </c>
      <c r="AD109" s="11" t="str">
        <f t="shared" si="13"/>
        <v/>
      </c>
      <c r="AE109" s="12" t="s">
        <v>986</v>
      </c>
    </row>
    <row r="110" spans="1:31" ht="18" customHeight="1" thickTop="1" thickBot="1" x14ac:dyDescent="0.3">
      <c r="A110" s="4" t="s">
        <v>274</v>
      </c>
      <c r="B110" s="4" t="s">
        <v>948</v>
      </c>
      <c r="C110" s="5" t="s">
        <v>275</v>
      </c>
      <c r="D110" s="5" t="s">
        <v>42</v>
      </c>
      <c r="E110" s="5" t="s">
        <v>27</v>
      </c>
      <c r="F110" s="5" t="s">
        <v>278</v>
      </c>
      <c r="G110" s="5" t="s">
        <v>16</v>
      </c>
      <c r="H110" s="6" t="s">
        <v>277</v>
      </c>
      <c r="I110" s="7" t="s">
        <v>56</v>
      </c>
      <c r="J110" s="8" t="s">
        <v>27</v>
      </c>
      <c r="K110" s="8">
        <v>0.99516129032258061</v>
      </c>
      <c r="L110" s="8">
        <v>2.1242556217225133</v>
      </c>
      <c r="M110" s="5"/>
      <c r="N110" s="8">
        <v>2.1242556217225133</v>
      </c>
      <c r="O110" s="9">
        <v>2.1345842552154917</v>
      </c>
      <c r="P110" s="10" t="s">
        <v>31</v>
      </c>
      <c r="Q110" s="10">
        <f t="shared" si="7"/>
        <v>0</v>
      </c>
      <c r="R110" s="10">
        <f t="shared" si="8"/>
        <v>0</v>
      </c>
      <c r="S110" s="10">
        <f t="shared" si="9"/>
        <v>1</v>
      </c>
      <c r="T110" s="10">
        <f t="shared" si="10"/>
        <v>0</v>
      </c>
      <c r="U110" s="11">
        <f t="shared" si="12"/>
        <v>1</v>
      </c>
      <c r="V110" s="11" t="str">
        <f t="shared" si="13"/>
        <v/>
      </c>
      <c r="W110" s="11" t="str">
        <f t="shared" si="13"/>
        <v/>
      </c>
      <c r="X110" s="11" t="str">
        <f t="shared" si="13"/>
        <v/>
      </c>
      <c r="Y110" s="11" t="str">
        <f t="shared" si="13"/>
        <v/>
      </c>
      <c r="Z110" s="11" t="str">
        <f t="shared" si="13"/>
        <v/>
      </c>
      <c r="AA110" s="11" t="str">
        <f t="shared" si="13"/>
        <v/>
      </c>
      <c r="AB110" s="11" t="str">
        <f t="shared" si="13"/>
        <v/>
      </c>
      <c r="AC110" s="11">
        <f t="shared" si="13"/>
        <v>1</v>
      </c>
      <c r="AD110" s="11">
        <f t="shared" si="13"/>
        <v>1</v>
      </c>
      <c r="AE110" s="12" t="s">
        <v>1175</v>
      </c>
    </row>
    <row r="111" spans="1:31" ht="18" customHeight="1" thickTop="1" thickBot="1" x14ac:dyDescent="0.3">
      <c r="A111" s="4" t="s">
        <v>220</v>
      </c>
      <c r="B111" s="4" t="s">
        <v>950</v>
      </c>
      <c r="C111" s="5" t="s">
        <v>279</v>
      </c>
      <c r="D111" s="5" t="s">
        <v>26</v>
      </c>
      <c r="E111" s="5" t="s">
        <v>27</v>
      </c>
      <c r="F111" s="5" t="s">
        <v>280</v>
      </c>
      <c r="G111" s="5" t="s">
        <v>16</v>
      </c>
      <c r="H111" s="6" t="s">
        <v>281</v>
      </c>
      <c r="I111" s="7" t="s">
        <v>122</v>
      </c>
      <c r="J111" s="8" t="s">
        <v>27</v>
      </c>
      <c r="K111" s="8">
        <v>1.155813953488372</v>
      </c>
      <c r="L111" s="8">
        <v>0.94777777777777772</v>
      </c>
      <c r="M111" s="5"/>
      <c r="N111" s="8">
        <v>0.94777777777777772</v>
      </c>
      <c r="O111" s="9">
        <v>0.8200089425441538</v>
      </c>
      <c r="P111" s="10" t="s">
        <v>27</v>
      </c>
      <c r="Q111" s="10">
        <f t="shared" si="7"/>
        <v>0</v>
      </c>
      <c r="R111" s="10">
        <f t="shared" si="8"/>
        <v>0</v>
      </c>
      <c r="S111" s="10">
        <f t="shared" si="9"/>
        <v>0</v>
      </c>
      <c r="T111" s="10">
        <f t="shared" si="10"/>
        <v>0</v>
      </c>
      <c r="U111" s="11" t="str">
        <f t="shared" si="12"/>
        <v/>
      </c>
      <c r="V111" s="11" t="str">
        <f t="shared" si="13"/>
        <v/>
      </c>
      <c r="W111" s="11" t="str">
        <f t="shared" si="13"/>
        <v/>
      </c>
      <c r="X111" s="11" t="str">
        <f t="shared" si="13"/>
        <v/>
      </c>
      <c r="Y111" s="11" t="str">
        <f t="shared" si="13"/>
        <v/>
      </c>
      <c r="Z111" s="11" t="str">
        <f t="shared" si="13"/>
        <v/>
      </c>
      <c r="AA111" s="11" t="str">
        <f t="shared" si="13"/>
        <v/>
      </c>
      <c r="AB111" s="11" t="str">
        <f t="shared" si="13"/>
        <v/>
      </c>
      <c r="AC111" s="11" t="str">
        <f t="shared" si="13"/>
        <v/>
      </c>
      <c r="AD111" s="11" t="str">
        <f t="shared" si="13"/>
        <v/>
      </c>
      <c r="AE111" s="12" t="s">
        <v>27</v>
      </c>
    </row>
    <row r="112" spans="1:31" ht="18" customHeight="1" thickTop="1" thickBot="1" x14ac:dyDescent="0.3">
      <c r="A112" s="4" t="s">
        <v>81</v>
      </c>
      <c r="B112" s="4" t="s">
        <v>945</v>
      </c>
      <c r="C112" s="5" t="s">
        <v>282</v>
      </c>
      <c r="D112" s="5" t="s">
        <v>26</v>
      </c>
      <c r="E112" s="5" t="s">
        <v>27</v>
      </c>
      <c r="F112" s="5" t="s">
        <v>283</v>
      </c>
      <c r="G112" s="5" t="s">
        <v>16</v>
      </c>
      <c r="H112" s="6" t="s">
        <v>191</v>
      </c>
      <c r="I112" s="7" t="s">
        <v>111</v>
      </c>
      <c r="J112" s="8" t="s">
        <v>27</v>
      </c>
      <c r="K112" s="8">
        <v>1</v>
      </c>
      <c r="L112" s="8">
        <v>1.5870193224865778</v>
      </c>
      <c r="M112" s="5"/>
      <c r="N112" s="8">
        <v>1.5870193224865778</v>
      </c>
      <c r="O112" s="9">
        <v>1.5870193224865778</v>
      </c>
      <c r="P112" s="10" t="s">
        <v>31</v>
      </c>
      <c r="Q112" s="10">
        <f t="shared" si="7"/>
        <v>0</v>
      </c>
      <c r="R112" s="10">
        <f t="shared" si="8"/>
        <v>0</v>
      </c>
      <c r="S112" s="10">
        <f t="shared" si="9"/>
        <v>1</v>
      </c>
      <c r="T112" s="10">
        <f t="shared" si="10"/>
        <v>0</v>
      </c>
      <c r="U112" s="11" t="str">
        <f t="shared" si="12"/>
        <v/>
      </c>
      <c r="V112" s="11">
        <f t="shared" si="13"/>
        <v>1</v>
      </c>
      <c r="W112" s="11">
        <f t="shared" si="13"/>
        <v>1</v>
      </c>
      <c r="X112" s="11" t="str">
        <f t="shared" si="13"/>
        <v/>
      </c>
      <c r="Y112" s="11" t="str">
        <f t="shared" si="13"/>
        <v/>
      </c>
      <c r="Z112" s="11" t="str">
        <f t="shared" si="13"/>
        <v/>
      </c>
      <c r="AA112" s="11" t="str">
        <f t="shared" si="13"/>
        <v/>
      </c>
      <c r="AB112" s="11" t="str">
        <f t="shared" si="13"/>
        <v/>
      </c>
      <c r="AC112" s="11" t="str">
        <f t="shared" si="13"/>
        <v/>
      </c>
      <c r="AD112" s="11" t="str">
        <f t="shared" si="13"/>
        <v/>
      </c>
      <c r="AE112" s="12" t="s">
        <v>1177</v>
      </c>
    </row>
    <row r="113" spans="1:31" ht="18" customHeight="1" thickTop="1" thickBot="1" x14ac:dyDescent="0.3">
      <c r="A113" s="4" t="s">
        <v>81</v>
      </c>
      <c r="B113" s="4" t="s">
        <v>945</v>
      </c>
      <c r="C113" s="5" t="s">
        <v>282</v>
      </c>
      <c r="D113" s="5" t="s">
        <v>42</v>
      </c>
      <c r="E113" s="5" t="s">
        <v>27</v>
      </c>
      <c r="F113" s="5" t="s">
        <v>284</v>
      </c>
      <c r="G113" s="5" t="s">
        <v>16</v>
      </c>
      <c r="H113" s="6" t="s">
        <v>191</v>
      </c>
      <c r="I113" s="7" t="s">
        <v>38</v>
      </c>
      <c r="J113" s="8" t="s">
        <v>27</v>
      </c>
      <c r="K113" s="8">
        <v>2.4368557036728293</v>
      </c>
      <c r="L113" s="8">
        <v>2.6955416794291316</v>
      </c>
      <c r="M113" s="5"/>
      <c r="N113" s="8">
        <v>3.5514092503117034</v>
      </c>
      <c r="O113" s="9">
        <v>1.4573736331449656</v>
      </c>
      <c r="P113" s="10" t="s">
        <v>31</v>
      </c>
      <c r="Q113" s="10">
        <f t="shared" si="7"/>
        <v>1</v>
      </c>
      <c r="R113" s="10">
        <f t="shared" si="8"/>
        <v>0</v>
      </c>
      <c r="S113" s="10">
        <f t="shared" si="9"/>
        <v>0</v>
      </c>
      <c r="T113" s="10">
        <f t="shared" si="10"/>
        <v>0</v>
      </c>
      <c r="U113" s="11" t="str">
        <f t="shared" si="12"/>
        <v/>
      </c>
      <c r="V113" s="11" t="str">
        <f t="shared" si="13"/>
        <v/>
      </c>
      <c r="W113" s="11" t="str">
        <f t="shared" si="13"/>
        <v/>
      </c>
      <c r="X113" s="11" t="str">
        <f t="shared" si="13"/>
        <v/>
      </c>
      <c r="Y113" s="11" t="str">
        <f t="shared" si="13"/>
        <v/>
      </c>
      <c r="Z113" s="11" t="str">
        <f t="shared" si="13"/>
        <v/>
      </c>
      <c r="AA113" s="11" t="str">
        <f t="shared" si="13"/>
        <v/>
      </c>
      <c r="AB113" s="11" t="str">
        <f t="shared" si="13"/>
        <v/>
      </c>
      <c r="AC113" s="11" t="str">
        <f t="shared" si="13"/>
        <v/>
      </c>
      <c r="AD113" s="11" t="str">
        <f t="shared" si="13"/>
        <v/>
      </c>
      <c r="AE113" s="12" t="s">
        <v>1179</v>
      </c>
    </row>
    <row r="114" spans="1:31" ht="18" customHeight="1" thickTop="1" thickBot="1" x14ac:dyDescent="0.3">
      <c r="A114" s="4" t="s">
        <v>81</v>
      </c>
      <c r="B114" s="4" t="s">
        <v>945</v>
      </c>
      <c r="C114" s="5" t="s">
        <v>282</v>
      </c>
      <c r="D114" s="5" t="s">
        <v>42</v>
      </c>
      <c r="E114" s="5" t="s">
        <v>36</v>
      </c>
      <c r="F114" s="5" t="s">
        <v>285</v>
      </c>
      <c r="G114" s="5" t="s">
        <v>16</v>
      </c>
      <c r="H114" s="6" t="s">
        <v>191</v>
      </c>
      <c r="I114" s="7" t="s">
        <v>38</v>
      </c>
      <c r="J114" s="8" t="s">
        <v>27</v>
      </c>
      <c r="K114" s="8">
        <v>3.5906546256946719</v>
      </c>
      <c r="L114" s="8">
        <v>5.2831890097011529</v>
      </c>
      <c r="M114" s="5"/>
      <c r="N114" s="8">
        <v>6.9606663712101939</v>
      </c>
      <c r="O114" s="9">
        <v>1.938550792771816</v>
      </c>
      <c r="P114" s="10" t="s">
        <v>31</v>
      </c>
      <c r="Q114" s="10">
        <f t="shared" si="7"/>
        <v>1</v>
      </c>
      <c r="R114" s="10">
        <f t="shared" si="8"/>
        <v>0</v>
      </c>
      <c r="S114" s="10">
        <f t="shared" si="9"/>
        <v>1</v>
      </c>
      <c r="T114" s="10">
        <f t="shared" si="10"/>
        <v>0</v>
      </c>
      <c r="U114" s="11" t="str">
        <f t="shared" si="12"/>
        <v/>
      </c>
      <c r="V114" s="11" t="str">
        <f t="shared" si="13"/>
        <v/>
      </c>
      <c r="W114" s="11" t="str">
        <f t="shared" si="13"/>
        <v/>
      </c>
      <c r="X114" s="11" t="str">
        <f t="shared" si="13"/>
        <v/>
      </c>
      <c r="Y114" s="11" t="str">
        <f t="shared" si="13"/>
        <v/>
      </c>
      <c r="Z114" s="11" t="str">
        <f t="shared" si="13"/>
        <v/>
      </c>
      <c r="AA114" s="11" t="str">
        <f t="shared" si="13"/>
        <v/>
      </c>
      <c r="AB114" s="11" t="str">
        <f t="shared" si="13"/>
        <v/>
      </c>
      <c r="AC114" s="11" t="str">
        <f t="shared" si="13"/>
        <v/>
      </c>
      <c r="AD114" s="11">
        <f t="shared" si="13"/>
        <v>1</v>
      </c>
      <c r="AE114" s="12" t="s">
        <v>988</v>
      </c>
    </row>
    <row r="115" spans="1:31" ht="18" customHeight="1" thickTop="1" thickBot="1" x14ac:dyDescent="0.3">
      <c r="A115" s="4" t="s">
        <v>81</v>
      </c>
      <c r="B115" s="4" t="s">
        <v>945</v>
      </c>
      <c r="C115" s="5" t="s">
        <v>282</v>
      </c>
      <c r="D115" s="5" t="s">
        <v>42</v>
      </c>
      <c r="E115" s="5" t="s">
        <v>40</v>
      </c>
      <c r="F115" s="5" t="s">
        <v>286</v>
      </c>
      <c r="G115" s="5" t="s">
        <v>16</v>
      </c>
      <c r="H115" s="6" t="s">
        <v>191</v>
      </c>
      <c r="I115" s="7" t="s">
        <v>38</v>
      </c>
      <c r="J115" s="8" t="s">
        <v>27</v>
      </c>
      <c r="K115" s="8">
        <v>2.1986594937825203</v>
      </c>
      <c r="L115" s="8">
        <v>2.0245805458618427</v>
      </c>
      <c r="M115" s="5"/>
      <c r="N115" s="8">
        <v>2.6674097208163392</v>
      </c>
      <c r="O115" s="9">
        <v>1.2131981911520973</v>
      </c>
      <c r="P115" s="10" t="s">
        <v>31</v>
      </c>
      <c r="Q115" s="10">
        <f t="shared" si="7"/>
        <v>1</v>
      </c>
      <c r="R115" s="10">
        <f t="shared" si="8"/>
        <v>0</v>
      </c>
      <c r="S115" s="10">
        <f t="shared" si="9"/>
        <v>0</v>
      </c>
      <c r="T115" s="10">
        <f t="shared" si="10"/>
        <v>0</v>
      </c>
      <c r="U115" s="11" t="str">
        <f t="shared" si="12"/>
        <v/>
      </c>
      <c r="V115" s="11" t="str">
        <f t="shared" si="13"/>
        <v/>
      </c>
      <c r="W115" s="11" t="str">
        <f t="shared" si="13"/>
        <v/>
      </c>
      <c r="X115" s="11" t="str">
        <f t="shared" si="13"/>
        <v/>
      </c>
      <c r="Y115" s="11" t="str">
        <f t="shared" si="13"/>
        <v/>
      </c>
      <c r="Z115" s="11" t="str">
        <f t="shared" si="13"/>
        <v/>
      </c>
      <c r="AA115" s="11" t="str">
        <f t="shared" si="13"/>
        <v/>
      </c>
      <c r="AB115" s="11" t="str">
        <f t="shared" si="13"/>
        <v/>
      </c>
      <c r="AC115" s="11" t="str">
        <f t="shared" si="13"/>
        <v/>
      </c>
      <c r="AD115" s="11" t="str">
        <f t="shared" si="13"/>
        <v/>
      </c>
      <c r="AE115" s="12" t="s">
        <v>1179</v>
      </c>
    </row>
    <row r="116" spans="1:31" ht="18" customHeight="1" thickTop="1" thickBot="1" x14ac:dyDescent="0.3">
      <c r="A116" s="4" t="s">
        <v>81</v>
      </c>
      <c r="B116" s="4" t="s">
        <v>945</v>
      </c>
      <c r="C116" s="5" t="s">
        <v>282</v>
      </c>
      <c r="D116" s="5" t="s">
        <v>42</v>
      </c>
      <c r="E116" s="5" t="s">
        <v>69</v>
      </c>
      <c r="F116" s="5" t="s">
        <v>287</v>
      </c>
      <c r="G116" s="5" t="s">
        <v>16</v>
      </c>
      <c r="H116" s="6" t="s">
        <v>191</v>
      </c>
      <c r="I116" s="7" t="s">
        <v>38</v>
      </c>
      <c r="J116" s="8" t="s">
        <v>27</v>
      </c>
      <c r="K116" s="8">
        <v>1.6798525210734438</v>
      </c>
      <c r="L116" s="8">
        <v>1.7897825567502987</v>
      </c>
      <c r="M116" s="5"/>
      <c r="N116" s="8">
        <v>2.3580604880261715</v>
      </c>
      <c r="O116" s="9">
        <v>1.4037306599506398</v>
      </c>
      <c r="P116" s="10" t="s">
        <v>31</v>
      </c>
      <c r="Q116" s="10">
        <f t="shared" si="7"/>
        <v>1</v>
      </c>
      <c r="R116" s="10">
        <f t="shared" si="8"/>
        <v>0</v>
      </c>
      <c r="S116" s="10">
        <f t="shared" si="9"/>
        <v>0</v>
      </c>
      <c r="T116" s="10">
        <f t="shared" si="10"/>
        <v>0</v>
      </c>
      <c r="U116" s="11" t="str">
        <f t="shared" si="12"/>
        <v/>
      </c>
      <c r="V116" s="11" t="str">
        <f t="shared" si="13"/>
        <v/>
      </c>
      <c r="W116" s="11" t="str">
        <f t="shared" si="13"/>
        <v/>
      </c>
      <c r="X116" s="11" t="str">
        <f t="shared" si="13"/>
        <v/>
      </c>
      <c r="Y116" s="11" t="str">
        <f t="shared" si="13"/>
        <v/>
      </c>
      <c r="Z116" s="11" t="str">
        <f t="shared" si="13"/>
        <v/>
      </c>
      <c r="AA116" s="11" t="str">
        <f t="shared" si="13"/>
        <v/>
      </c>
      <c r="AB116" s="11" t="str">
        <f t="shared" si="13"/>
        <v/>
      </c>
      <c r="AC116" s="11" t="str">
        <f t="shared" si="13"/>
        <v/>
      </c>
      <c r="AD116" s="11" t="str">
        <f t="shared" si="13"/>
        <v/>
      </c>
      <c r="AE116" s="12" t="s">
        <v>1179</v>
      </c>
    </row>
    <row r="117" spans="1:31" ht="18" customHeight="1" thickTop="1" thickBot="1" x14ac:dyDescent="0.3">
      <c r="A117" s="4" t="s">
        <v>81</v>
      </c>
      <c r="B117" s="4" t="s">
        <v>945</v>
      </c>
      <c r="C117" s="5" t="s">
        <v>282</v>
      </c>
      <c r="D117" s="5" t="s">
        <v>42</v>
      </c>
      <c r="E117" s="5" t="s">
        <v>71</v>
      </c>
      <c r="F117" s="5" t="s">
        <v>288</v>
      </c>
      <c r="G117" s="5" t="s">
        <v>16</v>
      </c>
      <c r="H117" s="6" t="s">
        <v>191</v>
      </c>
      <c r="I117" s="7" t="s">
        <v>38</v>
      </c>
      <c r="J117" s="8" t="s">
        <v>27</v>
      </c>
      <c r="K117" s="8">
        <v>2.8277243589743586</v>
      </c>
      <c r="L117" s="8">
        <v>3.0553857301360865</v>
      </c>
      <c r="M117" s="5"/>
      <c r="N117" s="8">
        <v>4.0255082041891157</v>
      </c>
      <c r="O117" s="9">
        <v>1.4235857860096393</v>
      </c>
      <c r="P117" s="10" t="s">
        <v>31</v>
      </c>
      <c r="Q117" s="10">
        <f t="shared" si="7"/>
        <v>1</v>
      </c>
      <c r="R117" s="10">
        <f t="shared" si="8"/>
        <v>0</v>
      </c>
      <c r="S117" s="10">
        <f t="shared" si="9"/>
        <v>0</v>
      </c>
      <c r="T117" s="10">
        <f t="shared" si="10"/>
        <v>0</v>
      </c>
      <c r="U117" s="11" t="str">
        <f t="shared" si="12"/>
        <v/>
      </c>
      <c r="V117" s="11" t="str">
        <f t="shared" si="13"/>
        <v/>
      </c>
      <c r="W117" s="11" t="str">
        <f t="shared" si="13"/>
        <v/>
      </c>
      <c r="X117" s="11" t="str">
        <f t="shared" si="13"/>
        <v/>
      </c>
      <c r="Y117" s="11" t="str">
        <f t="shared" si="13"/>
        <v/>
      </c>
      <c r="Z117" s="11" t="str">
        <f t="shared" si="13"/>
        <v/>
      </c>
      <c r="AA117" s="11" t="str">
        <f t="shared" si="13"/>
        <v/>
      </c>
      <c r="AB117" s="11" t="str">
        <f t="shared" si="13"/>
        <v/>
      </c>
      <c r="AC117" s="11" t="str">
        <f t="shared" si="13"/>
        <v/>
      </c>
      <c r="AD117" s="11" t="str">
        <f t="shared" si="13"/>
        <v/>
      </c>
      <c r="AE117" s="12" t="s">
        <v>1179</v>
      </c>
    </row>
    <row r="118" spans="1:31" ht="18" customHeight="1" thickTop="1" thickBot="1" x14ac:dyDescent="0.3">
      <c r="A118" s="4" t="s">
        <v>81</v>
      </c>
      <c r="B118" s="4" t="s">
        <v>945</v>
      </c>
      <c r="C118" s="5" t="s">
        <v>282</v>
      </c>
      <c r="D118" s="5" t="s">
        <v>42</v>
      </c>
      <c r="E118" s="5" t="s">
        <v>141</v>
      </c>
      <c r="F118" s="5" t="s">
        <v>289</v>
      </c>
      <c r="G118" s="5" t="s">
        <v>16</v>
      </c>
      <c r="H118" s="6" t="s">
        <v>191</v>
      </c>
      <c r="I118" s="7" t="s">
        <v>38</v>
      </c>
      <c r="J118" s="8" t="s">
        <v>27</v>
      </c>
      <c r="K118" s="8">
        <v>2.1733047248670152</v>
      </c>
      <c r="L118" s="8">
        <v>2.3721244925575098</v>
      </c>
      <c r="M118" s="5"/>
      <c r="N118" s="8">
        <v>3.1253031366756061</v>
      </c>
      <c r="O118" s="9">
        <v>1.4380418451751371</v>
      </c>
      <c r="P118" s="10" t="s">
        <v>31</v>
      </c>
      <c r="Q118" s="10">
        <f t="shared" si="7"/>
        <v>1</v>
      </c>
      <c r="R118" s="10">
        <f t="shared" si="8"/>
        <v>0</v>
      </c>
      <c r="S118" s="10">
        <f t="shared" si="9"/>
        <v>0</v>
      </c>
      <c r="T118" s="10">
        <f t="shared" si="10"/>
        <v>0</v>
      </c>
      <c r="U118" s="11" t="str">
        <f t="shared" si="12"/>
        <v/>
      </c>
      <c r="V118" s="11" t="str">
        <f t="shared" si="13"/>
        <v/>
      </c>
      <c r="W118" s="11" t="str">
        <f t="shared" si="13"/>
        <v/>
      </c>
      <c r="X118" s="11" t="str">
        <f t="shared" si="13"/>
        <v/>
      </c>
      <c r="Y118" s="11" t="str">
        <f t="shared" si="13"/>
        <v/>
      </c>
      <c r="Z118" s="11" t="str">
        <f t="shared" si="13"/>
        <v/>
      </c>
      <c r="AA118" s="11" t="str">
        <f t="shared" si="13"/>
        <v/>
      </c>
      <c r="AB118" s="11" t="str">
        <f t="shared" si="13"/>
        <v/>
      </c>
      <c r="AC118" s="11" t="str">
        <f t="shared" si="13"/>
        <v/>
      </c>
      <c r="AD118" s="11" t="str">
        <f t="shared" si="13"/>
        <v/>
      </c>
      <c r="AE118" s="12" t="s">
        <v>1179</v>
      </c>
    </row>
    <row r="119" spans="1:31" ht="18" customHeight="1" thickTop="1" thickBot="1" x14ac:dyDescent="0.3">
      <c r="A119" s="4" t="s">
        <v>81</v>
      </c>
      <c r="B119" s="4" t="s">
        <v>945</v>
      </c>
      <c r="C119" s="5" t="s">
        <v>282</v>
      </c>
      <c r="D119" s="5" t="s">
        <v>42</v>
      </c>
      <c r="E119" s="5" t="s">
        <v>143</v>
      </c>
      <c r="F119" s="5" t="s">
        <v>290</v>
      </c>
      <c r="G119" s="5" t="s">
        <v>16</v>
      </c>
      <c r="H119" s="6" t="s">
        <v>191</v>
      </c>
      <c r="I119" s="7" t="s">
        <v>38</v>
      </c>
      <c r="J119" s="8" t="s">
        <v>27</v>
      </c>
      <c r="K119" s="8">
        <v>4.8700071528065347</v>
      </c>
      <c r="L119" s="8">
        <v>5.8877673761832536</v>
      </c>
      <c r="M119" s="5"/>
      <c r="N119" s="8">
        <v>7.7572057902250728</v>
      </c>
      <c r="O119" s="9">
        <v>1.5928530589025265</v>
      </c>
      <c r="P119" s="10" t="s">
        <v>31</v>
      </c>
      <c r="Q119" s="10">
        <f t="shared" si="7"/>
        <v>1</v>
      </c>
      <c r="R119" s="10">
        <f t="shared" si="8"/>
        <v>0</v>
      </c>
      <c r="S119" s="10">
        <f t="shared" si="9"/>
        <v>1</v>
      </c>
      <c r="T119" s="10">
        <f t="shared" si="10"/>
        <v>0</v>
      </c>
      <c r="U119" s="11" t="str">
        <f t="shared" si="12"/>
        <v/>
      </c>
      <c r="V119" s="11" t="str">
        <f t="shared" si="13"/>
        <v/>
      </c>
      <c r="W119" s="11" t="str">
        <f t="shared" si="13"/>
        <v/>
      </c>
      <c r="X119" s="11" t="str">
        <f t="shared" si="13"/>
        <v/>
      </c>
      <c r="Y119" s="11" t="str">
        <f t="shared" si="13"/>
        <v/>
      </c>
      <c r="Z119" s="11" t="str">
        <f t="shared" si="13"/>
        <v/>
      </c>
      <c r="AA119" s="11" t="str">
        <f t="shared" si="13"/>
        <v/>
      </c>
      <c r="AB119" s="11" t="str">
        <f t="shared" si="13"/>
        <v/>
      </c>
      <c r="AC119" s="11" t="str">
        <f t="shared" si="13"/>
        <v/>
      </c>
      <c r="AD119" s="11">
        <f t="shared" si="13"/>
        <v>1</v>
      </c>
      <c r="AE119" s="12" t="s">
        <v>988</v>
      </c>
    </row>
    <row r="120" spans="1:31" ht="18" customHeight="1" thickTop="1" thickBot="1" x14ac:dyDescent="0.3">
      <c r="A120" s="4" t="s">
        <v>81</v>
      </c>
      <c r="B120" s="4" t="s">
        <v>945</v>
      </c>
      <c r="C120" s="5" t="s">
        <v>282</v>
      </c>
      <c r="D120" s="5" t="s">
        <v>42</v>
      </c>
      <c r="E120" s="5" t="s">
        <v>245</v>
      </c>
      <c r="F120" s="5" t="s">
        <v>291</v>
      </c>
      <c r="G120" s="5" t="s">
        <v>16</v>
      </c>
      <c r="H120" s="6" t="s">
        <v>191</v>
      </c>
      <c r="I120" s="7" t="s">
        <v>38</v>
      </c>
      <c r="J120" s="8" t="s">
        <v>27</v>
      </c>
      <c r="K120" s="8">
        <v>1.3628405500042702</v>
      </c>
      <c r="L120" s="8">
        <v>1.3804635088432609</v>
      </c>
      <c r="M120" s="5"/>
      <c r="N120" s="8">
        <v>1.8187776180340836</v>
      </c>
      <c r="O120" s="9">
        <v>1.3345490916221894</v>
      </c>
      <c r="P120" s="10" t="s">
        <v>27</v>
      </c>
      <c r="Q120" s="10">
        <f t="shared" si="7"/>
        <v>0</v>
      </c>
      <c r="R120" s="10">
        <f t="shared" si="8"/>
        <v>0</v>
      </c>
      <c r="S120" s="10">
        <f t="shared" si="9"/>
        <v>0</v>
      </c>
      <c r="T120" s="10">
        <f t="shared" si="10"/>
        <v>0</v>
      </c>
      <c r="U120" s="11" t="str">
        <f t="shared" si="12"/>
        <v/>
      </c>
      <c r="V120" s="11" t="str">
        <f t="shared" si="13"/>
        <v/>
      </c>
      <c r="W120" s="11" t="str">
        <f t="shared" si="13"/>
        <v/>
      </c>
      <c r="X120" s="11" t="str">
        <f t="shared" si="13"/>
        <v/>
      </c>
      <c r="Y120" s="11" t="str">
        <f t="shared" si="13"/>
        <v/>
      </c>
      <c r="Z120" s="11" t="str">
        <f t="shared" si="13"/>
        <v/>
      </c>
      <c r="AA120" s="11" t="str">
        <f t="shared" si="13"/>
        <v/>
      </c>
      <c r="AB120" s="11" t="str">
        <f t="shared" si="13"/>
        <v/>
      </c>
      <c r="AC120" s="11" t="str">
        <f t="shared" si="13"/>
        <v/>
      </c>
      <c r="AD120" s="11" t="str">
        <f t="shared" si="13"/>
        <v/>
      </c>
      <c r="AE120" s="12" t="s">
        <v>27</v>
      </c>
    </row>
    <row r="121" spans="1:31" ht="18" customHeight="1" thickTop="1" thickBot="1" x14ac:dyDescent="0.3">
      <c r="A121" s="4" t="s">
        <v>292</v>
      </c>
      <c r="B121" s="4" t="s">
        <v>947</v>
      </c>
      <c r="C121" s="5" t="s">
        <v>293</v>
      </c>
      <c r="D121" s="5" t="s">
        <v>26</v>
      </c>
      <c r="E121" s="5" t="s">
        <v>27</v>
      </c>
      <c r="F121" s="5" t="s">
        <v>294</v>
      </c>
      <c r="G121" s="5" t="s">
        <v>16</v>
      </c>
      <c r="H121" s="6" t="s">
        <v>295</v>
      </c>
      <c r="I121" s="7" t="s">
        <v>56</v>
      </c>
      <c r="J121" s="8">
        <v>1.2692307692307692</v>
      </c>
      <c r="K121" s="8">
        <v>1</v>
      </c>
      <c r="L121" s="8">
        <v>1.3844393592677344</v>
      </c>
      <c r="M121" s="5"/>
      <c r="N121" s="8">
        <v>1.3844393592677344</v>
      </c>
      <c r="O121" s="9">
        <v>1.3844393592677346</v>
      </c>
      <c r="P121" s="10" t="s">
        <v>27</v>
      </c>
      <c r="Q121" s="10">
        <f t="shared" si="7"/>
        <v>0</v>
      </c>
      <c r="R121" s="10">
        <f t="shared" si="8"/>
        <v>0</v>
      </c>
      <c r="S121" s="10">
        <f t="shared" si="9"/>
        <v>0</v>
      </c>
      <c r="T121" s="10">
        <f t="shared" si="10"/>
        <v>0</v>
      </c>
      <c r="U121" s="11" t="str">
        <f t="shared" si="12"/>
        <v/>
      </c>
      <c r="V121" s="11" t="str">
        <f t="shared" si="13"/>
        <v/>
      </c>
      <c r="W121" s="11" t="str">
        <f t="shared" si="13"/>
        <v/>
      </c>
      <c r="X121" s="11" t="str">
        <f t="shared" si="13"/>
        <v/>
      </c>
      <c r="Y121" s="11" t="str">
        <f t="shared" si="13"/>
        <v/>
      </c>
      <c r="Z121" s="11" t="str">
        <f t="shared" si="13"/>
        <v/>
      </c>
      <c r="AA121" s="11" t="str">
        <f t="shared" si="13"/>
        <v/>
      </c>
      <c r="AB121" s="11" t="str">
        <f t="shared" si="13"/>
        <v/>
      </c>
      <c r="AC121" s="11" t="str">
        <f t="shared" si="13"/>
        <v/>
      </c>
      <c r="AD121" s="11" t="str">
        <f t="shared" si="13"/>
        <v/>
      </c>
      <c r="AE121" s="12" t="s">
        <v>27</v>
      </c>
    </row>
    <row r="122" spans="1:31" ht="18" customHeight="1" thickTop="1" thickBot="1" x14ac:dyDescent="0.3">
      <c r="A122" s="4" t="s">
        <v>296</v>
      </c>
      <c r="B122" s="4" t="s">
        <v>947</v>
      </c>
      <c r="C122" s="5" t="s">
        <v>297</v>
      </c>
      <c r="D122" s="5" t="s">
        <v>26</v>
      </c>
      <c r="E122" s="5" t="s">
        <v>27</v>
      </c>
      <c r="F122" s="5" t="s">
        <v>298</v>
      </c>
      <c r="G122" s="5" t="s">
        <v>16</v>
      </c>
      <c r="H122" s="6" t="s">
        <v>299</v>
      </c>
      <c r="I122" s="7" t="s">
        <v>111</v>
      </c>
      <c r="J122" s="8">
        <v>1.368421052631579</v>
      </c>
      <c r="K122" s="8">
        <v>1</v>
      </c>
      <c r="L122" s="8">
        <v>1.14031007751938</v>
      </c>
      <c r="M122" s="5"/>
      <c r="N122" s="8">
        <v>1.14031007751938</v>
      </c>
      <c r="O122" s="9">
        <v>1.14031007751938</v>
      </c>
      <c r="P122" s="10" t="s">
        <v>27</v>
      </c>
      <c r="Q122" s="10">
        <f t="shared" si="7"/>
        <v>0</v>
      </c>
      <c r="R122" s="10">
        <f t="shared" si="8"/>
        <v>0</v>
      </c>
      <c r="S122" s="10">
        <f t="shared" si="9"/>
        <v>0</v>
      </c>
      <c r="T122" s="10">
        <f t="shared" si="10"/>
        <v>0</v>
      </c>
      <c r="U122" s="11" t="str">
        <f t="shared" si="12"/>
        <v/>
      </c>
      <c r="V122" s="11" t="str">
        <f t="shared" si="13"/>
        <v/>
      </c>
      <c r="W122" s="11" t="str">
        <f t="shared" si="13"/>
        <v/>
      </c>
      <c r="X122" s="11" t="str">
        <f t="shared" si="13"/>
        <v/>
      </c>
      <c r="Y122" s="11" t="str">
        <f t="shared" si="13"/>
        <v/>
      </c>
      <c r="Z122" s="11" t="str">
        <f t="shared" si="13"/>
        <v/>
      </c>
      <c r="AA122" s="11" t="str">
        <f t="shared" si="13"/>
        <v/>
      </c>
      <c r="AB122" s="11" t="str">
        <f t="shared" si="13"/>
        <v/>
      </c>
      <c r="AC122" s="11" t="str">
        <f t="shared" si="13"/>
        <v/>
      </c>
      <c r="AD122" s="11" t="str">
        <f t="shared" si="13"/>
        <v/>
      </c>
      <c r="AE122" s="12" t="s">
        <v>27</v>
      </c>
    </row>
    <row r="123" spans="1:31" ht="18" customHeight="1" thickTop="1" thickBot="1" x14ac:dyDescent="0.3">
      <c r="A123" s="4" t="s">
        <v>300</v>
      </c>
      <c r="B123" s="4" t="s">
        <v>950</v>
      </c>
      <c r="C123" s="5" t="s">
        <v>301</v>
      </c>
      <c r="D123" s="5" t="s">
        <v>26</v>
      </c>
      <c r="E123" s="5" t="s">
        <v>36</v>
      </c>
      <c r="F123" s="5" t="s">
        <v>302</v>
      </c>
      <c r="G123" s="5" t="s">
        <v>16</v>
      </c>
      <c r="H123" s="6" t="s">
        <v>303</v>
      </c>
      <c r="I123" s="7" t="s">
        <v>387</v>
      </c>
      <c r="J123" s="8" t="s">
        <v>27</v>
      </c>
      <c r="K123" s="8">
        <v>0.68</v>
      </c>
      <c r="L123" s="8">
        <v>1.4598214285714286</v>
      </c>
      <c r="M123" s="5"/>
      <c r="N123" s="8">
        <v>1.4598214285714286</v>
      </c>
      <c r="O123" s="9">
        <v>2.1467962184873945</v>
      </c>
      <c r="P123" s="10" t="s">
        <v>31</v>
      </c>
      <c r="Q123" s="10">
        <f t="shared" si="7"/>
        <v>0</v>
      </c>
      <c r="R123" s="10">
        <f t="shared" si="8"/>
        <v>0</v>
      </c>
      <c r="S123" s="10">
        <f t="shared" si="9"/>
        <v>1</v>
      </c>
      <c r="T123" s="10">
        <f t="shared" si="10"/>
        <v>0</v>
      </c>
      <c r="U123" s="11" t="str">
        <f t="shared" si="12"/>
        <v/>
      </c>
      <c r="V123" s="11">
        <f t="shared" si="13"/>
        <v>1</v>
      </c>
      <c r="W123" s="11" t="str">
        <f t="shared" si="13"/>
        <v/>
      </c>
      <c r="X123" s="11" t="str">
        <f t="shared" si="13"/>
        <v/>
      </c>
      <c r="Y123" s="11" t="str">
        <f t="shared" si="13"/>
        <v/>
      </c>
      <c r="Z123" s="11" t="str">
        <f t="shared" si="13"/>
        <v/>
      </c>
      <c r="AA123" s="11" t="str">
        <f t="shared" si="13"/>
        <v/>
      </c>
      <c r="AB123" s="11" t="str">
        <f t="shared" si="13"/>
        <v/>
      </c>
      <c r="AC123" s="11" t="str">
        <f t="shared" si="13"/>
        <v/>
      </c>
      <c r="AD123" s="11">
        <f t="shared" si="13"/>
        <v>1</v>
      </c>
      <c r="AE123" s="12" t="s">
        <v>1183</v>
      </c>
    </row>
    <row r="124" spans="1:31" ht="18" customHeight="1" thickTop="1" thickBot="1" x14ac:dyDescent="0.3">
      <c r="A124" s="4" t="s">
        <v>300</v>
      </c>
      <c r="B124" s="4" t="s">
        <v>950</v>
      </c>
      <c r="C124" s="5" t="s">
        <v>301</v>
      </c>
      <c r="D124" s="5" t="s">
        <v>26</v>
      </c>
      <c r="E124" s="5" t="s">
        <v>40</v>
      </c>
      <c r="F124" s="5" t="s">
        <v>304</v>
      </c>
      <c r="G124" s="5" t="s">
        <v>16</v>
      </c>
      <c r="H124" s="6" t="s">
        <v>303</v>
      </c>
      <c r="I124" s="7" t="s">
        <v>68</v>
      </c>
      <c r="J124" s="8" t="s">
        <v>27</v>
      </c>
      <c r="K124" s="8">
        <v>2.85</v>
      </c>
      <c r="L124" s="8">
        <v>1.5063291139240509</v>
      </c>
      <c r="M124" s="5"/>
      <c r="N124" s="8">
        <v>1.5063291139240509</v>
      </c>
      <c r="O124" s="9">
        <v>0.5285365312014213</v>
      </c>
      <c r="P124" s="10" t="s">
        <v>31</v>
      </c>
      <c r="Q124" s="10">
        <f t="shared" si="7"/>
        <v>1</v>
      </c>
      <c r="R124" s="10">
        <f t="shared" si="8"/>
        <v>0</v>
      </c>
      <c r="S124" s="10">
        <f t="shared" si="9"/>
        <v>0</v>
      </c>
      <c r="T124" s="10">
        <f t="shared" si="10"/>
        <v>0</v>
      </c>
      <c r="U124" s="11" t="str">
        <f t="shared" si="12"/>
        <v/>
      </c>
      <c r="V124" s="11" t="str">
        <f t="shared" si="13"/>
        <v/>
      </c>
      <c r="W124" s="11" t="str">
        <f t="shared" si="13"/>
        <v/>
      </c>
      <c r="X124" s="11" t="str">
        <f t="shared" si="13"/>
        <v/>
      </c>
      <c r="Y124" s="11" t="str">
        <f t="shared" si="13"/>
        <v/>
      </c>
      <c r="Z124" s="11" t="str">
        <f t="shared" si="13"/>
        <v/>
      </c>
      <c r="AA124" s="11" t="str">
        <f t="shared" si="13"/>
        <v/>
      </c>
      <c r="AB124" s="11" t="str">
        <f t="shared" si="13"/>
        <v/>
      </c>
      <c r="AC124" s="11" t="str">
        <f t="shared" si="13"/>
        <v/>
      </c>
      <c r="AD124" s="11">
        <f t="shared" si="13"/>
        <v>1</v>
      </c>
      <c r="AE124" s="12" t="s">
        <v>988</v>
      </c>
    </row>
    <row r="125" spans="1:31" ht="18" customHeight="1" thickTop="1" thickBot="1" x14ac:dyDescent="0.3">
      <c r="A125" s="4" t="s">
        <v>300</v>
      </c>
      <c r="B125" s="4" t="s">
        <v>950</v>
      </c>
      <c r="C125" s="5" t="s">
        <v>301</v>
      </c>
      <c r="D125" s="5" t="s">
        <v>26</v>
      </c>
      <c r="E125" s="5" t="s">
        <v>69</v>
      </c>
      <c r="F125" s="5" t="s">
        <v>305</v>
      </c>
      <c r="G125" s="5" t="s">
        <v>16</v>
      </c>
      <c r="H125" s="6" t="s">
        <v>303</v>
      </c>
      <c r="I125" s="7" t="s">
        <v>122</v>
      </c>
      <c r="J125" s="8" t="s">
        <v>27</v>
      </c>
      <c r="K125" s="8">
        <v>0.70609756097560972</v>
      </c>
      <c r="L125" s="8">
        <v>1.7175141242937852</v>
      </c>
      <c r="M125" s="5"/>
      <c r="N125" s="8">
        <v>1.7175141242937852</v>
      </c>
      <c r="O125" s="9">
        <v>2.4324034230067424</v>
      </c>
      <c r="P125" s="10" t="s">
        <v>31</v>
      </c>
      <c r="Q125" s="10">
        <f t="shared" si="7"/>
        <v>0</v>
      </c>
      <c r="R125" s="10">
        <f t="shared" si="8"/>
        <v>0</v>
      </c>
      <c r="S125" s="10">
        <f t="shared" si="9"/>
        <v>1</v>
      </c>
      <c r="T125" s="10">
        <f t="shared" si="10"/>
        <v>0</v>
      </c>
      <c r="U125" s="11" t="str">
        <f t="shared" si="12"/>
        <v/>
      </c>
      <c r="V125" s="11">
        <f t="shared" si="13"/>
        <v>1</v>
      </c>
      <c r="W125" s="11" t="str">
        <f t="shared" si="13"/>
        <v/>
      </c>
      <c r="X125" s="11" t="str">
        <f t="shared" si="13"/>
        <v/>
      </c>
      <c r="Y125" s="11" t="str">
        <f t="shared" si="13"/>
        <v/>
      </c>
      <c r="Z125" s="11" t="str">
        <f t="shared" si="13"/>
        <v/>
      </c>
      <c r="AA125" s="11" t="str">
        <f t="shared" si="13"/>
        <v/>
      </c>
      <c r="AB125" s="11" t="str">
        <f t="shared" si="13"/>
        <v/>
      </c>
      <c r="AC125" s="11" t="str">
        <f t="shared" si="13"/>
        <v/>
      </c>
      <c r="AD125" s="11">
        <f t="shared" si="13"/>
        <v>1</v>
      </c>
      <c r="AE125" s="12" t="s">
        <v>1183</v>
      </c>
    </row>
    <row r="126" spans="1:31" ht="18" customHeight="1" thickTop="1" thickBot="1" x14ac:dyDescent="0.3">
      <c r="A126" s="4" t="s">
        <v>90</v>
      </c>
      <c r="B126" s="4" t="s">
        <v>946</v>
      </c>
      <c r="C126" s="5" t="s">
        <v>306</v>
      </c>
      <c r="D126" s="5" t="s">
        <v>26</v>
      </c>
      <c r="E126" s="5" t="s">
        <v>27</v>
      </c>
      <c r="F126" s="5" t="s">
        <v>307</v>
      </c>
      <c r="G126" s="5" t="s">
        <v>16</v>
      </c>
      <c r="H126" s="6" t="s">
        <v>186</v>
      </c>
      <c r="I126" s="7" t="s">
        <v>68</v>
      </c>
      <c r="J126" s="8" t="s">
        <v>27</v>
      </c>
      <c r="K126" s="8">
        <v>0.59799999999999998</v>
      </c>
      <c r="L126" s="8">
        <v>1.3802987197724039</v>
      </c>
      <c r="M126" s="5"/>
      <c r="N126" s="8">
        <v>1.3802987197724039</v>
      </c>
      <c r="O126" s="9">
        <v>2.3081918390842877</v>
      </c>
      <c r="P126" s="10" t="s">
        <v>31</v>
      </c>
      <c r="Q126" s="10">
        <f t="shared" si="7"/>
        <v>0</v>
      </c>
      <c r="R126" s="10">
        <f t="shared" si="8"/>
        <v>0</v>
      </c>
      <c r="S126" s="10">
        <f t="shared" si="9"/>
        <v>1</v>
      </c>
      <c r="T126" s="10">
        <f t="shared" si="10"/>
        <v>0</v>
      </c>
      <c r="U126" s="11">
        <f t="shared" si="12"/>
        <v>1</v>
      </c>
      <c r="V126" s="11" t="str">
        <f t="shared" si="13"/>
        <v/>
      </c>
      <c r="W126" s="11" t="str">
        <f t="shared" ref="V126:AD154" si="14">IF(ISNUMBER(SEARCH(W$3,$AE126)), 1,"")</f>
        <v/>
      </c>
      <c r="X126" s="11" t="str">
        <f t="shared" si="14"/>
        <v/>
      </c>
      <c r="Y126" s="11" t="str">
        <f t="shared" si="14"/>
        <v/>
      </c>
      <c r="Z126" s="11">
        <f t="shared" si="14"/>
        <v>1</v>
      </c>
      <c r="AA126" s="11" t="str">
        <f t="shared" si="14"/>
        <v/>
      </c>
      <c r="AB126" s="11" t="str">
        <f t="shared" si="14"/>
        <v/>
      </c>
      <c r="AC126" s="11">
        <f t="shared" si="14"/>
        <v>1</v>
      </c>
      <c r="AD126" s="11" t="str">
        <f t="shared" si="14"/>
        <v/>
      </c>
      <c r="AE126" s="12" t="s">
        <v>1186</v>
      </c>
    </row>
    <row r="127" spans="1:31" ht="18" customHeight="1" thickTop="1" thickBot="1" x14ac:dyDescent="0.3">
      <c r="A127" s="4" t="s">
        <v>308</v>
      </c>
      <c r="B127" s="4" t="s">
        <v>947</v>
      </c>
      <c r="C127" s="5" t="s">
        <v>309</v>
      </c>
      <c r="D127" s="5" t="s">
        <v>26</v>
      </c>
      <c r="E127" s="5" t="s">
        <v>27</v>
      </c>
      <c r="F127" s="5" t="s">
        <v>310</v>
      </c>
      <c r="G127" s="5" t="s">
        <v>16</v>
      </c>
      <c r="H127" s="6" t="s">
        <v>311</v>
      </c>
      <c r="I127" s="7" t="s">
        <v>68</v>
      </c>
      <c r="J127" s="8" t="s">
        <v>27</v>
      </c>
      <c r="K127" s="8">
        <v>1.2255555555555555</v>
      </c>
      <c r="L127" s="8">
        <v>1.0893413173652693</v>
      </c>
      <c r="M127" s="5"/>
      <c r="N127" s="8">
        <v>1.0893413173652693</v>
      </c>
      <c r="O127" s="9">
        <v>0.88885510936422707</v>
      </c>
      <c r="P127" s="10" t="s">
        <v>27</v>
      </c>
      <c r="Q127" s="10">
        <f t="shared" si="7"/>
        <v>0</v>
      </c>
      <c r="R127" s="10">
        <f t="shared" si="8"/>
        <v>0</v>
      </c>
      <c r="S127" s="10">
        <f t="shared" si="9"/>
        <v>0</v>
      </c>
      <c r="T127" s="10">
        <f t="shared" si="10"/>
        <v>0</v>
      </c>
      <c r="U127" s="11" t="str">
        <f t="shared" si="12"/>
        <v/>
      </c>
      <c r="V127" s="11" t="str">
        <f t="shared" si="14"/>
        <v/>
      </c>
      <c r="W127" s="11" t="str">
        <f t="shared" si="14"/>
        <v/>
      </c>
      <c r="X127" s="11" t="str">
        <f t="shared" si="14"/>
        <v/>
      </c>
      <c r="Y127" s="11" t="str">
        <f t="shared" si="14"/>
        <v/>
      </c>
      <c r="Z127" s="11" t="str">
        <f t="shared" si="14"/>
        <v/>
      </c>
      <c r="AA127" s="11" t="str">
        <f t="shared" si="14"/>
        <v/>
      </c>
      <c r="AB127" s="11" t="str">
        <f t="shared" si="14"/>
        <v/>
      </c>
      <c r="AC127" s="11" t="str">
        <f t="shared" si="14"/>
        <v/>
      </c>
      <c r="AD127" s="11" t="str">
        <f t="shared" si="14"/>
        <v/>
      </c>
      <c r="AE127" s="12" t="s">
        <v>27</v>
      </c>
    </row>
    <row r="128" spans="1:31" ht="18" customHeight="1" thickTop="1" thickBot="1" x14ac:dyDescent="0.3">
      <c r="A128" s="4" t="s">
        <v>81</v>
      </c>
      <c r="B128" s="4" t="s">
        <v>945</v>
      </c>
      <c r="C128" s="5" t="s">
        <v>312</v>
      </c>
      <c r="D128" s="5" t="s">
        <v>26</v>
      </c>
      <c r="E128" s="5" t="s">
        <v>27</v>
      </c>
      <c r="F128" s="5" t="s">
        <v>313</v>
      </c>
      <c r="G128" s="5" t="s">
        <v>16</v>
      </c>
      <c r="H128" s="6" t="s">
        <v>314</v>
      </c>
      <c r="I128" s="7" t="s">
        <v>38</v>
      </c>
      <c r="J128" s="8">
        <v>0.91666666666666663</v>
      </c>
      <c r="K128" s="8">
        <v>0.94946364046973808</v>
      </c>
      <c r="L128" s="8">
        <v>1.174296996382886</v>
      </c>
      <c r="M128" s="5"/>
      <c r="N128" s="8">
        <v>1.174296996382886</v>
      </c>
      <c r="O128" s="9">
        <v>1.2368003853227214</v>
      </c>
      <c r="P128" s="10" t="s">
        <v>27</v>
      </c>
      <c r="Q128" s="10">
        <f t="shared" si="7"/>
        <v>0</v>
      </c>
      <c r="R128" s="10">
        <f t="shared" si="8"/>
        <v>0</v>
      </c>
      <c r="S128" s="10">
        <f t="shared" si="9"/>
        <v>0</v>
      </c>
      <c r="T128" s="10">
        <f t="shared" si="10"/>
        <v>0</v>
      </c>
      <c r="U128" s="11" t="str">
        <f t="shared" si="12"/>
        <v/>
      </c>
      <c r="V128" s="11" t="str">
        <f t="shared" si="14"/>
        <v/>
      </c>
      <c r="W128" s="11" t="str">
        <f t="shared" si="14"/>
        <v/>
      </c>
      <c r="X128" s="11" t="str">
        <f t="shared" si="14"/>
        <v/>
      </c>
      <c r="Y128" s="11" t="str">
        <f t="shared" si="14"/>
        <v/>
      </c>
      <c r="Z128" s="11" t="str">
        <f t="shared" si="14"/>
        <v/>
      </c>
      <c r="AA128" s="11" t="str">
        <f t="shared" si="14"/>
        <v/>
      </c>
      <c r="AB128" s="11" t="str">
        <f t="shared" si="14"/>
        <v/>
      </c>
      <c r="AC128" s="11" t="str">
        <f t="shared" si="14"/>
        <v/>
      </c>
      <c r="AD128" s="11" t="str">
        <f t="shared" si="14"/>
        <v/>
      </c>
      <c r="AE128" s="12" t="s">
        <v>27</v>
      </c>
    </row>
    <row r="129" spans="1:31" ht="18" customHeight="1" thickTop="1" thickBot="1" x14ac:dyDescent="0.3">
      <c r="A129" s="4" t="s">
        <v>81</v>
      </c>
      <c r="B129" s="4" t="s">
        <v>945</v>
      </c>
      <c r="C129" s="5" t="s">
        <v>312</v>
      </c>
      <c r="D129" s="5" t="s">
        <v>42</v>
      </c>
      <c r="E129" s="5" t="s">
        <v>27</v>
      </c>
      <c r="F129" s="5" t="s">
        <v>315</v>
      </c>
      <c r="G129" s="5" t="s">
        <v>16</v>
      </c>
      <c r="H129" s="6" t="s">
        <v>314</v>
      </c>
      <c r="I129" s="7" t="s">
        <v>387</v>
      </c>
      <c r="J129" s="8" t="s">
        <v>27</v>
      </c>
      <c r="K129" s="8">
        <v>1.0018750000000001</v>
      </c>
      <c r="L129" s="8">
        <v>1.291366279244557</v>
      </c>
      <c r="M129" s="5"/>
      <c r="N129" s="8">
        <v>1.291366279244557</v>
      </c>
      <c r="O129" s="9">
        <v>1.2889494989340555</v>
      </c>
      <c r="P129" s="10" t="s">
        <v>27</v>
      </c>
      <c r="Q129" s="10">
        <f t="shared" si="7"/>
        <v>0</v>
      </c>
      <c r="R129" s="10">
        <f t="shared" si="8"/>
        <v>0</v>
      </c>
      <c r="S129" s="10">
        <f t="shared" si="9"/>
        <v>0</v>
      </c>
      <c r="T129" s="10">
        <f t="shared" si="10"/>
        <v>0</v>
      </c>
      <c r="U129" s="11" t="str">
        <f t="shared" si="12"/>
        <v/>
      </c>
      <c r="V129" s="11" t="str">
        <f t="shared" si="14"/>
        <v/>
      </c>
      <c r="W129" s="11" t="str">
        <f t="shared" si="14"/>
        <v/>
      </c>
      <c r="X129" s="11" t="str">
        <f t="shared" si="14"/>
        <v/>
      </c>
      <c r="Y129" s="11" t="str">
        <f t="shared" si="14"/>
        <v/>
      </c>
      <c r="Z129" s="11" t="str">
        <f t="shared" si="14"/>
        <v/>
      </c>
      <c r="AA129" s="11" t="str">
        <f t="shared" si="14"/>
        <v/>
      </c>
      <c r="AB129" s="11" t="str">
        <f t="shared" si="14"/>
        <v/>
      </c>
      <c r="AC129" s="11" t="str">
        <f t="shared" si="14"/>
        <v/>
      </c>
      <c r="AD129" s="11" t="str">
        <f t="shared" si="14"/>
        <v/>
      </c>
      <c r="AE129" s="12" t="s">
        <v>27</v>
      </c>
    </row>
    <row r="130" spans="1:31" ht="18" customHeight="1" thickTop="1" thickBot="1" x14ac:dyDescent="0.3">
      <c r="A130" s="4" t="s">
        <v>316</v>
      </c>
      <c r="B130" s="4" t="s">
        <v>946</v>
      </c>
      <c r="C130" s="5" t="s">
        <v>317</v>
      </c>
      <c r="D130" s="5" t="s">
        <v>26</v>
      </c>
      <c r="E130" s="5" t="s">
        <v>27</v>
      </c>
      <c r="F130" s="5" t="s">
        <v>318</v>
      </c>
      <c r="G130" s="5" t="s">
        <v>16</v>
      </c>
      <c r="H130" s="6" t="s">
        <v>186</v>
      </c>
      <c r="I130" s="7" t="s">
        <v>38</v>
      </c>
      <c r="J130" s="8" t="s">
        <v>27</v>
      </c>
      <c r="K130" s="8">
        <v>0.7173189486973488</v>
      </c>
      <c r="L130" s="8">
        <v>1.197109689647003</v>
      </c>
      <c r="M130" s="5"/>
      <c r="N130" s="8">
        <v>1.197109689647003</v>
      </c>
      <c r="O130" s="9">
        <v>1.6688666761430939</v>
      </c>
      <c r="P130" s="10" t="s">
        <v>31</v>
      </c>
      <c r="Q130" s="10">
        <f t="shared" si="7"/>
        <v>0</v>
      </c>
      <c r="R130" s="10">
        <f t="shared" si="8"/>
        <v>0</v>
      </c>
      <c r="S130" s="10">
        <f t="shared" si="9"/>
        <v>1</v>
      </c>
      <c r="T130" s="10">
        <f t="shared" si="10"/>
        <v>0</v>
      </c>
      <c r="U130" s="11">
        <f t="shared" si="12"/>
        <v>1</v>
      </c>
      <c r="V130" s="11" t="str">
        <f t="shared" si="14"/>
        <v/>
      </c>
      <c r="W130" s="11" t="str">
        <f t="shared" si="14"/>
        <v/>
      </c>
      <c r="X130" s="11" t="str">
        <f t="shared" si="14"/>
        <v/>
      </c>
      <c r="Y130" s="11" t="str">
        <f t="shared" si="14"/>
        <v/>
      </c>
      <c r="Z130" s="11" t="str">
        <f t="shared" si="14"/>
        <v/>
      </c>
      <c r="AA130" s="11" t="str">
        <f t="shared" si="14"/>
        <v/>
      </c>
      <c r="AB130" s="11" t="str">
        <f t="shared" si="14"/>
        <v/>
      </c>
      <c r="AC130" s="11">
        <f t="shared" si="14"/>
        <v>1</v>
      </c>
      <c r="AD130" s="11" t="str">
        <f t="shared" si="14"/>
        <v/>
      </c>
      <c r="AE130" s="12" t="s">
        <v>1188</v>
      </c>
    </row>
    <row r="131" spans="1:31" ht="18" customHeight="1" thickTop="1" thickBot="1" x14ac:dyDescent="0.3">
      <c r="A131" s="4" t="s">
        <v>316</v>
      </c>
      <c r="B131" s="4" t="s">
        <v>946</v>
      </c>
      <c r="C131" s="5" t="s">
        <v>317</v>
      </c>
      <c r="D131" s="5" t="s">
        <v>42</v>
      </c>
      <c r="E131" s="5" t="s">
        <v>27</v>
      </c>
      <c r="F131" s="5" t="s">
        <v>319</v>
      </c>
      <c r="G131" s="5" t="s">
        <v>16</v>
      </c>
      <c r="H131" s="6" t="s">
        <v>186</v>
      </c>
      <c r="I131" s="7" t="s">
        <v>38</v>
      </c>
      <c r="J131" s="8" t="s">
        <v>27</v>
      </c>
      <c r="K131" s="8">
        <v>0.32294811320754718</v>
      </c>
      <c r="L131" s="8">
        <v>1.2289855072463767</v>
      </c>
      <c r="M131" s="5"/>
      <c r="N131" s="8">
        <v>1.2289855072463767</v>
      </c>
      <c r="O131" s="9">
        <v>3.8055200107534053</v>
      </c>
      <c r="P131" s="10" t="s">
        <v>31</v>
      </c>
      <c r="Q131" s="10">
        <f t="shared" si="7"/>
        <v>0</v>
      </c>
      <c r="R131" s="10">
        <f t="shared" si="8"/>
        <v>1</v>
      </c>
      <c r="S131" s="10">
        <f t="shared" si="9"/>
        <v>1</v>
      </c>
      <c r="T131" s="10">
        <f t="shared" si="10"/>
        <v>0</v>
      </c>
      <c r="U131" s="11">
        <f t="shared" si="12"/>
        <v>1</v>
      </c>
      <c r="V131" s="11">
        <f t="shared" si="14"/>
        <v>1</v>
      </c>
      <c r="W131" s="11" t="str">
        <f t="shared" si="14"/>
        <v/>
      </c>
      <c r="X131" s="11" t="str">
        <f t="shared" si="14"/>
        <v/>
      </c>
      <c r="Y131" s="11" t="str">
        <f t="shared" si="14"/>
        <v/>
      </c>
      <c r="Z131" s="11" t="str">
        <f t="shared" si="14"/>
        <v/>
      </c>
      <c r="AA131" s="11" t="str">
        <f t="shared" si="14"/>
        <v/>
      </c>
      <c r="AB131" s="11" t="str">
        <f t="shared" si="14"/>
        <v/>
      </c>
      <c r="AC131" s="11">
        <f t="shared" si="14"/>
        <v>1</v>
      </c>
      <c r="AD131" s="11" t="str">
        <f t="shared" si="14"/>
        <v/>
      </c>
      <c r="AE131" s="12" t="s">
        <v>1190</v>
      </c>
    </row>
    <row r="132" spans="1:31" ht="18" customHeight="1" thickTop="1" thickBot="1" x14ac:dyDescent="0.3">
      <c r="A132" s="4" t="s">
        <v>81</v>
      </c>
      <c r="B132" s="4" t="s">
        <v>945</v>
      </c>
      <c r="C132" s="5" t="s">
        <v>320</v>
      </c>
      <c r="D132" s="5" t="s">
        <v>26</v>
      </c>
      <c r="E132" s="5" t="s">
        <v>27</v>
      </c>
      <c r="F132" s="5" t="s">
        <v>321</v>
      </c>
      <c r="G132" s="5" t="s">
        <v>16</v>
      </c>
      <c r="H132" s="6" t="s">
        <v>186</v>
      </c>
      <c r="I132" s="7" t="s">
        <v>364</v>
      </c>
      <c r="J132" s="8" t="s">
        <v>27</v>
      </c>
      <c r="K132" s="8">
        <v>0.5977653631284916</v>
      </c>
      <c r="L132" s="8">
        <v>0.488502100142024</v>
      </c>
      <c r="M132" s="5"/>
      <c r="N132" s="8">
        <v>0.488502100142024</v>
      </c>
      <c r="O132" s="9">
        <v>0.81721379369553548</v>
      </c>
      <c r="P132" s="10" t="s">
        <v>27</v>
      </c>
      <c r="Q132" s="10">
        <f t="shared" si="7"/>
        <v>0</v>
      </c>
      <c r="R132" s="10">
        <f t="shared" si="8"/>
        <v>0</v>
      </c>
      <c r="S132" s="10">
        <f t="shared" si="9"/>
        <v>0</v>
      </c>
      <c r="T132" s="10">
        <f t="shared" si="10"/>
        <v>0</v>
      </c>
      <c r="U132" s="11" t="str">
        <f t="shared" si="12"/>
        <v/>
      </c>
      <c r="V132" s="11" t="str">
        <f t="shared" si="14"/>
        <v/>
      </c>
      <c r="W132" s="11" t="str">
        <f t="shared" si="14"/>
        <v/>
      </c>
      <c r="X132" s="11" t="str">
        <f t="shared" si="14"/>
        <v/>
      </c>
      <c r="Y132" s="11" t="str">
        <f t="shared" si="14"/>
        <v/>
      </c>
      <c r="Z132" s="11" t="str">
        <f t="shared" si="14"/>
        <v/>
      </c>
      <c r="AA132" s="11" t="str">
        <f t="shared" si="14"/>
        <v/>
      </c>
      <c r="AB132" s="11" t="str">
        <f t="shared" si="14"/>
        <v/>
      </c>
      <c r="AC132" s="11" t="str">
        <f t="shared" si="14"/>
        <v/>
      </c>
      <c r="AD132" s="11" t="str">
        <f t="shared" si="14"/>
        <v/>
      </c>
      <c r="AE132" s="12" t="s">
        <v>27</v>
      </c>
    </row>
    <row r="133" spans="1:31" ht="18" customHeight="1" thickTop="1" thickBot="1" x14ac:dyDescent="0.3">
      <c r="A133" s="4" t="s">
        <v>322</v>
      </c>
      <c r="B133" s="4" t="s">
        <v>947</v>
      </c>
      <c r="C133" s="5" t="s">
        <v>323</v>
      </c>
      <c r="D133" s="5" t="s">
        <v>26</v>
      </c>
      <c r="E133" s="5" t="s">
        <v>27</v>
      </c>
      <c r="F133" s="5" t="s">
        <v>324</v>
      </c>
      <c r="G133" s="5" t="s">
        <v>16</v>
      </c>
      <c r="H133" s="6" t="s">
        <v>326</v>
      </c>
      <c r="I133" s="7" t="s">
        <v>359</v>
      </c>
      <c r="J133" s="8">
        <v>1.24</v>
      </c>
      <c r="K133" s="8">
        <v>1.2549999999999999</v>
      </c>
      <c r="L133" s="8">
        <v>1.4922005184225144</v>
      </c>
      <c r="M133" s="5"/>
      <c r="N133" s="8">
        <v>0.76294448817087379</v>
      </c>
      <c r="O133" s="9">
        <v>0.6079238949568716</v>
      </c>
      <c r="P133" s="10" t="s">
        <v>27</v>
      </c>
      <c r="Q133" s="10">
        <f t="shared" ref="Q133:Q196" si="15">IF(K133&gt;1.5,1,0)</f>
        <v>0</v>
      </c>
      <c r="R133" s="10">
        <f t="shared" ref="R133:R196" si="16">IF(K133&lt;0.5,1,0)</f>
        <v>0</v>
      </c>
      <c r="S133" s="10">
        <f t="shared" ref="S133:S196" si="17">IF(O133&gt;1.5,1,0)</f>
        <v>0</v>
      </c>
      <c r="T133" s="10">
        <f t="shared" ref="T133:T196" si="18">IF(O133&lt;0.5,1,0)</f>
        <v>0</v>
      </c>
      <c r="U133" s="11" t="str">
        <f t="shared" si="12"/>
        <v/>
      </c>
      <c r="V133" s="11" t="str">
        <f t="shared" si="14"/>
        <v/>
      </c>
      <c r="W133" s="11" t="str">
        <f t="shared" si="14"/>
        <v/>
      </c>
      <c r="X133" s="11" t="str">
        <f t="shared" si="14"/>
        <v/>
      </c>
      <c r="Y133" s="11" t="str">
        <f t="shared" si="14"/>
        <v/>
      </c>
      <c r="Z133" s="11" t="str">
        <f t="shared" si="14"/>
        <v/>
      </c>
      <c r="AA133" s="11" t="str">
        <f t="shared" si="14"/>
        <v/>
      </c>
      <c r="AB133" s="11" t="str">
        <f t="shared" si="14"/>
        <v/>
      </c>
      <c r="AC133" s="11" t="str">
        <f t="shared" si="14"/>
        <v/>
      </c>
      <c r="AD133" s="11" t="str">
        <f t="shared" si="14"/>
        <v/>
      </c>
      <c r="AE133" s="12" t="s">
        <v>27</v>
      </c>
    </row>
    <row r="134" spans="1:31" ht="18" customHeight="1" thickTop="1" thickBot="1" x14ac:dyDescent="0.3">
      <c r="A134" s="4" t="s">
        <v>327</v>
      </c>
      <c r="B134" s="4" t="s">
        <v>947</v>
      </c>
      <c r="C134" s="5" t="s">
        <v>328</v>
      </c>
      <c r="D134" s="5" t="s">
        <v>26</v>
      </c>
      <c r="E134" s="5" t="s">
        <v>27</v>
      </c>
      <c r="F134" s="5" t="s">
        <v>329</v>
      </c>
      <c r="G134" s="5" t="s">
        <v>16</v>
      </c>
      <c r="H134" s="6" t="s">
        <v>155</v>
      </c>
      <c r="I134" s="7" t="s">
        <v>364</v>
      </c>
      <c r="J134" s="8" t="s">
        <v>27</v>
      </c>
      <c r="K134" s="8">
        <v>0.48388888888888887</v>
      </c>
      <c r="L134" s="8">
        <v>1.5272727272727273</v>
      </c>
      <c r="M134" s="5"/>
      <c r="N134" s="8">
        <v>1.5272727272727273</v>
      </c>
      <c r="O134" s="9">
        <v>3.1562467383362911</v>
      </c>
      <c r="P134" s="10" t="s">
        <v>31</v>
      </c>
      <c r="Q134" s="10">
        <f t="shared" si="15"/>
        <v>0</v>
      </c>
      <c r="R134" s="10">
        <f t="shared" si="16"/>
        <v>1</v>
      </c>
      <c r="S134" s="10">
        <f t="shared" si="17"/>
        <v>1</v>
      </c>
      <c r="T134" s="10">
        <f t="shared" si="18"/>
        <v>0</v>
      </c>
      <c r="U134" s="11" t="str">
        <f t="shared" ref="U134:U197" si="19">IF(ISNUMBER(SEARCH(U$3,$AE134)), 1,"")</f>
        <v/>
      </c>
      <c r="V134" s="11" t="str">
        <f t="shared" si="14"/>
        <v/>
      </c>
      <c r="W134" s="11" t="str">
        <f t="shared" si="14"/>
        <v/>
      </c>
      <c r="X134" s="11">
        <f t="shared" si="14"/>
        <v>1</v>
      </c>
      <c r="Y134" s="11" t="str">
        <f t="shared" si="14"/>
        <v/>
      </c>
      <c r="Z134" s="11" t="str">
        <f t="shared" si="14"/>
        <v/>
      </c>
      <c r="AA134" s="11" t="str">
        <f t="shared" si="14"/>
        <v/>
      </c>
      <c r="AB134" s="11" t="str">
        <f t="shared" si="14"/>
        <v/>
      </c>
      <c r="AC134" s="11">
        <f t="shared" si="14"/>
        <v>1</v>
      </c>
      <c r="AD134" s="11">
        <f t="shared" si="14"/>
        <v>1</v>
      </c>
      <c r="AE134" s="12" t="s">
        <v>1192</v>
      </c>
    </row>
    <row r="135" spans="1:31" ht="18" customHeight="1" thickTop="1" thickBot="1" x14ac:dyDescent="0.3">
      <c r="A135" s="4" t="s">
        <v>90</v>
      </c>
      <c r="B135" s="4" t="s">
        <v>946</v>
      </c>
      <c r="C135" s="5" t="s">
        <v>330</v>
      </c>
      <c r="D135" s="5" t="s">
        <v>26</v>
      </c>
      <c r="E135" s="5" t="s">
        <v>27</v>
      </c>
      <c r="F135" s="5" t="s">
        <v>331</v>
      </c>
      <c r="G135" s="5" t="s">
        <v>16</v>
      </c>
      <c r="H135" s="6" t="s">
        <v>326</v>
      </c>
      <c r="I135" s="7" t="s">
        <v>359</v>
      </c>
      <c r="J135" s="8" t="s">
        <v>27</v>
      </c>
      <c r="K135" s="8">
        <v>2.0674193548387096</v>
      </c>
      <c r="L135" s="8">
        <v>2.1177469394600035</v>
      </c>
      <c r="M135" s="5"/>
      <c r="N135" s="8">
        <v>2.1177469394600035</v>
      </c>
      <c r="O135" s="9">
        <v>1.0243431911883305</v>
      </c>
      <c r="P135" s="10" t="s">
        <v>31</v>
      </c>
      <c r="Q135" s="10">
        <f t="shared" si="15"/>
        <v>1</v>
      </c>
      <c r="R135" s="10">
        <f t="shared" si="16"/>
        <v>0</v>
      </c>
      <c r="S135" s="10">
        <f t="shared" si="17"/>
        <v>0</v>
      </c>
      <c r="T135" s="10">
        <f t="shared" si="18"/>
        <v>0</v>
      </c>
      <c r="U135" s="11" t="str">
        <f t="shared" si="19"/>
        <v/>
      </c>
      <c r="V135" s="11" t="str">
        <f t="shared" si="14"/>
        <v/>
      </c>
      <c r="W135" s="11" t="str">
        <f t="shared" si="14"/>
        <v/>
      </c>
      <c r="X135" s="11" t="str">
        <f t="shared" si="14"/>
        <v/>
      </c>
      <c r="Y135" s="11" t="str">
        <f t="shared" si="14"/>
        <v/>
      </c>
      <c r="Z135" s="11" t="str">
        <f t="shared" si="14"/>
        <v/>
      </c>
      <c r="AA135" s="11" t="str">
        <f t="shared" si="14"/>
        <v/>
      </c>
      <c r="AB135" s="11" t="str">
        <f t="shared" si="14"/>
        <v/>
      </c>
      <c r="AC135" s="11" t="str">
        <f t="shared" si="14"/>
        <v/>
      </c>
      <c r="AD135" s="11">
        <f t="shared" si="14"/>
        <v>1</v>
      </c>
      <c r="AE135" s="12" t="s">
        <v>1164</v>
      </c>
    </row>
    <row r="136" spans="1:31" ht="18" customHeight="1" thickTop="1" thickBot="1" x14ac:dyDescent="0.3">
      <c r="A136" s="4" t="s">
        <v>332</v>
      </c>
      <c r="B136" s="4" t="s">
        <v>947</v>
      </c>
      <c r="C136" s="5" t="s">
        <v>333</v>
      </c>
      <c r="D136" s="5" t="s">
        <v>26</v>
      </c>
      <c r="E136" s="5" t="s">
        <v>36</v>
      </c>
      <c r="F136" s="5" t="s">
        <v>334</v>
      </c>
      <c r="G136" s="5" t="s">
        <v>16</v>
      </c>
      <c r="H136" s="6" t="s">
        <v>326</v>
      </c>
      <c r="I136" s="7" t="s">
        <v>387</v>
      </c>
      <c r="J136" s="8">
        <v>1.0833333333333333</v>
      </c>
      <c r="K136" s="8">
        <v>1.0666666666666667</v>
      </c>
      <c r="L136" s="8">
        <v>0.93447072508724316</v>
      </c>
      <c r="M136" s="5"/>
      <c r="N136" s="8">
        <v>0.93447072508724316</v>
      </c>
      <c r="O136" s="9">
        <v>0.87606630476929048</v>
      </c>
      <c r="P136" s="10" t="s">
        <v>27</v>
      </c>
      <c r="Q136" s="10">
        <f t="shared" si="15"/>
        <v>0</v>
      </c>
      <c r="R136" s="10">
        <f t="shared" si="16"/>
        <v>0</v>
      </c>
      <c r="S136" s="10">
        <f t="shared" si="17"/>
        <v>0</v>
      </c>
      <c r="T136" s="10">
        <f t="shared" si="18"/>
        <v>0</v>
      </c>
      <c r="U136" s="11" t="str">
        <f t="shared" si="19"/>
        <v/>
      </c>
      <c r="V136" s="11" t="str">
        <f t="shared" si="14"/>
        <v/>
      </c>
      <c r="W136" s="11" t="str">
        <f t="shared" si="14"/>
        <v/>
      </c>
      <c r="X136" s="11" t="str">
        <f t="shared" si="14"/>
        <v/>
      </c>
      <c r="Y136" s="11" t="str">
        <f t="shared" si="14"/>
        <v/>
      </c>
      <c r="Z136" s="11" t="str">
        <f t="shared" si="14"/>
        <v/>
      </c>
      <c r="AA136" s="11" t="str">
        <f t="shared" si="14"/>
        <v/>
      </c>
      <c r="AB136" s="11" t="str">
        <f t="shared" si="14"/>
        <v/>
      </c>
      <c r="AC136" s="11" t="str">
        <f t="shared" si="14"/>
        <v/>
      </c>
      <c r="AD136" s="11" t="str">
        <f t="shared" si="14"/>
        <v/>
      </c>
      <c r="AE136" s="12" t="s">
        <v>27</v>
      </c>
    </row>
    <row r="137" spans="1:31" ht="18" customHeight="1" thickTop="1" thickBot="1" x14ac:dyDescent="0.3">
      <c r="A137" s="4" t="s">
        <v>332</v>
      </c>
      <c r="B137" s="4" t="s">
        <v>947</v>
      </c>
      <c r="C137" s="5" t="s">
        <v>333</v>
      </c>
      <c r="D137" s="5" t="s">
        <v>26</v>
      </c>
      <c r="E137" s="5" t="s">
        <v>40</v>
      </c>
      <c r="F137" s="5" t="s">
        <v>335</v>
      </c>
      <c r="G137" s="5" t="s">
        <v>16</v>
      </c>
      <c r="H137" s="6" t="s">
        <v>336</v>
      </c>
      <c r="I137" s="7" t="s">
        <v>387</v>
      </c>
      <c r="J137" s="8" t="s">
        <v>27</v>
      </c>
      <c r="K137" s="8">
        <v>1.0055555555555555</v>
      </c>
      <c r="L137" s="8">
        <v>1.0984848484848486</v>
      </c>
      <c r="M137" s="5"/>
      <c r="N137" s="8">
        <v>1.0984848484848486</v>
      </c>
      <c r="O137" s="9">
        <v>1.0924158714213963</v>
      </c>
      <c r="P137" s="10" t="s">
        <v>27</v>
      </c>
      <c r="Q137" s="10">
        <f t="shared" si="15"/>
        <v>0</v>
      </c>
      <c r="R137" s="10">
        <f t="shared" si="16"/>
        <v>0</v>
      </c>
      <c r="S137" s="10">
        <f t="shared" si="17"/>
        <v>0</v>
      </c>
      <c r="T137" s="10">
        <f t="shared" si="18"/>
        <v>0</v>
      </c>
      <c r="U137" s="11" t="str">
        <f t="shared" si="19"/>
        <v/>
      </c>
      <c r="V137" s="11" t="str">
        <f t="shared" si="14"/>
        <v/>
      </c>
      <c r="W137" s="11" t="str">
        <f t="shared" si="14"/>
        <v/>
      </c>
      <c r="X137" s="11" t="str">
        <f t="shared" si="14"/>
        <v/>
      </c>
      <c r="Y137" s="11" t="str">
        <f t="shared" si="14"/>
        <v/>
      </c>
      <c r="Z137" s="11" t="str">
        <f t="shared" si="14"/>
        <v/>
      </c>
      <c r="AA137" s="11" t="str">
        <f t="shared" si="14"/>
        <v/>
      </c>
      <c r="AB137" s="11" t="str">
        <f t="shared" si="14"/>
        <v/>
      </c>
      <c r="AC137" s="11" t="str">
        <f t="shared" si="14"/>
        <v/>
      </c>
      <c r="AD137" s="11" t="str">
        <f t="shared" si="14"/>
        <v/>
      </c>
      <c r="AE137" s="12" t="s">
        <v>27</v>
      </c>
    </row>
    <row r="138" spans="1:31" ht="18" customHeight="1" thickTop="1" thickBot="1" x14ac:dyDescent="0.3">
      <c r="A138" s="4" t="s">
        <v>133</v>
      </c>
      <c r="B138" s="4" t="s">
        <v>947</v>
      </c>
      <c r="C138" s="5" t="s">
        <v>337</v>
      </c>
      <c r="D138" s="5" t="s">
        <v>26</v>
      </c>
      <c r="E138" s="5" t="s">
        <v>36</v>
      </c>
      <c r="F138" s="5" t="s">
        <v>338</v>
      </c>
      <c r="G138" s="5" t="s">
        <v>16</v>
      </c>
      <c r="H138" s="6" t="s">
        <v>339</v>
      </c>
      <c r="I138" s="7" t="s">
        <v>359</v>
      </c>
      <c r="J138" s="8">
        <v>2.4</v>
      </c>
      <c r="K138" s="8">
        <v>1</v>
      </c>
      <c r="L138" s="8">
        <v>0.7396694214876034</v>
      </c>
      <c r="M138" s="5"/>
      <c r="N138" s="8">
        <v>0.7396694214876034</v>
      </c>
      <c r="O138" s="9">
        <v>0.7396694214876034</v>
      </c>
      <c r="P138" s="10" t="s">
        <v>27</v>
      </c>
      <c r="Q138" s="10">
        <f t="shared" si="15"/>
        <v>0</v>
      </c>
      <c r="R138" s="10">
        <f t="shared" si="16"/>
        <v>0</v>
      </c>
      <c r="S138" s="10">
        <f t="shared" si="17"/>
        <v>0</v>
      </c>
      <c r="T138" s="10">
        <f t="shared" si="18"/>
        <v>0</v>
      </c>
      <c r="U138" s="11" t="str">
        <f t="shared" si="19"/>
        <v/>
      </c>
      <c r="V138" s="11" t="str">
        <f t="shared" si="14"/>
        <v/>
      </c>
      <c r="W138" s="11" t="str">
        <f t="shared" si="14"/>
        <v/>
      </c>
      <c r="X138" s="11" t="str">
        <f t="shared" si="14"/>
        <v/>
      </c>
      <c r="Y138" s="11" t="str">
        <f t="shared" si="14"/>
        <v/>
      </c>
      <c r="Z138" s="11" t="str">
        <f t="shared" si="14"/>
        <v/>
      </c>
      <c r="AA138" s="11" t="str">
        <f t="shared" si="14"/>
        <v/>
      </c>
      <c r="AB138" s="11" t="str">
        <f t="shared" si="14"/>
        <v/>
      </c>
      <c r="AC138" s="11" t="str">
        <f t="shared" si="14"/>
        <v/>
      </c>
      <c r="AD138" s="11" t="str">
        <f t="shared" si="14"/>
        <v/>
      </c>
      <c r="AE138" s="12" t="s">
        <v>27</v>
      </c>
    </row>
    <row r="139" spans="1:31" ht="18" customHeight="1" thickTop="1" thickBot="1" x14ac:dyDescent="0.3">
      <c r="A139" s="4" t="s">
        <v>133</v>
      </c>
      <c r="B139" s="4" t="s">
        <v>947</v>
      </c>
      <c r="C139" s="5" t="s">
        <v>337</v>
      </c>
      <c r="D139" s="5" t="s">
        <v>26</v>
      </c>
      <c r="E139" s="5" t="s">
        <v>40</v>
      </c>
      <c r="F139" s="5" t="s">
        <v>340</v>
      </c>
      <c r="G139" s="5" t="s">
        <v>16</v>
      </c>
      <c r="H139" s="6" t="s">
        <v>339</v>
      </c>
      <c r="I139" s="7" t="s">
        <v>359</v>
      </c>
      <c r="J139" s="8">
        <v>1.5</v>
      </c>
      <c r="K139" s="8">
        <v>1</v>
      </c>
      <c r="L139" s="8">
        <v>0.97572815533980572</v>
      </c>
      <c r="M139" s="5"/>
      <c r="N139" s="8">
        <v>0.97572815533980572</v>
      </c>
      <c r="O139" s="9">
        <v>0.97572815533980572</v>
      </c>
      <c r="P139" s="10" t="s">
        <v>27</v>
      </c>
      <c r="Q139" s="10">
        <f t="shared" si="15"/>
        <v>0</v>
      </c>
      <c r="R139" s="10">
        <f t="shared" si="16"/>
        <v>0</v>
      </c>
      <c r="S139" s="10">
        <f t="shared" si="17"/>
        <v>0</v>
      </c>
      <c r="T139" s="10">
        <f t="shared" si="18"/>
        <v>0</v>
      </c>
      <c r="U139" s="11" t="str">
        <f t="shared" si="19"/>
        <v/>
      </c>
      <c r="V139" s="11" t="str">
        <f t="shared" si="14"/>
        <v/>
      </c>
      <c r="W139" s="11" t="str">
        <f t="shared" si="14"/>
        <v/>
      </c>
      <c r="X139" s="11" t="str">
        <f t="shared" si="14"/>
        <v/>
      </c>
      <c r="Y139" s="11" t="str">
        <f t="shared" si="14"/>
        <v/>
      </c>
      <c r="Z139" s="11" t="str">
        <f t="shared" si="14"/>
        <v/>
      </c>
      <c r="AA139" s="11" t="str">
        <f t="shared" si="14"/>
        <v/>
      </c>
      <c r="AB139" s="11" t="str">
        <f t="shared" si="14"/>
        <v/>
      </c>
      <c r="AC139" s="11" t="str">
        <f t="shared" si="14"/>
        <v/>
      </c>
      <c r="AD139" s="11" t="str">
        <f t="shared" si="14"/>
        <v/>
      </c>
      <c r="AE139" s="12" t="s">
        <v>27</v>
      </c>
    </row>
    <row r="140" spans="1:31" ht="18" customHeight="1" thickTop="1" thickBot="1" x14ac:dyDescent="0.3">
      <c r="A140" s="4" t="s">
        <v>133</v>
      </c>
      <c r="B140" s="4" t="s">
        <v>947</v>
      </c>
      <c r="C140" s="5" t="s">
        <v>337</v>
      </c>
      <c r="D140" s="5" t="s">
        <v>26</v>
      </c>
      <c r="E140" s="5" t="s">
        <v>69</v>
      </c>
      <c r="F140" s="5" t="s">
        <v>341</v>
      </c>
      <c r="G140" s="5" t="s">
        <v>16</v>
      </c>
      <c r="H140" s="6" t="s">
        <v>339</v>
      </c>
      <c r="I140" s="7" t="s">
        <v>359</v>
      </c>
      <c r="J140" s="8">
        <v>1.2</v>
      </c>
      <c r="K140" s="8">
        <v>1</v>
      </c>
      <c r="L140" s="8">
        <v>0.83268482490272389</v>
      </c>
      <c r="M140" s="5"/>
      <c r="N140" s="8">
        <v>0.83268482490272389</v>
      </c>
      <c r="O140" s="9">
        <v>0.83268482490272389</v>
      </c>
      <c r="P140" s="10" t="s">
        <v>27</v>
      </c>
      <c r="Q140" s="10">
        <f t="shared" si="15"/>
        <v>0</v>
      </c>
      <c r="R140" s="10">
        <f t="shared" si="16"/>
        <v>0</v>
      </c>
      <c r="S140" s="10">
        <f t="shared" si="17"/>
        <v>0</v>
      </c>
      <c r="T140" s="10">
        <f t="shared" si="18"/>
        <v>0</v>
      </c>
      <c r="U140" s="11" t="str">
        <f t="shared" si="19"/>
        <v/>
      </c>
      <c r="V140" s="11" t="str">
        <f t="shared" si="14"/>
        <v/>
      </c>
      <c r="W140" s="11" t="str">
        <f t="shared" si="14"/>
        <v/>
      </c>
      <c r="X140" s="11" t="str">
        <f t="shared" si="14"/>
        <v/>
      </c>
      <c r="Y140" s="11" t="str">
        <f t="shared" si="14"/>
        <v/>
      </c>
      <c r="Z140" s="11" t="str">
        <f t="shared" si="14"/>
        <v/>
      </c>
      <c r="AA140" s="11" t="str">
        <f t="shared" si="14"/>
        <v/>
      </c>
      <c r="AB140" s="11" t="str">
        <f t="shared" si="14"/>
        <v/>
      </c>
      <c r="AC140" s="11" t="str">
        <f t="shared" si="14"/>
        <v/>
      </c>
      <c r="AD140" s="11" t="str">
        <f t="shared" si="14"/>
        <v/>
      </c>
      <c r="AE140" s="12" t="s">
        <v>27</v>
      </c>
    </row>
    <row r="141" spans="1:31" ht="18" customHeight="1" thickTop="1" thickBot="1" x14ac:dyDescent="0.3">
      <c r="A141" s="4" t="s">
        <v>133</v>
      </c>
      <c r="B141" s="4" t="s">
        <v>947</v>
      </c>
      <c r="C141" s="5" t="s">
        <v>337</v>
      </c>
      <c r="D141" s="5" t="s">
        <v>42</v>
      </c>
      <c r="E141" s="5" t="s">
        <v>36</v>
      </c>
      <c r="F141" s="5" t="s">
        <v>342</v>
      </c>
      <c r="G141" s="5" t="s">
        <v>16</v>
      </c>
      <c r="H141" s="6" t="s">
        <v>339</v>
      </c>
      <c r="I141" s="7" t="s">
        <v>359</v>
      </c>
      <c r="J141" s="8">
        <v>1.0909090909090908</v>
      </c>
      <c r="K141" s="8">
        <v>1</v>
      </c>
      <c r="L141" s="8">
        <v>0.58704453441295545</v>
      </c>
      <c r="M141" s="5"/>
      <c r="N141" s="8">
        <v>0.58704453441295545</v>
      </c>
      <c r="O141" s="9">
        <v>0.58704453441295534</v>
      </c>
      <c r="P141" s="10" t="s">
        <v>27</v>
      </c>
      <c r="Q141" s="10">
        <f t="shared" si="15"/>
        <v>0</v>
      </c>
      <c r="R141" s="10">
        <f t="shared" si="16"/>
        <v>0</v>
      </c>
      <c r="S141" s="10">
        <f t="shared" si="17"/>
        <v>0</v>
      </c>
      <c r="T141" s="10">
        <f t="shared" si="18"/>
        <v>0</v>
      </c>
      <c r="U141" s="11" t="str">
        <f t="shared" si="19"/>
        <v/>
      </c>
      <c r="V141" s="11" t="str">
        <f t="shared" si="14"/>
        <v/>
      </c>
      <c r="W141" s="11" t="str">
        <f t="shared" si="14"/>
        <v/>
      </c>
      <c r="X141" s="11" t="str">
        <f t="shared" si="14"/>
        <v/>
      </c>
      <c r="Y141" s="11" t="str">
        <f t="shared" si="14"/>
        <v/>
      </c>
      <c r="Z141" s="11" t="str">
        <f t="shared" si="14"/>
        <v/>
      </c>
      <c r="AA141" s="11" t="str">
        <f t="shared" si="14"/>
        <v/>
      </c>
      <c r="AB141" s="11" t="str">
        <f t="shared" si="14"/>
        <v/>
      </c>
      <c r="AC141" s="11" t="str">
        <f t="shared" si="14"/>
        <v/>
      </c>
      <c r="AD141" s="11" t="str">
        <f t="shared" si="14"/>
        <v/>
      </c>
      <c r="AE141" s="12" t="s">
        <v>27</v>
      </c>
    </row>
    <row r="142" spans="1:31" ht="18" customHeight="1" thickTop="1" thickBot="1" x14ac:dyDescent="0.3">
      <c r="A142" s="4" t="s">
        <v>133</v>
      </c>
      <c r="B142" s="4" t="s">
        <v>947</v>
      </c>
      <c r="C142" s="5" t="s">
        <v>337</v>
      </c>
      <c r="D142" s="5" t="s">
        <v>42</v>
      </c>
      <c r="E142" s="5" t="s">
        <v>40</v>
      </c>
      <c r="F142" s="5" t="s">
        <v>343</v>
      </c>
      <c r="G142" s="5" t="s">
        <v>16</v>
      </c>
      <c r="H142" s="6" t="s">
        <v>339</v>
      </c>
      <c r="I142" s="7" t="s">
        <v>359</v>
      </c>
      <c r="J142" s="8">
        <v>2</v>
      </c>
      <c r="K142" s="8">
        <v>1</v>
      </c>
      <c r="L142" s="8">
        <v>0.88127853881278539</v>
      </c>
      <c r="M142" s="5"/>
      <c r="N142" s="8">
        <v>0.88127853881278539</v>
      </c>
      <c r="O142" s="9">
        <v>0.88127853881278528</v>
      </c>
      <c r="P142" s="10" t="s">
        <v>27</v>
      </c>
      <c r="Q142" s="10">
        <f t="shared" si="15"/>
        <v>0</v>
      </c>
      <c r="R142" s="10">
        <f t="shared" si="16"/>
        <v>0</v>
      </c>
      <c r="S142" s="10">
        <f t="shared" si="17"/>
        <v>0</v>
      </c>
      <c r="T142" s="10">
        <f t="shared" si="18"/>
        <v>0</v>
      </c>
      <c r="U142" s="11" t="str">
        <f t="shared" si="19"/>
        <v/>
      </c>
      <c r="V142" s="11" t="str">
        <f t="shared" si="14"/>
        <v/>
      </c>
      <c r="W142" s="11" t="str">
        <f t="shared" si="14"/>
        <v/>
      </c>
      <c r="X142" s="11" t="str">
        <f t="shared" si="14"/>
        <v/>
      </c>
      <c r="Y142" s="11" t="str">
        <f t="shared" si="14"/>
        <v/>
      </c>
      <c r="Z142" s="11" t="str">
        <f t="shared" si="14"/>
        <v/>
      </c>
      <c r="AA142" s="11" t="str">
        <f t="shared" si="14"/>
        <v/>
      </c>
      <c r="AB142" s="11" t="str">
        <f t="shared" si="14"/>
        <v/>
      </c>
      <c r="AC142" s="11" t="str">
        <f t="shared" si="14"/>
        <v/>
      </c>
      <c r="AD142" s="11" t="str">
        <f t="shared" si="14"/>
        <v/>
      </c>
      <c r="AE142" s="12" t="s">
        <v>27</v>
      </c>
    </row>
    <row r="143" spans="1:31" ht="18" customHeight="1" thickTop="1" thickBot="1" x14ac:dyDescent="0.3">
      <c r="A143" s="4" t="s">
        <v>133</v>
      </c>
      <c r="B143" s="4" t="s">
        <v>947</v>
      </c>
      <c r="C143" s="5" t="s">
        <v>337</v>
      </c>
      <c r="D143" s="5" t="s">
        <v>42</v>
      </c>
      <c r="E143" s="5" t="s">
        <v>69</v>
      </c>
      <c r="F143" s="5" t="s">
        <v>344</v>
      </c>
      <c r="G143" s="5" t="s">
        <v>16</v>
      </c>
      <c r="H143" s="6" t="s">
        <v>339</v>
      </c>
      <c r="I143" s="7" t="s">
        <v>359</v>
      </c>
      <c r="J143" s="8">
        <v>0.92307692307692313</v>
      </c>
      <c r="K143" s="8">
        <v>1</v>
      </c>
      <c r="L143" s="8">
        <v>0.89206349206349211</v>
      </c>
      <c r="M143" s="5"/>
      <c r="N143" s="8">
        <v>0.89206349206349211</v>
      </c>
      <c r="O143" s="9">
        <v>0.89206349206349211</v>
      </c>
      <c r="P143" s="10" t="s">
        <v>27</v>
      </c>
      <c r="Q143" s="10">
        <f t="shared" si="15"/>
        <v>0</v>
      </c>
      <c r="R143" s="10">
        <f t="shared" si="16"/>
        <v>0</v>
      </c>
      <c r="S143" s="10">
        <f t="shared" si="17"/>
        <v>0</v>
      </c>
      <c r="T143" s="10">
        <f t="shared" si="18"/>
        <v>0</v>
      </c>
      <c r="U143" s="11" t="str">
        <f t="shared" si="19"/>
        <v/>
      </c>
      <c r="V143" s="11" t="str">
        <f t="shared" si="14"/>
        <v/>
      </c>
      <c r="W143" s="11" t="str">
        <f t="shared" si="14"/>
        <v/>
      </c>
      <c r="X143" s="11" t="str">
        <f t="shared" si="14"/>
        <v/>
      </c>
      <c r="Y143" s="11" t="str">
        <f t="shared" si="14"/>
        <v/>
      </c>
      <c r="Z143" s="11" t="str">
        <f t="shared" si="14"/>
        <v/>
      </c>
      <c r="AA143" s="11" t="str">
        <f t="shared" si="14"/>
        <v/>
      </c>
      <c r="AB143" s="11" t="str">
        <f t="shared" si="14"/>
        <v/>
      </c>
      <c r="AC143" s="11" t="str">
        <f t="shared" si="14"/>
        <v/>
      </c>
      <c r="AD143" s="11" t="str">
        <f t="shared" si="14"/>
        <v/>
      </c>
      <c r="AE143" s="12" t="s">
        <v>27</v>
      </c>
    </row>
    <row r="144" spans="1:31" ht="18" customHeight="1" thickTop="1" thickBot="1" x14ac:dyDescent="0.3">
      <c r="A144" s="4" t="s">
        <v>133</v>
      </c>
      <c r="B144" s="4" t="s">
        <v>947</v>
      </c>
      <c r="C144" s="5" t="s">
        <v>337</v>
      </c>
      <c r="D144" s="5" t="s">
        <v>42</v>
      </c>
      <c r="E144" s="5" t="s">
        <v>71</v>
      </c>
      <c r="F144" s="5" t="s">
        <v>345</v>
      </c>
      <c r="G144" s="5" t="s">
        <v>16</v>
      </c>
      <c r="H144" s="6" t="s">
        <v>339</v>
      </c>
      <c r="I144" s="7" t="s">
        <v>359</v>
      </c>
      <c r="J144" s="8">
        <v>1.7142857142857142</v>
      </c>
      <c r="K144" s="8">
        <v>1</v>
      </c>
      <c r="L144" s="8">
        <v>1.3971291866028708</v>
      </c>
      <c r="M144" s="5"/>
      <c r="N144" s="8">
        <v>1.3971291866028708</v>
      </c>
      <c r="O144" s="9">
        <v>1.397129186602871</v>
      </c>
      <c r="P144" s="10" t="s">
        <v>27</v>
      </c>
      <c r="Q144" s="10">
        <f t="shared" si="15"/>
        <v>0</v>
      </c>
      <c r="R144" s="10">
        <f t="shared" si="16"/>
        <v>0</v>
      </c>
      <c r="S144" s="10">
        <f t="shared" si="17"/>
        <v>0</v>
      </c>
      <c r="T144" s="10">
        <f t="shared" si="18"/>
        <v>0</v>
      </c>
      <c r="U144" s="11" t="str">
        <f t="shared" si="19"/>
        <v/>
      </c>
      <c r="V144" s="11" t="str">
        <f t="shared" si="14"/>
        <v/>
      </c>
      <c r="W144" s="11" t="str">
        <f t="shared" si="14"/>
        <v/>
      </c>
      <c r="X144" s="11" t="str">
        <f t="shared" si="14"/>
        <v/>
      </c>
      <c r="Y144" s="11" t="str">
        <f t="shared" si="14"/>
        <v/>
      </c>
      <c r="Z144" s="11" t="str">
        <f t="shared" si="14"/>
        <v/>
      </c>
      <c r="AA144" s="11" t="str">
        <f t="shared" si="14"/>
        <v/>
      </c>
      <c r="AB144" s="11" t="str">
        <f t="shared" si="14"/>
        <v/>
      </c>
      <c r="AC144" s="11" t="str">
        <f t="shared" si="14"/>
        <v/>
      </c>
      <c r="AD144" s="11" t="str">
        <f t="shared" si="14"/>
        <v/>
      </c>
      <c r="AE144" s="12" t="s">
        <v>27</v>
      </c>
    </row>
    <row r="145" spans="1:31" ht="18" customHeight="1" thickTop="1" thickBot="1" x14ac:dyDescent="0.3">
      <c r="A145" s="4" t="s">
        <v>133</v>
      </c>
      <c r="B145" s="4" t="s">
        <v>947</v>
      </c>
      <c r="C145" s="5" t="s">
        <v>337</v>
      </c>
      <c r="D145" s="5" t="s">
        <v>42</v>
      </c>
      <c r="E145" s="5" t="s">
        <v>141</v>
      </c>
      <c r="F145" s="5" t="s">
        <v>346</v>
      </c>
      <c r="G145" s="5" t="s">
        <v>16</v>
      </c>
      <c r="H145" s="6" t="s">
        <v>339</v>
      </c>
      <c r="I145" s="7" t="s">
        <v>359</v>
      </c>
      <c r="J145" s="8">
        <v>1</v>
      </c>
      <c r="K145" s="8">
        <v>1</v>
      </c>
      <c r="L145" s="8">
        <v>1.0895522388059702</v>
      </c>
      <c r="M145" s="5"/>
      <c r="N145" s="8">
        <v>1.0895522388059702</v>
      </c>
      <c r="O145" s="9">
        <v>1.0895522388059702</v>
      </c>
      <c r="P145" s="10" t="s">
        <v>27</v>
      </c>
      <c r="Q145" s="10">
        <f t="shared" si="15"/>
        <v>0</v>
      </c>
      <c r="R145" s="10">
        <f t="shared" si="16"/>
        <v>0</v>
      </c>
      <c r="S145" s="10">
        <f t="shared" si="17"/>
        <v>0</v>
      </c>
      <c r="T145" s="10">
        <f t="shared" si="18"/>
        <v>0</v>
      </c>
      <c r="U145" s="11" t="str">
        <f t="shared" si="19"/>
        <v/>
      </c>
      <c r="V145" s="11" t="str">
        <f t="shared" si="14"/>
        <v/>
      </c>
      <c r="W145" s="11" t="str">
        <f t="shared" si="14"/>
        <v/>
      </c>
      <c r="X145" s="11" t="str">
        <f t="shared" si="14"/>
        <v/>
      </c>
      <c r="Y145" s="11" t="str">
        <f t="shared" si="14"/>
        <v/>
      </c>
      <c r="Z145" s="11" t="str">
        <f t="shared" si="14"/>
        <v/>
      </c>
      <c r="AA145" s="11" t="str">
        <f t="shared" si="14"/>
        <v/>
      </c>
      <c r="AB145" s="11" t="str">
        <f t="shared" si="14"/>
        <v/>
      </c>
      <c r="AC145" s="11" t="str">
        <f t="shared" si="14"/>
        <v/>
      </c>
      <c r="AD145" s="11" t="str">
        <f t="shared" si="14"/>
        <v/>
      </c>
      <c r="AE145" s="12" t="s">
        <v>27</v>
      </c>
    </row>
    <row r="146" spans="1:31" ht="18" customHeight="1" thickTop="1" thickBot="1" x14ac:dyDescent="0.3">
      <c r="A146" s="4" t="s">
        <v>133</v>
      </c>
      <c r="B146" s="4" t="s">
        <v>947</v>
      </c>
      <c r="C146" s="5" t="s">
        <v>337</v>
      </c>
      <c r="D146" s="5" t="s">
        <v>42</v>
      </c>
      <c r="E146" s="5" t="s">
        <v>143</v>
      </c>
      <c r="F146" s="5" t="s">
        <v>347</v>
      </c>
      <c r="G146" s="5" t="s">
        <v>16</v>
      </c>
      <c r="H146" s="6" t="s">
        <v>339</v>
      </c>
      <c r="I146" s="7" t="s">
        <v>359</v>
      </c>
      <c r="J146" s="8">
        <v>1.2</v>
      </c>
      <c r="K146" s="8">
        <v>1</v>
      </c>
      <c r="L146" s="8">
        <v>0.64313725490196083</v>
      </c>
      <c r="M146" s="5"/>
      <c r="N146" s="8">
        <v>0.64313725490196083</v>
      </c>
      <c r="O146" s="9">
        <v>0.64313725490196072</v>
      </c>
      <c r="P146" s="10" t="s">
        <v>27</v>
      </c>
      <c r="Q146" s="10">
        <f t="shared" si="15"/>
        <v>0</v>
      </c>
      <c r="R146" s="10">
        <f t="shared" si="16"/>
        <v>0</v>
      </c>
      <c r="S146" s="10">
        <f t="shared" si="17"/>
        <v>0</v>
      </c>
      <c r="T146" s="10">
        <f t="shared" si="18"/>
        <v>0</v>
      </c>
      <c r="U146" s="11" t="str">
        <f t="shared" si="19"/>
        <v/>
      </c>
      <c r="V146" s="11" t="str">
        <f t="shared" si="14"/>
        <v/>
      </c>
      <c r="W146" s="11" t="str">
        <f t="shared" si="14"/>
        <v/>
      </c>
      <c r="X146" s="11" t="str">
        <f t="shared" si="14"/>
        <v/>
      </c>
      <c r="Y146" s="11" t="str">
        <f t="shared" si="14"/>
        <v/>
      </c>
      <c r="Z146" s="11" t="str">
        <f t="shared" si="14"/>
        <v/>
      </c>
      <c r="AA146" s="11" t="str">
        <f t="shared" si="14"/>
        <v/>
      </c>
      <c r="AB146" s="11" t="str">
        <f t="shared" si="14"/>
        <v/>
      </c>
      <c r="AC146" s="11" t="str">
        <f t="shared" si="14"/>
        <v/>
      </c>
      <c r="AD146" s="11" t="str">
        <f t="shared" si="14"/>
        <v/>
      </c>
      <c r="AE146" s="12" t="s">
        <v>27</v>
      </c>
    </row>
    <row r="147" spans="1:31" ht="18" customHeight="1" thickTop="1" thickBot="1" x14ac:dyDescent="0.3">
      <c r="A147" s="4" t="s">
        <v>133</v>
      </c>
      <c r="B147" s="4" t="s">
        <v>947</v>
      </c>
      <c r="C147" s="5" t="s">
        <v>337</v>
      </c>
      <c r="D147" s="5" t="s">
        <v>42</v>
      </c>
      <c r="E147" s="5" t="s">
        <v>245</v>
      </c>
      <c r="F147" s="5" t="s">
        <v>348</v>
      </c>
      <c r="G147" s="5" t="s">
        <v>16</v>
      </c>
      <c r="H147" s="6" t="s">
        <v>339</v>
      </c>
      <c r="I147" s="7" t="s">
        <v>359</v>
      </c>
      <c r="J147" s="8">
        <v>1.5</v>
      </c>
      <c r="K147" s="8">
        <v>1</v>
      </c>
      <c r="L147" s="8">
        <v>0.95631067961165039</v>
      </c>
      <c r="M147" s="5"/>
      <c r="N147" s="8">
        <v>0.95631067961165039</v>
      </c>
      <c r="O147" s="9">
        <v>0.95631067961165039</v>
      </c>
      <c r="P147" s="10" t="s">
        <v>27</v>
      </c>
      <c r="Q147" s="10">
        <f t="shared" si="15"/>
        <v>0</v>
      </c>
      <c r="R147" s="10">
        <f t="shared" si="16"/>
        <v>0</v>
      </c>
      <c r="S147" s="10">
        <f t="shared" si="17"/>
        <v>0</v>
      </c>
      <c r="T147" s="10">
        <f t="shared" si="18"/>
        <v>0</v>
      </c>
      <c r="U147" s="11" t="str">
        <f t="shared" si="19"/>
        <v/>
      </c>
      <c r="V147" s="11" t="str">
        <f t="shared" si="14"/>
        <v/>
      </c>
      <c r="W147" s="11" t="str">
        <f t="shared" si="14"/>
        <v/>
      </c>
      <c r="X147" s="11" t="str">
        <f t="shared" si="14"/>
        <v/>
      </c>
      <c r="Y147" s="11" t="str">
        <f t="shared" si="14"/>
        <v/>
      </c>
      <c r="Z147" s="11" t="str">
        <f t="shared" si="14"/>
        <v/>
      </c>
      <c r="AA147" s="11" t="str">
        <f t="shared" si="14"/>
        <v/>
      </c>
      <c r="AB147" s="11" t="str">
        <f t="shared" si="14"/>
        <v/>
      </c>
      <c r="AC147" s="11" t="str">
        <f t="shared" si="14"/>
        <v/>
      </c>
      <c r="AD147" s="11" t="str">
        <f t="shared" si="14"/>
        <v/>
      </c>
      <c r="AE147" s="12" t="s">
        <v>27</v>
      </c>
    </row>
    <row r="148" spans="1:31" ht="18" customHeight="1" thickTop="1" thickBot="1" x14ac:dyDescent="0.3">
      <c r="A148" s="4" t="s">
        <v>133</v>
      </c>
      <c r="B148" s="4" t="s">
        <v>947</v>
      </c>
      <c r="C148" s="5" t="s">
        <v>337</v>
      </c>
      <c r="D148" s="5" t="s">
        <v>42</v>
      </c>
      <c r="E148" s="5" t="s">
        <v>247</v>
      </c>
      <c r="F148" s="5" t="s">
        <v>349</v>
      </c>
      <c r="G148" s="5" t="s">
        <v>16</v>
      </c>
      <c r="H148" s="6" t="s">
        <v>339</v>
      </c>
      <c r="I148" s="7" t="s">
        <v>359</v>
      </c>
      <c r="J148" s="8">
        <v>2</v>
      </c>
      <c r="K148" s="8">
        <v>1</v>
      </c>
      <c r="L148" s="8">
        <v>0.69354838709677413</v>
      </c>
      <c r="M148" s="5"/>
      <c r="N148" s="8">
        <v>0.69354838709677413</v>
      </c>
      <c r="O148" s="9">
        <v>0.69354838709677424</v>
      </c>
      <c r="P148" s="10" t="s">
        <v>27</v>
      </c>
      <c r="Q148" s="10">
        <f t="shared" si="15"/>
        <v>0</v>
      </c>
      <c r="R148" s="10">
        <f t="shared" si="16"/>
        <v>0</v>
      </c>
      <c r="S148" s="10">
        <f t="shared" si="17"/>
        <v>0</v>
      </c>
      <c r="T148" s="10">
        <f t="shared" si="18"/>
        <v>0</v>
      </c>
      <c r="U148" s="11" t="str">
        <f t="shared" si="19"/>
        <v/>
      </c>
      <c r="V148" s="11" t="str">
        <f t="shared" si="14"/>
        <v/>
      </c>
      <c r="W148" s="11" t="str">
        <f t="shared" si="14"/>
        <v/>
      </c>
      <c r="X148" s="11" t="str">
        <f t="shared" si="14"/>
        <v/>
      </c>
      <c r="Y148" s="11" t="str">
        <f t="shared" si="14"/>
        <v/>
      </c>
      <c r="Z148" s="11" t="str">
        <f t="shared" si="14"/>
        <v/>
      </c>
      <c r="AA148" s="11" t="str">
        <f t="shared" si="14"/>
        <v/>
      </c>
      <c r="AB148" s="11" t="str">
        <f t="shared" si="14"/>
        <v/>
      </c>
      <c r="AC148" s="11" t="str">
        <f t="shared" si="14"/>
        <v/>
      </c>
      <c r="AD148" s="11" t="str">
        <f t="shared" si="14"/>
        <v/>
      </c>
      <c r="AE148" s="12" t="s">
        <v>27</v>
      </c>
    </row>
    <row r="149" spans="1:31" ht="18" customHeight="1" thickTop="1" thickBot="1" x14ac:dyDescent="0.3">
      <c r="A149" s="4" t="s">
        <v>350</v>
      </c>
      <c r="B149" s="4" t="s">
        <v>947</v>
      </c>
      <c r="C149" s="5" t="s">
        <v>351</v>
      </c>
      <c r="D149" s="5" t="s">
        <v>26</v>
      </c>
      <c r="E149" s="5" t="s">
        <v>27</v>
      </c>
      <c r="F149" s="5" t="s">
        <v>352</v>
      </c>
      <c r="G149" s="5" t="s">
        <v>16</v>
      </c>
      <c r="H149" s="6" t="s">
        <v>353</v>
      </c>
      <c r="I149" s="7" t="s">
        <v>359</v>
      </c>
      <c r="J149" s="8">
        <v>6.1428571428571432</v>
      </c>
      <c r="K149" s="8">
        <v>4.4689378757515028</v>
      </c>
      <c r="L149" s="8">
        <v>4.3025175645756457</v>
      </c>
      <c r="M149" s="5"/>
      <c r="N149" s="8">
        <v>4.3025175645756457</v>
      </c>
      <c r="O149" s="9">
        <v>0.96276065682656797</v>
      </c>
      <c r="P149" s="10" t="s">
        <v>31</v>
      </c>
      <c r="Q149" s="10">
        <f t="shared" si="15"/>
        <v>1</v>
      </c>
      <c r="R149" s="10">
        <f t="shared" si="16"/>
        <v>0</v>
      </c>
      <c r="S149" s="10">
        <f t="shared" si="17"/>
        <v>0</v>
      </c>
      <c r="T149" s="10">
        <f t="shared" si="18"/>
        <v>0</v>
      </c>
      <c r="U149" s="11" t="str">
        <f t="shared" si="19"/>
        <v/>
      </c>
      <c r="V149" s="11" t="str">
        <f t="shared" si="14"/>
        <v/>
      </c>
      <c r="W149" s="11" t="str">
        <f t="shared" si="14"/>
        <v/>
      </c>
      <c r="X149" s="11" t="str">
        <f t="shared" si="14"/>
        <v/>
      </c>
      <c r="Y149" s="11" t="str">
        <f t="shared" si="14"/>
        <v/>
      </c>
      <c r="Z149" s="11" t="str">
        <f t="shared" si="14"/>
        <v/>
      </c>
      <c r="AA149" s="11">
        <f t="shared" si="14"/>
        <v>1</v>
      </c>
      <c r="AB149" s="11" t="str">
        <f t="shared" si="14"/>
        <v/>
      </c>
      <c r="AC149" s="11" t="str">
        <f t="shared" si="14"/>
        <v/>
      </c>
      <c r="AD149" s="11">
        <f t="shared" si="14"/>
        <v>1</v>
      </c>
      <c r="AE149" s="12" t="s">
        <v>1195</v>
      </c>
    </row>
    <row r="150" spans="1:31" ht="18" customHeight="1" thickTop="1" thickBot="1" x14ac:dyDescent="0.3">
      <c r="A150" s="4" t="s">
        <v>86</v>
      </c>
      <c r="B150" s="4" t="s">
        <v>945</v>
      </c>
      <c r="C150" s="5" t="s">
        <v>354</v>
      </c>
      <c r="D150" s="5" t="s">
        <v>26</v>
      </c>
      <c r="E150" s="5" t="s">
        <v>36</v>
      </c>
      <c r="F150" s="5" t="s">
        <v>355</v>
      </c>
      <c r="G150" s="5" t="s">
        <v>16</v>
      </c>
      <c r="H150" s="6" t="s">
        <v>357</v>
      </c>
      <c r="I150" s="7" t="s">
        <v>44</v>
      </c>
      <c r="J150" s="8">
        <v>4</v>
      </c>
      <c r="K150" s="8">
        <v>0.81272727272727274</v>
      </c>
      <c r="L150" s="8"/>
      <c r="M150" s="5"/>
      <c r="N150" s="8">
        <v>1.9632857284866962</v>
      </c>
      <c r="O150" s="9">
        <v>2.4156759522766955</v>
      </c>
      <c r="P150" s="10" t="s">
        <v>31</v>
      </c>
      <c r="Q150" s="10">
        <f t="shared" si="15"/>
        <v>0</v>
      </c>
      <c r="R150" s="10">
        <f t="shared" si="16"/>
        <v>0</v>
      </c>
      <c r="S150" s="10">
        <f t="shared" si="17"/>
        <v>1</v>
      </c>
      <c r="T150" s="10">
        <f t="shared" si="18"/>
        <v>0</v>
      </c>
      <c r="U150" s="11">
        <f t="shared" si="19"/>
        <v>1</v>
      </c>
      <c r="V150" s="11" t="str">
        <f t="shared" si="14"/>
        <v/>
      </c>
      <c r="W150" s="11">
        <f t="shared" si="14"/>
        <v>1</v>
      </c>
      <c r="X150" s="11" t="str">
        <f t="shared" si="14"/>
        <v/>
      </c>
      <c r="Y150" s="11" t="str">
        <f t="shared" si="14"/>
        <v/>
      </c>
      <c r="Z150" s="11" t="str">
        <f t="shared" si="14"/>
        <v/>
      </c>
      <c r="AA150" s="11" t="str">
        <f t="shared" si="14"/>
        <v/>
      </c>
      <c r="AB150" s="11" t="str">
        <f t="shared" si="14"/>
        <v/>
      </c>
      <c r="AC150" s="11" t="str">
        <f t="shared" si="14"/>
        <v/>
      </c>
      <c r="AD150" s="11" t="str">
        <f t="shared" si="14"/>
        <v/>
      </c>
      <c r="AE150" s="12" t="s">
        <v>966</v>
      </c>
    </row>
    <row r="151" spans="1:31" ht="18" customHeight="1" thickTop="1" thickBot="1" x14ac:dyDescent="0.3">
      <c r="A151" s="4" t="s">
        <v>86</v>
      </c>
      <c r="B151" s="4" t="s">
        <v>945</v>
      </c>
      <c r="C151" s="5" t="s">
        <v>354</v>
      </c>
      <c r="D151" s="5" t="s">
        <v>26</v>
      </c>
      <c r="E151" s="5" t="s">
        <v>40</v>
      </c>
      <c r="F151" s="5" t="s">
        <v>358</v>
      </c>
      <c r="G151" s="5" t="s">
        <v>16</v>
      </c>
      <c r="H151" s="6" t="s">
        <v>357</v>
      </c>
      <c r="I151" s="7" t="s">
        <v>359</v>
      </c>
      <c r="J151" s="8" t="s">
        <v>27</v>
      </c>
      <c r="K151" s="8">
        <v>1.4145454545454546</v>
      </c>
      <c r="L151" s="8"/>
      <c r="M151" s="5"/>
      <c r="N151" s="8">
        <v>5.4592710870756074</v>
      </c>
      <c r="O151" s="9">
        <v>3.8593818738966381</v>
      </c>
      <c r="P151" s="10" t="s">
        <v>31</v>
      </c>
      <c r="Q151" s="10">
        <f t="shared" si="15"/>
        <v>0</v>
      </c>
      <c r="R151" s="10">
        <f t="shared" si="16"/>
        <v>0</v>
      </c>
      <c r="S151" s="10">
        <f t="shared" si="17"/>
        <v>1</v>
      </c>
      <c r="T151" s="10">
        <f t="shared" si="18"/>
        <v>0</v>
      </c>
      <c r="U151" s="11">
        <f t="shared" si="19"/>
        <v>1</v>
      </c>
      <c r="V151" s="11" t="str">
        <f t="shared" si="14"/>
        <v/>
      </c>
      <c r="W151" s="11">
        <f t="shared" si="14"/>
        <v>1</v>
      </c>
      <c r="X151" s="11" t="str">
        <f t="shared" si="14"/>
        <v/>
      </c>
      <c r="Y151" s="11" t="str">
        <f t="shared" si="14"/>
        <v/>
      </c>
      <c r="Z151" s="11" t="str">
        <f t="shared" si="14"/>
        <v/>
      </c>
      <c r="AA151" s="11" t="str">
        <f t="shared" si="14"/>
        <v/>
      </c>
      <c r="AB151" s="11" t="str">
        <f t="shared" si="14"/>
        <v/>
      </c>
      <c r="AC151" s="11" t="str">
        <f t="shared" si="14"/>
        <v/>
      </c>
      <c r="AD151" s="11" t="str">
        <f t="shared" si="14"/>
        <v/>
      </c>
      <c r="AE151" s="12" t="s">
        <v>966</v>
      </c>
    </row>
    <row r="152" spans="1:31" ht="18" customHeight="1" thickTop="1" thickBot="1" x14ac:dyDescent="0.3">
      <c r="A152" s="4" t="s">
        <v>86</v>
      </c>
      <c r="B152" s="4" t="s">
        <v>945</v>
      </c>
      <c r="C152" s="5" t="s">
        <v>354</v>
      </c>
      <c r="D152" s="5" t="s">
        <v>42</v>
      </c>
      <c r="E152" s="5" t="s">
        <v>36</v>
      </c>
      <c r="F152" s="5" t="s">
        <v>360</v>
      </c>
      <c r="G152" s="5" t="s">
        <v>16</v>
      </c>
      <c r="H152" s="6" t="s">
        <v>357</v>
      </c>
      <c r="I152" s="7" t="s">
        <v>44</v>
      </c>
      <c r="J152" s="8">
        <v>4</v>
      </c>
      <c r="K152" s="8">
        <v>0.73777777777777775</v>
      </c>
      <c r="L152" s="8"/>
      <c r="M152" s="5"/>
      <c r="N152" s="8">
        <v>0.62109770847634915</v>
      </c>
      <c r="O152" s="9">
        <v>0.84184930365770205</v>
      </c>
      <c r="P152" s="10" t="s">
        <v>27</v>
      </c>
      <c r="Q152" s="10">
        <f t="shared" si="15"/>
        <v>0</v>
      </c>
      <c r="R152" s="10">
        <f t="shared" si="16"/>
        <v>0</v>
      </c>
      <c r="S152" s="10">
        <f t="shared" si="17"/>
        <v>0</v>
      </c>
      <c r="T152" s="10">
        <f t="shared" si="18"/>
        <v>0</v>
      </c>
      <c r="U152" s="11" t="str">
        <f t="shared" si="19"/>
        <v/>
      </c>
      <c r="V152" s="11" t="str">
        <f t="shared" si="14"/>
        <v/>
      </c>
      <c r="W152" s="11" t="str">
        <f t="shared" si="14"/>
        <v/>
      </c>
      <c r="X152" s="11" t="str">
        <f t="shared" si="14"/>
        <v/>
      </c>
      <c r="Y152" s="11" t="str">
        <f t="shared" si="14"/>
        <v/>
      </c>
      <c r="Z152" s="11" t="str">
        <f t="shared" si="14"/>
        <v/>
      </c>
      <c r="AA152" s="11" t="str">
        <f t="shared" si="14"/>
        <v/>
      </c>
      <c r="AB152" s="11" t="str">
        <f t="shared" si="14"/>
        <v/>
      </c>
      <c r="AC152" s="11" t="str">
        <f t="shared" si="14"/>
        <v/>
      </c>
      <c r="AD152" s="11" t="str">
        <f t="shared" si="14"/>
        <v/>
      </c>
      <c r="AE152" s="12" t="s">
        <v>27</v>
      </c>
    </row>
    <row r="153" spans="1:31" ht="18" customHeight="1" thickTop="1" thickBot="1" x14ac:dyDescent="0.3">
      <c r="A153" s="4" t="s">
        <v>86</v>
      </c>
      <c r="B153" s="4" t="s">
        <v>945</v>
      </c>
      <c r="C153" s="5" t="s">
        <v>354</v>
      </c>
      <c r="D153" s="5" t="s">
        <v>42</v>
      </c>
      <c r="E153" s="5" t="s">
        <v>40</v>
      </c>
      <c r="F153" s="5" t="s">
        <v>361</v>
      </c>
      <c r="G153" s="5" t="s">
        <v>16</v>
      </c>
      <c r="H153" s="6" t="s">
        <v>357</v>
      </c>
      <c r="I153" s="7" t="s">
        <v>359</v>
      </c>
      <c r="J153" s="8" t="s">
        <v>27</v>
      </c>
      <c r="K153" s="8">
        <v>0.78</v>
      </c>
      <c r="L153" s="8"/>
      <c r="M153" s="5"/>
      <c r="N153" s="8">
        <v>4.5973729297544264</v>
      </c>
      <c r="O153" s="9">
        <v>5.894067858659521</v>
      </c>
      <c r="P153" s="10" t="s">
        <v>31</v>
      </c>
      <c r="Q153" s="10">
        <f t="shared" si="15"/>
        <v>0</v>
      </c>
      <c r="R153" s="10">
        <f t="shared" si="16"/>
        <v>0</v>
      </c>
      <c r="S153" s="10">
        <f t="shared" si="17"/>
        <v>1</v>
      </c>
      <c r="T153" s="10">
        <f t="shared" si="18"/>
        <v>0</v>
      </c>
      <c r="U153" s="11">
        <f t="shared" si="19"/>
        <v>1</v>
      </c>
      <c r="V153" s="11" t="str">
        <f t="shared" si="14"/>
        <v/>
      </c>
      <c r="W153" s="11">
        <f t="shared" si="14"/>
        <v>1</v>
      </c>
      <c r="X153" s="11" t="str">
        <f t="shared" si="14"/>
        <v/>
      </c>
      <c r="Y153" s="11" t="str">
        <f t="shared" si="14"/>
        <v/>
      </c>
      <c r="Z153" s="11" t="str">
        <f t="shared" si="14"/>
        <v/>
      </c>
      <c r="AA153" s="11" t="str">
        <f t="shared" si="14"/>
        <v/>
      </c>
      <c r="AB153" s="11" t="str">
        <f t="shared" si="14"/>
        <v/>
      </c>
      <c r="AC153" s="11" t="str">
        <f t="shared" si="14"/>
        <v/>
      </c>
      <c r="AD153" s="11" t="str">
        <f t="shared" si="14"/>
        <v/>
      </c>
      <c r="AE153" s="12" t="s">
        <v>968</v>
      </c>
    </row>
    <row r="154" spans="1:31" ht="18" customHeight="1" thickTop="1" thickBot="1" x14ac:dyDescent="0.3">
      <c r="A154" s="4" t="s">
        <v>123</v>
      </c>
      <c r="B154" s="4" t="s">
        <v>948</v>
      </c>
      <c r="C154" s="5" t="s">
        <v>362</v>
      </c>
      <c r="D154" s="5" t="s">
        <v>26</v>
      </c>
      <c r="E154" s="5" t="s">
        <v>36</v>
      </c>
      <c r="F154" s="5" t="s">
        <v>363</v>
      </c>
      <c r="G154" s="5" t="s">
        <v>16</v>
      </c>
      <c r="H154" s="6" t="s">
        <v>85</v>
      </c>
      <c r="I154" s="7" t="s">
        <v>364</v>
      </c>
      <c r="J154" s="8">
        <v>1.8333333333333333</v>
      </c>
      <c r="K154" s="8">
        <v>1</v>
      </c>
      <c r="L154" s="8"/>
      <c r="M154" s="5"/>
      <c r="N154" s="8">
        <v>0.7224986014544873</v>
      </c>
      <c r="O154" s="9">
        <v>0.7224986014544873</v>
      </c>
      <c r="P154" s="10" t="s">
        <v>27</v>
      </c>
      <c r="Q154" s="10">
        <f t="shared" si="15"/>
        <v>0</v>
      </c>
      <c r="R154" s="10">
        <f t="shared" si="16"/>
        <v>0</v>
      </c>
      <c r="S154" s="10">
        <f t="shared" si="17"/>
        <v>0</v>
      </c>
      <c r="T154" s="10">
        <f t="shared" si="18"/>
        <v>0</v>
      </c>
      <c r="U154" s="11" t="str">
        <f t="shared" si="19"/>
        <v/>
      </c>
      <c r="V154" s="11" t="str">
        <f t="shared" si="14"/>
        <v/>
      </c>
      <c r="W154" s="11" t="str">
        <f t="shared" si="14"/>
        <v/>
      </c>
      <c r="X154" s="11" t="str">
        <f t="shared" si="14"/>
        <v/>
      </c>
      <c r="Y154" s="11" t="str">
        <f t="shared" si="14"/>
        <v/>
      </c>
      <c r="Z154" s="11" t="str">
        <f t="shared" ref="V154:AD182" si="20">IF(ISNUMBER(SEARCH(Z$3,$AE154)), 1,"")</f>
        <v/>
      </c>
      <c r="AA154" s="11" t="str">
        <f t="shared" si="20"/>
        <v/>
      </c>
      <c r="AB154" s="11" t="str">
        <f t="shared" si="20"/>
        <v/>
      </c>
      <c r="AC154" s="11" t="str">
        <f t="shared" si="20"/>
        <v/>
      </c>
      <c r="AD154" s="11" t="str">
        <f t="shared" si="20"/>
        <v/>
      </c>
      <c r="AE154" s="12" t="s">
        <v>27</v>
      </c>
    </row>
    <row r="155" spans="1:31" ht="18" customHeight="1" thickTop="1" thickBot="1" x14ac:dyDescent="0.3">
      <c r="A155" s="4" t="s">
        <v>123</v>
      </c>
      <c r="B155" s="4" t="s">
        <v>948</v>
      </c>
      <c r="C155" s="5" t="s">
        <v>362</v>
      </c>
      <c r="D155" s="5" t="s">
        <v>26</v>
      </c>
      <c r="E155" s="5" t="s">
        <v>40</v>
      </c>
      <c r="F155" s="5" t="s">
        <v>366</v>
      </c>
      <c r="G155" s="5" t="s">
        <v>16</v>
      </c>
      <c r="H155" s="6" t="s">
        <v>85</v>
      </c>
      <c r="I155" s="7" t="s">
        <v>364</v>
      </c>
      <c r="J155" s="8">
        <v>2.3250000000000002</v>
      </c>
      <c r="K155" s="8">
        <v>1</v>
      </c>
      <c r="L155" s="8"/>
      <c r="M155" s="5"/>
      <c r="N155" s="8">
        <v>0.62411935245162131</v>
      </c>
      <c r="O155" s="9">
        <v>0.62411935245162142</v>
      </c>
      <c r="P155" s="10" t="s">
        <v>27</v>
      </c>
      <c r="Q155" s="10">
        <f t="shared" si="15"/>
        <v>0</v>
      </c>
      <c r="R155" s="10">
        <f t="shared" si="16"/>
        <v>0</v>
      </c>
      <c r="S155" s="10">
        <f t="shared" si="17"/>
        <v>0</v>
      </c>
      <c r="T155" s="10">
        <f t="shared" si="18"/>
        <v>0</v>
      </c>
      <c r="U155" s="11" t="str">
        <f t="shared" si="19"/>
        <v/>
      </c>
      <c r="V155" s="11" t="str">
        <f t="shared" si="20"/>
        <v/>
      </c>
      <c r="W155" s="11" t="str">
        <f t="shared" si="20"/>
        <v/>
      </c>
      <c r="X155" s="11" t="str">
        <f t="shared" si="20"/>
        <v/>
      </c>
      <c r="Y155" s="11" t="str">
        <f t="shared" si="20"/>
        <v/>
      </c>
      <c r="Z155" s="11" t="str">
        <f t="shared" si="20"/>
        <v/>
      </c>
      <c r="AA155" s="11" t="str">
        <f t="shared" si="20"/>
        <v/>
      </c>
      <c r="AB155" s="11" t="str">
        <f t="shared" si="20"/>
        <v/>
      </c>
      <c r="AC155" s="11" t="str">
        <f t="shared" si="20"/>
        <v/>
      </c>
      <c r="AD155" s="11" t="str">
        <f t="shared" si="20"/>
        <v/>
      </c>
      <c r="AE155" s="12" t="s">
        <v>27</v>
      </c>
    </row>
    <row r="156" spans="1:31" ht="18" customHeight="1" thickTop="1" thickBot="1" x14ac:dyDescent="0.3">
      <c r="A156" s="4" t="s">
        <v>123</v>
      </c>
      <c r="B156" s="4" t="s">
        <v>948</v>
      </c>
      <c r="C156" s="5" t="s">
        <v>362</v>
      </c>
      <c r="D156" s="5" t="s">
        <v>26</v>
      </c>
      <c r="E156" s="5" t="s">
        <v>69</v>
      </c>
      <c r="F156" s="5" t="s">
        <v>367</v>
      </c>
      <c r="G156" s="5" t="s">
        <v>16</v>
      </c>
      <c r="H156" s="6" t="s">
        <v>85</v>
      </c>
      <c r="I156" s="7" t="s">
        <v>364</v>
      </c>
      <c r="J156" s="8">
        <v>1.2777777777777777</v>
      </c>
      <c r="K156" s="8">
        <v>1</v>
      </c>
      <c r="L156" s="8"/>
      <c r="M156" s="5"/>
      <c r="N156" s="8">
        <v>0.76798658222486382</v>
      </c>
      <c r="O156" s="9">
        <v>0.76798658222486382</v>
      </c>
      <c r="P156" s="10" t="s">
        <v>27</v>
      </c>
      <c r="Q156" s="10">
        <f t="shared" si="15"/>
        <v>0</v>
      </c>
      <c r="R156" s="10">
        <f t="shared" si="16"/>
        <v>0</v>
      </c>
      <c r="S156" s="10">
        <f t="shared" si="17"/>
        <v>0</v>
      </c>
      <c r="T156" s="10">
        <f t="shared" si="18"/>
        <v>0</v>
      </c>
      <c r="U156" s="11" t="str">
        <f t="shared" si="19"/>
        <v/>
      </c>
      <c r="V156" s="11" t="str">
        <f t="shared" si="20"/>
        <v/>
      </c>
      <c r="W156" s="11" t="str">
        <f t="shared" si="20"/>
        <v/>
      </c>
      <c r="X156" s="11" t="str">
        <f t="shared" si="20"/>
        <v/>
      </c>
      <c r="Y156" s="11" t="str">
        <f t="shared" si="20"/>
        <v/>
      </c>
      <c r="Z156" s="11" t="str">
        <f t="shared" si="20"/>
        <v/>
      </c>
      <c r="AA156" s="11" t="str">
        <f t="shared" si="20"/>
        <v/>
      </c>
      <c r="AB156" s="11" t="str">
        <f t="shared" si="20"/>
        <v/>
      </c>
      <c r="AC156" s="11" t="str">
        <f t="shared" si="20"/>
        <v/>
      </c>
      <c r="AD156" s="11" t="str">
        <f t="shared" si="20"/>
        <v/>
      </c>
      <c r="AE156" s="12" t="s">
        <v>27</v>
      </c>
    </row>
    <row r="157" spans="1:31" ht="18" customHeight="1" thickTop="1" thickBot="1" x14ac:dyDescent="0.3">
      <c r="A157" s="4" t="s">
        <v>123</v>
      </c>
      <c r="B157" s="4" t="s">
        <v>948</v>
      </c>
      <c r="C157" s="5" t="s">
        <v>362</v>
      </c>
      <c r="D157" s="5" t="s">
        <v>26</v>
      </c>
      <c r="E157" s="5" t="s">
        <v>71</v>
      </c>
      <c r="F157" s="5" t="s">
        <v>368</v>
      </c>
      <c r="G157" s="5" t="s">
        <v>16</v>
      </c>
      <c r="H157" s="6" t="s">
        <v>85</v>
      </c>
      <c r="I157" s="7" t="s">
        <v>364</v>
      </c>
      <c r="J157" s="8">
        <v>2.1282051282051282</v>
      </c>
      <c r="K157" s="8">
        <v>1</v>
      </c>
      <c r="L157" s="8"/>
      <c r="M157" s="5"/>
      <c r="N157" s="8">
        <v>0.73477964360364201</v>
      </c>
      <c r="O157" s="9">
        <v>0.7347796436036419</v>
      </c>
      <c r="P157" s="10" t="s">
        <v>27</v>
      </c>
      <c r="Q157" s="10">
        <f t="shared" si="15"/>
        <v>0</v>
      </c>
      <c r="R157" s="10">
        <f t="shared" si="16"/>
        <v>0</v>
      </c>
      <c r="S157" s="10">
        <f t="shared" si="17"/>
        <v>0</v>
      </c>
      <c r="T157" s="10">
        <f t="shared" si="18"/>
        <v>0</v>
      </c>
      <c r="U157" s="11" t="str">
        <f t="shared" si="19"/>
        <v/>
      </c>
      <c r="V157" s="11" t="str">
        <f t="shared" si="20"/>
        <v/>
      </c>
      <c r="W157" s="11" t="str">
        <f t="shared" si="20"/>
        <v/>
      </c>
      <c r="X157" s="11" t="str">
        <f t="shared" si="20"/>
        <v/>
      </c>
      <c r="Y157" s="11" t="str">
        <f t="shared" si="20"/>
        <v/>
      </c>
      <c r="Z157" s="11" t="str">
        <f t="shared" si="20"/>
        <v/>
      </c>
      <c r="AA157" s="11" t="str">
        <f t="shared" si="20"/>
        <v/>
      </c>
      <c r="AB157" s="11" t="str">
        <f t="shared" si="20"/>
        <v/>
      </c>
      <c r="AC157" s="11" t="str">
        <f t="shared" si="20"/>
        <v/>
      </c>
      <c r="AD157" s="11" t="str">
        <f t="shared" si="20"/>
        <v/>
      </c>
      <c r="AE157" s="12" t="s">
        <v>27</v>
      </c>
    </row>
    <row r="158" spans="1:31" ht="18" customHeight="1" thickTop="1" thickBot="1" x14ac:dyDescent="0.3">
      <c r="A158" s="4" t="s">
        <v>123</v>
      </c>
      <c r="B158" s="4" t="s">
        <v>948</v>
      </c>
      <c r="C158" s="5" t="s">
        <v>362</v>
      </c>
      <c r="D158" s="5" t="s">
        <v>26</v>
      </c>
      <c r="E158" s="5" t="s">
        <v>141</v>
      </c>
      <c r="F158" s="5" t="s">
        <v>369</v>
      </c>
      <c r="G158" s="5" t="s">
        <v>16</v>
      </c>
      <c r="H158" s="6" t="s">
        <v>85</v>
      </c>
      <c r="I158" s="7" t="s">
        <v>364</v>
      </c>
      <c r="J158" s="8">
        <v>1.75</v>
      </c>
      <c r="K158" s="8">
        <v>1.125</v>
      </c>
      <c r="L158" s="8"/>
      <c r="M158" s="5"/>
      <c r="N158" s="8">
        <v>0.72632403476854646</v>
      </c>
      <c r="O158" s="9">
        <v>0.64562136423870797</v>
      </c>
      <c r="P158" s="10" t="s">
        <v>27</v>
      </c>
      <c r="Q158" s="10">
        <f t="shared" si="15"/>
        <v>0</v>
      </c>
      <c r="R158" s="10">
        <f t="shared" si="16"/>
        <v>0</v>
      </c>
      <c r="S158" s="10">
        <f t="shared" si="17"/>
        <v>0</v>
      </c>
      <c r="T158" s="10">
        <f t="shared" si="18"/>
        <v>0</v>
      </c>
      <c r="U158" s="11" t="str">
        <f t="shared" si="19"/>
        <v/>
      </c>
      <c r="V158" s="11" t="str">
        <f t="shared" si="20"/>
        <v/>
      </c>
      <c r="W158" s="11" t="str">
        <f t="shared" si="20"/>
        <v/>
      </c>
      <c r="X158" s="11" t="str">
        <f t="shared" si="20"/>
        <v/>
      </c>
      <c r="Y158" s="11" t="str">
        <f t="shared" si="20"/>
        <v/>
      </c>
      <c r="Z158" s="11" t="str">
        <f t="shared" si="20"/>
        <v/>
      </c>
      <c r="AA158" s="11" t="str">
        <f t="shared" si="20"/>
        <v/>
      </c>
      <c r="AB158" s="11" t="str">
        <f t="shared" si="20"/>
        <v/>
      </c>
      <c r="AC158" s="11" t="str">
        <f t="shared" si="20"/>
        <v/>
      </c>
      <c r="AD158" s="11" t="str">
        <f t="shared" si="20"/>
        <v/>
      </c>
      <c r="AE158" s="12" t="s">
        <v>27</v>
      </c>
    </row>
    <row r="159" spans="1:31" ht="18" customHeight="1" thickTop="1" thickBot="1" x14ac:dyDescent="0.3">
      <c r="A159" s="4" t="s">
        <v>123</v>
      </c>
      <c r="B159" s="4" t="s">
        <v>948</v>
      </c>
      <c r="C159" s="5" t="s">
        <v>362</v>
      </c>
      <c r="D159" s="5" t="s">
        <v>26</v>
      </c>
      <c r="E159" s="5" t="s">
        <v>143</v>
      </c>
      <c r="F159" s="5" t="s">
        <v>370</v>
      </c>
      <c r="G159" s="5" t="s">
        <v>16</v>
      </c>
      <c r="H159" s="6" t="s">
        <v>85</v>
      </c>
      <c r="I159" s="7" t="s">
        <v>364</v>
      </c>
      <c r="J159" s="8">
        <v>1.5833333333333333</v>
      </c>
      <c r="K159" s="8">
        <v>0.88888888888888884</v>
      </c>
      <c r="L159" s="8"/>
      <c r="M159" s="5"/>
      <c r="N159" s="8">
        <v>0.71588926721103008</v>
      </c>
      <c r="O159" s="9">
        <v>0.80537542561240882</v>
      </c>
      <c r="P159" s="10" t="s">
        <v>27</v>
      </c>
      <c r="Q159" s="10">
        <f t="shared" si="15"/>
        <v>0</v>
      </c>
      <c r="R159" s="10">
        <f t="shared" si="16"/>
        <v>0</v>
      </c>
      <c r="S159" s="10">
        <f t="shared" si="17"/>
        <v>0</v>
      </c>
      <c r="T159" s="10">
        <f t="shared" si="18"/>
        <v>0</v>
      </c>
      <c r="U159" s="11" t="str">
        <f t="shared" si="19"/>
        <v/>
      </c>
      <c r="V159" s="11" t="str">
        <f t="shared" si="20"/>
        <v/>
      </c>
      <c r="W159" s="11" t="str">
        <f t="shared" si="20"/>
        <v/>
      </c>
      <c r="X159" s="11" t="str">
        <f t="shared" si="20"/>
        <v/>
      </c>
      <c r="Y159" s="11" t="str">
        <f t="shared" si="20"/>
        <v/>
      </c>
      <c r="Z159" s="11" t="str">
        <f t="shared" si="20"/>
        <v/>
      </c>
      <c r="AA159" s="11" t="str">
        <f t="shared" si="20"/>
        <v/>
      </c>
      <c r="AB159" s="11" t="str">
        <f t="shared" si="20"/>
        <v/>
      </c>
      <c r="AC159" s="11" t="str">
        <f t="shared" si="20"/>
        <v/>
      </c>
      <c r="AD159" s="11" t="str">
        <f t="shared" si="20"/>
        <v/>
      </c>
      <c r="AE159" s="12" t="s">
        <v>27</v>
      </c>
    </row>
    <row r="160" spans="1:31" ht="18" customHeight="1" thickTop="1" thickBot="1" x14ac:dyDescent="0.3">
      <c r="A160" s="4" t="s">
        <v>123</v>
      </c>
      <c r="B160" s="4" t="s">
        <v>948</v>
      </c>
      <c r="C160" s="5" t="s">
        <v>362</v>
      </c>
      <c r="D160" s="5" t="s">
        <v>26</v>
      </c>
      <c r="E160" s="5" t="s">
        <v>245</v>
      </c>
      <c r="F160" s="5" t="s">
        <v>371</v>
      </c>
      <c r="G160" s="5" t="s">
        <v>16</v>
      </c>
      <c r="H160" s="6" t="s">
        <v>85</v>
      </c>
      <c r="I160" s="7" t="s">
        <v>364</v>
      </c>
      <c r="J160" s="8">
        <v>2</v>
      </c>
      <c r="K160" s="8">
        <v>1</v>
      </c>
      <c r="L160" s="8"/>
      <c r="M160" s="5"/>
      <c r="N160" s="8">
        <v>0.77599673348370335</v>
      </c>
      <c r="O160" s="9">
        <v>0.77599673348370335</v>
      </c>
      <c r="P160" s="10" t="s">
        <v>27</v>
      </c>
      <c r="Q160" s="10">
        <f t="shared" si="15"/>
        <v>0</v>
      </c>
      <c r="R160" s="10">
        <f t="shared" si="16"/>
        <v>0</v>
      </c>
      <c r="S160" s="10">
        <f t="shared" si="17"/>
        <v>0</v>
      </c>
      <c r="T160" s="10">
        <f t="shared" si="18"/>
        <v>0</v>
      </c>
      <c r="U160" s="11" t="str">
        <f t="shared" si="19"/>
        <v/>
      </c>
      <c r="V160" s="11" t="str">
        <f t="shared" si="20"/>
        <v/>
      </c>
      <c r="W160" s="11" t="str">
        <f t="shared" si="20"/>
        <v/>
      </c>
      <c r="X160" s="11" t="str">
        <f t="shared" si="20"/>
        <v/>
      </c>
      <c r="Y160" s="11" t="str">
        <f t="shared" si="20"/>
        <v/>
      </c>
      <c r="Z160" s="11" t="str">
        <f t="shared" si="20"/>
        <v/>
      </c>
      <c r="AA160" s="11" t="str">
        <f t="shared" si="20"/>
        <v/>
      </c>
      <c r="AB160" s="11" t="str">
        <f t="shared" si="20"/>
        <v/>
      </c>
      <c r="AC160" s="11" t="str">
        <f t="shared" si="20"/>
        <v/>
      </c>
      <c r="AD160" s="11" t="str">
        <f t="shared" si="20"/>
        <v/>
      </c>
      <c r="AE160" s="12" t="s">
        <v>27</v>
      </c>
    </row>
    <row r="161" spans="1:31" ht="18" customHeight="1" thickTop="1" thickBot="1" x14ac:dyDescent="0.3">
      <c r="A161" s="4" t="s">
        <v>372</v>
      </c>
      <c r="B161" s="4" t="s">
        <v>948</v>
      </c>
      <c r="C161" s="5" t="s">
        <v>373</v>
      </c>
      <c r="D161" s="5" t="s">
        <v>26</v>
      </c>
      <c r="E161" s="5" t="s">
        <v>234</v>
      </c>
      <c r="F161" s="5" t="s">
        <v>374</v>
      </c>
      <c r="G161" s="5" t="s">
        <v>16</v>
      </c>
      <c r="H161" s="6" t="s">
        <v>62</v>
      </c>
      <c r="I161" s="7" t="s">
        <v>136</v>
      </c>
      <c r="J161" s="8" t="s">
        <v>27</v>
      </c>
      <c r="K161" s="8">
        <v>1.7083333333333333</v>
      </c>
      <c r="L161" s="8"/>
      <c r="M161" s="5"/>
      <c r="N161" s="8">
        <v>1.8866165937144437</v>
      </c>
      <c r="O161" s="9">
        <v>1.1043609329060156</v>
      </c>
      <c r="P161" s="10" t="s">
        <v>31</v>
      </c>
      <c r="Q161" s="10">
        <f t="shared" si="15"/>
        <v>1</v>
      </c>
      <c r="R161" s="10">
        <f t="shared" si="16"/>
        <v>0</v>
      </c>
      <c r="S161" s="10">
        <f t="shared" si="17"/>
        <v>0</v>
      </c>
      <c r="T161" s="10">
        <f t="shared" si="18"/>
        <v>0</v>
      </c>
      <c r="U161" s="11" t="str">
        <f t="shared" si="19"/>
        <v/>
      </c>
      <c r="V161" s="11" t="str">
        <f t="shared" si="20"/>
        <v/>
      </c>
      <c r="W161" s="11">
        <f t="shared" si="20"/>
        <v>1</v>
      </c>
      <c r="X161" s="11" t="str">
        <f t="shared" si="20"/>
        <v/>
      </c>
      <c r="Y161" s="11" t="str">
        <f t="shared" si="20"/>
        <v/>
      </c>
      <c r="Z161" s="11" t="str">
        <f t="shared" si="20"/>
        <v/>
      </c>
      <c r="AA161" s="11" t="str">
        <f t="shared" si="20"/>
        <v/>
      </c>
      <c r="AB161" s="11" t="str">
        <f t="shared" si="20"/>
        <v/>
      </c>
      <c r="AC161" s="11" t="str">
        <f t="shared" si="20"/>
        <v/>
      </c>
      <c r="AD161" s="11">
        <f t="shared" si="20"/>
        <v>1</v>
      </c>
      <c r="AE161" s="12" t="s">
        <v>969</v>
      </c>
    </row>
    <row r="162" spans="1:31" ht="18" customHeight="1" thickTop="1" thickBot="1" x14ac:dyDescent="0.3">
      <c r="A162" s="4" t="s">
        <v>372</v>
      </c>
      <c r="B162" s="4" t="s">
        <v>948</v>
      </c>
      <c r="C162" s="5" t="s">
        <v>373</v>
      </c>
      <c r="D162" s="5" t="s">
        <v>26</v>
      </c>
      <c r="E162" s="5" t="s">
        <v>376</v>
      </c>
      <c r="F162" s="5" t="s">
        <v>377</v>
      </c>
      <c r="G162" s="5" t="s">
        <v>16</v>
      </c>
      <c r="H162" s="6" t="s">
        <v>62</v>
      </c>
      <c r="I162" s="7" t="s">
        <v>136</v>
      </c>
      <c r="J162" s="8" t="s">
        <v>27</v>
      </c>
      <c r="K162" s="8">
        <v>1.7903225806451613</v>
      </c>
      <c r="L162" s="8"/>
      <c r="M162" s="5"/>
      <c r="N162" s="8">
        <v>2.1674404031229737</v>
      </c>
      <c r="O162" s="9">
        <v>1.2106423873299492</v>
      </c>
      <c r="P162" s="10" t="s">
        <v>31</v>
      </c>
      <c r="Q162" s="10">
        <f t="shared" si="15"/>
        <v>1</v>
      </c>
      <c r="R162" s="10">
        <f t="shared" si="16"/>
        <v>0</v>
      </c>
      <c r="S162" s="10">
        <f t="shared" si="17"/>
        <v>0</v>
      </c>
      <c r="T162" s="10">
        <f t="shared" si="18"/>
        <v>0</v>
      </c>
      <c r="U162" s="11" t="str">
        <f t="shared" si="19"/>
        <v/>
      </c>
      <c r="V162" s="11" t="str">
        <f t="shared" si="20"/>
        <v/>
      </c>
      <c r="W162" s="11">
        <f t="shared" si="20"/>
        <v>1</v>
      </c>
      <c r="X162" s="11" t="str">
        <f t="shared" si="20"/>
        <v/>
      </c>
      <c r="Y162" s="11" t="str">
        <f t="shared" si="20"/>
        <v/>
      </c>
      <c r="Z162" s="11" t="str">
        <f t="shared" si="20"/>
        <v/>
      </c>
      <c r="AA162" s="11" t="str">
        <f t="shared" si="20"/>
        <v/>
      </c>
      <c r="AB162" s="11" t="str">
        <f t="shared" si="20"/>
        <v/>
      </c>
      <c r="AC162" s="11" t="str">
        <f t="shared" si="20"/>
        <v/>
      </c>
      <c r="AD162" s="11">
        <f t="shared" si="20"/>
        <v>1</v>
      </c>
      <c r="AE162" s="12" t="s">
        <v>969</v>
      </c>
    </row>
    <row r="163" spans="1:31" ht="18" customHeight="1" thickTop="1" thickBot="1" x14ac:dyDescent="0.3">
      <c r="A163" s="4" t="s">
        <v>372</v>
      </c>
      <c r="B163" s="4" t="s">
        <v>948</v>
      </c>
      <c r="C163" s="5" t="s">
        <v>373</v>
      </c>
      <c r="D163" s="5" t="s">
        <v>26</v>
      </c>
      <c r="E163" s="5" t="s">
        <v>378</v>
      </c>
      <c r="F163" s="5" t="s">
        <v>379</v>
      </c>
      <c r="G163" s="5" t="s">
        <v>16</v>
      </c>
      <c r="H163" s="6" t="s">
        <v>62</v>
      </c>
      <c r="I163" s="7" t="s">
        <v>359</v>
      </c>
      <c r="J163" s="8" t="s">
        <v>27</v>
      </c>
      <c r="K163" s="8">
        <v>1</v>
      </c>
      <c r="L163" s="8"/>
      <c r="M163" s="5"/>
      <c r="N163" s="8">
        <v>1.3617113733342634</v>
      </c>
      <c r="O163" s="9">
        <v>1.3617113733342632</v>
      </c>
      <c r="P163" s="10" t="s">
        <v>27</v>
      </c>
      <c r="Q163" s="10">
        <f t="shared" si="15"/>
        <v>0</v>
      </c>
      <c r="R163" s="10">
        <f t="shared" si="16"/>
        <v>0</v>
      </c>
      <c r="S163" s="10">
        <f t="shared" si="17"/>
        <v>0</v>
      </c>
      <c r="T163" s="10">
        <f t="shared" si="18"/>
        <v>0</v>
      </c>
      <c r="U163" s="11" t="str">
        <f t="shared" si="19"/>
        <v/>
      </c>
      <c r="V163" s="11" t="str">
        <f t="shared" si="20"/>
        <v/>
      </c>
      <c r="W163" s="11" t="str">
        <f t="shared" si="20"/>
        <v/>
      </c>
      <c r="X163" s="11" t="str">
        <f t="shared" si="20"/>
        <v/>
      </c>
      <c r="Y163" s="11" t="str">
        <f t="shared" si="20"/>
        <v/>
      </c>
      <c r="Z163" s="11" t="str">
        <f t="shared" si="20"/>
        <v/>
      </c>
      <c r="AA163" s="11" t="str">
        <f t="shared" si="20"/>
        <v/>
      </c>
      <c r="AB163" s="11" t="str">
        <f t="shared" si="20"/>
        <v/>
      </c>
      <c r="AC163" s="11" t="str">
        <f t="shared" si="20"/>
        <v/>
      </c>
      <c r="AD163" s="11" t="str">
        <f t="shared" si="20"/>
        <v/>
      </c>
      <c r="AE163" s="12" t="s">
        <v>27</v>
      </c>
    </row>
    <row r="164" spans="1:31" ht="18" customHeight="1" thickTop="1" thickBot="1" x14ac:dyDescent="0.3">
      <c r="A164" s="4" t="s">
        <v>372</v>
      </c>
      <c r="B164" s="4" t="s">
        <v>948</v>
      </c>
      <c r="C164" s="5" t="s">
        <v>373</v>
      </c>
      <c r="D164" s="5" t="s">
        <v>26</v>
      </c>
      <c r="E164" s="5" t="s">
        <v>71</v>
      </c>
      <c r="F164" s="5" t="s">
        <v>380</v>
      </c>
      <c r="G164" s="5" t="s">
        <v>16</v>
      </c>
      <c r="H164" s="6" t="s">
        <v>62</v>
      </c>
      <c r="I164" s="7" t="s">
        <v>359</v>
      </c>
      <c r="J164" s="8" t="s">
        <v>27</v>
      </c>
      <c r="K164" s="8">
        <v>0.9662921348314607</v>
      </c>
      <c r="L164" s="8"/>
      <c r="M164" s="5"/>
      <c r="N164" s="8">
        <v>0.72005173963126268</v>
      </c>
      <c r="O164" s="9">
        <v>0.74516982357188799</v>
      </c>
      <c r="P164" s="10" t="s">
        <v>27</v>
      </c>
      <c r="Q164" s="10">
        <f t="shared" si="15"/>
        <v>0</v>
      </c>
      <c r="R164" s="10">
        <f t="shared" si="16"/>
        <v>0</v>
      </c>
      <c r="S164" s="10">
        <f t="shared" si="17"/>
        <v>0</v>
      </c>
      <c r="T164" s="10">
        <f t="shared" si="18"/>
        <v>0</v>
      </c>
      <c r="U164" s="11" t="str">
        <f t="shared" si="19"/>
        <v/>
      </c>
      <c r="V164" s="11" t="str">
        <f t="shared" si="20"/>
        <v/>
      </c>
      <c r="W164" s="11" t="str">
        <f t="shared" si="20"/>
        <v/>
      </c>
      <c r="X164" s="11" t="str">
        <f t="shared" si="20"/>
        <v/>
      </c>
      <c r="Y164" s="11" t="str">
        <f t="shared" si="20"/>
        <v/>
      </c>
      <c r="Z164" s="11" t="str">
        <f t="shared" si="20"/>
        <v/>
      </c>
      <c r="AA164" s="11" t="str">
        <f t="shared" si="20"/>
        <v/>
      </c>
      <c r="AB164" s="11" t="str">
        <f t="shared" si="20"/>
        <v/>
      </c>
      <c r="AC164" s="11" t="str">
        <f t="shared" si="20"/>
        <v/>
      </c>
      <c r="AD164" s="11" t="str">
        <f t="shared" si="20"/>
        <v/>
      </c>
      <c r="AE164" s="12" t="s">
        <v>27</v>
      </c>
    </row>
    <row r="165" spans="1:31" ht="18" customHeight="1" thickTop="1" thickBot="1" x14ac:dyDescent="0.3">
      <c r="A165" s="4" t="s">
        <v>372</v>
      </c>
      <c r="B165" s="4" t="s">
        <v>948</v>
      </c>
      <c r="C165" s="5" t="s">
        <v>373</v>
      </c>
      <c r="D165" s="5" t="s">
        <v>26</v>
      </c>
      <c r="E165" s="5" t="s">
        <v>141</v>
      </c>
      <c r="F165" s="5" t="s">
        <v>381</v>
      </c>
      <c r="G165" s="5" t="s">
        <v>16</v>
      </c>
      <c r="H165" s="6" t="s">
        <v>62</v>
      </c>
      <c r="I165" s="7" t="s">
        <v>359</v>
      </c>
      <c r="J165" s="8" t="s">
        <v>27</v>
      </c>
      <c r="K165" s="8">
        <v>0.93109869646182486</v>
      </c>
      <c r="L165" s="8"/>
      <c r="M165" s="5"/>
      <c r="N165" s="8">
        <v>0.87896449758945128</v>
      </c>
      <c r="O165" s="9">
        <v>0.94400787041107082</v>
      </c>
      <c r="P165" s="10" t="s">
        <v>27</v>
      </c>
      <c r="Q165" s="10">
        <f t="shared" si="15"/>
        <v>0</v>
      </c>
      <c r="R165" s="10">
        <f t="shared" si="16"/>
        <v>0</v>
      </c>
      <c r="S165" s="10">
        <f t="shared" si="17"/>
        <v>0</v>
      </c>
      <c r="T165" s="10">
        <f t="shared" si="18"/>
        <v>0</v>
      </c>
      <c r="U165" s="11" t="str">
        <f t="shared" si="19"/>
        <v/>
      </c>
      <c r="V165" s="11" t="str">
        <f t="shared" si="20"/>
        <v/>
      </c>
      <c r="W165" s="11" t="str">
        <f t="shared" si="20"/>
        <v/>
      </c>
      <c r="X165" s="11" t="str">
        <f t="shared" si="20"/>
        <v/>
      </c>
      <c r="Y165" s="11" t="str">
        <f t="shared" si="20"/>
        <v/>
      </c>
      <c r="Z165" s="11" t="str">
        <f t="shared" si="20"/>
        <v/>
      </c>
      <c r="AA165" s="11" t="str">
        <f t="shared" si="20"/>
        <v/>
      </c>
      <c r="AB165" s="11" t="str">
        <f t="shared" si="20"/>
        <v/>
      </c>
      <c r="AC165" s="11" t="str">
        <f t="shared" si="20"/>
        <v/>
      </c>
      <c r="AD165" s="11" t="str">
        <f t="shared" si="20"/>
        <v/>
      </c>
      <c r="AE165" s="12" t="s">
        <v>27</v>
      </c>
    </row>
    <row r="166" spans="1:31" ht="18" customHeight="1" thickTop="1" thickBot="1" x14ac:dyDescent="0.3">
      <c r="A166" s="4" t="s">
        <v>372</v>
      </c>
      <c r="B166" s="4" t="s">
        <v>948</v>
      </c>
      <c r="C166" s="5" t="s">
        <v>373</v>
      </c>
      <c r="D166" s="5" t="s">
        <v>26</v>
      </c>
      <c r="E166" s="5" t="s">
        <v>143</v>
      </c>
      <c r="F166" s="5" t="s">
        <v>382</v>
      </c>
      <c r="G166" s="5" t="s">
        <v>16</v>
      </c>
      <c r="H166" s="6" t="s">
        <v>62</v>
      </c>
      <c r="I166" s="7" t="s">
        <v>359</v>
      </c>
      <c r="J166" s="8" t="s">
        <v>27</v>
      </c>
      <c r="K166" s="8">
        <v>1.0217391304347827</v>
      </c>
      <c r="L166" s="8"/>
      <c r="M166" s="5"/>
      <c r="N166" s="8">
        <v>0.8554012489514401</v>
      </c>
      <c r="O166" s="9">
        <v>0.83720122237800532</v>
      </c>
      <c r="P166" s="10" t="s">
        <v>27</v>
      </c>
      <c r="Q166" s="10">
        <f t="shared" si="15"/>
        <v>0</v>
      </c>
      <c r="R166" s="10">
        <f t="shared" si="16"/>
        <v>0</v>
      </c>
      <c r="S166" s="10">
        <f t="shared" si="17"/>
        <v>0</v>
      </c>
      <c r="T166" s="10">
        <f t="shared" si="18"/>
        <v>0</v>
      </c>
      <c r="U166" s="11" t="str">
        <f t="shared" si="19"/>
        <v/>
      </c>
      <c r="V166" s="11" t="str">
        <f t="shared" si="20"/>
        <v/>
      </c>
      <c r="W166" s="11" t="str">
        <f t="shared" si="20"/>
        <v/>
      </c>
      <c r="X166" s="11" t="str">
        <f t="shared" si="20"/>
        <v/>
      </c>
      <c r="Y166" s="11" t="str">
        <f t="shared" si="20"/>
        <v/>
      </c>
      <c r="Z166" s="11" t="str">
        <f t="shared" si="20"/>
        <v/>
      </c>
      <c r="AA166" s="11" t="str">
        <f t="shared" si="20"/>
        <v/>
      </c>
      <c r="AB166" s="11" t="str">
        <f t="shared" si="20"/>
        <v/>
      </c>
      <c r="AC166" s="11" t="str">
        <f t="shared" si="20"/>
        <v/>
      </c>
      <c r="AD166" s="11" t="str">
        <f t="shared" si="20"/>
        <v/>
      </c>
      <c r="AE166" s="12" t="s">
        <v>27</v>
      </c>
    </row>
    <row r="167" spans="1:31" ht="18" customHeight="1" thickTop="1" thickBot="1" x14ac:dyDescent="0.3">
      <c r="A167" s="4" t="s">
        <v>372</v>
      </c>
      <c r="B167" s="4" t="s">
        <v>948</v>
      </c>
      <c r="C167" s="5" t="s">
        <v>373</v>
      </c>
      <c r="D167" s="5" t="s">
        <v>26</v>
      </c>
      <c r="E167" s="5" t="s">
        <v>245</v>
      </c>
      <c r="F167" s="5" t="s">
        <v>383</v>
      </c>
      <c r="G167" s="5" t="s">
        <v>16</v>
      </c>
      <c r="H167" s="6" t="s">
        <v>62</v>
      </c>
      <c r="I167" s="7" t="s">
        <v>364</v>
      </c>
      <c r="J167" s="8" t="s">
        <v>27</v>
      </c>
      <c r="K167" s="8">
        <v>1</v>
      </c>
      <c r="L167" s="8"/>
      <c r="M167" s="5"/>
      <c r="N167" s="8">
        <v>0.91167836756350273</v>
      </c>
      <c r="O167" s="9">
        <v>0.91167836756350273</v>
      </c>
      <c r="P167" s="10" t="s">
        <v>27</v>
      </c>
      <c r="Q167" s="10">
        <f t="shared" si="15"/>
        <v>0</v>
      </c>
      <c r="R167" s="10">
        <f t="shared" si="16"/>
        <v>0</v>
      </c>
      <c r="S167" s="10">
        <f t="shared" si="17"/>
        <v>0</v>
      </c>
      <c r="T167" s="10">
        <f t="shared" si="18"/>
        <v>0</v>
      </c>
      <c r="U167" s="11" t="str">
        <f t="shared" si="19"/>
        <v/>
      </c>
      <c r="V167" s="11" t="str">
        <f t="shared" si="20"/>
        <v/>
      </c>
      <c r="W167" s="11" t="str">
        <f t="shared" si="20"/>
        <v/>
      </c>
      <c r="X167" s="11" t="str">
        <f t="shared" si="20"/>
        <v/>
      </c>
      <c r="Y167" s="11" t="str">
        <f t="shared" si="20"/>
        <v/>
      </c>
      <c r="Z167" s="11" t="str">
        <f t="shared" si="20"/>
        <v/>
      </c>
      <c r="AA167" s="11" t="str">
        <f t="shared" si="20"/>
        <v/>
      </c>
      <c r="AB167" s="11" t="str">
        <f t="shared" si="20"/>
        <v/>
      </c>
      <c r="AC167" s="11" t="str">
        <f t="shared" si="20"/>
        <v/>
      </c>
      <c r="AD167" s="11" t="str">
        <f t="shared" si="20"/>
        <v/>
      </c>
      <c r="AE167" s="12" t="s">
        <v>27</v>
      </c>
    </row>
    <row r="168" spans="1:31" ht="18" customHeight="1" thickTop="1" thickBot="1" x14ac:dyDescent="0.3">
      <c r="A168" s="4" t="s">
        <v>384</v>
      </c>
      <c r="B168" s="4" t="s">
        <v>945</v>
      </c>
      <c r="C168" s="5" t="s">
        <v>385</v>
      </c>
      <c r="D168" s="5" t="s">
        <v>26</v>
      </c>
      <c r="E168" s="5" t="s">
        <v>36</v>
      </c>
      <c r="F168" s="5" t="s">
        <v>386</v>
      </c>
      <c r="G168" s="5" t="s">
        <v>16</v>
      </c>
      <c r="H168" s="6" t="s">
        <v>85</v>
      </c>
      <c r="I168" s="7" t="s">
        <v>387</v>
      </c>
      <c r="J168" s="8" t="s">
        <v>27</v>
      </c>
      <c r="K168" s="8">
        <v>0.99764705882352933</v>
      </c>
      <c r="L168" s="8"/>
      <c r="M168" s="5"/>
      <c r="N168" s="8">
        <v>0.83511337991624734</v>
      </c>
      <c r="O168" s="9">
        <v>0.83708298694435179</v>
      </c>
      <c r="P168" s="10" t="s">
        <v>27</v>
      </c>
      <c r="Q168" s="10">
        <f t="shared" si="15"/>
        <v>0</v>
      </c>
      <c r="R168" s="10">
        <f t="shared" si="16"/>
        <v>0</v>
      </c>
      <c r="S168" s="10">
        <f t="shared" si="17"/>
        <v>0</v>
      </c>
      <c r="T168" s="10">
        <f t="shared" si="18"/>
        <v>0</v>
      </c>
      <c r="U168" s="11" t="str">
        <f t="shared" si="19"/>
        <v/>
      </c>
      <c r="V168" s="11" t="str">
        <f t="shared" si="20"/>
        <v/>
      </c>
      <c r="W168" s="11" t="str">
        <f t="shared" si="20"/>
        <v/>
      </c>
      <c r="X168" s="11" t="str">
        <f t="shared" si="20"/>
        <v/>
      </c>
      <c r="Y168" s="11" t="str">
        <f t="shared" si="20"/>
        <v/>
      </c>
      <c r="Z168" s="11" t="str">
        <f t="shared" si="20"/>
        <v/>
      </c>
      <c r="AA168" s="11" t="str">
        <f t="shared" si="20"/>
        <v/>
      </c>
      <c r="AB168" s="11" t="str">
        <f t="shared" si="20"/>
        <v/>
      </c>
      <c r="AC168" s="11" t="str">
        <f t="shared" si="20"/>
        <v/>
      </c>
      <c r="AD168" s="11" t="str">
        <f t="shared" si="20"/>
        <v/>
      </c>
      <c r="AE168" s="12" t="s">
        <v>27</v>
      </c>
    </row>
    <row r="169" spans="1:31" ht="18" customHeight="1" thickTop="1" thickBot="1" x14ac:dyDescent="0.3">
      <c r="A169" s="4" t="s">
        <v>384</v>
      </c>
      <c r="B169" s="4" t="s">
        <v>945</v>
      </c>
      <c r="C169" s="5" t="s">
        <v>385</v>
      </c>
      <c r="D169" s="5" t="s">
        <v>26</v>
      </c>
      <c r="E169" s="5" t="s">
        <v>40</v>
      </c>
      <c r="F169" s="5" t="s">
        <v>389</v>
      </c>
      <c r="G169" s="5" t="s">
        <v>16</v>
      </c>
      <c r="H169" s="6" t="s">
        <v>85</v>
      </c>
      <c r="I169" s="7" t="s">
        <v>387</v>
      </c>
      <c r="J169" s="8" t="s">
        <v>27</v>
      </c>
      <c r="K169" s="8">
        <v>1.1232558139534883</v>
      </c>
      <c r="L169" s="8"/>
      <c r="M169" s="5"/>
      <c r="N169" s="8">
        <v>1.5166681833348501</v>
      </c>
      <c r="O169" s="9">
        <v>1.350242896136616</v>
      </c>
      <c r="P169" s="10" t="s">
        <v>27</v>
      </c>
      <c r="Q169" s="10">
        <f t="shared" si="15"/>
        <v>0</v>
      </c>
      <c r="R169" s="10">
        <f t="shared" si="16"/>
        <v>0</v>
      </c>
      <c r="S169" s="10">
        <f t="shared" si="17"/>
        <v>0</v>
      </c>
      <c r="T169" s="10">
        <f t="shared" si="18"/>
        <v>0</v>
      </c>
      <c r="U169" s="11" t="str">
        <f t="shared" si="19"/>
        <v/>
      </c>
      <c r="V169" s="11" t="str">
        <f t="shared" si="20"/>
        <v/>
      </c>
      <c r="W169" s="11" t="str">
        <f t="shared" si="20"/>
        <v/>
      </c>
      <c r="X169" s="11" t="str">
        <f t="shared" si="20"/>
        <v/>
      </c>
      <c r="Y169" s="11" t="str">
        <f t="shared" si="20"/>
        <v/>
      </c>
      <c r="Z169" s="11" t="str">
        <f t="shared" si="20"/>
        <v/>
      </c>
      <c r="AA169" s="11" t="str">
        <f t="shared" si="20"/>
        <v/>
      </c>
      <c r="AB169" s="11" t="str">
        <f t="shared" si="20"/>
        <v/>
      </c>
      <c r="AC169" s="11" t="str">
        <f t="shared" si="20"/>
        <v/>
      </c>
      <c r="AD169" s="11" t="str">
        <f t="shared" si="20"/>
        <v/>
      </c>
      <c r="AE169" s="12" t="s">
        <v>27</v>
      </c>
    </row>
    <row r="170" spans="1:31" ht="18" customHeight="1" thickTop="1" thickBot="1" x14ac:dyDescent="0.3">
      <c r="A170" s="4" t="s">
        <v>384</v>
      </c>
      <c r="B170" s="4" t="s">
        <v>945</v>
      </c>
      <c r="C170" s="5" t="s">
        <v>385</v>
      </c>
      <c r="D170" s="5" t="s">
        <v>26</v>
      </c>
      <c r="E170" s="5" t="s">
        <v>69</v>
      </c>
      <c r="F170" s="5" t="s">
        <v>390</v>
      </c>
      <c r="G170" s="5" t="s">
        <v>16</v>
      </c>
      <c r="H170" s="6" t="s">
        <v>85</v>
      </c>
      <c r="I170" s="7" t="s">
        <v>387</v>
      </c>
      <c r="J170" s="8" t="s">
        <v>27</v>
      </c>
      <c r="K170" s="8">
        <v>1.0043478260869565</v>
      </c>
      <c r="L170" s="8"/>
      <c r="M170" s="5"/>
      <c r="N170" s="8">
        <v>0.82698328312363389</v>
      </c>
      <c r="O170" s="9">
        <v>0.82340326891097748</v>
      </c>
      <c r="P170" s="10" t="s">
        <v>27</v>
      </c>
      <c r="Q170" s="10">
        <f t="shared" si="15"/>
        <v>0</v>
      </c>
      <c r="R170" s="10">
        <f t="shared" si="16"/>
        <v>0</v>
      </c>
      <c r="S170" s="10">
        <f t="shared" si="17"/>
        <v>0</v>
      </c>
      <c r="T170" s="10">
        <f t="shared" si="18"/>
        <v>0</v>
      </c>
      <c r="U170" s="11" t="str">
        <f t="shared" si="19"/>
        <v/>
      </c>
      <c r="V170" s="11" t="str">
        <f t="shared" si="20"/>
        <v/>
      </c>
      <c r="W170" s="11" t="str">
        <f t="shared" si="20"/>
        <v/>
      </c>
      <c r="X170" s="11" t="str">
        <f t="shared" si="20"/>
        <v/>
      </c>
      <c r="Y170" s="11" t="str">
        <f t="shared" si="20"/>
        <v/>
      </c>
      <c r="Z170" s="11" t="str">
        <f t="shared" si="20"/>
        <v/>
      </c>
      <c r="AA170" s="11" t="str">
        <f t="shared" si="20"/>
        <v/>
      </c>
      <c r="AB170" s="11" t="str">
        <f t="shared" si="20"/>
        <v/>
      </c>
      <c r="AC170" s="11" t="str">
        <f t="shared" si="20"/>
        <v/>
      </c>
      <c r="AD170" s="11" t="str">
        <f t="shared" si="20"/>
        <v/>
      </c>
      <c r="AE170" s="12" t="s">
        <v>27</v>
      </c>
    </row>
    <row r="171" spans="1:31" ht="18" customHeight="1" thickTop="1" thickBot="1" x14ac:dyDescent="0.3">
      <c r="A171" s="4" t="s">
        <v>384</v>
      </c>
      <c r="B171" s="4" t="s">
        <v>945</v>
      </c>
      <c r="C171" s="5" t="s">
        <v>385</v>
      </c>
      <c r="D171" s="5" t="s">
        <v>26</v>
      </c>
      <c r="E171" s="5" t="s">
        <v>71</v>
      </c>
      <c r="F171" s="5" t="s">
        <v>391</v>
      </c>
      <c r="G171" s="5" t="s">
        <v>16</v>
      </c>
      <c r="H171" s="6" t="s">
        <v>85</v>
      </c>
      <c r="I171" s="7" t="s">
        <v>387</v>
      </c>
      <c r="J171" s="8" t="s">
        <v>27</v>
      </c>
      <c r="K171" s="8">
        <v>0.3183098591549296</v>
      </c>
      <c r="L171" s="8"/>
      <c r="M171" s="5"/>
      <c r="N171" s="8">
        <v>1.0317239675037839</v>
      </c>
      <c r="O171" s="9">
        <v>3.2412567120694091</v>
      </c>
      <c r="P171" s="10" t="s">
        <v>31</v>
      </c>
      <c r="Q171" s="10">
        <f t="shared" si="15"/>
        <v>0</v>
      </c>
      <c r="R171" s="10">
        <f t="shared" si="16"/>
        <v>1</v>
      </c>
      <c r="S171" s="10">
        <f t="shared" si="17"/>
        <v>1</v>
      </c>
      <c r="T171" s="10">
        <f t="shared" si="18"/>
        <v>0</v>
      </c>
      <c r="U171" s="11" t="str">
        <f t="shared" si="19"/>
        <v/>
      </c>
      <c r="V171" s="11" t="str">
        <f t="shared" si="20"/>
        <v/>
      </c>
      <c r="W171" s="11">
        <f t="shared" si="20"/>
        <v>1</v>
      </c>
      <c r="X171" s="11">
        <f t="shared" si="20"/>
        <v>1</v>
      </c>
      <c r="Y171" s="11" t="str">
        <f t="shared" si="20"/>
        <v/>
      </c>
      <c r="Z171" s="11">
        <f t="shared" si="20"/>
        <v>1</v>
      </c>
      <c r="AA171" s="11" t="str">
        <f t="shared" si="20"/>
        <v/>
      </c>
      <c r="AB171" s="11" t="str">
        <f t="shared" si="20"/>
        <v/>
      </c>
      <c r="AC171" s="11">
        <f t="shared" si="20"/>
        <v>1</v>
      </c>
      <c r="AD171" s="11" t="str">
        <f t="shared" si="20"/>
        <v/>
      </c>
      <c r="AE171" s="12" t="s">
        <v>971</v>
      </c>
    </row>
    <row r="172" spans="1:31" ht="18" customHeight="1" thickTop="1" thickBot="1" x14ac:dyDescent="0.3">
      <c r="A172" s="4" t="s">
        <v>384</v>
      </c>
      <c r="B172" s="4" t="s">
        <v>945</v>
      </c>
      <c r="C172" s="5" t="s">
        <v>385</v>
      </c>
      <c r="D172" s="5" t="s">
        <v>26</v>
      </c>
      <c r="E172" s="5" t="s">
        <v>141</v>
      </c>
      <c r="F172" s="5" t="s">
        <v>392</v>
      </c>
      <c r="G172" s="5" t="s">
        <v>16</v>
      </c>
      <c r="H172" s="6" t="s">
        <v>85</v>
      </c>
      <c r="I172" s="7" t="s">
        <v>387</v>
      </c>
      <c r="J172" s="8" t="s">
        <v>27</v>
      </c>
      <c r="K172" s="8">
        <v>1.1434782608695653</v>
      </c>
      <c r="L172" s="8"/>
      <c r="M172" s="5"/>
      <c r="N172" s="8">
        <v>4.2809042809042817</v>
      </c>
      <c r="O172" s="9">
        <v>3.7437565954676226</v>
      </c>
      <c r="P172" s="10" t="s">
        <v>31</v>
      </c>
      <c r="Q172" s="10">
        <f t="shared" si="15"/>
        <v>0</v>
      </c>
      <c r="R172" s="10">
        <f t="shared" si="16"/>
        <v>0</v>
      </c>
      <c r="S172" s="10">
        <f t="shared" si="17"/>
        <v>1</v>
      </c>
      <c r="T172" s="10">
        <f t="shared" si="18"/>
        <v>0</v>
      </c>
      <c r="U172" s="11" t="str">
        <f t="shared" si="19"/>
        <v/>
      </c>
      <c r="V172" s="11" t="str">
        <f t="shared" si="20"/>
        <v/>
      </c>
      <c r="W172" s="11">
        <f t="shared" si="20"/>
        <v>1</v>
      </c>
      <c r="X172" s="11">
        <f t="shared" si="20"/>
        <v>1</v>
      </c>
      <c r="Y172" s="11" t="str">
        <f t="shared" si="20"/>
        <v/>
      </c>
      <c r="Z172" s="11">
        <f t="shared" si="20"/>
        <v>1</v>
      </c>
      <c r="AA172" s="11" t="str">
        <f t="shared" si="20"/>
        <v/>
      </c>
      <c r="AB172" s="11" t="str">
        <f t="shared" si="20"/>
        <v/>
      </c>
      <c r="AC172" s="11">
        <f t="shared" si="20"/>
        <v>1</v>
      </c>
      <c r="AD172" s="11" t="str">
        <f t="shared" si="20"/>
        <v/>
      </c>
      <c r="AE172" s="12" t="s">
        <v>971</v>
      </c>
    </row>
    <row r="173" spans="1:31" ht="18" customHeight="1" thickTop="1" thickBot="1" x14ac:dyDescent="0.3">
      <c r="A173" s="4" t="s">
        <v>384</v>
      </c>
      <c r="B173" s="4" t="s">
        <v>945</v>
      </c>
      <c r="C173" s="5" t="s">
        <v>385</v>
      </c>
      <c r="D173" s="5" t="s">
        <v>26</v>
      </c>
      <c r="E173" s="5" t="s">
        <v>247</v>
      </c>
      <c r="F173" s="5" t="s">
        <v>393</v>
      </c>
      <c r="G173" s="5" t="s">
        <v>16</v>
      </c>
      <c r="H173" s="6" t="s">
        <v>85</v>
      </c>
      <c r="I173" s="7" t="s">
        <v>387</v>
      </c>
      <c r="J173" s="8" t="s">
        <v>27</v>
      </c>
      <c r="K173" s="8">
        <v>1.0021739130434784</v>
      </c>
      <c r="L173" s="8"/>
      <c r="M173" s="5"/>
      <c r="N173" s="8">
        <v>1.8496071829405163</v>
      </c>
      <c r="O173" s="9">
        <v>1.8455950198538775</v>
      </c>
      <c r="P173" s="10" t="s">
        <v>31</v>
      </c>
      <c r="Q173" s="10">
        <f t="shared" si="15"/>
        <v>0</v>
      </c>
      <c r="R173" s="10">
        <f t="shared" si="16"/>
        <v>0</v>
      </c>
      <c r="S173" s="10">
        <f t="shared" si="17"/>
        <v>1</v>
      </c>
      <c r="T173" s="10">
        <f t="shared" si="18"/>
        <v>0</v>
      </c>
      <c r="U173" s="11" t="str">
        <f t="shared" si="19"/>
        <v/>
      </c>
      <c r="V173" s="11" t="str">
        <f t="shared" si="20"/>
        <v/>
      </c>
      <c r="W173" s="11">
        <f t="shared" si="20"/>
        <v>1</v>
      </c>
      <c r="X173" s="11">
        <f t="shared" si="20"/>
        <v>1</v>
      </c>
      <c r="Y173" s="11" t="str">
        <f t="shared" si="20"/>
        <v/>
      </c>
      <c r="Z173" s="11">
        <f t="shared" si="20"/>
        <v>1</v>
      </c>
      <c r="AA173" s="11" t="str">
        <f t="shared" si="20"/>
        <v/>
      </c>
      <c r="AB173" s="11" t="str">
        <f t="shared" si="20"/>
        <v/>
      </c>
      <c r="AC173" s="11">
        <f t="shared" si="20"/>
        <v>1</v>
      </c>
      <c r="AD173" s="11" t="str">
        <f t="shared" si="20"/>
        <v/>
      </c>
      <c r="AE173" s="12" t="s">
        <v>971</v>
      </c>
    </row>
    <row r="174" spans="1:31" ht="18" customHeight="1" thickTop="1" thickBot="1" x14ac:dyDescent="0.3">
      <c r="A174" s="4" t="s">
        <v>384</v>
      </c>
      <c r="B174" s="4" t="s">
        <v>945</v>
      </c>
      <c r="C174" s="5" t="s">
        <v>385</v>
      </c>
      <c r="D174" s="5" t="s">
        <v>26</v>
      </c>
      <c r="E174" s="5" t="s">
        <v>249</v>
      </c>
      <c r="F174" s="5" t="s">
        <v>394</v>
      </c>
      <c r="G174" s="5" t="s">
        <v>16</v>
      </c>
      <c r="H174" s="6" t="s">
        <v>85</v>
      </c>
      <c r="I174" s="7" t="s">
        <v>387</v>
      </c>
      <c r="J174" s="8" t="s">
        <v>27</v>
      </c>
      <c r="K174" s="8">
        <v>1.0016949152542374</v>
      </c>
      <c r="L174" s="8"/>
      <c r="M174" s="5"/>
      <c r="N174" s="8">
        <v>1.3613748108337709</v>
      </c>
      <c r="O174" s="9">
        <v>1.3590713001555412</v>
      </c>
      <c r="P174" s="10" t="s">
        <v>27</v>
      </c>
      <c r="Q174" s="10">
        <f t="shared" si="15"/>
        <v>0</v>
      </c>
      <c r="R174" s="10">
        <f t="shared" si="16"/>
        <v>0</v>
      </c>
      <c r="S174" s="10">
        <f t="shared" si="17"/>
        <v>0</v>
      </c>
      <c r="T174" s="10">
        <f t="shared" si="18"/>
        <v>0</v>
      </c>
      <c r="U174" s="11" t="str">
        <f t="shared" si="19"/>
        <v/>
      </c>
      <c r="V174" s="11" t="str">
        <f t="shared" si="20"/>
        <v/>
      </c>
      <c r="W174" s="11" t="str">
        <f t="shared" si="20"/>
        <v/>
      </c>
      <c r="X174" s="11" t="str">
        <f t="shared" si="20"/>
        <v/>
      </c>
      <c r="Y174" s="11" t="str">
        <f t="shared" si="20"/>
        <v/>
      </c>
      <c r="Z174" s="11" t="str">
        <f t="shared" si="20"/>
        <v/>
      </c>
      <c r="AA174" s="11" t="str">
        <f t="shared" si="20"/>
        <v/>
      </c>
      <c r="AB174" s="11" t="str">
        <f t="shared" si="20"/>
        <v/>
      </c>
      <c r="AC174" s="11" t="str">
        <f t="shared" si="20"/>
        <v/>
      </c>
      <c r="AD174" s="11" t="str">
        <f t="shared" si="20"/>
        <v/>
      </c>
      <c r="AE174" s="12" t="s">
        <v>27</v>
      </c>
    </row>
    <row r="175" spans="1:31" ht="18" customHeight="1" thickTop="1" thickBot="1" x14ac:dyDescent="0.3">
      <c r="A175" s="4" t="s">
        <v>384</v>
      </c>
      <c r="B175" s="4" t="s">
        <v>945</v>
      </c>
      <c r="C175" s="5" t="s">
        <v>385</v>
      </c>
      <c r="D175" s="5" t="s">
        <v>42</v>
      </c>
      <c r="E175" s="5" t="s">
        <v>27</v>
      </c>
      <c r="F175" s="5" t="s">
        <v>395</v>
      </c>
      <c r="G175" s="5" t="s">
        <v>16</v>
      </c>
      <c r="H175" s="6" t="s">
        <v>85</v>
      </c>
      <c r="I175" s="7" t="s">
        <v>68</v>
      </c>
      <c r="J175" s="8" t="s">
        <v>27</v>
      </c>
      <c r="K175" s="8">
        <v>0.8014444444444444</v>
      </c>
      <c r="L175" s="8"/>
      <c r="M175" s="5"/>
      <c r="N175" s="8">
        <v>0.88636566034375275</v>
      </c>
      <c r="O175" s="9">
        <v>1.1059602028412276</v>
      </c>
      <c r="P175" s="10" t="s">
        <v>27</v>
      </c>
      <c r="Q175" s="10">
        <f t="shared" si="15"/>
        <v>0</v>
      </c>
      <c r="R175" s="10">
        <f t="shared" si="16"/>
        <v>0</v>
      </c>
      <c r="S175" s="10">
        <f t="shared" si="17"/>
        <v>0</v>
      </c>
      <c r="T175" s="10">
        <f t="shared" si="18"/>
        <v>0</v>
      </c>
      <c r="U175" s="11" t="str">
        <f t="shared" si="19"/>
        <v/>
      </c>
      <c r="V175" s="11" t="str">
        <f t="shared" si="20"/>
        <v/>
      </c>
      <c r="W175" s="11" t="str">
        <f t="shared" si="20"/>
        <v/>
      </c>
      <c r="X175" s="11" t="str">
        <f t="shared" si="20"/>
        <v/>
      </c>
      <c r="Y175" s="11" t="str">
        <f t="shared" si="20"/>
        <v/>
      </c>
      <c r="Z175" s="11" t="str">
        <f t="shared" si="20"/>
        <v/>
      </c>
      <c r="AA175" s="11" t="str">
        <f t="shared" si="20"/>
        <v/>
      </c>
      <c r="AB175" s="11" t="str">
        <f t="shared" si="20"/>
        <v/>
      </c>
      <c r="AC175" s="11" t="str">
        <f t="shared" si="20"/>
        <v/>
      </c>
      <c r="AD175" s="11" t="str">
        <f t="shared" si="20"/>
        <v/>
      </c>
      <c r="AE175" s="12" t="s">
        <v>27</v>
      </c>
    </row>
    <row r="176" spans="1:31" ht="18" customHeight="1" thickTop="1" thickBot="1" x14ac:dyDescent="0.3">
      <c r="A176" s="4" t="s">
        <v>384</v>
      </c>
      <c r="B176" s="4" t="s">
        <v>945</v>
      </c>
      <c r="C176" s="5" t="s">
        <v>385</v>
      </c>
      <c r="D176" s="5" t="s">
        <v>60</v>
      </c>
      <c r="E176" s="5" t="s">
        <v>27</v>
      </c>
      <c r="F176" s="5" t="s">
        <v>396</v>
      </c>
      <c r="G176" s="5" t="s">
        <v>16</v>
      </c>
      <c r="H176" s="6" t="s">
        <v>85</v>
      </c>
      <c r="I176" s="7" t="s">
        <v>68</v>
      </c>
      <c r="J176" s="8" t="s">
        <v>27</v>
      </c>
      <c r="K176" s="8">
        <v>1.0995670995670996</v>
      </c>
      <c r="L176" s="8"/>
      <c r="M176" s="5"/>
      <c r="N176" s="8">
        <v>2.0732931726907626</v>
      </c>
      <c r="O176" s="9">
        <v>1.8855540271321503</v>
      </c>
      <c r="P176" s="10" t="s">
        <v>31</v>
      </c>
      <c r="Q176" s="10">
        <f t="shared" si="15"/>
        <v>0</v>
      </c>
      <c r="R176" s="10">
        <f t="shared" si="16"/>
        <v>0</v>
      </c>
      <c r="S176" s="10">
        <f t="shared" si="17"/>
        <v>1</v>
      </c>
      <c r="T176" s="10">
        <f t="shared" si="18"/>
        <v>0</v>
      </c>
      <c r="U176" s="11" t="str">
        <f t="shared" si="19"/>
        <v/>
      </c>
      <c r="V176" s="11" t="str">
        <f t="shared" si="20"/>
        <v/>
      </c>
      <c r="W176" s="11">
        <f t="shared" si="20"/>
        <v>1</v>
      </c>
      <c r="X176" s="11">
        <f t="shared" si="20"/>
        <v>1</v>
      </c>
      <c r="Y176" s="11" t="str">
        <f t="shared" si="20"/>
        <v/>
      </c>
      <c r="Z176" s="11">
        <f t="shared" si="20"/>
        <v>1</v>
      </c>
      <c r="AA176" s="11" t="str">
        <f t="shared" si="20"/>
        <v/>
      </c>
      <c r="AB176" s="11" t="str">
        <f t="shared" si="20"/>
        <v/>
      </c>
      <c r="AC176" s="11">
        <f t="shared" si="20"/>
        <v>1</v>
      </c>
      <c r="AD176" s="11" t="str">
        <f t="shared" si="20"/>
        <v/>
      </c>
      <c r="AE176" s="12" t="s">
        <v>971</v>
      </c>
    </row>
    <row r="177" spans="1:31" ht="18" customHeight="1" thickTop="1" thickBot="1" x14ac:dyDescent="0.3">
      <c r="A177" s="4" t="s">
        <v>397</v>
      </c>
      <c r="B177" s="4" t="s">
        <v>946</v>
      </c>
      <c r="C177" s="5" t="s">
        <v>398</v>
      </c>
      <c r="D177" s="5" t="s">
        <v>26</v>
      </c>
      <c r="E177" s="5" t="s">
        <v>36</v>
      </c>
      <c r="F177" s="5" t="s">
        <v>399</v>
      </c>
      <c r="G177" s="5" t="s">
        <v>16</v>
      </c>
      <c r="H177" s="6" t="s">
        <v>52</v>
      </c>
      <c r="I177" s="7" t="s">
        <v>387</v>
      </c>
      <c r="J177" s="8" t="s">
        <v>27</v>
      </c>
      <c r="K177" s="8">
        <v>1</v>
      </c>
      <c r="L177" s="8"/>
      <c r="M177" s="5"/>
      <c r="N177" s="8">
        <v>1.276470588235294</v>
      </c>
      <c r="O177" s="9">
        <v>1.2764705882352942</v>
      </c>
      <c r="P177" s="10" t="s">
        <v>27</v>
      </c>
      <c r="Q177" s="10">
        <f t="shared" si="15"/>
        <v>0</v>
      </c>
      <c r="R177" s="10">
        <f t="shared" si="16"/>
        <v>0</v>
      </c>
      <c r="S177" s="10">
        <f t="shared" si="17"/>
        <v>0</v>
      </c>
      <c r="T177" s="10">
        <f t="shared" si="18"/>
        <v>0</v>
      </c>
      <c r="U177" s="11" t="str">
        <f t="shared" si="19"/>
        <v/>
      </c>
      <c r="V177" s="11" t="str">
        <f t="shared" si="20"/>
        <v/>
      </c>
      <c r="W177" s="11" t="str">
        <f t="shared" si="20"/>
        <v/>
      </c>
      <c r="X177" s="11" t="str">
        <f t="shared" si="20"/>
        <v/>
      </c>
      <c r="Y177" s="11" t="str">
        <f t="shared" si="20"/>
        <v/>
      </c>
      <c r="Z177" s="11" t="str">
        <f t="shared" si="20"/>
        <v/>
      </c>
      <c r="AA177" s="11" t="str">
        <f t="shared" si="20"/>
        <v/>
      </c>
      <c r="AB177" s="11" t="str">
        <f t="shared" si="20"/>
        <v/>
      </c>
      <c r="AC177" s="11" t="str">
        <f t="shared" si="20"/>
        <v/>
      </c>
      <c r="AD177" s="11" t="str">
        <f t="shared" si="20"/>
        <v/>
      </c>
      <c r="AE177" s="12" t="s">
        <v>27</v>
      </c>
    </row>
    <row r="178" spans="1:31" ht="18" customHeight="1" thickTop="1" thickBot="1" x14ac:dyDescent="0.3">
      <c r="A178" s="4" t="s">
        <v>400</v>
      </c>
      <c r="B178" s="4" t="s">
        <v>945</v>
      </c>
      <c r="C178" s="5" t="s">
        <v>401</v>
      </c>
      <c r="D178" s="5" t="s">
        <v>26</v>
      </c>
      <c r="E178" s="5" t="s">
        <v>36</v>
      </c>
      <c r="F178" s="5" t="s">
        <v>402</v>
      </c>
      <c r="G178" s="5" t="s">
        <v>16</v>
      </c>
      <c r="H178" s="6" t="s">
        <v>93</v>
      </c>
      <c r="I178" s="7" t="s">
        <v>68</v>
      </c>
      <c r="J178" s="8" t="s">
        <v>27</v>
      </c>
      <c r="K178" s="8">
        <v>1.111</v>
      </c>
      <c r="L178" s="8"/>
      <c r="M178" s="5"/>
      <c r="N178" s="8">
        <v>1.1239392585975883</v>
      </c>
      <c r="O178" s="9">
        <v>1.0116464973875681</v>
      </c>
      <c r="P178" s="10" t="s">
        <v>27</v>
      </c>
      <c r="Q178" s="10">
        <f t="shared" si="15"/>
        <v>0</v>
      </c>
      <c r="R178" s="10">
        <f t="shared" si="16"/>
        <v>0</v>
      </c>
      <c r="S178" s="10">
        <f t="shared" si="17"/>
        <v>0</v>
      </c>
      <c r="T178" s="10">
        <f t="shared" si="18"/>
        <v>0</v>
      </c>
      <c r="U178" s="11" t="str">
        <f t="shared" si="19"/>
        <v/>
      </c>
      <c r="V178" s="11" t="str">
        <f t="shared" si="20"/>
        <v/>
      </c>
      <c r="W178" s="11" t="str">
        <f t="shared" si="20"/>
        <v/>
      </c>
      <c r="X178" s="11" t="str">
        <f t="shared" si="20"/>
        <v/>
      </c>
      <c r="Y178" s="11" t="str">
        <f t="shared" si="20"/>
        <v/>
      </c>
      <c r="Z178" s="11" t="str">
        <f t="shared" si="20"/>
        <v/>
      </c>
      <c r="AA178" s="11" t="str">
        <f t="shared" si="20"/>
        <v/>
      </c>
      <c r="AB178" s="11" t="str">
        <f t="shared" si="20"/>
        <v/>
      </c>
      <c r="AC178" s="11" t="str">
        <f t="shared" si="20"/>
        <v/>
      </c>
      <c r="AD178" s="11" t="str">
        <f t="shared" si="20"/>
        <v/>
      </c>
      <c r="AE178" s="12" t="s">
        <v>27</v>
      </c>
    </row>
    <row r="179" spans="1:31" ht="18" customHeight="1" thickTop="1" thickBot="1" x14ac:dyDescent="0.3">
      <c r="A179" s="4" t="s">
        <v>400</v>
      </c>
      <c r="B179" s="4" t="s">
        <v>945</v>
      </c>
      <c r="C179" s="5" t="s">
        <v>401</v>
      </c>
      <c r="D179" s="5" t="s">
        <v>26</v>
      </c>
      <c r="E179" s="5" t="s">
        <v>40</v>
      </c>
      <c r="F179" s="5" t="s">
        <v>403</v>
      </c>
      <c r="G179" s="5" t="s">
        <v>16</v>
      </c>
      <c r="H179" s="6" t="s">
        <v>93</v>
      </c>
      <c r="I179" s="7" t="s">
        <v>359</v>
      </c>
      <c r="J179" s="8" t="s">
        <v>27</v>
      </c>
      <c r="K179" s="8">
        <v>1.3640000000000001</v>
      </c>
      <c r="L179" s="8"/>
      <c r="M179" s="5"/>
      <c r="N179" s="8">
        <v>1.4030568105354226</v>
      </c>
      <c r="O179" s="9">
        <v>1.0286340253192245</v>
      </c>
      <c r="P179" s="10" t="s">
        <v>27</v>
      </c>
      <c r="Q179" s="10">
        <f t="shared" si="15"/>
        <v>0</v>
      </c>
      <c r="R179" s="10">
        <f t="shared" si="16"/>
        <v>0</v>
      </c>
      <c r="S179" s="10">
        <f t="shared" si="17"/>
        <v>0</v>
      </c>
      <c r="T179" s="10">
        <f t="shared" si="18"/>
        <v>0</v>
      </c>
      <c r="U179" s="11" t="str">
        <f t="shared" si="19"/>
        <v/>
      </c>
      <c r="V179" s="11" t="str">
        <f t="shared" si="20"/>
        <v/>
      </c>
      <c r="W179" s="11" t="str">
        <f t="shared" si="20"/>
        <v/>
      </c>
      <c r="X179" s="11" t="str">
        <f t="shared" si="20"/>
        <v/>
      </c>
      <c r="Y179" s="11" t="str">
        <f t="shared" si="20"/>
        <v/>
      </c>
      <c r="Z179" s="11" t="str">
        <f t="shared" si="20"/>
        <v/>
      </c>
      <c r="AA179" s="11" t="str">
        <f t="shared" si="20"/>
        <v/>
      </c>
      <c r="AB179" s="11" t="str">
        <f t="shared" si="20"/>
        <v/>
      </c>
      <c r="AC179" s="11" t="str">
        <f t="shared" si="20"/>
        <v/>
      </c>
      <c r="AD179" s="11" t="str">
        <f t="shared" si="20"/>
        <v/>
      </c>
      <c r="AE179" s="12" t="s">
        <v>27</v>
      </c>
    </row>
    <row r="180" spans="1:31" ht="18" customHeight="1" thickTop="1" thickBot="1" x14ac:dyDescent="0.3">
      <c r="A180" s="4" t="s">
        <v>404</v>
      </c>
      <c r="B180" s="4" t="s">
        <v>947</v>
      </c>
      <c r="C180" s="5" t="s">
        <v>405</v>
      </c>
      <c r="D180" s="5" t="s">
        <v>26</v>
      </c>
      <c r="E180" s="5" t="s">
        <v>36</v>
      </c>
      <c r="F180" s="5" t="s">
        <v>406</v>
      </c>
      <c r="G180" s="5" t="s">
        <v>16</v>
      </c>
      <c r="H180" s="6" t="s">
        <v>101</v>
      </c>
      <c r="I180" s="7" t="s">
        <v>359</v>
      </c>
      <c r="J180" s="8" t="s">
        <v>27</v>
      </c>
      <c r="K180" s="8">
        <v>1</v>
      </c>
      <c r="L180" s="8"/>
      <c r="M180" s="5"/>
      <c r="N180" s="8">
        <v>0.83240843507214213</v>
      </c>
      <c r="O180" s="9">
        <v>0.83240843507214213</v>
      </c>
      <c r="P180" s="10" t="s">
        <v>27</v>
      </c>
      <c r="Q180" s="10">
        <f t="shared" si="15"/>
        <v>0</v>
      </c>
      <c r="R180" s="10">
        <f t="shared" si="16"/>
        <v>0</v>
      </c>
      <c r="S180" s="10">
        <f t="shared" si="17"/>
        <v>0</v>
      </c>
      <c r="T180" s="10">
        <f t="shared" si="18"/>
        <v>0</v>
      </c>
      <c r="U180" s="11" t="str">
        <f t="shared" si="19"/>
        <v/>
      </c>
      <c r="V180" s="11" t="str">
        <f t="shared" si="20"/>
        <v/>
      </c>
      <c r="W180" s="11" t="str">
        <f t="shared" si="20"/>
        <v/>
      </c>
      <c r="X180" s="11" t="str">
        <f t="shared" si="20"/>
        <v/>
      </c>
      <c r="Y180" s="11" t="str">
        <f t="shared" si="20"/>
        <v/>
      </c>
      <c r="Z180" s="11" t="str">
        <f t="shared" si="20"/>
        <v/>
      </c>
      <c r="AA180" s="11" t="str">
        <f t="shared" si="20"/>
        <v/>
      </c>
      <c r="AB180" s="11" t="str">
        <f t="shared" si="20"/>
        <v/>
      </c>
      <c r="AC180" s="11" t="str">
        <f t="shared" si="20"/>
        <v/>
      </c>
      <c r="AD180" s="11" t="str">
        <f t="shared" si="20"/>
        <v/>
      </c>
      <c r="AE180" s="12" t="s">
        <v>27</v>
      </c>
    </row>
    <row r="181" spans="1:31" ht="18" customHeight="1" thickTop="1" thickBot="1" x14ac:dyDescent="0.3">
      <c r="A181" s="4" t="s">
        <v>404</v>
      </c>
      <c r="B181" s="4" t="s">
        <v>947</v>
      </c>
      <c r="C181" s="5" t="s">
        <v>405</v>
      </c>
      <c r="D181" s="5" t="s">
        <v>26</v>
      </c>
      <c r="E181" s="5" t="s">
        <v>40</v>
      </c>
      <c r="F181" s="5" t="s">
        <v>407</v>
      </c>
      <c r="G181" s="5" t="s">
        <v>16</v>
      </c>
      <c r="H181" s="6" t="s">
        <v>101</v>
      </c>
      <c r="I181" s="7" t="s">
        <v>359</v>
      </c>
      <c r="J181" s="8" t="s">
        <v>27</v>
      </c>
      <c r="K181" s="8">
        <v>1</v>
      </c>
      <c r="L181" s="8"/>
      <c r="M181" s="5"/>
      <c r="N181" s="8">
        <v>0.89456869009584672</v>
      </c>
      <c r="O181" s="9">
        <v>0.89456869009584672</v>
      </c>
      <c r="P181" s="10" t="s">
        <v>27</v>
      </c>
      <c r="Q181" s="10">
        <f t="shared" si="15"/>
        <v>0</v>
      </c>
      <c r="R181" s="10">
        <f t="shared" si="16"/>
        <v>0</v>
      </c>
      <c r="S181" s="10">
        <f t="shared" si="17"/>
        <v>0</v>
      </c>
      <c r="T181" s="10">
        <f t="shared" si="18"/>
        <v>0</v>
      </c>
      <c r="U181" s="11" t="str">
        <f t="shared" si="19"/>
        <v/>
      </c>
      <c r="V181" s="11" t="str">
        <f t="shared" si="20"/>
        <v/>
      </c>
      <c r="W181" s="11" t="str">
        <f t="shared" si="20"/>
        <v/>
      </c>
      <c r="X181" s="11" t="str">
        <f t="shared" si="20"/>
        <v/>
      </c>
      <c r="Y181" s="11" t="str">
        <f t="shared" si="20"/>
        <v/>
      </c>
      <c r="Z181" s="11" t="str">
        <f t="shared" si="20"/>
        <v/>
      </c>
      <c r="AA181" s="11" t="str">
        <f t="shared" si="20"/>
        <v/>
      </c>
      <c r="AB181" s="11" t="str">
        <f t="shared" si="20"/>
        <v/>
      </c>
      <c r="AC181" s="11" t="str">
        <f t="shared" si="20"/>
        <v/>
      </c>
      <c r="AD181" s="11" t="str">
        <f t="shared" si="20"/>
        <v/>
      </c>
      <c r="AE181" s="12" t="s">
        <v>27</v>
      </c>
    </row>
    <row r="182" spans="1:31" ht="18" customHeight="1" thickTop="1" thickBot="1" x14ac:dyDescent="0.3">
      <c r="A182" s="4" t="s">
        <v>408</v>
      </c>
      <c r="B182" s="4" t="s">
        <v>946</v>
      </c>
      <c r="C182" s="5" t="s">
        <v>409</v>
      </c>
      <c r="D182" s="5" t="s">
        <v>26</v>
      </c>
      <c r="E182" s="5" t="s">
        <v>27</v>
      </c>
      <c r="F182" s="5" t="s">
        <v>410</v>
      </c>
      <c r="G182" s="5" t="s">
        <v>16</v>
      </c>
      <c r="H182" s="6" t="s">
        <v>33</v>
      </c>
      <c r="I182" s="7" t="s">
        <v>359</v>
      </c>
      <c r="J182" s="8" t="s">
        <v>27</v>
      </c>
      <c r="K182" s="8">
        <v>1.3124475524475525</v>
      </c>
      <c r="L182" s="8"/>
      <c r="M182" s="5"/>
      <c r="N182" s="8">
        <v>1.0588330632090761</v>
      </c>
      <c r="O182" s="9">
        <v>0.80676219117059833</v>
      </c>
      <c r="P182" s="10" t="s">
        <v>27</v>
      </c>
      <c r="Q182" s="10">
        <f t="shared" si="15"/>
        <v>0</v>
      </c>
      <c r="R182" s="10">
        <f t="shared" si="16"/>
        <v>0</v>
      </c>
      <c r="S182" s="10">
        <f t="shared" si="17"/>
        <v>0</v>
      </c>
      <c r="T182" s="10">
        <f t="shared" si="18"/>
        <v>0</v>
      </c>
      <c r="U182" s="11" t="str">
        <f t="shared" si="19"/>
        <v/>
      </c>
      <c r="V182" s="11" t="str">
        <f t="shared" si="20"/>
        <v/>
      </c>
      <c r="W182" s="11" t="str">
        <f t="shared" si="20"/>
        <v/>
      </c>
      <c r="X182" s="11" t="str">
        <f t="shared" si="20"/>
        <v/>
      </c>
      <c r="Y182" s="11" t="str">
        <f t="shared" si="20"/>
        <v/>
      </c>
      <c r="Z182" s="11" t="str">
        <f t="shared" si="20"/>
        <v/>
      </c>
      <c r="AA182" s="11" t="str">
        <f t="shared" si="20"/>
        <v/>
      </c>
      <c r="AB182" s="11" t="str">
        <f t="shared" si="20"/>
        <v/>
      </c>
      <c r="AC182" s="11" t="str">
        <f t="shared" ref="V182:AD211" si="21">IF(ISNUMBER(SEARCH(AC$3,$AE182)), 1,"")</f>
        <v/>
      </c>
      <c r="AD182" s="11" t="str">
        <f t="shared" si="21"/>
        <v/>
      </c>
      <c r="AE182" s="12" t="s">
        <v>27</v>
      </c>
    </row>
    <row r="183" spans="1:31" ht="18" customHeight="1" thickTop="1" thickBot="1" x14ac:dyDescent="0.3">
      <c r="A183" s="4" t="s">
        <v>408</v>
      </c>
      <c r="B183" s="4" t="s">
        <v>946</v>
      </c>
      <c r="C183" s="5" t="s">
        <v>409</v>
      </c>
      <c r="D183" s="5" t="s">
        <v>42</v>
      </c>
      <c r="E183" s="5" t="s">
        <v>27</v>
      </c>
      <c r="F183" s="5" t="s">
        <v>411</v>
      </c>
      <c r="G183" s="5" t="s">
        <v>16</v>
      </c>
      <c r="H183" s="6" t="s">
        <v>33</v>
      </c>
      <c r="I183" s="7" t="s">
        <v>44</v>
      </c>
      <c r="J183" s="8" t="s">
        <v>27</v>
      </c>
      <c r="K183" s="8">
        <v>1.0929974064468322</v>
      </c>
      <c r="L183" s="8"/>
      <c r="M183" s="5"/>
      <c r="N183" s="8">
        <v>0.74498069498069508</v>
      </c>
      <c r="O183" s="9">
        <v>0.6815942019501342</v>
      </c>
      <c r="P183" s="10" t="s">
        <v>27</v>
      </c>
      <c r="Q183" s="10">
        <f t="shared" si="15"/>
        <v>0</v>
      </c>
      <c r="R183" s="10">
        <f t="shared" si="16"/>
        <v>0</v>
      </c>
      <c r="S183" s="10">
        <f t="shared" si="17"/>
        <v>0</v>
      </c>
      <c r="T183" s="10">
        <f t="shared" si="18"/>
        <v>0</v>
      </c>
      <c r="U183" s="11" t="str">
        <f t="shared" si="19"/>
        <v/>
      </c>
      <c r="V183" s="11" t="str">
        <f t="shared" si="21"/>
        <v/>
      </c>
      <c r="W183" s="11" t="str">
        <f t="shared" si="21"/>
        <v/>
      </c>
      <c r="X183" s="11" t="str">
        <f t="shared" si="21"/>
        <v/>
      </c>
      <c r="Y183" s="11" t="str">
        <f t="shared" si="21"/>
        <v/>
      </c>
      <c r="Z183" s="11" t="str">
        <f t="shared" si="21"/>
        <v/>
      </c>
      <c r="AA183" s="11" t="str">
        <f t="shared" si="21"/>
        <v/>
      </c>
      <c r="AB183" s="11" t="str">
        <f t="shared" si="21"/>
        <v/>
      </c>
      <c r="AC183" s="11" t="str">
        <f t="shared" si="21"/>
        <v/>
      </c>
      <c r="AD183" s="11" t="str">
        <f t="shared" si="21"/>
        <v/>
      </c>
      <c r="AE183" s="12" t="s">
        <v>27</v>
      </c>
    </row>
    <row r="184" spans="1:31" ht="18" customHeight="1" thickTop="1" thickBot="1" x14ac:dyDescent="0.3">
      <c r="A184" s="4" t="s">
        <v>350</v>
      </c>
      <c r="B184" s="4" t="s">
        <v>947</v>
      </c>
      <c r="C184" s="5" t="s">
        <v>412</v>
      </c>
      <c r="D184" s="5" t="s">
        <v>26</v>
      </c>
      <c r="E184" s="5" t="s">
        <v>27</v>
      </c>
      <c r="F184" s="5" t="s">
        <v>413</v>
      </c>
      <c r="G184" s="5" t="s">
        <v>16</v>
      </c>
      <c r="H184" s="6" t="s">
        <v>48</v>
      </c>
      <c r="I184" s="7" t="s">
        <v>68</v>
      </c>
      <c r="J184" s="8" t="s">
        <v>27</v>
      </c>
      <c r="K184" s="8">
        <v>0.64727687482178498</v>
      </c>
      <c r="L184" s="8"/>
      <c r="M184" s="5"/>
      <c r="N184" s="8">
        <v>1.2425373134328357</v>
      </c>
      <c r="O184" s="9">
        <v>1.9196380432638569</v>
      </c>
      <c r="P184" s="10" t="s">
        <v>31</v>
      </c>
      <c r="Q184" s="10">
        <f t="shared" si="15"/>
        <v>0</v>
      </c>
      <c r="R184" s="10">
        <f t="shared" si="16"/>
        <v>0</v>
      </c>
      <c r="S184" s="10">
        <f t="shared" si="17"/>
        <v>1</v>
      </c>
      <c r="T184" s="10">
        <f t="shared" si="18"/>
        <v>0</v>
      </c>
      <c r="U184" s="11" t="str">
        <f t="shared" si="19"/>
        <v/>
      </c>
      <c r="V184" s="11">
        <f t="shared" si="21"/>
        <v>1</v>
      </c>
      <c r="W184" s="11" t="str">
        <f t="shared" si="21"/>
        <v/>
      </c>
      <c r="X184" s="11" t="str">
        <f t="shared" si="21"/>
        <v/>
      </c>
      <c r="Y184" s="11" t="str">
        <f t="shared" si="21"/>
        <v/>
      </c>
      <c r="Z184" s="11" t="str">
        <f t="shared" si="21"/>
        <v/>
      </c>
      <c r="AA184" s="11" t="str">
        <f t="shared" si="21"/>
        <v/>
      </c>
      <c r="AB184" s="11" t="str">
        <f t="shared" si="21"/>
        <v/>
      </c>
      <c r="AC184" s="11" t="str">
        <f t="shared" si="21"/>
        <v/>
      </c>
      <c r="AD184" s="11" t="str">
        <f t="shared" si="21"/>
        <v/>
      </c>
      <c r="AE184" s="12" t="s">
        <v>974</v>
      </c>
    </row>
    <row r="185" spans="1:31" ht="18" customHeight="1" thickTop="1" thickBot="1" x14ac:dyDescent="0.3">
      <c r="A185" s="4" t="s">
        <v>350</v>
      </c>
      <c r="B185" s="4" t="s">
        <v>947</v>
      </c>
      <c r="C185" s="5" t="s">
        <v>412</v>
      </c>
      <c r="D185" s="5" t="s">
        <v>26</v>
      </c>
      <c r="E185" s="5" t="s">
        <v>36</v>
      </c>
      <c r="F185" s="5" t="s">
        <v>414</v>
      </c>
      <c r="G185" s="5" t="s">
        <v>16</v>
      </c>
      <c r="H185" s="6" t="s">
        <v>48</v>
      </c>
      <c r="I185" s="7" t="s">
        <v>78</v>
      </c>
      <c r="J185" s="8" t="s">
        <v>27</v>
      </c>
      <c r="K185" s="8">
        <v>1</v>
      </c>
      <c r="L185" s="8"/>
      <c r="M185" s="5"/>
      <c r="N185" s="8">
        <v>1.008403361344538</v>
      </c>
      <c r="O185" s="9">
        <v>1.008403361344538</v>
      </c>
      <c r="P185" s="10" t="s">
        <v>27</v>
      </c>
      <c r="Q185" s="10">
        <f t="shared" si="15"/>
        <v>0</v>
      </c>
      <c r="R185" s="10">
        <f t="shared" si="16"/>
        <v>0</v>
      </c>
      <c r="S185" s="10">
        <f t="shared" si="17"/>
        <v>0</v>
      </c>
      <c r="T185" s="10">
        <f t="shared" si="18"/>
        <v>0</v>
      </c>
      <c r="U185" s="11" t="str">
        <f t="shared" si="19"/>
        <v/>
      </c>
      <c r="V185" s="11" t="str">
        <f t="shared" si="21"/>
        <v/>
      </c>
      <c r="W185" s="11" t="str">
        <f t="shared" si="21"/>
        <v/>
      </c>
      <c r="X185" s="11" t="str">
        <f t="shared" si="21"/>
        <v/>
      </c>
      <c r="Y185" s="11" t="str">
        <f t="shared" si="21"/>
        <v/>
      </c>
      <c r="Z185" s="11" t="str">
        <f t="shared" si="21"/>
        <v/>
      </c>
      <c r="AA185" s="11" t="str">
        <f t="shared" si="21"/>
        <v/>
      </c>
      <c r="AB185" s="11" t="str">
        <f t="shared" si="21"/>
        <v/>
      </c>
      <c r="AC185" s="11" t="str">
        <f t="shared" si="21"/>
        <v/>
      </c>
      <c r="AD185" s="11" t="str">
        <f t="shared" si="21"/>
        <v/>
      </c>
      <c r="AE185" s="12" t="s">
        <v>27</v>
      </c>
    </row>
    <row r="186" spans="1:31" ht="18" customHeight="1" thickTop="1" thickBot="1" x14ac:dyDescent="0.3">
      <c r="A186" s="4" t="s">
        <v>350</v>
      </c>
      <c r="B186" s="4" t="s">
        <v>947</v>
      </c>
      <c r="C186" s="5" t="s">
        <v>412</v>
      </c>
      <c r="D186" s="5" t="s">
        <v>26</v>
      </c>
      <c r="E186" s="5" t="s">
        <v>40</v>
      </c>
      <c r="F186" s="5" t="s">
        <v>415</v>
      </c>
      <c r="G186" s="5" t="s">
        <v>16</v>
      </c>
      <c r="H186" s="6" t="s">
        <v>48</v>
      </c>
      <c r="I186" s="7" t="s">
        <v>68</v>
      </c>
      <c r="J186" s="8" t="s">
        <v>27</v>
      </c>
      <c r="K186" s="8">
        <v>1</v>
      </c>
      <c r="L186" s="8"/>
      <c r="M186" s="5"/>
      <c r="N186" s="8">
        <v>1.1767605633802818</v>
      </c>
      <c r="O186" s="9">
        <v>1.1767605633802818</v>
      </c>
      <c r="P186" s="10" t="s">
        <v>27</v>
      </c>
      <c r="Q186" s="10">
        <f t="shared" si="15"/>
        <v>0</v>
      </c>
      <c r="R186" s="10">
        <f t="shared" si="16"/>
        <v>0</v>
      </c>
      <c r="S186" s="10">
        <f t="shared" si="17"/>
        <v>0</v>
      </c>
      <c r="T186" s="10">
        <f t="shared" si="18"/>
        <v>0</v>
      </c>
      <c r="U186" s="11" t="str">
        <f t="shared" si="19"/>
        <v/>
      </c>
      <c r="V186" s="11" t="str">
        <f t="shared" si="21"/>
        <v/>
      </c>
      <c r="W186" s="11" t="str">
        <f t="shared" si="21"/>
        <v/>
      </c>
      <c r="X186" s="11" t="str">
        <f t="shared" si="21"/>
        <v/>
      </c>
      <c r="Y186" s="11" t="str">
        <f t="shared" si="21"/>
        <v/>
      </c>
      <c r="Z186" s="11" t="str">
        <f t="shared" si="21"/>
        <v/>
      </c>
      <c r="AA186" s="11" t="str">
        <f t="shared" si="21"/>
        <v/>
      </c>
      <c r="AB186" s="11" t="str">
        <f t="shared" si="21"/>
        <v/>
      </c>
      <c r="AC186" s="11" t="str">
        <f t="shared" si="21"/>
        <v/>
      </c>
      <c r="AD186" s="11" t="str">
        <f t="shared" si="21"/>
        <v/>
      </c>
      <c r="AE186" s="12" t="s">
        <v>27</v>
      </c>
    </row>
    <row r="187" spans="1:31" ht="18" customHeight="1" thickTop="1" thickBot="1" x14ac:dyDescent="0.3">
      <c r="A187" s="4" t="s">
        <v>350</v>
      </c>
      <c r="B187" s="4" t="s">
        <v>947</v>
      </c>
      <c r="C187" s="5" t="s">
        <v>412</v>
      </c>
      <c r="D187" s="5" t="s">
        <v>26</v>
      </c>
      <c r="E187" s="5" t="s">
        <v>69</v>
      </c>
      <c r="F187" s="5" t="s">
        <v>416</v>
      </c>
      <c r="G187" s="5" t="s">
        <v>16</v>
      </c>
      <c r="H187" s="6" t="s">
        <v>48</v>
      </c>
      <c r="I187" s="7" t="s">
        <v>68</v>
      </c>
      <c r="J187" s="8" t="s">
        <v>27</v>
      </c>
      <c r="K187" s="8">
        <v>1</v>
      </c>
      <c r="L187" s="8"/>
      <c r="M187" s="5"/>
      <c r="N187" s="8">
        <v>1.1359223300970873</v>
      </c>
      <c r="O187" s="9">
        <v>1.1359223300970871</v>
      </c>
      <c r="P187" s="10" t="s">
        <v>27</v>
      </c>
      <c r="Q187" s="10">
        <f t="shared" si="15"/>
        <v>0</v>
      </c>
      <c r="R187" s="10">
        <f t="shared" si="16"/>
        <v>0</v>
      </c>
      <c r="S187" s="10">
        <f t="shared" si="17"/>
        <v>0</v>
      </c>
      <c r="T187" s="10">
        <f t="shared" si="18"/>
        <v>0</v>
      </c>
      <c r="U187" s="11" t="str">
        <f t="shared" si="19"/>
        <v/>
      </c>
      <c r="V187" s="11" t="str">
        <f t="shared" si="21"/>
        <v/>
      </c>
      <c r="W187" s="11" t="str">
        <f t="shared" si="21"/>
        <v/>
      </c>
      <c r="X187" s="11" t="str">
        <f t="shared" si="21"/>
        <v/>
      </c>
      <c r="Y187" s="11" t="str">
        <f t="shared" si="21"/>
        <v/>
      </c>
      <c r="Z187" s="11" t="str">
        <f t="shared" si="21"/>
        <v/>
      </c>
      <c r="AA187" s="11" t="str">
        <f t="shared" si="21"/>
        <v/>
      </c>
      <c r="AB187" s="11" t="str">
        <f t="shared" si="21"/>
        <v/>
      </c>
      <c r="AC187" s="11" t="str">
        <f t="shared" si="21"/>
        <v/>
      </c>
      <c r="AD187" s="11" t="str">
        <f t="shared" si="21"/>
        <v/>
      </c>
      <c r="AE187" s="12" t="s">
        <v>27</v>
      </c>
    </row>
    <row r="188" spans="1:31" ht="18" customHeight="1" thickTop="1" thickBot="1" x14ac:dyDescent="0.3">
      <c r="A188" s="4" t="s">
        <v>350</v>
      </c>
      <c r="B188" s="4" t="s">
        <v>947</v>
      </c>
      <c r="C188" s="5" t="s">
        <v>412</v>
      </c>
      <c r="D188" s="5" t="s">
        <v>26</v>
      </c>
      <c r="E188" s="5" t="s">
        <v>71</v>
      </c>
      <c r="F188" s="5" t="s">
        <v>417</v>
      </c>
      <c r="G188" s="5" t="s">
        <v>16</v>
      </c>
      <c r="H188" s="6" t="s">
        <v>48</v>
      </c>
      <c r="I188" s="7" t="s">
        <v>68</v>
      </c>
      <c r="J188" s="8" t="s">
        <v>27</v>
      </c>
      <c r="K188" s="8">
        <v>1</v>
      </c>
      <c r="L188" s="8"/>
      <c r="M188" s="5"/>
      <c r="N188" s="8">
        <v>0.92666666666666675</v>
      </c>
      <c r="O188" s="9">
        <v>0.92666666666666675</v>
      </c>
      <c r="P188" s="10" t="s">
        <v>27</v>
      </c>
      <c r="Q188" s="10">
        <f t="shared" si="15"/>
        <v>0</v>
      </c>
      <c r="R188" s="10">
        <f t="shared" si="16"/>
        <v>0</v>
      </c>
      <c r="S188" s="10">
        <f t="shared" si="17"/>
        <v>0</v>
      </c>
      <c r="T188" s="10">
        <f t="shared" si="18"/>
        <v>0</v>
      </c>
      <c r="U188" s="11" t="str">
        <f t="shared" si="19"/>
        <v/>
      </c>
      <c r="V188" s="11" t="str">
        <f t="shared" si="21"/>
        <v/>
      </c>
      <c r="W188" s="11" t="str">
        <f t="shared" si="21"/>
        <v/>
      </c>
      <c r="X188" s="11" t="str">
        <f t="shared" si="21"/>
        <v/>
      </c>
      <c r="Y188" s="11" t="str">
        <f t="shared" si="21"/>
        <v/>
      </c>
      <c r="Z188" s="11" t="str">
        <f t="shared" si="21"/>
        <v/>
      </c>
      <c r="AA188" s="11" t="str">
        <f t="shared" si="21"/>
        <v/>
      </c>
      <c r="AB188" s="11" t="str">
        <f t="shared" si="21"/>
        <v/>
      </c>
      <c r="AC188" s="11" t="str">
        <f t="shared" si="21"/>
        <v/>
      </c>
      <c r="AD188" s="11" t="str">
        <f t="shared" si="21"/>
        <v/>
      </c>
      <c r="AE188" s="12" t="s">
        <v>27</v>
      </c>
    </row>
    <row r="189" spans="1:31" ht="18" customHeight="1" thickTop="1" thickBot="1" x14ac:dyDescent="0.3">
      <c r="A189" s="4" t="s">
        <v>350</v>
      </c>
      <c r="B189" s="4" t="s">
        <v>947</v>
      </c>
      <c r="C189" s="5" t="s">
        <v>412</v>
      </c>
      <c r="D189" s="5" t="s">
        <v>26</v>
      </c>
      <c r="E189" s="5" t="s">
        <v>141</v>
      </c>
      <c r="F189" s="5" t="s">
        <v>418</v>
      </c>
      <c r="G189" s="5" t="s">
        <v>16</v>
      </c>
      <c r="H189" s="6" t="s">
        <v>48</v>
      </c>
      <c r="I189" s="7" t="s">
        <v>68</v>
      </c>
      <c r="J189" s="8" t="s">
        <v>27</v>
      </c>
      <c r="K189" s="8">
        <v>1</v>
      </c>
      <c r="L189" s="8"/>
      <c r="M189" s="5"/>
      <c r="N189" s="8">
        <v>1.086857142857143</v>
      </c>
      <c r="O189" s="9">
        <v>1.086857142857143</v>
      </c>
      <c r="P189" s="10" t="s">
        <v>27</v>
      </c>
      <c r="Q189" s="10">
        <f t="shared" si="15"/>
        <v>0</v>
      </c>
      <c r="R189" s="10">
        <f t="shared" si="16"/>
        <v>0</v>
      </c>
      <c r="S189" s="10">
        <f t="shared" si="17"/>
        <v>0</v>
      </c>
      <c r="T189" s="10">
        <f t="shared" si="18"/>
        <v>0</v>
      </c>
      <c r="U189" s="11" t="str">
        <f t="shared" si="19"/>
        <v/>
      </c>
      <c r="V189" s="11" t="str">
        <f t="shared" si="21"/>
        <v/>
      </c>
      <c r="W189" s="11" t="str">
        <f t="shared" si="21"/>
        <v/>
      </c>
      <c r="X189" s="11" t="str">
        <f t="shared" si="21"/>
        <v/>
      </c>
      <c r="Y189" s="11" t="str">
        <f t="shared" si="21"/>
        <v/>
      </c>
      <c r="Z189" s="11" t="str">
        <f t="shared" si="21"/>
        <v/>
      </c>
      <c r="AA189" s="11" t="str">
        <f t="shared" si="21"/>
        <v/>
      </c>
      <c r="AB189" s="11" t="str">
        <f t="shared" si="21"/>
        <v/>
      </c>
      <c r="AC189" s="11" t="str">
        <f t="shared" si="21"/>
        <v/>
      </c>
      <c r="AD189" s="11" t="str">
        <f t="shared" si="21"/>
        <v/>
      </c>
      <c r="AE189" s="12" t="s">
        <v>27</v>
      </c>
    </row>
    <row r="190" spans="1:31" ht="18" customHeight="1" thickTop="1" thickBot="1" x14ac:dyDescent="0.3">
      <c r="A190" s="4" t="s">
        <v>350</v>
      </c>
      <c r="B190" s="4" t="s">
        <v>947</v>
      </c>
      <c r="C190" s="5" t="s">
        <v>412</v>
      </c>
      <c r="D190" s="5" t="s">
        <v>26</v>
      </c>
      <c r="E190" s="5" t="s">
        <v>143</v>
      </c>
      <c r="F190" s="5" t="s">
        <v>419</v>
      </c>
      <c r="G190" s="5" t="s">
        <v>16</v>
      </c>
      <c r="H190" s="6" t="s">
        <v>48</v>
      </c>
      <c r="I190" s="7" t="s">
        <v>68</v>
      </c>
      <c r="J190" s="8" t="s">
        <v>27</v>
      </c>
      <c r="K190" s="8">
        <v>1</v>
      </c>
      <c r="L190" s="8"/>
      <c r="M190" s="5"/>
      <c r="N190" s="8">
        <v>0.90322580645161299</v>
      </c>
      <c r="O190" s="9">
        <v>0.90322580645161299</v>
      </c>
      <c r="P190" s="10" t="s">
        <v>27</v>
      </c>
      <c r="Q190" s="10">
        <f t="shared" si="15"/>
        <v>0</v>
      </c>
      <c r="R190" s="10">
        <f t="shared" si="16"/>
        <v>0</v>
      </c>
      <c r="S190" s="10">
        <f t="shared" si="17"/>
        <v>0</v>
      </c>
      <c r="T190" s="10">
        <f t="shared" si="18"/>
        <v>0</v>
      </c>
      <c r="U190" s="11" t="str">
        <f t="shared" si="19"/>
        <v/>
      </c>
      <c r="V190" s="11" t="str">
        <f t="shared" si="21"/>
        <v/>
      </c>
      <c r="W190" s="11" t="str">
        <f t="shared" si="21"/>
        <v/>
      </c>
      <c r="X190" s="11" t="str">
        <f t="shared" si="21"/>
        <v/>
      </c>
      <c r="Y190" s="11" t="str">
        <f t="shared" si="21"/>
        <v/>
      </c>
      <c r="Z190" s="11" t="str">
        <f t="shared" si="21"/>
        <v/>
      </c>
      <c r="AA190" s="11" t="str">
        <f t="shared" si="21"/>
        <v/>
      </c>
      <c r="AB190" s="11" t="str">
        <f t="shared" si="21"/>
        <v/>
      </c>
      <c r="AC190" s="11" t="str">
        <f t="shared" si="21"/>
        <v/>
      </c>
      <c r="AD190" s="11" t="str">
        <f t="shared" si="21"/>
        <v/>
      </c>
      <c r="AE190" s="12" t="s">
        <v>27</v>
      </c>
    </row>
    <row r="191" spans="1:31" ht="18" customHeight="1" thickTop="1" thickBot="1" x14ac:dyDescent="0.3">
      <c r="A191" s="4" t="s">
        <v>123</v>
      </c>
      <c r="B191" s="4" t="s">
        <v>948</v>
      </c>
      <c r="C191" s="5" t="s">
        <v>420</v>
      </c>
      <c r="D191" s="5" t="s">
        <v>26</v>
      </c>
      <c r="E191" s="5" t="s">
        <v>27</v>
      </c>
      <c r="F191" s="5" t="s">
        <v>421</v>
      </c>
      <c r="G191" s="5" t="s">
        <v>16</v>
      </c>
      <c r="H191" s="6" t="s">
        <v>422</v>
      </c>
      <c r="I191" s="7" t="s">
        <v>364</v>
      </c>
      <c r="J191" s="8" t="s">
        <v>27</v>
      </c>
      <c r="K191" s="8">
        <v>0.96533333333333338</v>
      </c>
      <c r="L191" s="8"/>
      <c r="M191" s="5"/>
      <c r="N191" s="8">
        <v>1.2020749602766612</v>
      </c>
      <c r="O191" s="9">
        <v>1.2452433980766517</v>
      </c>
      <c r="P191" s="10" t="s">
        <v>27</v>
      </c>
      <c r="Q191" s="10">
        <f t="shared" si="15"/>
        <v>0</v>
      </c>
      <c r="R191" s="10">
        <f t="shared" si="16"/>
        <v>0</v>
      </c>
      <c r="S191" s="10">
        <f t="shared" si="17"/>
        <v>0</v>
      </c>
      <c r="T191" s="10">
        <f t="shared" si="18"/>
        <v>0</v>
      </c>
      <c r="U191" s="11" t="str">
        <f t="shared" si="19"/>
        <v/>
      </c>
      <c r="V191" s="11" t="str">
        <f t="shared" si="21"/>
        <v/>
      </c>
      <c r="W191" s="11" t="str">
        <f t="shared" si="21"/>
        <v/>
      </c>
      <c r="X191" s="11" t="str">
        <f t="shared" si="21"/>
        <v/>
      </c>
      <c r="Y191" s="11" t="str">
        <f t="shared" si="21"/>
        <v/>
      </c>
      <c r="Z191" s="11" t="str">
        <f t="shared" si="21"/>
        <v/>
      </c>
      <c r="AA191" s="11" t="str">
        <f t="shared" si="21"/>
        <v/>
      </c>
      <c r="AB191" s="11" t="str">
        <f t="shared" si="21"/>
        <v/>
      </c>
      <c r="AC191" s="11" t="str">
        <f t="shared" si="21"/>
        <v/>
      </c>
      <c r="AD191" s="11" t="str">
        <f t="shared" si="21"/>
        <v/>
      </c>
      <c r="AE191" s="12" t="s">
        <v>27</v>
      </c>
    </row>
    <row r="192" spans="1:31" ht="18" customHeight="1" thickTop="1" thickBot="1" x14ac:dyDescent="0.3">
      <c r="A192" s="4" t="s">
        <v>123</v>
      </c>
      <c r="B192" s="4" t="s">
        <v>948</v>
      </c>
      <c r="C192" s="5" t="s">
        <v>420</v>
      </c>
      <c r="D192" s="5" t="s">
        <v>26</v>
      </c>
      <c r="E192" s="5" t="s">
        <v>36</v>
      </c>
      <c r="F192" s="5" t="s">
        <v>423</v>
      </c>
      <c r="G192" s="5" t="s">
        <v>16</v>
      </c>
      <c r="H192" s="6" t="s">
        <v>422</v>
      </c>
      <c r="I192" s="7" t="s">
        <v>364</v>
      </c>
      <c r="J192" s="8" t="s">
        <v>27</v>
      </c>
      <c r="K192" s="8">
        <v>0.94413965087281804</v>
      </c>
      <c r="L192" s="8"/>
      <c r="M192" s="5"/>
      <c r="N192" s="8">
        <v>0.96374115353406276</v>
      </c>
      <c r="O192" s="9">
        <v>1.0207612323485449</v>
      </c>
      <c r="P192" s="10" t="s">
        <v>27</v>
      </c>
      <c r="Q192" s="10">
        <f t="shared" si="15"/>
        <v>0</v>
      </c>
      <c r="R192" s="10">
        <f t="shared" si="16"/>
        <v>0</v>
      </c>
      <c r="S192" s="10">
        <f t="shared" si="17"/>
        <v>0</v>
      </c>
      <c r="T192" s="10">
        <f t="shared" si="18"/>
        <v>0</v>
      </c>
      <c r="U192" s="11" t="str">
        <f t="shared" si="19"/>
        <v/>
      </c>
      <c r="V192" s="11" t="str">
        <f t="shared" si="21"/>
        <v/>
      </c>
      <c r="W192" s="11" t="str">
        <f t="shared" si="21"/>
        <v/>
      </c>
      <c r="X192" s="11" t="str">
        <f t="shared" si="21"/>
        <v/>
      </c>
      <c r="Y192" s="11" t="str">
        <f t="shared" si="21"/>
        <v/>
      </c>
      <c r="Z192" s="11" t="str">
        <f t="shared" si="21"/>
        <v/>
      </c>
      <c r="AA192" s="11" t="str">
        <f t="shared" si="21"/>
        <v/>
      </c>
      <c r="AB192" s="11" t="str">
        <f t="shared" si="21"/>
        <v/>
      </c>
      <c r="AC192" s="11" t="str">
        <f t="shared" si="21"/>
        <v/>
      </c>
      <c r="AD192" s="11" t="str">
        <f t="shared" si="21"/>
        <v/>
      </c>
      <c r="AE192" s="12" t="s">
        <v>27</v>
      </c>
    </row>
    <row r="193" spans="1:31" ht="18" customHeight="1" thickTop="1" thickBot="1" x14ac:dyDescent="0.3">
      <c r="A193" s="4" t="s">
        <v>123</v>
      </c>
      <c r="B193" s="4" t="s">
        <v>948</v>
      </c>
      <c r="C193" s="5" t="s">
        <v>420</v>
      </c>
      <c r="D193" s="5" t="s">
        <v>26</v>
      </c>
      <c r="E193" s="5" t="s">
        <v>40</v>
      </c>
      <c r="F193" s="5" t="s">
        <v>424</v>
      </c>
      <c r="G193" s="5" t="s">
        <v>16</v>
      </c>
      <c r="H193" s="6" t="s">
        <v>422</v>
      </c>
      <c r="I193" s="7" t="s">
        <v>364</v>
      </c>
      <c r="J193" s="8" t="s">
        <v>27</v>
      </c>
      <c r="K193" s="8">
        <v>1.0224137931034483</v>
      </c>
      <c r="L193" s="8"/>
      <c r="M193" s="5"/>
      <c r="N193" s="8">
        <v>1.6075888053896636</v>
      </c>
      <c r="O193" s="9">
        <v>1.572346555018558</v>
      </c>
      <c r="P193" s="10" t="s">
        <v>31</v>
      </c>
      <c r="Q193" s="10">
        <f t="shared" si="15"/>
        <v>0</v>
      </c>
      <c r="R193" s="10">
        <f t="shared" si="16"/>
        <v>0</v>
      </c>
      <c r="S193" s="10">
        <f t="shared" si="17"/>
        <v>1</v>
      </c>
      <c r="T193" s="10">
        <f t="shared" si="18"/>
        <v>0</v>
      </c>
      <c r="U193" s="11">
        <f t="shared" si="19"/>
        <v>1</v>
      </c>
      <c r="V193" s="11" t="str">
        <f t="shared" si="21"/>
        <v/>
      </c>
      <c r="W193" s="11">
        <f t="shared" si="21"/>
        <v>1</v>
      </c>
      <c r="X193" s="11" t="str">
        <f t="shared" si="21"/>
        <v/>
      </c>
      <c r="Y193" s="11" t="str">
        <f t="shared" si="21"/>
        <v/>
      </c>
      <c r="Z193" s="11" t="str">
        <f t="shared" si="21"/>
        <v/>
      </c>
      <c r="AA193" s="11" t="str">
        <f t="shared" si="21"/>
        <v/>
      </c>
      <c r="AB193" s="11" t="str">
        <f t="shared" si="21"/>
        <v/>
      </c>
      <c r="AC193" s="11">
        <f t="shared" si="21"/>
        <v>1</v>
      </c>
      <c r="AD193" s="11" t="str">
        <f t="shared" si="21"/>
        <v/>
      </c>
      <c r="AE193" s="12" t="s">
        <v>976</v>
      </c>
    </row>
    <row r="194" spans="1:31" ht="18" customHeight="1" thickTop="1" thickBot="1" x14ac:dyDescent="0.3">
      <c r="A194" s="4" t="s">
        <v>123</v>
      </c>
      <c r="B194" s="4" t="s">
        <v>948</v>
      </c>
      <c r="C194" s="5" t="s">
        <v>420</v>
      </c>
      <c r="D194" s="5" t="s">
        <v>26</v>
      </c>
      <c r="E194" s="5" t="s">
        <v>69</v>
      </c>
      <c r="F194" s="5" t="s">
        <v>425</v>
      </c>
      <c r="G194" s="5" t="s">
        <v>16</v>
      </c>
      <c r="H194" s="6" t="s">
        <v>422</v>
      </c>
      <c r="I194" s="7" t="s">
        <v>364</v>
      </c>
      <c r="J194" s="8" t="s">
        <v>27</v>
      </c>
      <c r="K194" s="8">
        <v>1</v>
      </c>
      <c r="L194" s="8"/>
      <c r="M194" s="5"/>
      <c r="N194" s="8">
        <v>2.0096642167656591</v>
      </c>
      <c r="O194" s="9">
        <v>2.0096642167656595</v>
      </c>
      <c r="P194" s="10" t="s">
        <v>31</v>
      </c>
      <c r="Q194" s="10">
        <f t="shared" si="15"/>
        <v>0</v>
      </c>
      <c r="R194" s="10">
        <f t="shared" si="16"/>
        <v>0</v>
      </c>
      <c r="S194" s="10">
        <f t="shared" si="17"/>
        <v>1</v>
      </c>
      <c r="T194" s="10">
        <f t="shared" si="18"/>
        <v>0</v>
      </c>
      <c r="U194" s="11">
        <f t="shared" si="19"/>
        <v>1</v>
      </c>
      <c r="V194" s="11" t="str">
        <f t="shared" si="21"/>
        <v/>
      </c>
      <c r="W194" s="11">
        <f t="shared" si="21"/>
        <v>1</v>
      </c>
      <c r="X194" s="11" t="str">
        <f t="shared" si="21"/>
        <v/>
      </c>
      <c r="Y194" s="11" t="str">
        <f t="shared" si="21"/>
        <v/>
      </c>
      <c r="Z194" s="11" t="str">
        <f t="shared" si="21"/>
        <v/>
      </c>
      <c r="AA194" s="11" t="str">
        <f t="shared" si="21"/>
        <v/>
      </c>
      <c r="AB194" s="11" t="str">
        <f t="shared" si="21"/>
        <v/>
      </c>
      <c r="AC194" s="11">
        <f t="shared" si="21"/>
        <v>1</v>
      </c>
      <c r="AD194" s="11" t="str">
        <f t="shared" si="21"/>
        <v/>
      </c>
      <c r="AE194" s="12" t="s">
        <v>976</v>
      </c>
    </row>
    <row r="195" spans="1:31" ht="18" customHeight="1" thickTop="1" thickBot="1" x14ac:dyDescent="0.3">
      <c r="A195" s="4" t="s">
        <v>123</v>
      </c>
      <c r="B195" s="4" t="s">
        <v>948</v>
      </c>
      <c r="C195" s="5" t="s">
        <v>420</v>
      </c>
      <c r="D195" s="5" t="s">
        <v>26</v>
      </c>
      <c r="E195" s="5" t="s">
        <v>71</v>
      </c>
      <c r="F195" s="5" t="s">
        <v>426</v>
      </c>
      <c r="G195" s="5" t="s">
        <v>16</v>
      </c>
      <c r="H195" s="6" t="s">
        <v>422</v>
      </c>
      <c r="I195" s="7" t="s">
        <v>364</v>
      </c>
      <c r="J195" s="8" t="s">
        <v>27</v>
      </c>
      <c r="K195" s="8">
        <v>0.971186440677966</v>
      </c>
      <c r="L195" s="8"/>
      <c r="M195" s="5"/>
      <c r="N195" s="8">
        <v>1.773256672056571</v>
      </c>
      <c r="O195" s="9">
        <v>1.8258663813496978</v>
      </c>
      <c r="P195" s="10" t="s">
        <v>31</v>
      </c>
      <c r="Q195" s="10">
        <f t="shared" si="15"/>
        <v>0</v>
      </c>
      <c r="R195" s="10">
        <f t="shared" si="16"/>
        <v>0</v>
      </c>
      <c r="S195" s="10">
        <f t="shared" si="17"/>
        <v>1</v>
      </c>
      <c r="T195" s="10">
        <f t="shared" si="18"/>
        <v>0</v>
      </c>
      <c r="U195" s="11">
        <f t="shared" si="19"/>
        <v>1</v>
      </c>
      <c r="V195" s="11" t="str">
        <f t="shared" si="21"/>
        <v/>
      </c>
      <c r="W195" s="11">
        <f t="shared" si="21"/>
        <v>1</v>
      </c>
      <c r="X195" s="11" t="str">
        <f t="shared" si="21"/>
        <v/>
      </c>
      <c r="Y195" s="11" t="str">
        <f t="shared" si="21"/>
        <v/>
      </c>
      <c r="Z195" s="11" t="str">
        <f t="shared" si="21"/>
        <v/>
      </c>
      <c r="AA195" s="11" t="str">
        <f t="shared" si="21"/>
        <v/>
      </c>
      <c r="AB195" s="11" t="str">
        <f t="shared" si="21"/>
        <v/>
      </c>
      <c r="AC195" s="11">
        <f t="shared" si="21"/>
        <v>1</v>
      </c>
      <c r="AD195" s="11" t="str">
        <f t="shared" si="21"/>
        <v/>
      </c>
      <c r="AE195" s="12" t="s">
        <v>976</v>
      </c>
    </row>
    <row r="196" spans="1:31" ht="18" customHeight="1" thickTop="1" thickBot="1" x14ac:dyDescent="0.3">
      <c r="A196" s="4" t="s">
        <v>123</v>
      </c>
      <c r="B196" s="4" t="s">
        <v>948</v>
      </c>
      <c r="C196" s="5" t="s">
        <v>420</v>
      </c>
      <c r="D196" s="5" t="s">
        <v>42</v>
      </c>
      <c r="E196" s="5" t="s">
        <v>27</v>
      </c>
      <c r="F196" s="5" t="s">
        <v>427</v>
      </c>
      <c r="G196" s="5" t="s">
        <v>16</v>
      </c>
      <c r="H196" s="6" t="s">
        <v>422</v>
      </c>
      <c r="I196" s="7" t="s">
        <v>359</v>
      </c>
      <c r="J196" s="8" t="s">
        <v>27</v>
      </c>
      <c r="K196" s="8">
        <v>0.66500000000000004</v>
      </c>
      <c r="L196" s="8"/>
      <c r="M196" s="5"/>
      <c r="N196" s="8">
        <v>0.95899566473988451</v>
      </c>
      <c r="O196" s="9">
        <v>1.4420987439697512</v>
      </c>
      <c r="P196" s="10" t="s">
        <v>27</v>
      </c>
      <c r="Q196" s="10">
        <f t="shared" si="15"/>
        <v>0</v>
      </c>
      <c r="R196" s="10">
        <f t="shared" si="16"/>
        <v>0</v>
      </c>
      <c r="S196" s="10">
        <f t="shared" si="17"/>
        <v>0</v>
      </c>
      <c r="T196" s="10">
        <f t="shared" si="18"/>
        <v>0</v>
      </c>
      <c r="U196" s="11" t="str">
        <f t="shared" si="19"/>
        <v/>
      </c>
      <c r="V196" s="11" t="str">
        <f t="shared" si="21"/>
        <v/>
      </c>
      <c r="W196" s="11" t="str">
        <f t="shared" si="21"/>
        <v/>
      </c>
      <c r="X196" s="11" t="str">
        <f t="shared" si="21"/>
        <v/>
      </c>
      <c r="Y196" s="11" t="str">
        <f t="shared" si="21"/>
        <v/>
      </c>
      <c r="Z196" s="11" t="str">
        <f t="shared" si="21"/>
        <v/>
      </c>
      <c r="AA196" s="11" t="str">
        <f t="shared" si="21"/>
        <v/>
      </c>
      <c r="AB196" s="11" t="str">
        <f t="shared" si="21"/>
        <v/>
      </c>
      <c r="AC196" s="11" t="str">
        <f t="shared" si="21"/>
        <v/>
      </c>
      <c r="AD196" s="11" t="str">
        <f t="shared" si="21"/>
        <v/>
      </c>
      <c r="AE196" s="12" t="s">
        <v>27</v>
      </c>
    </row>
    <row r="197" spans="1:31" ht="18" customHeight="1" thickTop="1" thickBot="1" x14ac:dyDescent="0.3">
      <c r="A197" s="4" t="s">
        <v>332</v>
      </c>
      <c r="B197" s="4" t="s">
        <v>947</v>
      </c>
      <c r="C197" s="5" t="s">
        <v>428</v>
      </c>
      <c r="D197" s="5" t="s">
        <v>26</v>
      </c>
      <c r="E197" s="5" t="s">
        <v>27</v>
      </c>
      <c r="F197" s="5" t="s">
        <v>429</v>
      </c>
      <c r="G197" s="5" t="s">
        <v>16</v>
      </c>
      <c r="H197" s="6" t="s">
        <v>52</v>
      </c>
      <c r="I197" s="7" t="s">
        <v>38</v>
      </c>
      <c r="J197" s="8" t="s">
        <v>27</v>
      </c>
      <c r="K197" s="8">
        <v>1.0714285714285714</v>
      </c>
      <c r="L197" s="8"/>
      <c r="M197" s="5"/>
      <c r="N197" s="8">
        <v>0.94896551724137934</v>
      </c>
      <c r="O197" s="9">
        <v>0.88570114942528733</v>
      </c>
      <c r="P197" s="10" t="s">
        <v>27</v>
      </c>
      <c r="Q197" s="10">
        <f t="shared" ref="Q197:Q260" si="22">IF(K197&gt;1.5,1,0)</f>
        <v>0</v>
      </c>
      <c r="R197" s="10">
        <f t="shared" ref="R197:R260" si="23">IF(K197&lt;0.5,1,0)</f>
        <v>0</v>
      </c>
      <c r="S197" s="10">
        <f t="shared" ref="S197:S260" si="24">IF(O197&gt;1.5,1,0)</f>
        <v>0</v>
      </c>
      <c r="T197" s="10">
        <f t="shared" ref="T197:T260" si="25">IF(O197&lt;0.5,1,0)</f>
        <v>0</v>
      </c>
      <c r="U197" s="11" t="str">
        <f t="shared" si="19"/>
        <v/>
      </c>
      <c r="V197" s="11" t="str">
        <f t="shared" si="21"/>
        <v/>
      </c>
      <c r="W197" s="11" t="str">
        <f t="shared" si="21"/>
        <v/>
      </c>
      <c r="X197" s="11" t="str">
        <f t="shared" si="21"/>
        <v/>
      </c>
      <c r="Y197" s="11" t="str">
        <f t="shared" si="21"/>
        <v/>
      </c>
      <c r="Z197" s="11" t="str">
        <f t="shared" si="21"/>
        <v/>
      </c>
      <c r="AA197" s="11" t="str">
        <f t="shared" si="21"/>
        <v/>
      </c>
      <c r="AB197" s="11" t="str">
        <f t="shared" si="21"/>
        <v/>
      </c>
      <c r="AC197" s="11" t="str">
        <f t="shared" si="21"/>
        <v/>
      </c>
      <c r="AD197" s="11" t="str">
        <f t="shared" si="21"/>
        <v/>
      </c>
      <c r="AE197" s="12" t="s">
        <v>27</v>
      </c>
    </row>
    <row r="198" spans="1:31" ht="18" customHeight="1" thickTop="1" thickBot="1" x14ac:dyDescent="0.3">
      <c r="A198" s="4" t="s">
        <v>332</v>
      </c>
      <c r="B198" s="4" t="s">
        <v>947</v>
      </c>
      <c r="C198" s="5" t="s">
        <v>428</v>
      </c>
      <c r="D198" s="5" t="s">
        <v>26</v>
      </c>
      <c r="E198" s="5" t="s">
        <v>36</v>
      </c>
      <c r="F198" s="5" t="s">
        <v>430</v>
      </c>
      <c r="G198" s="5" t="s">
        <v>16</v>
      </c>
      <c r="H198" s="6" t="s">
        <v>52</v>
      </c>
      <c r="I198" s="7" t="s">
        <v>38</v>
      </c>
      <c r="J198" s="8" t="s">
        <v>27</v>
      </c>
      <c r="K198" s="8">
        <v>1.1111111111111112</v>
      </c>
      <c r="L198" s="8"/>
      <c r="M198" s="5"/>
      <c r="N198" s="8">
        <v>0.92727272727272736</v>
      </c>
      <c r="O198" s="9">
        <v>0.83454545454545459</v>
      </c>
      <c r="P198" s="10" t="s">
        <v>27</v>
      </c>
      <c r="Q198" s="10">
        <f t="shared" si="22"/>
        <v>0</v>
      </c>
      <c r="R198" s="10">
        <f t="shared" si="23"/>
        <v>0</v>
      </c>
      <c r="S198" s="10">
        <f t="shared" si="24"/>
        <v>0</v>
      </c>
      <c r="T198" s="10">
        <f t="shared" si="25"/>
        <v>0</v>
      </c>
      <c r="U198" s="11" t="str">
        <f t="shared" ref="U198:U261" si="26">IF(ISNUMBER(SEARCH(U$3,$AE198)), 1,"")</f>
        <v/>
      </c>
      <c r="V198" s="11" t="str">
        <f t="shared" si="21"/>
        <v/>
      </c>
      <c r="W198" s="11" t="str">
        <f t="shared" si="21"/>
        <v/>
      </c>
      <c r="X198" s="11" t="str">
        <f t="shared" si="21"/>
        <v/>
      </c>
      <c r="Y198" s="11" t="str">
        <f t="shared" si="21"/>
        <v/>
      </c>
      <c r="Z198" s="11" t="str">
        <f t="shared" si="21"/>
        <v/>
      </c>
      <c r="AA198" s="11" t="str">
        <f t="shared" si="21"/>
        <v/>
      </c>
      <c r="AB198" s="11" t="str">
        <f t="shared" si="21"/>
        <v/>
      </c>
      <c r="AC198" s="11" t="str">
        <f t="shared" si="21"/>
        <v/>
      </c>
      <c r="AD198" s="11" t="str">
        <f t="shared" si="21"/>
        <v/>
      </c>
      <c r="AE198" s="12" t="s">
        <v>27</v>
      </c>
    </row>
    <row r="199" spans="1:31" ht="18" customHeight="1" thickTop="1" thickBot="1" x14ac:dyDescent="0.3">
      <c r="A199" s="4" t="s">
        <v>332</v>
      </c>
      <c r="B199" s="4" t="s">
        <v>947</v>
      </c>
      <c r="C199" s="5" t="s">
        <v>428</v>
      </c>
      <c r="D199" s="5" t="s">
        <v>26</v>
      </c>
      <c r="E199" s="5" t="s">
        <v>40</v>
      </c>
      <c r="F199" s="5" t="s">
        <v>431</v>
      </c>
      <c r="G199" s="5" t="s">
        <v>16</v>
      </c>
      <c r="H199" s="6" t="s">
        <v>52</v>
      </c>
      <c r="I199" s="7" t="s">
        <v>38</v>
      </c>
      <c r="J199" s="8" t="s">
        <v>27</v>
      </c>
      <c r="K199" s="8">
        <v>1</v>
      </c>
      <c r="L199" s="8"/>
      <c r="M199" s="5"/>
      <c r="N199" s="8">
        <v>1.0147058823529413</v>
      </c>
      <c r="O199" s="9">
        <v>1.0147058823529413</v>
      </c>
      <c r="P199" s="10" t="s">
        <v>27</v>
      </c>
      <c r="Q199" s="10">
        <f t="shared" si="22"/>
        <v>0</v>
      </c>
      <c r="R199" s="10">
        <f t="shared" si="23"/>
        <v>0</v>
      </c>
      <c r="S199" s="10">
        <f t="shared" si="24"/>
        <v>0</v>
      </c>
      <c r="T199" s="10">
        <f t="shared" si="25"/>
        <v>0</v>
      </c>
      <c r="U199" s="11" t="str">
        <f t="shared" si="26"/>
        <v/>
      </c>
      <c r="V199" s="11" t="str">
        <f t="shared" si="21"/>
        <v/>
      </c>
      <c r="W199" s="11" t="str">
        <f t="shared" si="21"/>
        <v/>
      </c>
      <c r="X199" s="11" t="str">
        <f t="shared" si="21"/>
        <v/>
      </c>
      <c r="Y199" s="11" t="str">
        <f t="shared" si="21"/>
        <v/>
      </c>
      <c r="Z199" s="11" t="str">
        <f t="shared" si="21"/>
        <v/>
      </c>
      <c r="AA199" s="11" t="str">
        <f t="shared" si="21"/>
        <v/>
      </c>
      <c r="AB199" s="11" t="str">
        <f t="shared" si="21"/>
        <v/>
      </c>
      <c r="AC199" s="11" t="str">
        <f t="shared" si="21"/>
        <v/>
      </c>
      <c r="AD199" s="11" t="str">
        <f t="shared" si="21"/>
        <v/>
      </c>
      <c r="AE199" s="12" t="s">
        <v>27</v>
      </c>
    </row>
    <row r="200" spans="1:31" ht="18" customHeight="1" thickTop="1" thickBot="1" x14ac:dyDescent="0.3">
      <c r="A200" s="4" t="s">
        <v>332</v>
      </c>
      <c r="B200" s="4" t="s">
        <v>947</v>
      </c>
      <c r="C200" s="5" t="s">
        <v>428</v>
      </c>
      <c r="D200" s="5" t="s">
        <v>26</v>
      </c>
      <c r="E200" s="5" t="s">
        <v>69</v>
      </c>
      <c r="F200" s="5" t="s">
        <v>432</v>
      </c>
      <c r="G200" s="5" t="s">
        <v>16</v>
      </c>
      <c r="H200" s="6" t="s">
        <v>52</v>
      </c>
      <c r="I200" s="7" t="s">
        <v>38</v>
      </c>
      <c r="J200" s="8" t="s">
        <v>27</v>
      </c>
      <c r="K200" s="8">
        <v>0.91666666666666663</v>
      </c>
      <c r="L200" s="8"/>
      <c r="M200" s="5"/>
      <c r="N200" s="8">
        <v>0.99473684210526314</v>
      </c>
      <c r="O200" s="9">
        <v>1.0851674641148326</v>
      </c>
      <c r="P200" s="10" t="s">
        <v>27</v>
      </c>
      <c r="Q200" s="10">
        <f t="shared" si="22"/>
        <v>0</v>
      </c>
      <c r="R200" s="10">
        <f t="shared" si="23"/>
        <v>0</v>
      </c>
      <c r="S200" s="10">
        <f t="shared" si="24"/>
        <v>0</v>
      </c>
      <c r="T200" s="10">
        <f t="shared" si="25"/>
        <v>0</v>
      </c>
      <c r="U200" s="11" t="str">
        <f t="shared" si="26"/>
        <v/>
      </c>
      <c r="V200" s="11" t="str">
        <f t="shared" si="21"/>
        <v/>
      </c>
      <c r="W200" s="11" t="str">
        <f t="shared" si="21"/>
        <v/>
      </c>
      <c r="X200" s="11" t="str">
        <f t="shared" si="21"/>
        <v/>
      </c>
      <c r="Y200" s="11" t="str">
        <f t="shared" si="21"/>
        <v/>
      </c>
      <c r="Z200" s="11" t="str">
        <f t="shared" si="21"/>
        <v/>
      </c>
      <c r="AA200" s="11" t="str">
        <f t="shared" si="21"/>
        <v/>
      </c>
      <c r="AB200" s="11" t="str">
        <f t="shared" si="21"/>
        <v/>
      </c>
      <c r="AC200" s="11" t="str">
        <f t="shared" si="21"/>
        <v/>
      </c>
      <c r="AD200" s="11" t="str">
        <f t="shared" si="21"/>
        <v/>
      </c>
      <c r="AE200" s="12" t="s">
        <v>27</v>
      </c>
    </row>
    <row r="201" spans="1:31" ht="18" customHeight="1" thickTop="1" thickBot="1" x14ac:dyDescent="0.3">
      <c r="A201" s="4" t="s">
        <v>166</v>
      </c>
      <c r="B201" s="4" t="s">
        <v>950</v>
      </c>
      <c r="C201" s="5" t="s">
        <v>433</v>
      </c>
      <c r="D201" s="5" t="s">
        <v>26</v>
      </c>
      <c r="E201" s="5" t="s">
        <v>36</v>
      </c>
      <c r="F201" s="5" t="s">
        <v>434</v>
      </c>
      <c r="G201" s="5" t="s">
        <v>16</v>
      </c>
      <c r="H201" s="6" t="s">
        <v>52</v>
      </c>
      <c r="I201" s="7" t="s">
        <v>78</v>
      </c>
      <c r="J201" s="8" t="s">
        <v>27</v>
      </c>
      <c r="K201" s="8">
        <v>1</v>
      </c>
      <c r="L201" s="8"/>
      <c r="M201" s="5"/>
      <c r="N201" s="8">
        <v>2.2234042553191489</v>
      </c>
      <c r="O201" s="9">
        <v>2.2234042553191489</v>
      </c>
      <c r="P201" s="10" t="s">
        <v>31</v>
      </c>
      <c r="Q201" s="10">
        <f t="shared" si="22"/>
        <v>0</v>
      </c>
      <c r="R201" s="10">
        <f t="shared" si="23"/>
        <v>0</v>
      </c>
      <c r="S201" s="10">
        <f t="shared" si="24"/>
        <v>1</v>
      </c>
      <c r="T201" s="10">
        <f t="shared" si="25"/>
        <v>0</v>
      </c>
      <c r="U201" s="11">
        <f t="shared" si="26"/>
        <v>1</v>
      </c>
      <c r="V201" s="11">
        <f t="shared" si="21"/>
        <v>1</v>
      </c>
      <c r="W201" s="11">
        <f t="shared" si="21"/>
        <v>1</v>
      </c>
      <c r="X201" s="11" t="str">
        <f t="shared" si="21"/>
        <v/>
      </c>
      <c r="Y201" s="11" t="str">
        <f t="shared" si="21"/>
        <v/>
      </c>
      <c r="Z201" s="11" t="str">
        <f t="shared" si="21"/>
        <v/>
      </c>
      <c r="AA201" s="11" t="str">
        <f t="shared" si="21"/>
        <v/>
      </c>
      <c r="AB201" s="11" t="str">
        <f t="shared" si="21"/>
        <v/>
      </c>
      <c r="AC201" s="11" t="str">
        <f t="shared" si="21"/>
        <v/>
      </c>
      <c r="AD201" s="11" t="str">
        <f t="shared" si="21"/>
        <v/>
      </c>
      <c r="AE201" s="12" t="s">
        <v>978</v>
      </c>
    </row>
    <row r="202" spans="1:31" ht="18" customHeight="1" thickTop="1" thickBot="1" x14ac:dyDescent="0.3">
      <c r="A202" s="4" t="s">
        <v>435</v>
      </c>
      <c r="B202" s="4" t="s">
        <v>950</v>
      </c>
      <c r="C202" s="5" t="s">
        <v>436</v>
      </c>
      <c r="D202" s="5" t="s">
        <v>26</v>
      </c>
      <c r="E202" s="5" t="s">
        <v>27</v>
      </c>
      <c r="F202" s="5" t="s">
        <v>437</v>
      </c>
      <c r="G202" s="5" t="s">
        <v>16</v>
      </c>
      <c r="H202" s="6" t="s">
        <v>39</v>
      </c>
      <c r="I202" s="7" t="s">
        <v>359</v>
      </c>
      <c r="J202" s="8" t="s">
        <v>27</v>
      </c>
      <c r="K202" s="8">
        <v>0.69230769230769229</v>
      </c>
      <c r="L202" s="8"/>
      <c r="M202" s="5"/>
      <c r="N202" s="8">
        <v>2.3372402770378264</v>
      </c>
      <c r="O202" s="9">
        <v>3.3760137334990823</v>
      </c>
      <c r="P202" s="10" t="s">
        <v>31</v>
      </c>
      <c r="Q202" s="10">
        <f t="shared" si="22"/>
        <v>0</v>
      </c>
      <c r="R202" s="10">
        <f t="shared" si="23"/>
        <v>0</v>
      </c>
      <c r="S202" s="10">
        <f t="shared" si="24"/>
        <v>1</v>
      </c>
      <c r="T202" s="10">
        <f t="shared" si="25"/>
        <v>0</v>
      </c>
      <c r="U202" s="11" t="str">
        <f t="shared" si="26"/>
        <v/>
      </c>
      <c r="V202" s="11" t="str">
        <f t="shared" si="21"/>
        <v/>
      </c>
      <c r="W202" s="11" t="str">
        <f t="shared" si="21"/>
        <v/>
      </c>
      <c r="X202" s="11" t="str">
        <f t="shared" si="21"/>
        <v/>
      </c>
      <c r="Y202" s="11" t="str">
        <f t="shared" si="21"/>
        <v/>
      </c>
      <c r="Z202" s="11">
        <f t="shared" si="21"/>
        <v>1</v>
      </c>
      <c r="AA202" s="11" t="str">
        <f t="shared" si="21"/>
        <v/>
      </c>
      <c r="AB202" s="11" t="str">
        <f t="shared" si="21"/>
        <v/>
      </c>
      <c r="AC202" s="11">
        <f t="shared" si="21"/>
        <v>1</v>
      </c>
      <c r="AD202" s="11" t="str">
        <f t="shared" si="21"/>
        <v/>
      </c>
      <c r="AE202" s="12" t="s">
        <v>980</v>
      </c>
    </row>
    <row r="203" spans="1:31" ht="18" customHeight="1" thickTop="1" thickBot="1" x14ac:dyDescent="0.3">
      <c r="A203" s="4" t="s">
        <v>438</v>
      </c>
      <c r="B203" s="4" t="s">
        <v>946</v>
      </c>
      <c r="C203" s="5" t="s">
        <v>439</v>
      </c>
      <c r="D203" s="5" t="s">
        <v>27</v>
      </c>
      <c r="E203" s="5" t="s">
        <v>27</v>
      </c>
      <c r="F203" s="5" t="s">
        <v>439</v>
      </c>
      <c r="G203" s="5" t="s">
        <v>16</v>
      </c>
      <c r="H203" s="6" t="s">
        <v>440</v>
      </c>
      <c r="I203" s="7" t="s">
        <v>44</v>
      </c>
      <c r="J203" s="8">
        <v>1</v>
      </c>
      <c r="K203" s="8">
        <v>1</v>
      </c>
      <c r="L203" s="8"/>
      <c r="M203" s="5"/>
      <c r="N203" s="8">
        <v>1.3457142857142856</v>
      </c>
      <c r="O203" s="9">
        <v>1.3457142857142856</v>
      </c>
      <c r="P203" s="10" t="s">
        <v>27</v>
      </c>
      <c r="Q203" s="10">
        <f t="shared" si="22"/>
        <v>0</v>
      </c>
      <c r="R203" s="10">
        <f t="shared" si="23"/>
        <v>0</v>
      </c>
      <c r="S203" s="10">
        <f t="shared" si="24"/>
        <v>0</v>
      </c>
      <c r="T203" s="10">
        <f t="shared" si="25"/>
        <v>0</v>
      </c>
      <c r="U203" s="11" t="str">
        <f t="shared" si="26"/>
        <v/>
      </c>
      <c r="V203" s="11" t="str">
        <f t="shared" si="21"/>
        <v/>
      </c>
      <c r="W203" s="11" t="str">
        <f t="shared" si="21"/>
        <v/>
      </c>
      <c r="X203" s="11" t="str">
        <f t="shared" si="21"/>
        <v/>
      </c>
      <c r="Y203" s="11" t="str">
        <f t="shared" si="21"/>
        <v/>
      </c>
      <c r="Z203" s="11" t="str">
        <f t="shared" si="21"/>
        <v/>
      </c>
      <c r="AA203" s="11" t="str">
        <f t="shared" si="21"/>
        <v/>
      </c>
      <c r="AB203" s="11" t="str">
        <f t="shared" si="21"/>
        <v/>
      </c>
      <c r="AC203" s="11" t="str">
        <f t="shared" si="21"/>
        <v/>
      </c>
      <c r="AD203" s="11" t="str">
        <f t="shared" si="21"/>
        <v/>
      </c>
      <c r="AE203" s="12" t="s">
        <v>27</v>
      </c>
    </row>
    <row r="204" spans="1:31" ht="18" customHeight="1" thickTop="1" thickBot="1" x14ac:dyDescent="0.3">
      <c r="A204" s="4" t="s">
        <v>438</v>
      </c>
      <c r="B204" s="4" t="s">
        <v>946</v>
      </c>
      <c r="C204" s="5" t="s">
        <v>439</v>
      </c>
      <c r="D204" s="5" t="s">
        <v>26</v>
      </c>
      <c r="E204" s="5" t="s">
        <v>36</v>
      </c>
      <c r="F204" s="5" t="s">
        <v>441</v>
      </c>
      <c r="G204" s="5" t="s">
        <v>16</v>
      </c>
      <c r="H204" s="6" t="s">
        <v>295</v>
      </c>
      <c r="I204" s="7" t="s">
        <v>359</v>
      </c>
      <c r="J204" s="8" t="s">
        <v>27</v>
      </c>
      <c r="K204" s="8">
        <v>1</v>
      </c>
      <c r="L204" s="8"/>
      <c r="M204" s="5"/>
      <c r="N204" s="8">
        <v>1.584075723830735</v>
      </c>
      <c r="O204" s="9">
        <v>1.584075723830735</v>
      </c>
      <c r="P204" s="10" t="s">
        <v>31</v>
      </c>
      <c r="Q204" s="10">
        <f t="shared" si="22"/>
        <v>0</v>
      </c>
      <c r="R204" s="10">
        <f t="shared" si="23"/>
        <v>0</v>
      </c>
      <c r="S204" s="10">
        <f t="shared" si="24"/>
        <v>1</v>
      </c>
      <c r="T204" s="10">
        <f t="shared" si="25"/>
        <v>0</v>
      </c>
      <c r="U204" s="11" t="str">
        <f t="shared" si="26"/>
        <v/>
      </c>
      <c r="V204" s="11" t="str">
        <f t="shared" si="21"/>
        <v/>
      </c>
      <c r="W204" s="11" t="str">
        <f t="shared" si="21"/>
        <v/>
      </c>
      <c r="X204" s="11" t="str">
        <f t="shared" si="21"/>
        <v/>
      </c>
      <c r="Y204" s="11" t="str">
        <f t="shared" si="21"/>
        <v/>
      </c>
      <c r="Z204" s="11" t="str">
        <f t="shared" si="21"/>
        <v/>
      </c>
      <c r="AA204" s="11" t="str">
        <f t="shared" si="21"/>
        <v/>
      </c>
      <c r="AB204" s="11" t="str">
        <f t="shared" si="21"/>
        <v/>
      </c>
      <c r="AC204" s="11">
        <f t="shared" si="21"/>
        <v>1</v>
      </c>
      <c r="AD204" s="11" t="str">
        <f t="shared" si="21"/>
        <v/>
      </c>
      <c r="AE204" s="12" t="s">
        <v>982</v>
      </c>
    </row>
    <row r="205" spans="1:31" ht="18" customHeight="1" thickTop="1" thickBot="1" x14ac:dyDescent="0.3">
      <c r="A205" s="4" t="s">
        <v>438</v>
      </c>
      <c r="B205" s="4" t="s">
        <v>946</v>
      </c>
      <c r="C205" s="5" t="s">
        <v>439</v>
      </c>
      <c r="D205" s="5" t="s">
        <v>26</v>
      </c>
      <c r="E205" s="5" t="s">
        <v>40</v>
      </c>
      <c r="F205" s="5" t="s">
        <v>442</v>
      </c>
      <c r="G205" s="5" t="s">
        <v>16</v>
      </c>
      <c r="H205" s="6" t="s">
        <v>295</v>
      </c>
      <c r="I205" s="7" t="s">
        <v>359</v>
      </c>
      <c r="J205" s="8" t="s">
        <v>27</v>
      </c>
      <c r="K205" s="8">
        <v>1</v>
      </c>
      <c r="L205" s="8"/>
      <c r="M205" s="5"/>
      <c r="N205" s="8">
        <v>1.4583333333333335</v>
      </c>
      <c r="O205" s="9">
        <v>1.4583333333333335</v>
      </c>
      <c r="P205" s="10" t="s">
        <v>27</v>
      </c>
      <c r="Q205" s="10">
        <f t="shared" si="22"/>
        <v>0</v>
      </c>
      <c r="R205" s="10">
        <f t="shared" si="23"/>
        <v>0</v>
      </c>
      <c r="S205" s="10">
        <f t="shared" si="24"/>
        <v>0</v>
      </c>
      <c r="T205" s="10">
        <f t="shared" si="25"/>
        <v>0</v>
      </c>
      <c r="U205" s="11" t="str">
        <f t="shared" si="26"/>
        <v/>
      </c>
      <c r="V205" s="11" t="str">
        <f t="shared" si="21"/>
        <v/>
      </c>
      <c r="W205" s="11" t="str">
        <f t="shared" si="21"/>
        <v/>
      </c>
      <c r="X205" s="11" t="str">
        <f t="shared" si="21"/>
        <v/>
      </c>
      <c r="Y205" s="11" t="str">
        <f t="shared" si="21"/>
        <v/>
      </c>
      <c r="Z205" s="11" t="str">
        <f t="shared" si="21"/>
        <v/>
      </c>
      <c r="AA205" s="11" t="str">
        <f t="shared" si="21"/>
        <v/>
      </c>
      <c r="AB205" s="11" t="str">
        <f t="shared" si="21"/>
        <v/>
      </c>
      <c r="AC205" s="11" t="str">
        <f t="shared" si="21"/>
        <v/>
      </c>
      <c r="AD205" s="11" t="str">
        <f t="shared" si="21"/>
        <v/>
      </c>
      <c r="AE205" s="12" t="s">
        <v>27</v>
      </c>
    </row>
    <row r="206" spans="1:31" ht="18" customHeight="1" thickTop="1" thickBot="1" x14ac:dyDescent="0.3">
      <c r="A206" s="4" t="s">
        <v>438</v>
      </c>
      <c r="B206" s="4" t="s">
        <v>946</v>
      </c>
      <c r="C206" s="5" t="s">
        <v>439</v>
      </c>
      <c r="D206" s="5" t="s">
        <v>26</v>
      </c>
      <c r="E206" s="5" t="s">
        <v>69</v>
      </c>
      <c r="F206" s="5" t="s">
        <v>443</v>
      </c>
      <c r="G206" s="5" t="s">
        <v>16</v>
      </c>
      <c r="H206" s="6" t="s">
        <v>295</v>
      </c>
      <c r="I206" s="7" t="s">
        <v>359</v>
      </c>
      <c r="J206" s="8" t="s">
        <v>27</v>
      </c>
      <c r="K206" s="8">
        <v>1</v>
      </c>
      <c r="L206" s="8"/>
      <c r="M206" s="5"/>
      <c r="N206" s="8">
        <v>3.5446524064171121</v>
      </c>
      <c r="O206" s="9">
        <v>3.5446524064171121</v>
      </c>
      <c r="P206" s="10" t="s">
        <v>31</v>
      </c>
      <c r="Q206" s="10">
        <f t="shared" si="22"/>
        <v>0</v>
      </c>
      <c r="R206" s="10">
        <f t="shared" si="23"/>
        <v>0</v>
      </c>
      <c r="S206" s="10">
        <f t="shared" si="24"/>
        <v>1</v>
      </c>
      <c r="T206" s="10">
        <f t="shared" si="25"/>
        <v>0</v>
      </c>
      <c r="U206" s="11" t="str">
        <f t="shared" si="26"/>
        <v/>
      </c>
      <c r="V206" s="11" t="str">
        <f t="shared" si="21"/>
        <v/>
      </c>
      <c r="W206" s="11" t="str">
        <f t="shared" si="21"/>
        <v/>
      </c>
      <c r="X206" s="11" t="str">
        <f t="shared" si="21"/>
        <v/>
      </c>
      <c r="Y206" s="11" t="str">
        <f t="shared" si="21"/>
        <v/>
      </c>
      <c r="Z206" s="11" t="str">
        <f t="shared" si="21"/>
        <v/>
      </c>
      <c r="AA206" s="11" t="str">
        <f t="shared" si="21"/>
        <v/>
      </c>
      <c r="AB206" s="11" t="str">
        <f t="shared" si="21"/>
        <v/>
      </c>
      <c r="AC206" s="11">
        <f t="shared" si="21"/>
        <v>1</v>
      </c>
      <c r="AD206" s="11">
        <f t="shared" si="21"/>
        <v>1</v>
      </c>
      <c r="AE206" s="12" t="s">
        <v>984</v>
      </c>
    </row>
    <row r="207" spans="1:31" ht="18" customHeight="1" thickTop="1" thickBot="1" x14ac:dyDescent="0.3">
      <c r="A207" s="4" t="s">
        <v>444</v>
      </c>
      <c r="B207" s="4" t="s">
        <v>946</v>
      </c>
      <c r="C207" s="5" t="s">
        <v>445</v>
      </c>
      <c r="D207" s="5" t="s">
        <v>26</v>
      </c>
      <c r="E207" s="5" t="s">
        <v>36</v>
      </c>
      <c r="F207" s="5" t="s">
        <v>446</v>
      </c>
      <c r="G207" s="5" t="s">
        <v>16</v>
      </c>
      <c r="H207" s="6" t="s">
        <v>108</v>
      </c>
      <c r="I207" s="7" t="s">
        <v>38</v>
      </c>
      <c r="J207" s="8" t="s">
        <v>27</v>
      </c>
      <c r="K207" s="8">
        <v>0.59523809523809523</v>
      </c>
      <c r="L207" s="8"/>
      <c r="M207" s="5"/>
      <c r="N207" s="8">
        <v>1.0625</v>
      </c>
      <c r="O207" s="9">
        <v>1.7849999999999999</v>
      </c>
      <c r="P207" s="10" t="s">
        <v>31</v>
      </c>
      <c r="Q207" s="10">
        <f t="shared" si="22"/>
        <v>0</v>
      </c>
      <c r="R207" s="10">
        <f t="shared" si="23"/>
        <v>0</v>
      </c>
      <c r="S207" s="10">
        <f t="shared" si="24"/>
        <v>1</v>
      </c>
      <c r="T207" s="10">
        <f t="shared" si="25"/>
        <v>0</v>
      </c>
      <c r="U207" s="11">
        <f t="shared" si="26"/>
        <v>1</v>
      </c>
      <c r="V207" s="11" t="str">
        <f t="shared" si="21"/>
        <v/>
      </c>
      <c r="W207" s="11" t="str">
        <f t="shared" si="21"/>
        <v/>
      </c>
      <c r="X207" s="11" t="str">
        <f t="shared" si="21"/>
        <v/>
      </c>
      <c r="Y207" s="11" t="str">
        <f t="shared" si="21"/>
        <v/>
      </c>
      <c r="Z207" s="11" t="str">
        <f t="shared" si="21"/>
        <v/>
      </c>
      <c r="AA207" s="11" t="str">
        <f t="shared" si="21"/>
        <v/>
      </c>
      <c r="AB207" s="11" t="str">
        <f t="shared" si="21"/>
        <v/>
      </c>
      <c r="AC207" s="11">
        <f t="shared" si="21"/>
        <v>1</v>
      </c>
      <c r="AD207" s="11" t="str">
        <f t="shared" si="21"/>
        <v/>
      </c>
      <c r="AE207" s="12" t="s">
        <v>986</v>
      </c>
    </row>
    <row r="208" spans="1:31" ht="18" customHeight="1" thickTop="1" thickBot="1" x14ac:dyDescent="0.3">
      <c r="A208" s="4" t="s">
        <v>444</v>
      </c>
      <c r="B208" s="4" t="s">
        <v>946</v>
      </c>
      <c r="C208" s="5" t="s">
        <v>445</v>
      </c>
      <c r="D208" s="5" t="s">
        <v>26</v>
      </c>
      <c r="E208" s="5" t="s">
        <v>40</v>
      </c>
      <c r="F208" s="5" t="s">
        <v>447</v>
      </c>
      <c r="G208" s="5" t="s">
        <v>16</v>
      </c>
      <c r="H208" s="6" t="s">
        <v>108</v>
      </c>
      <c r="I208" s="7" t="s">
        <v>38</v>
      </c>
      <c r="J208" s="8" t="s">
        <v>27</v>
      </c>
      <c r="K208" s="8">
        <v>1</v>
      </c>
      <c r="L208" s="8"/>
      <c r="M208" s="5"/>
      <c r="N208" s="8">
        <v>1.6031746031746033</v>
      </c>
      <c r="O208" s="9">
        <v>1.6031746031746033</v>
      </c>
      <c r="P208" s="10" t="s">
        <v>31</v>
      </c>
      <c r="Q208" s="10">
        <f t="shared" si="22"/>
        <v>0</v>
      </c>
      <c r="R208" s="10">
        <f t="shared" si="23"/>
        <v>0</v>
      </c>
      <c r="S208" s="10">
        <f t="shared" si="24"/>
        <v>1</v>
      </c>
      <c r="T208" s="10">
        <f t="shared" si="25"/>
        <v>0</v>
      </c>
      <c r="U208" s="11">
        <f t="shared" si="26"/>
        <v>1</v>
      </c>
      <c r="V208" s="11" t="str">
        <f t="shared" si="21"/>
        <v/>
      </c>
      <c r="W208" s="11" t="str">
        <f t="shared" si="21"/>
        <v/>
      </c>
      <c r="X208" s="11" t="str">
        <f t="shared" si="21"/>
        <v/>
      </c>
      <c r="Y208" s="11" t="str">
        <f t="shared" si="21"/>
        <v/>
      </c>
      <c r="Z208" s="11" t="str">
        <f t="shared" si="21"/>
        <v/>
      </c>
      <c r="AA208" s="11" t="str">
        <f t="shared" si="21"/>
        <v/>
      </c>
      <c r="AB208" s="11" t="str">
        <f t="shared" si="21"/>
        <v/>
      </c>
      <c r="AC208" s="11">
        <f t="shared" si="21"/>
        <v>1</v>
      </c>
      <c r="AD208" s="11" t="str">
        <f t="shared" si="21"/>
        <v/>
      </c>
      <c r="AE208" s="12" t="s">
        <v>986</v>
      </c>
    </row>
    <row r="209" spans="1:31" ht="18" customHeight="1" thickTop="1" thickBot="1" x14ac:dyDescent="0.3">
      <c r="A209" s="4" t="s">
        <v>444</v>
      </c>
      <c r="B209" s="4" t="s">
        <v>946</v>
      </c>
      <c r="C209" s="5" t="s">
        <v>445</v>
      </c>
      <c r="D209" s="5" t="s">
        <v>26</v>
      </c>
      <c r="E209" s="5" t="s">
        <v>69</v>
      </c>
      <c r="F209" s="5" t="s">
        <v>448</v>
      </c>
      <c r="G209" s="5" t="s">
        <v>16</v>
      </c>
      <c r="H209" s="6" t="s">
        <v>108</v>
      </c>
      <c r="I209" s="7" t="s">
        <v>387</v>
      </c>
      <c r="J209" s="8" t="s">
        <v>27</v>
      </c>
      <c r="K209" s="8">
        <v>1.0021505376344086</v>
      </c>
      <c r="L209" s="8"/>
      <c r="M209" s="5"/>
      <c r="N209" s="8">
        <v>1.0277777777777777</v>
      </c>
      <c r="O209" s="9">
        <v>1.0255722460658083</v>
      </c>
      <c r="P209" s="10" t="s">
        <v>27</v>
      </c>
      <c r="Q209" s="10">
        <f t="shared" si="22"/>
        <v>0</v>
      </c>
      <c r="R209" s="10">
        <f t="shared" si="23"/>
        <v>0</v>
      </c>
      <c r="S209" s="10">
        <f t="shared" si="24"/>
        <v>0</v>
      </c>
      <c r="T209" s="10">
        <f t="shared" si="25"/>
        <v>0</v>
      </c>
      <c r="U209" s="11" t="str">
        <f t="shared" si="26"/>
        <v/>
      </c>
      <c r="V209" s="11" t="str">
        <f t="shared" si="21"/>
        <v/>
      </c>
      <c r="W209" s="11" t="str">
        <f t="shared" si="21"/>
        <v/>
      </c>
      <c r="X209" s="11" t="str">
        <f t="shared" si="21"/>
        <v/>
      </c>
      <c r="Y209" s="11" t="str">
        <f t="shared" si="21"/>
        <v/>
      </c>
      <c r="Z209" s="11" t="str">
        <f t="shared" si="21"/>
        <v/>
      </c>
      <c r="AA209" s="11" t="str">
        <f t="shared" si="21"/>
        <v/>
      </c>
      <c r="AB209" s="11" t="str">
        <f t="shared" si="21"/>
        <v/>
      </c>
      <c r="AC209" s="11" t="str">
        <f t="shared" si="21"/>
        <v/>
      </c>
      <c r="AD209" s="11" t="str">
        <f t="shared" si="21"/>
        <v/>
      </c>
      <c r="AE209" s="12" t="s">
        <v>27</v>
      </c>
    </row>
    <row r="210" spans="1:31" ht="18" customHeight="1" thickTop="1" thickBot="1" x14ac:dyDescent="0.3">
      <c r="A210" s="4" t="s">
        <v>444</v>
      </c>
      <c r="B210" s="4" t="s">
        <v>946</v>
      </c>
      <c r="C210" s="5" t="s">
        <v>445</v>
      </c>
      <c r="D210" s="5" t="s">
        <v>26</v>
      </c>
      <c r="E210" s="5" t="s">
        <v>71</v>
      </c>
      <c r="F210" s="5" t="s">
        <v>449</v>
      </c>
      <c r="G210" s="5" t="s">
        <v>16</v>
      </c>
      <c r="H210" s="6" t="s">
        <v>108</v>
      </c>
      <c r="I210" s="7" t="s">
        <v>387</v>
      </c>
      <c r="J210" s="8" t="s">
        <v>27</v>
      </c>
      <c r="K210" s="8">
        <v>1</v>
      </c>
      <c r="L210" s="8"/>
      <c r="M210" s="5"/>
      <c r="N210" s="8">
        <v>1.0740740740740742</v>
      </c>
      <c r="O210" s="9">
        <v>1.074074074074074</v>
      </c>
      <c r="P210" s="10" t="s">
        <v>27</v>
      </c>
      <c r="Q210" s="10">
        <f t="shared" si="22"/>
        <v>0</v>
      </c>
      <c r="R210" s="10">
        <f t="shared" si="23"/>
        <v>0</v>
      </c>
      <c r="S210" s="10">
        <f t="shared" si="24"/>
        <v>0</v>
      </c>
      <c r="T210" s="10">
        <f t="shared" si="25"/>
        <v>0</v>
      </c>
      <c r="U210" s="11" t="str">
        <f t="shared" si="26"/>
        <v/>
      </c>
      <c r="V210" s="11" t="str">
        <f t="shared" si="21"/>
        <v/>
      </c>
      <c r="W210" s="11" t="str">
        <f t="shared" si="21"/>
        <v/>
      </c>
      <c r="X210" s="11" t="str">
        <f t="shared" si="21"/>
        <v/>
      </c>
      <c r="Y210" s="11" t="str">
        <f t="shared" si="21"/>
        <v/>
      </c>
      <c r="Z210" s="11" t="str">
        <f t="shared" si="21"/>
        <v/>
      </c>
      <c r="AA210" s="11" t="str">
        <f t="shared" si="21"/>
        <v/>
      </c>
      <c r="AB210" s="11" t="str">
        <f t="shared" si="21"/>
        <v/>
      </c>
      <c r="AC210" s="11" t="str">
        <f t="shared" si="21"/>
        <v/>
      </c>
      <c r="AD210" s="11" t="str">
        <f t="shared" si="21"/>
        <v/>
      </c>
      <c r="AE210" s="12" t="s">
        <v>27</v>
      </c>
    </row>
    <row r="211" spans="1:31" ht="18" customHeight="1" thickTop="1" thickBot="1" x14ac:dyDescent="0.3">
      <c r="A211" s="4" t="s">
        <v>444</v>
      </c>
      <c r="B211" s="4" t="s">
        <v>946</v>
      </c>
      <c r="C211" s="5" t="s">
        <v>445</v>
      </c>
      <c r="D211" s="5" t="s">
        <v>42</v>
      </c>
      <c r="E211" s="5" t="s">
        <v>27</v>
      </c>
      <c r="F211" s="5" t="s">
        <v>450</v>
      </c>
      <c r="G211" s="5" t="s">
        <v>16</v>
      </c>
      <c r="H211" s="6" t="s">
        <v>108</v>
      </c>
      <c r="I211" s="7" t="s">
        <v>359</v>
      </c>
      <c r="J211" s="8" t="s">
        <v>27</v>
      </c>
      <c r="K211" s="8">
        <v>1.02</v>
      </c>
      <c r="L211" s="8"/>
      <c r="M211" s="5"/>
      <c r="N211" s="8">
        <v>0.57647058823529418</v>
      </c>
      <c r="O211" s="9">
        <v>0.56516724336793545</v>
      </c>
      <c r="P211" s="10" t="s">
        <v>27</v>
      </c>
      <c r="Q211" s="10">
        <f t="shared" si="22"/>
        <v>0</v>
      </c>
      <c r="R211" s="10">
        <f t="shared" si="23"/>
        <v>0</v>
      </c>
      <c r="S211" s="10">
        <f t="shared" si="24"/>
        <v>0</v>
      </c>
      <c r="T211" s="10">
        <f t="shared" si="25"/>
        <v>0</v>
      </c>
      <c r="U211" s="11" t="str">
        <f t="shared" si="26"/>
        <v/>
      </c>
      <c r="V211" s="11" t="str">
        <f t="shared" si="21"/>
        <v/>
      </c>
      <c r="W211" s="11" t="str">
        <f t="shared" ref="V211:AD239" si="27">IF(ISNUMBER(SEARCH(W$3,$AE211)), 1,"")</f>
        <v/>
      </c>
      <c r="X211" s="11" t="str">
        <f t="shared" si="27"/>
        <v/>
      </c>
      <c r="Y211" s="11" t="str">
        <f t="shared" si="27"/>
        <v/>
      </c>
      <c r="Z211" s="11" t="str">
        <f t="shared" si="27"/>
        <v/>
      </c>
      <c r="AA211" s="11" t="str">
        <f t="shared" si="27"/>
        <v/>
      </c>
      <c r="AB211" s="11" t="str">
        <f t="shared" si="27"/>
        <v/>
      </c>
      <c r="AC211" s="11" t="str">
        <f t="shared" si="27"/>
        <v/>
      </c>
      <c r="AD211" s="11" t="str">
        <f t="shared" si="27"/>
        <v/>
      </c>
      <c r="AE211" s="12" t="s">
        <v>27</v>
      </c>
    </row>
    <row r="212" spans="1:31" ht="18" customHeight="1" thickTop="1" thickBot="1" x14ac:dyDescent="0.3">
      <c r="A212" s="4" t="s">
        <v>444</v>
      </c>
      <c r="B212" s="4" t="s">
        <v>946</v>
      </c>
      <c r="C212" s="5" t="s">
        <v>445</v>
      </c>
      <c r="D212" s="5" t="s">
        <v>60</v>
      </c>
      <c r="E212" s="5" t="s">
        <v>27</v>
      </c>
      <c r="F212" s="5" t="s">
        <v>451</v>
      </c>
      <c r="G212" s="5" t="s">
        <v>16</v>
      </c>
      <c r="H212" s="6" t="s">
        <v>108</v>
      </c>
      <c r="I212" s="7" t="s">
        <v>44</v>
      </c>
      <c r="J212" s="8" t="s">
        <v>27</v>
      </c>
      <c r="K212" s="8">
        <v>1.8555555555555556</v>
      </c>
      <c r="L212" s="8"/>
      <c r="M212" s="5"/>
      <c r="N212" s="8">
        <v>1.95</v>
      </c>
      <c r="O212" s="9">
        <v>1.0508982035928143</v>
      </c>
      <c r="P212" s="10" t="s">
        <v>31</v>
      </c>
      <c r="Q212" s="10">
        <f t="shared" si="22"/>
        <v>1</v>
      </c>
      <c r="R212" s="10">
        <f t="shared" si="23"/>
        <v>0</v>
      </c>
      <c r="S212" s="10">
        <f t="shared" si="24"/>
        <v>0</v>
      </c>
      <c r="T212" s="10">
        <f t="shared" si="25"/>
        <v>0</v>
      </c>
      <c r="U212" s="11" t="str">
        <f t="shared" si="26"/>
        <v/>
      </c>
      <c r="V212" s="11" t="str">
        <f t="shared" si="27"/>
        <v/>
      </c>
      <c r="W212" s="11" t="str">
        <f t="shared" si="27"/>
        <v/>
      </c>
      <c r="X212" s="11" t="str">
        <f t="shared" si="27"/>
        <v/>
      </c>
      <c r="Y212" s="11" t="str">
        <f t="shared" si="27"/>
        <v/>
      </c>
      <c r="Z212" s="11" t="str">
        <f t="shared" si="27"/>
        <v/>
      </c>
      <c r="AA212" s="11" t="str">
        <f t="shared" si="27"/>
        <v/>
      </c>
      <c r="AB212" s="11" t="str">
        <f t="shared" si="27"/>
        <v/>
      </c>
      <c r="AC212" s="11" t="str">
        <f t="shared" si="27"/>
        <v/>
      </c>
      <c r="AD212" s="11">
        <f t="shared" si="27"/>
        <v>1</v>
      </c>
      <c r="AE212" s="12" t="s">
        <v>988</v>
      </c>
    </row>
    <row r="213" spans="1:31" ht="18" customHeight="1" thickTop="1" thickBot="1" x14ac:dyDescent="0.3">
      <c r="A213" s="4" t="s">
        <v>384</v>
      </c>
      <c r="B213" s="4" t="s">
        <v>945</v>
      </c>
      <c r="C213" s="5" t="s">
        <v>452</v>
      </c>
      <c r="D213" s="5" t="s">
        <v>26</v>
      </c>
      <c r="E213" s="5" t="s">
        <v>36</v>
      </c>
      <c r="F213" s="5" t="s">
        <v>453</v>
      </c>
      <c r="G213" s="5" t="s">
        <v>16</v>
      </c>
      <c r="H213" s="6" t="s">
        <v>454</v>
      </c>
      <c r="I213" s="7" t="s">
        <v>359</v>
      </c>
      <c r="J213" s="8" t="s">
        <v>27</v>
      </c>
      <c r="K213" s="8">
        <v>1</v>
      </c>
      <c r="L213" s="8"/>
      <c r="M213" s="5"/>
      <c r="N213" s="8">
        <v>0.95726495726495742</v>
      </c>
      <c r="O213" s="9">
        <v>0.95726495726495742</v>
      </c>
      <c r="P213" s="10" t="s">
        <v>27</v>
      </c>
      <c r="Q213" s="10">
        <f t="shared" si="22"/>
        <v>0</v>
      </c>
      <c r="R213" s="10">
        <f t="shared" si="23"/>
        <v>0</v>
      </c>
      <c r="S213" s="10">
        <f t="shared" si="24"/>
        <v>0</v>
      </c>
      <c r="T213" s="10">
        <f t="shared" si="25"/>
        <v>0</v>
      </c>
      <c r="U213" s="11" t="str">
        <f t="shared" si="26"/>
        <v/>
      </c>
      <c r="V213" s="11" t="str">
        <f t="shared" si="27"/>
        <v/>
      </c>
      <c r="W213" s="11" t="str">
        <f t="shared" si="27"/>
        <v/>
      </c>
      <c r="X213" s="11" t="str">
        <f t="shared" si="27"/>
        <v/>
      </c>
      <c r="Y213" s="11" t="str">
        <f t="shared" si="27"/>
        <v/>
      </c>
      <c r="Z213" s="11" t="str">
        <f t="shared" si="27"/>
        <v/>
      </c>
      <c r="AA213" s="11" t="str">
        <f t="shared" si="27"/>
        <v/>
      </c>
      <c r="AB213" s="11" t="str">
        <f t="shared" si="27"/>
        <v/>
      </c>
      <c r="AC213" s="11" t="str">
        <f t="shared" si="27"/>
        <v/>
      </c>
      <c r="AD213" s="11" t="str">
        <f t="shared" si="27"/>
        <v/>
      </c>
      <c r="AE213" s="12" t="s">
        <v>27</v>
      </c>
    </row>
    <row r="214" spans="1:31" ht="18" customHeight="1" thickTop="1" thickBot="1" x14ac:dyDescent="0.3">
      <c r="A214" s="4" t="s">
        <v>384</v>
      </c>
      <c r="B214" s="4" t="s">
        <v>945</v>
      </c>
      <c r="C214" s="5" t="s">
        <v>452</v>
      </c>
      <c r="D214" s="5" t="s">
        <v>26</v>
      </c>
      <c r="E214" s="5" t="s">
        <v>40</v>
      </c>
      <c r="F214" s="5" t="s">
        <v>455</v>
      </c>
      <c r="G214" s="5" t="s">
        <v>16</v>
      </c>
      <c r="H214" s="6" t="s">
        <v>454</v>
      </c>
      <c r="I214" s="7" t="s">
        <v>359</v>
      </c>
      <c r="J214" s="8" t="s">
        <v>27</v>
      </c>
      <c r="K214" s="8">
        <v>1</v>
      </c>
      <c r="L214" s="8"/>
      <c r="M214" s="5"/>
      <c r="N214" s="8">
        <v>0.75172413793103454</v>
      </c>
      <c r="O214" s="9">
        <v>0.75172413793103454</v>
      </c>
      <c r="P214" s="10" t="s">
        <v>27</v>
      </c>
      <c r="Q214" s="10">
        <f t="shared" si="22"/>
        <v>0</v>
      </c>
      <c r="R214" s="10">
        <f t="shared" si="23"/>
        <v>0</v>
      </c>
      <c r="S214" s="10">
        <f t="shared" si="24"/>
        <v>0</v>
      </c>
      <c r="T214" s="10">
        <f t="shared" si="25"/>
        <v>0</v>
      </c>
      <c r="U214" s="11" t="str">
        <f t="shared" si="26"/>
        <v/>
      </c>
      <c r="V214" s="11" t="str">
        <f t="shared" si="27"/>
        <v/>
      </c>
      <c r="W214" s="11" t="str">
        <f t="shared" si="27"/>
        <v/>
      </c>
      <c r="X214" s="11" t="str">
        <f t="shared" si="27"/>
        <v/>
      </c>
      <c r="Y214" s="11" t="str">
        <f t="shared" si="27"/>
        <v/>
      </c>
      <c r="Z214" s="11" t="str">
        <f t="shared" si="27"/>
        <v/>
      </c>
      <c r="AA214" s="11" t="str">
        <f t="shared" si="27"/>
        <v/>
      </c>
      <c r="AB214" s="11" t="str">
        <f t="shared" si="27"/>
        <v/>
      </c>
      <c r="AC214" s="11" t="str">
        <f t="shared" si="27"/>
        <v/>
      </c>
      <c r="AD214" s="11" t="str">
        <f t="shared" si="27"/>
        <v/>
      </c>
      <c r="AE214" s="12" t="s">
        <v>27</v>
      </c>
    </row>
    <row r="215" spans="1:31" ht="18" customHeight="1" thickTop="1" thickBot="1" x14ac:dyDescent="0.3">
      <c r="A215" s="4" t="s">
        <v>384</v>
      </c>
      <c r="B215" s="4" t="s">
        <v>945</v>
      </c>
      <c r="C215" s="5" t="s">
        <v>452</v>
      </c>
      <c r="D215" s="5" t="s">
        <v>26</v>
      </c>
      <c r="E215" s="5" t="s">
        <v>69</v>
      </c>
      <c r="F215" s="5" t="s">
        <v>456</v>
      </c>
      <c r="G215" s="5" t="s">
        <v>16</v>
      </c>
      <c r="H215" s="6" t="s">
        <v>454</v>
      </c>
      <c r="I215" s="7" t="s">
        <v>359</v>
      </c>
      <c r="J215" s="8" t="s">
        <v>27</v>
      </c>
      <c r="K215" s="8">
        <v>1</v>
      </c>
      <c r="L215" s="8"/>
      <c r="M215" s="5"/>
      <c r="N215" s="8">
        <v>2.8929336188436832</v>
      </c>
      <c r="O215" s="9">
        <v>2.8929336188436832</v>
      </c>
      <c r="P215" s="10" t="s">
        <v>31</v>
      </c>
      <c r="Q215" s="10">
        <f t="shared" si="22"/>
        <v>0</v>
      </c>
      <c r="R215" s="10">
        <f t="shared" si="23"/>
        <v>0</v>
      </c>
      <c r="S215" s="10">
        <f t="shared" si="24"/>
        <v>1</v>
      </c>
      <c r="T215" s="10">
        <f t="shared" si="25"/>
        <v>0</v>
      </c>
      <c r="U215" s="11" t="str">
        <f t="shared" si="26"/>
        <v/>
      </c>
      <c r="V215" s="11" t="str">
        <f t="shared" si="27"/>
        <v/>
      </c>
      <c r="W215" s="11" t="str">
        <f t="shared" si="27"/>
        <v/>
      </c>
      <c r="X215" s="11">
        <f t="shared" si="27"/>
        <v>1</v>
      </c>
      <c r="Y215" s="11" t="str">
        <f t="shared" si="27"/>
        <v/>
      </c>
      <c r="Z215" s="11" t="str">
        <f t="shared" si="27"/>
        <v/>
      </c>
      <c r="AA215" s="11" t="str">
        <f t="shared" si="27"/>
        <v/>
      </c>
      <c r="AB215" s="11" t="str">
        <f t="shared" si="27"/>
        <v/>
      </c>
      <c r="AC215" s="11">
        <f t="shared" si="27"/>
        <v>1</v>
      </c>
      <c r="AD215" s="11" t="str">
        <f t="shared" si="27"/>
        <v/>
      </c>
      <c r="AE215" s="12" t="s">
        <v>990</v>
      </c>
    </row>
    <row r="216" spans="1:31" ht="18" customHeight="1" thickTop="1" thickBot="1" x14ac:dyDescent="0.3">
      <c r="A216" s="4" t="s">
        <v>384</v>
      </c>
      <c r="B216" s="4" t="s">
        <v>945</v>
      </c>
      <c r="C216" s="5" t="s">
        <v>452</v>
      </c>
      <c r="D216" s="5" t="s">
        <v>26</v>
      </c>
      <c r="E216" s="5" t="s">
        <v>71</v>
      </c>
      <c r="F216" s="5" t="s">
        <v>457</v>
      </c>
      <c r="G216" s="5" t="s">
        <v>16</v>
      </c>
      <c r="H216" s="6" t="s">
        <v>454</v>
      </c>
      <c r="I216" s="7" t="s">
        <v>359</v>
      </c>
      <c r="J216" s="8" t="s">
        <v>27</v>
      </c>
      <c r="K216" s="8">
        <v>1</v>
      </c>
      <c r="L216" s="8"/>
      <c r="M216" s="5"/>
      <c r="N216" s="8">
        <v>3.7122093023255816</v>
      </c>
      <c r="O216" s="9">
        <v>3.7122093023255816</v>
      </c>
      <c r="P216" s="10" t="s">
        <v>31</v>
      </c>
      <c r="Q216" s="10">
        <f t="shared" si="22"/>
        <v>0</v>
      </c>
      <c r="R216" s="10">
        <f t="shared" si="23"/>
        <v>0</v>
      </c>
      <c r="S216" s="10">
        <f t="shared" si="24"/>
        <v>1</v>
      </c>
      <c r="T216" s="10">
        <f t="shared" si="25"/>
        <v>0</v>
      </c>
      <c r="U216" s="11" t="str">
        <f t="shared" si="26"/>
        <v/>
      </c>
      <c r="V216" s="11" t="str">
        <f t="shared" si="27"/>
        <v/>
      </c>
      <c r="W216" s="11" t="str">
        <f t="shared" si="27"/>
        <v/>
      </c>
      <c r="X216" s="11">
        <f t="shared" si="27"/>
        <v>1</v>
      </c>
      <c r="Y216" s="11" t="str">
        <f t="shared" si="27"/>
        <v/>
      </c>
      <c r="Z216" s="11" t="str">
        <f t="shared" si="27"/>
        <v/>
      </c>
      <c r="AA216" s="11" t="str">
        <f t="shared" si="27"/>
        <v/>
      </c>
      <c r="AB216" s="11" t="str">
        <f t="shared" si="27"/>
        <v/>
      </c>
      <c r="AC216" s="11">
        <f t="shared" si="27"/>
        <v>1</v>
      </c>
      <c r="AD216" s="11" t="str">
        <f t="shared" si="27"/>
        <v/>
      </c>
      <c r="AE216" s="12" t="s">
        <v>990</v>
      </c>
    </row>
    <row r="217" spans="1:31" ht="18" customHeight="1" thickTop="1" thickBot="1" x14ac:dyDescent="0.3">
      <c r="A217" s="4" t="s">
        <v>81</v>
      </c>
      <c r="B217" s="4" t="s">
        <v>945</v>
      </c>
      <c r="C217" s="5" t="s">
        <v>458</v>
      </c>
      <c r="D217" s="5" t="s">
        <v>26</v>
      </c>
      <c r="E217" s="5" t="s">
        <v>27</v>
      </c>
      <c r="F217" s="5" t="s">
        <v>459</v>
      </c>
      <c r="G217" s="5" t="s">
        <v>16</v>
      </c>
      <c r="H217" s="6" t="s">
        <v>108</v>
      </c>
      <c r="I217" s="7" t="s">
        <v>111</v>
      </c>
      <c r="J217" s="8">
        <v>1.48</v>
      </c>
      <c r="K217" s="8">
        <v>1</v>
      </c>
      <c r="L217" s="8"/>
      <c r="M217" s="5"/>
      <c r="N217" s="8">
        <v>0.90739484396200809</v>
      </c>
      <c r="O217" s="9">
        <v>0.90739484396200809</v>
      </c>
      <c r="P217" s="10" t="s">
        <v>27</v>
      </c>
      <c r="Q217" s="10">
        <f t="shared" si="22"/>
        <v>0</v>
      </c>
      <c r="R217" s="10">
        <f t="shared" si="23"/>
        <v>0</v>
      </c>
      <c r="S217" s="10">
        <f t="shared" si="24"/>
        <v>0</v>
      </c>
      <c r="T217" s="10">
        <f t="shared" si="25"/>
        <v>0</v>
      </c>
      <c r="U217" s="11" t="str">
        <f t="shared" si="26"/>
        <v/>
      </c>
      <c r="V217" s="11" t="str">
        <f t="shared" si="27"/>
        <v/>
      </c>
      <c r="W217" s="11" t="str">
        <f t="shared" si="27"/>
        <v/>
      </c>
      <c r="X217" s="11" t="str">
        <f t="shared" si="27"/>
        <v/>
      </c>
      <c r="Y217" s="11" t="str">
        <f t="shared" si="27"/>
        <v/>
      </c>
      <c r="Z217" s="11" t="str">
        <f t="shared" si="27"/>
        <v/>
      </c>
      <c r="AA217" s="11" t="str">
        <f t="shared" si="27"/>
        <v/>
      </c>
      <c r="AB217" s="11" t="str">
        <f t="shared" si="27"/>
        <v/>
      </c>
      <c r="AC217" s="11" t="str">
        <f t="shared" si="27"/>
        <v/>
      </c>
      <c r="AD217" s="11" t="str">
        <f t="shared" si="27"/>
        <v/>
      </c>
      <c r="AE217" s="12" t="s">
        <v>27</v>
      </c>
    </row>
    <row r="218" spans="1:31" ht="18" customHeight="1" thickTop="1" thickBot="1" x14ac:dyDescent="0.3">
      <c r="A218" s="4" t="s">
        <v>81</v>
      </c>
      <c r="B218" s="4" t="s">
        <v>945</v>
      </c>
      <c r="C218" s="5" t="s">
        <v>458</v>
      </c>
      <c r="D218" s="5" t="s">
        <v>42</v>
      </c>
      <c r="E218" s="5" t="s">
        <v>27</v>
      </c>
      <c r="F218" s="5" t="s">
        <v>460</v>
      </c>
      <c r="G218" s="5" t="s">
        <v>16</v>
      </c>
      <c r="H218" s="6" t="s">
        <v>108</v>
      </c>
      <c r="I218" s="7" t="s">
        <v>387</v>
      </c>
      <c r="J218" s="8" t="s">
        <v>27</v>
      </c>
      <c r="K218" s="8">
        <v>0.9325</v>
      </c>
      <c r="L218" s="8"/>
      <c r="M218" s="5"/>
      <c r="N218" s="8">
        <v>0.88610478359908884</v>
      </c>
      <c r="O218" s="9">
        <v>0.95024641672824539</v>
      </c>
      <c r="P218" s="10" t="s">
        <v>27</v>
      </c>
      <c r="Q218" s="10">
        <f t="shared" si="22"/>
        <v>0</v>
      </c>
      <c r="R218" s="10">
        <f t="shared" si="23"/>
        <v>0</v>
      </c>
      <c r="S218" s="10">
        <f t="shared" si="24"/>
        <v>0</v>
      </c>
      <c r="T218" s="10">
        <f t="shared" si="25"/>
        <v>0</v>
      </c>
      <c r="U218" s="11" t="str">
        <f t="shared" si="26"/>
        <v/>
      </c>
      <c r="V218" s="11" t="str">
        <f t="shared" si="27"/>
        <v/>
      </c>
      <c r="W218" s="11" t="str">
        <f t="shared" si="27"/>
        <v/>
      </c>
      <c r="X218" s="11" t="str">
        <f t="shared" si="27"/>
        <v/>
      </c>
      <c r="Y218" s="11" t="str">
        <f t="shared" si="27"/>
        <v/>
      </c>
      <c r="Z218" s="11" t="str">
        <f t="shared" si="27"/>
        <v/>
      </c>
      <c r="AA218" s="11" t="str">
        <f t="shared" si="27"/>
        <v/>
      </c>
      <c r="AB218" s="11" t="str">
        <f t="shared" si="27"/>
        <v/>
      </c>
      <c r="AC218" s="11" t="str">
        <f t="shared" si="27"/>
        <v/>
      </c>
      <c r="AD218" s="11" t="str">
        <f t="shared" si="27"/>
        <v/>
      </c>
      <c r="AE218" s="12" t="s">
        <v>27</v>
      </c>
    </row>
    <row r="219" spans="1:31" ht="18" customHeight="1" thickTop="1" thickBot="1" x14ac:dyDescent="0.3">
      <c r="A219" s="4" t="s">
        <v>81</v>
      </c>
      <c r="B219" s="4" t="s">
        <v>945</v>
      </c>
      <c r="C219" s="5" t="s">
        <v>461</v>
      </c>
      <c r="D219" s="5" t="s">
        <v>26</v>
      </c>
      <c r="E219" s="5" t="s">
        <v>27</v>
      </c>
      <c r="F219" s="5" t="s">
        <v>462</v>
      </c>
      <c r="G219" s="5" t="s">
        <v>16</v>
      </c>
      <c r="H219" s="6" t="s">
        <v>180</v>
      </c>
      <c r="I219" s="7" t="s">
        <v>364</v>
      </c>
      <c r="J219" s="8" t="s">
        <v>27</v>
      </c>
      <c r="K219" s="8">
        <v>1</v>
      </c>
      <c r="L219" s="8"/>
      <c r="M219" s="5"/>
      <c r="N219" s="8">
        <v>1.3175646908557643</v>
      </c>
      <c r="O219" s="9">
        <v>1.3175646908557643</v>
      </c>
      <c r="P219" s="10" t="s">
        <v>27</v>
      </c>
      <c r="Q219" s="10">
        <f t="shared" si="22"/>
        <v>0</v>
      </c>
      <c r="R219" s="10">
        <f t="shared" si="23"/>
        <v>0</v>
      </c>
      <c r="S219" s="10">
        <f t="shared" si="24"/>
        <v>0</v>
      </c>
      <c r="T219" s="10">
        <f t="shared" si="25"/>
        <v>0</v>
      </c>
      <c r="U219" s="11" t="str">
        <f t="shared" si="26"/>
        <v/>
      </c>
      <c r="V219" s="11" t="str">
        <f t="shared" si="27"/>
        <v/>
      </c>
      <c r="W219" s="11" t="str">
        <f t="shared" si="27"/>
        <v/>
      </c>
      <c r="X219" s="11" t="str">
        <f t="shared" si="27"/>
        <v/>
      </c>
      <c r="Y219" s="11" t="str">
        <f t="shared" si="27"/>
        <v/>
      </c>
      <c r="Z219" s="11" t="str">
        <f t="shared" si="27"/>
        <v/>
      </c>
      <c r="AA219" s="11" t="str">
        <f t="shared" si="27"/>
        <v/>
      </c>
      <c r="AB219" s="11" t="str">
        <f t="shared" si="27"/>
        <v/>
      </c>
      <c r="AC219" s="11" t="str">
        <f t="shared" si="27"/>
        <v/>
      </c>
      <c r="AD219" s="11" t="str">
        <f t="shared" si="27"/>
        <v/>
      </c>
      <c r="AE219" s="12" t="s">
        <v>27</v>
      </c>
    </row>
    <row r="220" spans="1:31" ht="18" customHeight="1" thickTop="1" thickBot="1" x14ac:dyDescent="0.3">
      <c r="A220" s="4" t="s">
        <v>81</v>
      </c>
      <c r="B220" s="4" t="s">
        <v>945</v>
      </c>
      <c r="C220" s="5" t="s">
        <v>461</v>
      </c>
      <c r="D220" s="5" t="s">
        <v>42</v>
      </c>
      <c r="E220" s="5" t="s">
        <v>27</v>
      </c>
      <c r="F220" s="5" t="s">
        <v>463</v>
      </c>
      <c r="G220" s="5" t="s">
        <v>16</v>
      </c>
      <c r="H220" s="6" t="s">
        <v>180</v>
      </c>
      <c r="I220" s="7" t="s">
        <v>387</v>
      </c>
      <c r="J220" s="8" t="s">
        <v>27</v>
      </c>
      <c r="K220" s="8">
        <v>1.0333333333333334</v>
      </c>
      <c r="L220" s="8"/>
      <c r="M220" s="5"/>
      <c r="N220" s="8">
        <v>1.2401913875598087</v>
      </c>
      <c r="O220" s="9">
        <v>1.2001852137675568</v>
      </c>
      <c r="P220" s="10" t="s">
        <v>27</v>
      </c>
      <c r="Q220" s="10">
        <f t="shared" si="22"/>
        <v>0</v>
      </c>
      <c r="R220" s="10">
        <f t="shared" si="23"/>
        <v>0</v>
      </c>
      <c r="S220" s="10">
        <f t="shared" si="24"/>
        <v>0</v>
      </c>
      <c r="T220" s="10">
        <f t="shared" si="25"/>
        <v>0</v>
      </c>
      <c r="U220" s="11" t="str">
        <f t="shared" si="26"/>
        <v/>
      </c>
      <c r="V220" s="11" t="str">
        <f t="shared" si="27"/>
        <v/>
      </c>
      <c r="W220" s="11" t="str">
        <f t="shared" si="27"/>
        <v/>
      </c>
      <c r="X220" s="11" t="str">
        <f t="shared" si="27"/>
        <v/>
      </c>
      <c r="Y220" s="11" t="str">
        <f t="shared" si="27"/>
        <v/>
      </c>
      <c r="Z220" s="11" t="str">
        <f t="shared" si="27"/>
        <v/>
      </c>
      <c r="AA220" s="11" t="str">
        <f t="shared" si="27"/>
        <v/>
      </c>
      <c r="AB220" s="11" t="str">
        <f t="shared" si="27"/>
        <v/>
      </c>
      <c r="AC220" s="11" t="str">
        <f t="shared" si="27"/>
        <v/>
      </c>
      <c r="AD220" s="11" t="str">
        <f t="shared" si="27"/>
        <v/>
      </c>
      <c r="AE220" s="12" t="s">
        <v>27</v>
      </c>
    </row>
    <row r="221" spans="1:31" ht="18" customHeight="1" thickTop="1" thickBot="1" x14ac:dyDescent="0.3">
      <c r="A221" s="4" t="s">
        <v>53</v>
      </c>
      <c r="B221" s="4" t="s">
        <v>945</v>
      </c>
      <c r="C221" s="5" t="s">
        <v>464</v>
      </c>
      <c r="D221" s="5" t="s">
        <v>26</v>
      </c>
      <c r="E221" s="5" t="s">
        <v>36</v>
      </c>
      <c r="F221" s="5" t="s">
        <v>465</v>
      </c>
      <c r="G221" s="5" t="s">
        <v>16</v>
      </c>
      <c r="H221" s="6" t="s">
        <v>422</v>
      </c>
      <c r="I221" s="7" t="s">
        <v>68</v>
      </c>
      <c r="J221" s="8">
        <v>1.3</v>
      </c>
      <c r="K221" s="8">
        <v>0.7654545454545455</v>
      </c>
      <c r="L221" s="8"/>
      <c r="M221" s="5"/>
      <c r="N221" s="8">
        <v>0.93086419753086425</v>
      </c>
      <c r="O221" s="9">
        <v>1.2160933696959033</v>
      </c>
      <c r="P221" s="10" t="s">
        <v>27</v>
      </c>
      <c r="Q221" s="10">
        <f t="shared" si="22"/>
        <v>0</v>
      </c>
      <c r="R221" s="10">
        <f t="shared" si="23"/>
        <v>0</v>
      </c>
      <c r="S221" s="10">
        <f t="shared" si="24"/>
        <v>0</v>
      </c>
      <c r="T221" s="10">
        <f t="shared" si="25"/>
        <v>0</v>
      </c>
      <c r="U221" s="11" t="str">
        <f t="shared" si="26"/>
        <v/>
      </c>
      <c r="V221" s="11" t="str">
        <f t="shared" si="27"/>
        <v/>
      </c>
      <c r="W221" s="11" t="str">
        <f t="shared" si="27"/>
        <v/>
      </c>
      <c r="X221" s="11" t="str">
        <f t="shared" si="27"/>
        <v/>
      </c>
      <c r="Y221" s="11" t="str">
        <f t="shared" si="27"/>
        <v/>
      </c>
      <c r="Z221" s="11" t="str">
        <f t="shared" si="27"/>
        <v/>
      </c>
      <c r="AA221" s="11" t="str">
        <f t="shared" si="27"/>
        <v/>
      </c>
      <c r="AB221" s="11" t="str">
        <f t="shared" si="27"/>
        <v/>
      </c>
      <c r="AC221" s="11" t="str">
        <f t="shared" si="27"/>
        <v/>
      </c>
      <c r="AD221" s="11" t="str">
        <f t="shared" si="27"/>
        <v/>
      </c>
      <c r="AE221" s="12" t="s">
        <v>27</v>
      </c>
    </row>
    <row r="222" spans="1:31" ht="18" customHeight="1" thickTop="1" thickBot="1" x14ac:dyDescent="0.3">
      <c r="A222" s="4" t="s">
        <v>53</v>
      </c>
      <c r="B222" s="4" t="s">
        <v>945</v>
      </c>
      <c r="C222" s="5" t="s">
        <v>464</v>
      </c>
      <c r="D222" s="5" t="s">
        <v>26</v>
      </c>
      <c r="E222" s="5" t="s">
        <v>40</v>
      </c>
      <c r="F222" s="5" t="s">
        <v>466</v>
      </c>
      <c r="G222" s="5" t="s">
        <v>16</v>
      </c>
      <c r="H222" s="6" t="s">
        <v>422</v>
      </c>
      <c r="I222" s="7" t="s">
        <v>68</v>
      </c>
      <c r="J222" s="8">
        <v>2.25</v>
      </c>
      <c r="K222" s="8">
        <v>0.70232558139534884</v>
      </c>
      <c r="L222" s="8"/>
      <c r="M222" s="5"/>
      <c r="N222" s="8">
        <v>3.3642857142857143</v>
      </c>
      <c r="O222" s="9">
        <v>4.790208136234626</v>
      </c>
      <c r="P222" s="10" t="s">
        <v>31</v>
      </c>
      <c r="Q222" s="10">
        <f t="shared" si="22"/>
        <v>0</v>
      </c>
      <c r="R222" s="10">
        <f t="shared" si="23"/>
        <v>0</v>
      </c>
      <c r="S222" s="10">
        <f t="shared" si="24"/>
        <v>1</v>
      </c>
      <c r="T222" s="10">
        <f t="shared" si="25"/>
        <v>0</v>
      </c>
      <c r="U222" s="11">
        <f t="shared" si="26"/>
        <v>1</v>
      </c>
      <c r="V222" s="11" t="str">
        <f t="shared" si="27"/>
        <v/>
      </c>
      <c r="W222" s="11" t="str">
        <f t="shared" si="27"/>
        <v/>
      </c>
      <c r="X222" s="11">
        <f t="shared" si="27"/>
        <v>1</v>
      </c>
      <c r="Y222" s="11" t="str">
        <f t="shared" si="27"/>
        <v/>
      </c>
      <c r="Z222" s="11" t="str">
        <f t="shared" si="27"/>
        <v/>
      </c>
      <c r="AA222" s="11" t="str">
        <f t="shared" si="27"/>
        <v/>
      </c>
      <c r="AB222" s="11" t="str">
        <f t="shared" si="27"/>
        <v/>
      </c>
      <c r="AC222" s="11" t="str">
        <f t="shared" si="27"/>
        <v/>
      </c>
      <c r="AD222" s="11" t="str">
        <f t="shared" si="27"/>
        <v/>
      </c>
      <c r="AE222" s="12" t="s">
        <v>992</v>
      </c>
    </row>
    <row r="223" spans="1:31" ht="18" customHeight="1" thickTop="1" thickBot="1" x14ac:dyDescent="0.3">
      <c r="A223" s="4" t="s">
        <v>53</v>
      </c>
      <c r="B223" s="4" t="s">
        <v>945</v>
      </c>
      <c r="C223" s="5" t="s">
        <v>464</v>
      </c>
      <c r="D223" s="5" t="s">
        <v>42</v>
      </c>
      <c r="E223" s="5" t="s">
        <v>27</v>
      </c>
      <c r="F223" s="5" t="s">
        <v>467</v>
      </c>
      <c r="G223" s="5" t="s">
        <v>16</v>
      </c>
      <c r="H223" s="6" t="s">
        <v>422</v>
      </c>
      <c r="I223" s="7" t="s">
        <v>364</v>
      </c>
      <c r="J223" s="8">
        <v>1.6</v>
      </c>
      <c r="K223" s="8">
        <v>0.44166666666666665</v>
      </c>
      <c r="L223" s="8"/>
      <c r="M223" s="5"/>
      <c r="N223" s="8">
        <v>1.4678810460222176</v>
      </c>
      <c r="O223" s="9">
        <v>3.3235042551446439</v>
      </c>
      <c r="P223" s="10" t="s">
        <v>31</v>
      </c>
      <c r="Q223" s="10">
        <f t="shared" si="22"/>
        <v>0</v>
      </c>
      <c r="R223" s="10">
        <f t="shared" si="23"/>
        <v>1</v>
      </c>
      <c r="S223" s="10">
        <f t="shared" si="24"/>
        <v>1</v>
      </c>
      <c r="T223" s="10">
        <f t="shared" si="25"/>
        <v>0</v>
      </c>
      <c r="U223" s="11">
        <f t="shared" si="26"/>
        <v>1</v>
      </c>
      <c r="V223" s="11" t="str">
        <f t="shared" si="27"/>
        <v/>
      </c>
      <c r="W223" s="11" t="str">
        <f t="shared" si="27"/>
        <v/>
      </c>
      <c r="X223" s="11">
        <f t="shared" si="27"/>
        <v>1</v>
      </c>
      <c r="Y223" s="11" t="str">
        <f t="shared" si="27"/>
        <v/>
      </c>
      <c r="Z223" s="11" t="str">
        <f t="shared" si="27"/>
        <v/>
      </c>
      <c r="AA223" s="11" t="str">
        <f t="shared" si="27"/>
        <v/>
      </c>
      <c r="AB223" s="11" t="str">
        <f t="shared" si="27"/>
        <v/>
      </c>
      <c r="AC223" s="11">
        <f t="shared" si="27"/>
        <v>1</v>
      </c>
      <c r="AD223" s="11" t="str">
        <f t="shared" si="27"/>
        <v/>
      </c>
      <c r="AE223" s="12" t="s">
        <v>994</v>
      </c>
    </row>
    <row r="224" spans="1:31" ht="18" customHeight="1" thickTop="1" thickBot="1" x14ac:dyDescent="0.3">
      <c r="A224" s="4" t="s">
        <v>53</v>
      </c>
      <c r="B224" s="4" t="s">
        <v>945</v>
      </c>
      <c r="C224" s="5" t="s">
        <v>468</v>
      </c>
      <c r="D224" s="5" t="s">
        <v>26</v>
      </c>
      <c r="E224" s="5" t="s">
        <v>27</v>
      </c>
      <c r="F224" s="5" t="s">
        <v>469</v>
      </c>
      <c r="G224" s="5" t="s">
        <v>16</v>
      </c>
      <c r="H224" s="6" t="s">
        <v>79</v>
      </c>
      <c r="I224" s="7" t="s">
        <v>122</v>
      </c>
      <c r="J224" s="8">
        <v>1</v>
      </c>
      <c r="K224" s="8">
        <v>0.75990000000000002</v>
      </c>
      <c r="L224" s="8"/>
      <c r="M224" s="5"/>
      <c r="N224" s="8">
        <v>1.0787925696594427</v>
      </c>
      <c r="O224" s="9">
        <v>1.4196507035918446</v>
      </c>
      <c r="P224" s="10" t="s">
        <v>27</v>
      </c>
      <c r="Q224" s="10">
        <f t="shared" si="22"/>
        <v>0</v>
      </c>
      <c r="R224" s="10">
        <f t="shared" si="23"/>
        <v>0</v>
      </c>
      <c r="S224" s="10">
        <f t="shared" si="24"/>
        <v>0</v>
      </c>
      <c r="T224" s="10">
        <f t="shared" si="25"/>
        <v>0</v>
      </c>
      <c r="U224" s="11" t="str">
        <f t="shared" si="26"/>
        <v/>
      </c>
      <c r="V224" s="11" t="str">
        <f t="shared" si="27"/>
        <v/>
      </c>
      <c r="W224" s="11" t="str">
        <f t="shared" si="27"/>
        <v/>
      </c>
      <c r="X224" s="11" t="str">
        <f t="shared" si="27"/>
        <v/>
      </c>
      <c r="Y224" s="11" t="str">
        <f t="shared" si="27"/>
        <v/>
      </c>
      <c r="Z224" s="11" t="str">
        <f t="shared" si="27"/>
        <v/>
      </c>
      <c r="AA224" s="11" t="str">
        <f t="shared" si="27"/>
        <v/>
      </c>
      <c r="AB224" s="11" t="str">
        <f t="shared" si="27"/>
        <v/>
      </c>
      <c r="AC224" s="11" t="str">
        <f t="shared" si="27"/>
        <v/>
      </c>
      <c r="AD224" s="11" t="str">
        <f t="shared" si="27"/>
        <v/>
      </c>
      <c r="AE224" s="12" t="s">
        <v>27</v>
      </c>
    </row>
    <row r="225" spans="1:31" ht="18" customHeight="1" thickTop="1" thickBot="1" x14ac:dyDescent="0.3">
      <c r="A225" s="4" t="s">
        <v>470</v>
      </c>
      <c r="B225" s="4" t="s">
        <v>945</v>
      </c>
      <c r="C225" s="5" t="s">
        <v>471</v>
      </c>
      <c r="D225" s="5" t="s">
        <v>26</v>
      </c>
      <c r="E225" s="5" t="s">
        <v>36</v>
      </c>
      <c r="F225" s="5" t="s">
        <v>472</v>
      </c>
      <c r="G225" s="5" t="s">
        <v>16</v>
      </c>
      <c r="H225" s="6" t="s">
        <v>473</v>
      </c>
      <c r="I225" s="7" t="s">
        <v>136</v>
      </c>
      <c r="J225" s="8" t="s">
        <v>27</v>
      </c>
      <c r="K225" s="8">
        <v>1.9728571428571429</v>
      </c>
      <c r="L225" s="8"/>
      <c r="M225" s="5"/>
      <c r="N225" s="8">
        <v>1.0945069941999317</v>
      </c>
      <c r="O225" s="9">
        <v>0.55478269076028408</v>
      </c>
      <c r="P225" s="10" t="s">
        <v>31</v>
      </c>
      <c r="Q225" s="10">
        <f t="shared" si="22"/>
        <v>1</v>
      </c>
      <c r="R225" s="10">
        <f t="shared" si="23"/>
        <v>0</v>
      </c>
      <c r="S225" s="10">
        <f t="shared" si="24"/>
        <v>0</v>
      </c>
      <c r="T225" s="10">
        <f t="shared" si="25"/>
        <v>0</v>
      </c>
      <c r="U225" s="11" t="str">
        <f t="shared" si="26"/>
        <v/>
      </c>
      <c r="V225" s="11" t="str">
        <f t="shared" si="27"/>
        <v/>
      </c>
      <c r="W225" s="11" t="str">
        <f t="shared" si="27"/>
        <v/>
      </c>
      <c r="X225" s="11" t="str">
        <f t="shared" si="27"/>
        <v/>
      </c>
      <c r="Y225" s="11" t="str">
        <f t="shared" si="27"/>
        <v/>
      </c>
      <c r="Z225" s="11" t="str">
        <f t="shared" si="27"/>
        <v/>
      </c>
      <c r="AA225" s="11" t="str">
        <f t="shared" si="27"/>
        <v/>
      </c>
      <c r="AB225" s="11" t="str">
        <f t="shared" si="27"/>
        <v/>
      </c>
      <c r="AC225" s="11" t="str">
        <f t="shared" si="27"/>
        <v/>
      </c>
      <c r="AD225" s="11">
        <f t="shared" si="27"/>
        <v>1</v>
      </c>
      <c r="AE225" s="12" t="s">
        <v>988</v>
      </c>
    </row>
    <row r="226" spans="1:31" ht="18" customHeight="1" thickTop="1" thickBot="1" x14ac:dyDescent="0.3">
      <c r="A226" s="4" t="s">
        <v>470</v>
      </c>
      <c r="B226" s="4" t="s">
        <v>945</v>
      </c>
      <c r="C226" s="5" t="s">
        <v>471</v>
      </c>
      <c r="D226" s="5" t="s">
        <v>26</v>
      </c>
      <c r="E226" s="5" t="s">
        <v>234</v>
      </c>
      <c r="F226" s="5" t="s">
        <v>474</v>
      </c>
      <c r="G226" s="5" t="s">
        <v>16</v>
      </c>
      <c r="H226" s="6" t="s">
        <v>473</v>
      </c>
      <c r="I226" s="7" t="s">
        <v>136</v>
      </c>
      <c r="J226" s="8" t="s">
        <v>27</v>
      </c>
      <c r="K226" s="8">
        <v>1</v>
      </c>
      <c r="L226" s="8"/>
      <c r="M226" s="5"/>
      <c r="N226" s="8">
        <v>0.82051282051282048</v>
      </c>
      <c r="O226" s="9">
        <v>0.82051282051282048</v>
      </c>
      <c r="P226" s="10" t="s">
        <v>27</v>
      </c>
      <c r="Q226" s="10">
        <f t="shared" si="22"/>
        <v>0</v>
      </c>
      <c r="R226" s="10">
        <f t="shared" si="23"/>
        <v>0</v>
      </c>
      <c r="S226" s="10">
        <f t="shared" si="24"/>
        <v>0</v>
      </c>
      <c r="T226" s="10">
        <f t="shared" si="25"/>
        <v>0</v>
      </c>
      <c r="U226" s="11" t="str">
        <f t="shared" si="26"/>
        <v/>
      </c>
      <c r="V226" s="11" t="str">
        <f t="shared" si="27"/>
        <v/>
      </c>
      <c r="W226" s="11" t="str">
        <f t="shared" si="27"/>
        <v/>
      </c>
      <c r="X226" s="11" t="str">
        <f t="shared" si="27"/>
        <v/>
      </c>
      <c r="Y226" s="11" t="str">
        <f t="shared" si="27"/>
        <v/>
      </c>
      <c r="Z226" s="11" t="str">
        <f t="shared" si="27"/>
        <v/>
      </c>
      <c r="AA226" s="11" t="str">
        <f t="shared" si="27"/>
        <v/>
      </c>
      <c r="AB226" s="11" t="str">
        <f t="shared" si="27"/>
        <v/>
      </c>
      <c r="AC226" s="11" t="str">
        <f t="shared" si="27"/>
        <v/>
      </c>
      <c r="AD226" s="11" t="str">
        <f t="shared" si="27"/>
        <v/>
      </c>
      <c r="AE226" s="12" t="s">
        <v>27</v>
      </c>
    </row>
    <row r="227" spans="1:31" ht="18" customHeight="1" thickTop="1" thickBot="1" x14ac:dyDescent="0.3">
      <c r="A227" s="4" t="s">
        <v>470</v>
      </c>
      <c r="B227" s="4" t="s">
        <v>945</v>
      </c>
      <c r="C227" s="5" t="s">
        <v>471</v>
      </c>
      <c r="D227" s="5" t="s">
        <v>26</v>
      </c>
      <c r="E227" s="5" t="s">
        <v>236</v>
      </c>
      <c r="F227" s="5" t="s">
        <v>475</v>
      </c>
      <c r="G227" s="5" t="s">
        <v>16</v>
      </c>
      <c r="H227" s="6" t="s">
        <v>473</v>
      </c>
      <c r="I227" s="7" t="s">
        <v>122</v>
      </c>
      <c r="J227" s="8" t="s">
        <v>27</v>
      </c>
      <c r="K227" s="8">
        <v>1</v>
      </c>
      <c r="L227" s="8"/>
      <c r="M227" s="5"/>
      <c r="N227" s="8">
        <v>0.83636363636363631</v>
      </c>
      <c r="O227" s="9">
        <v>0.83636363636363631</v>
      </c>
      <c r="P227" s="10" t="s">
        <v>27</v>
      </c>
      <c r="Q227" s="10">
        <f t="shared" si="22"/>
        <v>0</v>
      </c>
      <c r="R227" s="10">
        <f t="shared" si="23"/>
        <v>0</v>
      </c>
      <c r="S227" s="10">
        <f t="shared" si="24"/>
        <v>0</v>
      </c>
      <c r="T227" s="10">
        <f t="shared" si="25"/>
        <v>0</v>
      </c>
      <c r="U227" s="11" t="str">
        <f t="shared" si="26"/>
        <v/>
      </c>
      <c r="V227" s="11" t="str">
        <f t="shared" si="27"/>
        <v/>
      </c>
      <c r="W227" s="11" t="str">
        <f t="shared" si="27"/>
        <v/>
      </c>
      <c r="X227" s="11" t="str">
        <f t="shared" si="27"/>
        <v/>
      </c>
      <c r="Y227" s="11" t="str">
        <f t="shared" si="27"/>
        <v/>
      </c>
      <c r="Z227" s="11" t="str">
        <f t="shared" si="27"/>
        <v/>
      </c>
      <c r="AA227" s="11" t="str">
        <f t="shared" si="27"/>
        <v/>
      </c>
      <c r="AB227" s="11" t="str">
        <f t="shared" si="27"/>
        <v/>
      </c>
      <c r="AC227" s="11" t="str">
        <f t="shared" si="27"/>
        <v/>
      </c>
      <c r="AD227" s="11" t="str">
        <f t="shared" si="27"/>
        <v/>
      </c>
      <c r="AE227" s="12" t="s">
        <v>27</v>
      </c>
    </row>
    <row r="228" spans="1:31" ht="18" customHeight="1" thickTop="1" thickBot="1" x14ac:dyDescent="0.3">
      <c r="A228" s="4" t="s">
        <v>470</v>
      </c>
      <c r="B228" s="4" t="s">
        <v>945</v>
      </c>
      <c r="C228" s="5" t="s">
        <v>471</v>
      </c>
      <c r="D228" s="5" t="s">
        <v>26</v>
      </c>
      <c r="E228" s="5" t="s">
        <v>40</v>
      </c>
      <c r="F228" s="5" t="s">
        <v>476</v>
      </c>
      <c r="G228" s="5" t="s">
        <v>16</v>
      </c>
      <c r="H228" s="6" t="s">
        <v>473</v>
      </c>
      <c r="I228" s="7" t="s">
        <v>44</v>
      </c>
      <c r="J228" s="8" t="s">
        <v>27</v>
      </c>
      <c r="K228" s="8">
        <v>1.6411803278688524</v>
      </c>
      <c r="L228" s="8"/>
      <c r="M228" s="5"/>
      <c r="N228" s="8">
        <v>0.42654735272184935</v>
      </c>
      <c r="O228" s="9">
        <v>0.25990279403101335</v>
      </c>
      <c r="P228" s="10" t="s">
        <v>31</v>
      </c>
      <c r="Q228" s="10">
        <f t="shared" si="22"/>
        <v>1</v>
      </c>
      <c r="R228" s="10">
        <f t="shared" si="23"/>
        <v>0</v>
      </c>
      <c r="S228" s="10">
        <f t="shared" si="24"/>
        <v>0</v>
      </c>
      <c r="T228" s="10">
        <f t="shared" si="25"/>
        <v>1</v>
      </c>
      <c r="U228" s="11" t="str">
        <f t="shared" si="26"/>
        <v/>
      </c>
      <c r="V228" s="11" t="str">
        <f t="shared" si="27"/>
        <v/>
      </c>
      <c r="W228" s="11" t="str">
        <f t="shared" si="27"/>
        <v/>
      </c>
      <c r="X228" s="11">
        <f t="shared" si="27"/>
        <v>1</v>
      </c>
      <c r="Y228" s="11" t="str">
        <f t="shared" si="27"/>
        <v/>
      </c>
      <c r="Z228" s="11">
        <f t="shared" si="27"/>
        <v>1</v>
      </c>
      <c r="AA228" s="11" t="str">
        <f t="shared" si="27"/>
        <v/>
      </c>
      <c r="AB228" s="11" t="str">
        <f t="shared" si="27"/>
        <v/>
      </c>
      <c r="AC228" s="11">
        <f t="shared" si="27"/>
        <v>1</v>
      </c>
      <c r="AD228" s="11">
        <f t="shared" si="27"/>
        <v>1</v>
      </c>
      <c r="AE228" s="12" t="s">
        <v>997</v>
      </c>
    </row>
    <row r="229" spans="1:31" ht="18" customHeight="1" thickTop="1" thickBot="1" x14ac:dyDescent="0.3">
      <c r="A229" s="4" t="s">
        <v>470</v>
      </c>
      <c r="B229" s="4" t="s">
        <v>945</v>
      </c>
      <c r="C229" s="5" t="s">
        <v>471</v>
      </c>
      <c r="D229" s="5" t="s">
        <v>26</v>
      </c>
      <c r="E229" s="5" t="s">
        <v>69</v>
      </c>
      <c r="F229" s="5" t="s">
        <v>477</v>
      </c>
      <c r="G229" s="5" t="s">
        <v>16</v>
      </c>
      <c r="H229" s="6" t="s">
        <v>473</v>
      </c>
      <c r="I229" s="7" t="s">
        <v>122</v>
      </c>
      <c r="J229" s="8" t="s">
        <v>27</v>
      </c>
      <c r="K229" s="8">
        <v>1</v>
      </c>
      <c r="L229" s="8"/>
      <c r="M229" s="5"/>
      <c r="N229" s="8">
        <v>0.8292682926829269</v>
      </c>
      <c r="O229" s="9">
        <v>0.82926829268292701</v>
      </c>
      <c r="P229" s="10" t="s">
        <v>27</v>
      </c>
      <c r="Q229" s="10">
        <f t="shared" si="22"/>
        <v>0</v>
      </c>
      <c r="R229" s="10">
        <f t="shared" si="23"/>
        <v>0</v>
      </c>
      <c r="S229" s="10">
        <f t="shared" si="24"/>
        <v>0</v>
      </c>
      <c r="T229" s="10">
        <f t="shared" si="25"/>
        <v>0</v>
      </c>
      <c r="U229" s="11" t="str">
        <f t="shared" si="26"/>
        <v/>
      </c>
      <c r="V229" s="11" t="str">
        <f t="shared" si="27"/>
        <v/>
      </c>
      <c r="W229" s="11" t="str">
        <f t="shared" si="27"/>
        <v/>
      </c>
      <c r="X229" s="11" t="str">
        <f t="shared" si="27"/>
        <v/>
      </c>
      <c r="Y229" s="11" t="str">
        <f t="shared" si="27"/>
        <v/>
      </c>
      <c r="Z229" s="11" t="str">
        <f t="shared" si="27"/>
        <v/>
      </c>
      <c r="AA229" s="11" t="str">
        <f t="shared" si="27"/>
        <v/>
      </c>
      <c r="AB229" s="11" t="str">
        <f t="shared" si="27"/>
        <v/>
      </c>
      <c r="AC229" s="11" t="str">
        <f t="shared" si="27"/>
        <v/>
      </c>
      <c r="AD229" s="11" t="str">
        <f t="shared" si="27"/>
        <v/>
      </c>
      <c r="AE229" s="12" t="s">
        <v>27</v>
      </c>
    </row>
    <row r="230" spans="1:31" ht="18" customHeight="1" thickTop="1" thickBot="1" x14ac:dyDescent="0.3">
      <c r="A230" s="4" t="s">
        <v>470</v>
      </c>
      <c r="B230" s="4" t="s">
        <v>945</v>
      </c>
      <c r="C230" s="5" t="s">
        <v>471</v>
      </c>
      <c r="D230" s="5" t="s">
        <v>26</v>
      </c>
      <c r="E230" s="5" t="s">
        <v>71</v>
      </c>
      <c r="F230" s="5" t="s">
        <v>478</v>
      </c>
      <c r="G230" s="5" t="s">
        <v>16</v>
      </c>
      <c r="H230" s="6" t="s">
        <v>473</v>
      </c>
      <c r="I230" s="7" t="s">
        <v>136</v>
      </c>
      <c r="J230" s="8" t="s">
        <v>27</v>
      </c>
      <c r="K230" s="8">
        <v>1</v>
      </c>
      <c r="L230" s="8"/>
      <c r="M230" s="5"/>
      <c r="N230" s="8">
        <v>0.92857142857142871</v>
      </c>
      <c r="O230" s="9">
        <v>0.92857142857142871</v>
      </c>
      <c r="P230" s="10" t="s">
        <v>27</v>
      </c>
      <c r="Q230" s="10">
        <f t="shared" si="22"/>
        <v>0</v>
      </c>
      <c r="R230" s="10">
        <f t="shared" si="23"/>
        <v>0</v>
      </c>
      <c r="S230" s="10">
        <f t="shared" si="24"/>
        <v>0</v>
      </c>
      <c r="T230" s="10">
        <f t="shared" si="25"/>
        <v>0</v>
      </c>
      <c r="U230" s="11" t="str">
        <f t="shared" si="26"/>
        <v/>
      </c>
      <c r="V230" s="11" t="str">
        <f t="shared" si="27"/>
        <v/>
      </c>
      <c r="W230" s="11" t="str">
        <f t="shared" si="27"/>
        <v/>
      </c>
      <c r="X230" s="11" t="str">
        <f t="shared" si="27"/>
        <v/>
      </c>
      <c r="Y230" s="11" t="str">
        <f t="shared" si="27"/>
        <v/>
      </c>
      <c r="Z230" s="11" t="str">
        <f t="shared" si="27"/>
        <v/>
      </c>
      <c r="AA230" s="11" t="str">
        <f t="shared" si="27"/>
        <v/>
      </c>
      <c r="AB230" s="11" t="str">
        <f t="shared" si="27"/>
        <v/>
      </c>
      <c r="AC230" s="11" t="str">
        <f t="shared" si="27"/>
        <v/>
      </c>
      <c r="AD230" s="11" t="str">
        <f t="shared" si="27"/>
        <v/>
      </c>
      <c r="AE230" s="12" t="s">
        <v>27</v>
      </c>
    </row>
    <row r="231" spans="1:31" ht="18" customHeight="1" thickTop="1" thickBot="1" x14ac:dyDescent="0.3">
      <c r="A231" s="4" t="s">
        <v>470</v>
      </c>
      <c r="B231" s="4" t="s">
        <v>945</v>
      </c>
      <c r="C231" s="5" t="s">
        <v>471</v>
      </c>
      <c r="D231" s="5" t="s">
        <v>26</v>
      </c>
      <c r="E231" s="5" t="s">
        <v>141</v>
      </c>
      <c r="F231" s="5" t="s">
        <v>479</v>
      </c>
      <c r="G231" s="5" t="s">
        <v>16</v>
      </c>
      <c r="H231" s="6" t="s">
        <v>473</v>
      </c>
      <c r="I231" s="7" t="s">
        <v>136</v>
      </c>
      <c r="J231" s="8" t="s">
        <v>27</v>
      </c>
      <c r="K231" s="8">
        <v>1</v>
      </c>
      <c r="L231" s="8"/>
      <c r="M231" s="5"/>
      <c r="N231" s="8">
        <v>0.82558139534883723</v>
      </c>
      <c r="O231" s="9">
        <v>0.82558139534883712</v>
      </c>
      <c r="P231" s="10" t="s">
        <v>27</v>
      </c>
      <c r="Q231" s="10">
        <f t="shared" si="22"/>
        <v>0</v>
      </c>
      <c r="R231" s="10">
        <f t="shared" si="23"/>
        <v>0</v>
      </c>
      <c r="S231" s="10">
        <f t="shared" si="24"/>
        <v>0</v>
      </c>
      <c r="T231" s="10">
        <f t="shared" si="25"/>
        <v>0</v>
      </c>
      <c r="U231" s="11" t="str">
        <f t="shared" si="26"/>
        <v/>
      </c>
      <c r="V231" s="11" t="str">
        <f t="shared" si="27"/>
        <v/>
      </c>
      <c r="W231" s="11" t="str">
        <f t="shared" si="27"/>
        <v/>
      </c>
      <c r="X231" s="11" t="str">
        <f t="shared" si="27"/>
        <v/>
      </c>
      <c r="Y231" s="11" t="str">
        <f t="shared" si="27"/>
        <v/>
      </c>
      <c r="Z231" s="11" t="str">
        <f t="shared" si="27"/>
        <v/>
      </c>
      <c r="AA231" s="11" t="str">
        <f t="shared" si="27"/>
        <v/>
      </c>
      <c r="AB231" s="11" t="str">
        <f t="shared" si="27"/>
        <v/>
      </c>
      <c r="AC231" s="11" t="str">
        <f t="shared" si="27"/>
        <v/>
      </c>
      <c r="AD231" s="11" t="str">
        <f t="shared" si="27"/>
        <v/>
      </c>
      <c r="AE231" s="12" t="s">
        <v>27</v>
      </c>
    </row>
    <row r="232" spans="1:31" ht="18" customHeight="1" thickTop="1" thickBot="1" x14ac:dyDescent="0.3">
      <c r="A232" s="4" t="s">
        <v>470</v>
      </c>
      <c r="B232" s="4" t="s">
        <v>945</v>
      </c>
      <c r="C232" s="5" t="s">
        <v>471</v>
      </c>
      <c r="D232" s="5" t="s">
        <v>26</v>
      </c>
      <c r="E232" s="5" t="s">
        <v>143</v>
      </c>
      <c r="F232" s="5" t="s">
        <v>480</v>
      </c>
      <c r="G232" s="5" t="s">
        <v>16</v>
      </c>
      <c r="H232" s="6" t="s">
        <v>473</v>
      </c>
      <c r="I232" s="7" t="s">
        <v>136</v>
      </c>
      <c r="J232" s="8" t="s">
        <v>27</v>
      </c>
      <c r="K232" s="8">
        <v>1</v>
      </c>
      <c r="L232" s="8"/>
      <c r="M232" s="5"/>
      <c r="N232" s="8">
        <v>0.82653061224489799</v>
      </c>
      <c r="O232" s="9">
        <v>0.8265306122448981</v>
      </c>
      <c r="P232" s="10" t="s">
        <v>27</v>
      </c>
      <c r="Q232" s="10">
        <f t="shared" si="22"/>
        <v>0</v>
      </c>
      <c r="R232" s="10">
        <f t="shared" si="23"/>
        <v>0</v>
      </c>
      <c r="S232" s="10">
        <f t="shared" si="24"/>
        <v>0</v>
      </c>
      <c r="T232" s="10">
        <f t="shared" si="25"/>
        <v>0</v>
      </c>
      <c r="U232" s="11" t="str">
        <f t="shared" si="26"/>
        <v/>
      </c>
      <c r="V232" s="11" t="str">
        <f t="shared" si="27"/>
        <v/>
      </c>
      <c r="W232" s="11" t="str">
        <f t="shared" si="27"/>
        <v/>
      </c>
      <c r="X232" s="11" t="str">
        <f t="shared" si="27"/>
        <v/>
      </c>
      <c r="Y232" s="11" t="str">
        <f t="shared" si="27"/>
        <v/>
      </c>
      <c r="Z232" s="11" t="str">
        <f t="shared" si="27"/>
        <v/>
      </c>
      <c r="AA232" s="11" t="str">
        <f t="shared" si="27"/>
        <v/>
      </c>
      <c r="AB232" s="11" t="str">
        <f t="shared" si="27"/>
        <v/>
      </c>
      <c r="AC232" s="11" t="str">
        <f t="shared" si="27"/>
        <v/>
      </c>
      <c r="AD232" s="11" t="str">
        <f t="shared" si="27"/>
        <v/>
      </c>
      <c r="AE232" s="12" t="s">
        <v>27</v>
      </c>
    </row>
    <row r="233" spans="1:31" ht="18" customHeight="1" thickTop="1" thickBot="1" x14ac:dyDescent="0.3">
      <c r="A233" s="4" t="s">
        <v>470</v>
      </c>
      <c r="B233" s="4" t="s">
        <v>945</v>
      </c>
      <c r="C233" s="5" t="s">
        <v>471</v>
      </c>
      <c r="D233" s="5" t="s">
        <v>26</v>
      </c>
      <c r="E233" s="5" t="s">
        <v>245</v>
      </c>
      <c r="F233" s="5" t="s">
        <v>481</v>
      </c>
      <c r="G233" s="5" t="s">
        <v>16</v>
      </c>
      <c r="H233" s="6" t="s">
        <v>473</v>
      </c>
      <c r="I233" s="7" t="s">
        <v>122</v>
      </c>
      <c r="J233" s="8" t="s">
        <v>27</v>
      </c>
      <c r="K233" s="8">
        <v>1</v>
      </c>
      <c r="L233" s="8"/>
      <c r="M233" s="5"/>
      <c r="N233" s="8">
        <v>0.84090909090909094</v>
      </c>
      <c r="O233" s="9">
        <v>0.84090909090909094</v>
      </c>
      <c r="P233" s="10" t="s">
        <v>27</v>
      </c>
      <c r="Q233" s="10">
        <f t="shared" si="22"/>
        <v>0</v>
      </c>
      <c r="R233" s="10">
        <f t="shared" si="23"/>
        <v>0</v>
      </c>
      <c r="S233" s="10">
        <f t="shared" si="24"/>
        <v>0</v>
      </c>
      <c r="T233" s="10">
        <f t="shared" si="25"/>
        <v>0</v>
      </c>
      <c r="U233" s="11" t="str">
        <f t="shared" si="26"/>
        <v/>
      </c>
      <c r="V233" s="11" t="str">
        <f t="shared" si="27"/>
        <v/>
      </c>
      <c r="W233" s="11" t="str">
        <f t="shared" si="27"/>
        <v/>
      </c>
      <c r="X233" s="11" t="str">
        <f t="shared" si="27"/>
        <v/>
      </c>
      <c r="Y233" s="11" t="str">
        <f t="shared" si="27"/>
        <v/>
      </c>
      <c r="Z233" s="11" t="str">
        <f t="shared" si="27"/>
        <v/>
      </c>
      <c r="AA233" s="11" t="str">
        <f t="shared" si="27"/>
        <v/>
      </c>
      <c r="AB233" s="11" t="str">
        <f t="shared" si="27"/>
        <v/>
      </c>
      <c r="AC233" s="11" t="str">
        <f t="shared" si="27"/>
        <v/>
      </c>
      <c r="AD233" s="11" t="str">
        <f t="shared" si="27"/>
        <v/>
      </c>
      <c r="AE233" s="12" t="s">
        <v>27</v>
      </c>
    </row>
    <row r="234" spans="1:31" ht="18" customHeight="1" thickTop="1" thickBot="1" x14ac:dyDescent="0.3">
      <c r="A234" s="4" t="s">
        <v>470</v>
      </c>
      <c r="B234" s="4" t="s">
        <v>945</v>
      </c>
      <c r="C234" s="5" t="s">
        <v>471</v>
      </c>
      <c r="D234" s="5" t="s">
        <v>26</v>
      </c>
      <c r="E234" s="5" t="s">
        <v>247</v>
      </c>
      <c r="F234" s="5" t="s">
        <v>482</v>
      </c>
      <c r="G234" s="5" t="s">
        <v>16</v>
      </c>
      <c r="H234" s="6" t="s">
        <v>473</v>
      </c>
      <c r="I234" s="7" t="s">
        <v>136</v>
      </c>
      <c r="J234" s="8" t="s">
        <v>27</v>
      </c>
      <c r="K234" s="8">
        <v>1</v>
      </c>
      <c r="L234" s="8"/>
      <c r="M234" s="5"/>
      <c r="N234" s="8">
        <v>0.82758620689655171</v>
      </c>
      <c r="O234" s="9">
        <v>0.82758620689655182</v>
      </c>
      <c r="P234" s="10" t="s">
        <v>27</v>
      </c>
      <c r="Q234" s="10">
        <f t="shared" si="22"/>
        <v>0</v>
      </c>
      <c r="R234" s="10">
        <f t="shared" si="23"/>
        <v>0</v>
      </c>
      <c r="S234" s="10">
        <f t="shared" si="24"/>
        <v>0</v>
      </c>
      <c r="T234" s="10">
        <f t="shared" si="25"/>
        <v>0</v>
      </c>
      <c r="U234" s="11" t="str">
        <f t="shared" si="26"/>
        <v/>
      </c>
      <c r="V234" s="11" t="str">
        <f t="shared" si="27"/>
        <v/>
      </c>
      <c r="W234" s="11" t="str">
        <f t="shared" si="27"/>
        <v/>
      </c>
      <c r="X234" s="11" t="str">
        <f t="shared" si="27"/>
        <v/>
      </c>
      <c r="Y234" s="11" t="str">
        <f t="shared" si="27"/>
        <v/>
      </c>
      <c r="Z234" s="11" t="str">
        <f t="shared" si="27"/>
        <v/>
      </c>
      <c r="AA234" s="11" t="str">
        <f t="shared" si="27"/>
        <v/>
      </c>
      <c r="AB234" s="11" t="str">
        <f t="shared" si="27"/>
        <v/>
      </c>
      <c r="AC234" s="11" t="str">
        <f t="shared" si="27"/>
        <v/>
      </c>
      <c r="AD234" s="11" t="str">
        <f t="shared" si="27"/>
        <v/>
      </c>
      <c r="AE234" s="12" t="s">
        <v>27</v>
      </c>
    </row>
    <row r="235" spans="1:31" ht="18" customHeight="1" thickTop="1" thickBot="1" x14ac:dyDescent="0.3">
      <c r="A235" s="4" t="s">
        <v>470</v>
      </c>
      <c r="B235" s="4" t="s">
        <v>945</v>
      </c>
      <c r="C235" s="5" t="s">
        <v>471</v>
      </c>
      <c r="D235" s="5" t="s">
        <v>26</v>
      </c>
      <c r="E235" s="5" t="s">
        <v>249</v>
      </c>
      <c r="F235" s="5" t="s">
        <v>483</v>
      </c>
      <c r="G235" s="5" t="s">
        <v>16</v>
      </c>
      <c r="H235" s="6" t="s">
        <v>473</v>
      </c>
      <c r="I235" s="7" t="s">
        <v>136</v>
      </c>
      <c r="J235" s="8" t="s">
        <v>27</v>
      </c>
      <c r="K235" s="8">
        <v>1</v>
      </c>
      <c r="L235" s="8"/>
      <c r="M235" s="5"/>
      <c r="N235" s="8">
        <v>0.79487179487179482</v>
      </c>
      <c r="O235" s="9">
        <v>0.79487179487179482</v>
      </c>
      <c r="P235" s="10" t="s">
        <v>27</v>
      </c>
      <c r="Q235" s="10">
        <f t="shared" si="22"/>
        <v>0</v>
      </c>
      <c r="R235" s="10">
        <f t="shared" si="23"/>
        <v>0</v>
      </c>
      <c r="S235" s="10">
        <f t="shared" si="24"/>
        <v>0</v>
      </c>
      <c r="T235" s="10">
        <f t="shared" si="25"/>
        <v>0</v>
      </c>
      <c r="U235" s="11" t="str">
        <f t="shared" si="26"/>
        <v/>
      </c>
      <c r="V235" s="11" t="str">
        <f t="shared" si="27"/>
        <v/>
      </c>
      <c r="W235" s="11" t="str">
        <f t="shared" si="27"/>
        <v/>
      </c>
      <c r="X235" s="11" t="str">
        <f t="shared" si="27"/>
        <v/>
      </c>
      <c r="Y235" s="11" t="str">
        <f t="shared" si="27"/>
        <v/>
      </c>
      <c r="Z235" s="11" t="str">
        <f t="shared" si="27"/>
        <v/>
      </c>
      <c r="AA235" s="11" t="str">
        <f t="shared" si="27"/>
        <v/>
      </c>
      <c r="AB235" s="11" t="str">
        <f t="shared" si="27"/>
        <v/>
      </c>
      <c r="AC235" s="11" t="str">
        <f t="shared" si="27"/>
        <v/>
      </c>
      <c r="AD235" s="11" t="str">
        <f t="shared" si="27"/>
        <v/>
      </c>
      <c r="AE235" s="12" t="s">
        <v>27</v>
      </c>
    </row>
    <row r="236" spans="1:31" ht="18" customHeight="1" thickTop="1" thickBot="1" x14ac:dyDescent="0.3">
      <c r="A236" s="4" t="s">
        <v>484</v>
      </c>
      <c r="B236" s="4" t="s">
        <v>950</v>
      </c>
      <c r="C236" s="5" t="s">
        <v>485</v>
      </c>
      <c r="D236" s="5" t="s">
        <v>26</v>
      </c>
      <c r="E236" s="5" t="s">
        <v>27</v>
      </c>
      <c r="F236" s="5" t="s">
        <v>486</v>
      </c>
      <c r="G236" s="5" t="s">
        <v>16</v>
      </c>
      <c r="H236" s="6" t="s">
        <v>487</v>
      </c>
      <c r="I236" s="7" t="s">
        <v>387</v>
      </c>
      <c r="J236" s="8" t="s">
        <v>27</v>
      </c>
      <c r="K236" s="8">
        <v>0.62992125984251968</v>
      </c>
      <c r="L236" s="8"/>
      <c r="M236" s="5"/>
      <c r="N236" s="8">
        <v>0.79497907949790803</v>
      </c>
      <c r="O236" s="9">
        <v>1.262029288702929</v>
      </c>
      <c r="P236" s="10" t="s">
        <v>27</v>
      </c>
      <c r="Q236" s="10">
        <f t="shared" si="22"/>
        <v>0</v>
      </c>
      <c r="R236" s="10">
        <f t="shared" si="23"/>
        <v>0</v>
      </c>
      <c r="S236" s="10">
        <f t="shared" si="24"/>
        <v>0</v>
      </c>
      <c r="T236" s="10">
        <f t="shared" si="25"/>
        <v>0</v>
      </c>
      <c r="U236" s="11" t="str">
        <f t="shared" si="26"/>
        <v/>
      </c>
      <c r="V236" s="11" t="str">
        <f t="shared" si="27"/>
        <v/>
      </c>
      <c r="W236" s="11" t="str">
        <f t="shared" si="27"/>
        <v/>
      </c>
      <c r="X236" s="11" t="str">
        <f t="shared" si="27"/>
        <v/>
      </c>
      <c r="Y236" s="11" t="str">
        <f t="shared" si="27"/>
        <v/>
      </c>
      <c r="Z236" s="11" t="str">
        <f t="shared" si="27"/>
        <v/>
      </c>
      <c r="AA236" s="11" t="str">
        <f t="shared" si="27"/>
        <v/>
      </c>
      <c r="AB236" s="11" t="str">
        <f t="shared" si="27"/>
        <v/>
      </c>
      <c r="AC236" s="11" t="str">
        <f t="shared" si="27"/>
        <v/>
      </c>
      <c r="AD236" s="11" t="str">
        <f t="shared" si="27"/>
        <v/>
      </c>
      <c r="AE236" s="12" t="s">
        <v>27</v>
      </c>
    </row>
    <row r="237" spans="1:31" ht="18" customHeight="1" thickTop="1" thickBot="1" x14ac:dyDescent="0.3">
      <c r="A237" s="4" t="s">
        <v>172</v>
      </c>
      <c r="B237" s="4" t="s">
        <v>950</v>
      </c>
      <c r="C237" s="5" t="s">
        <v>488</v>
      </c>
      <c r="D237" s="5" t="s">
        <v>26</v>
      </c>
      <c r="E237" s="5" t="s">
        <v>27</v>
      </c>
      <c r="F237" s="5" t="s">
        <v>489</v>
      </c>
      <c r="G237" s="5" t="s">
        <v>16</v>
      </c>
      <c r="H237" s="6" t="s">
        <v>101</v>
      </c>
      <c r="I237" s="7" t="s">
        <v>38</v>
      </c>
      <c r="J237" s="8" t="s">
        <v>27</v>
      </c>
      <c r="K237" s="8">
        <v>1</v>
      </c>
      <c r="L237" s="8"/>
      <c r="M237" s="5"/>
      <c r="N237" s="8">
        <v>1.1677935697530013</v>
      </c>
      <c r="O237" s="9">
        <v>1.1677935697530011</v>
      </c>
      <c r="P237" s="10" t="s">
        <v>27</v>
      </c>
      <c r="Q237" s="10">
        <f t="shared" si="22"/>
        <v>0</v>
      </c>
      <c r="R237" s="10">
        <f t="shared" si="23"/>
        <v>0</v>
      </c>
      <c r="S237" s="10">
        <f t="shared" si="24"/>
        <v>0</v>
      </c>
      <c r="T237" s="10">
        <f t="shared" si="25"/>
        <v>0</v>
      </c>
      <c r="U237" s="11" t="str">
        <f t="shared" si="26"/>
        <v/>
      </c>
      <c r="V237" s="11" t="str">
        <f t="shared" si="27"/>
        <v/>
      </c>
      <c r="W237" s="11" t="str">
        <f t="shared" si="27"/>
        <v/>
      </c>
      <c r="X237" s="11" t="str">
        <f t="shared" si="27"/>
        <v/>
      </c>
      <c r="Y237" s="11" t="str">
        <f t="shared" si="27"/>
        <v/>
      </c>
      <c r="Z237" s="11" t="str">
        <f t="shared" si="27"/>
        <v/>
      </c>
      <c r="AA237" s="11" t="str">
        <f t="shared" si="27"/>
        <v/>
      </c>
      <c r="AB237" s="11" t="str">
        <f t="shared" si="27"/>
        <v/>
      </c>
      <c r="AC237" s="11" t="str">
        <f t="shared" si="27"/>
        <v/>
      </c>
      <c r="AD237" s="11" t="str">
        <f t="shared" si="27"/>
        <v/>
      </c>
      <c r="AE237" s="12" t="s">
        <v>27</v>
      </c>
    </row>
    <row r="238" spans="1:31" ht="18" customHeight="1" thickTop="1" thickBot="1" x14ac:dyDescent="0.3">
      <c r="A238" s="4" t="s">
        <v>172</v>
      </c>
      <c r="B238" s="4" t="s">
        <v>950</v>
      </c>
      <c r="C238" s="5" t="s">
        <v>488</v>
      </c>
      <c r="D238" s="5" t="s">
        <v>26</v>
      </c>
      <c r="E238" s="5" t="s">
        <v>36</v>
      </c>
      <c r="F238" s="5" t="s">
        <v>490</v>
      </c>
      <c r="G238" s="5" t="s">
        <v>16</v>
      </c>
      <c r="H238" s="6" t="s">
        <v>101</v>
      </c>
      <c r="I238" s="7" t="s">
        <v>387</v>
      </c>
      <c r="J238" s="8">
        <v>1.1111111111111112</v>
      </c>
      <c r="K238" s="8">
        <v>1</v>
      </c>
      <c r="L238" s="8"/>
      <c r="M238" s="5"/>
      <c r="N238" s="8">
        <v>1.2345070422535214</v>
      </c>
      <c r="O238" s="9">
        <v>1.2345070422535211</v>
      </c>
      <c r="P238" s="10" t="s">
        <v>27</v>
      </c>
      <c r="Q238" s="10">
        <f t="shared" si="22"/>
        <v>0</v>
      </c>
      <c r="R238" s="10">
        <f t="shared" si="23"/>
        <v>0</v>
      </c>
      <c r="S238" s="10">
        <f t="shared" si="24"/>
        <v>0</v>
      </c>
      <c r="T238" s="10">
        <f t="shared" si="25"/>
        <v>0</v>
      </c>
      <c r="U238" s="11" t="str">
        <f t="shared" si="26"/>
        <v/>
      </c>
      <c r="V238" s="11" t="str">
        <f t="shared" si="27"/>
        <v/>
      </c>
      <c r="W238" s="11" t="str">
        <f t="shared" si="27"/>
        <v/>
      </c>
      <c r="X238" s="11" t="str">
        <f t="shared" si="27"/>
        <v/>
      </c>
      <c r="Y238" s="11" t="str">
        <f t="shared" si="27"/>
        <v/>
      </c>
      <c r="Z238" s="11" t="str">
        <f t="shared" si="27"/>
        <v/>
      </c>
      <c r="AA238" s="11" t="str">
        <f t="shared" si="27"/>
        <v/>
      </c>
      <c r="AB238" s="11" t="str">
        <f t="shared" si="27"/>
        <v/>
      </c>
      <c r="AC238" s="11" t="str">
        <f t="shared" si="27"/>
        <v/>
      </c>
      <c r="AD238" s="11" t="str">
        <f t="shared" si="27"/>
        <v/>
      </c>
      <c r="AE238" s="12" t="s">
        <v>27</v>
      </c>
    </row>
    <row r="239" spans="1:31" ht="18" customHeight="1" thickTop="1" thickBot="1" x14ac:dyDescent="0.3">
      <c r="A239" s="4" t="s">
        <v>172</v>
      </c>
      <c r="B239" s="4" t="s">
        <v>950</v>
      </c>
      <c r="C239" s="5" t="s">
        <v>488</v>
      </c>
      <c r="D239" s="5" t="s">
        <v>26</v>
      </c>
      <c r="E239" s="5" t="s">
        <v>40</v>
      </c>
      <c r="F239" s="5" t="s">
        <v>491</v>
      </c>
      <c r="G239" s="5" t="s">
        <v>16</v>
      </c>
      <c r="H239" s="6" t="s">
        <v>101</v>
      </c>
      <c r="I239" s="7" t="s">
        <v>387</v>
      </c>
      <c r="J239" s="8">
        <v>0.88888888888888884</v>
      </c>
      <c r="K239" s="8">
        <v>1</v>
      </c>
      <c r="L239" s="8"/>
      <c r="M239" s="5"/>
      <c r="N239" s="8">
        <v>1.104602510460251</v>
      </c>
      <c r="O239" s="9">
        <v>1.104602510460251</v>
      </c>
      <c r="P239" s="10" t="s">
        <v>27</v>
      </c>
      <c r="Q239" s="10">
        <f t="shared" si="22"/>
        <v>0</v>
      </c>
      <c r="R239" s="10">
        <f t="shared" si="23"/>
        <v>0</v>
      </c>
      <c r="S239" s="10">
        <f t="shared" si="24"/>
        <v>0</v>
      </c>
      <c r="T239" s="10">
        <f t="shared" si="25"/>
        <v>0</v>
      </c>
      <c r="U239" s="11" t="str">
        <f t="shared" si="26"/>
        <v/>
      </c>
      <c r="V239" s="11" t="str">
        <f t="shared" si="27"/>
        <v/>
      </c>
      <c r="W239" s="11" t="str">
        <f t="shared" si="27"/>
        <v/>
      </c>
      <c r="X239" s="11" t="str">
        <f t="shared" si="27"/>
        <v/>
      </c>
      <c r="Y239" s="11" t="str">
        <f t="shared" si="27"/>
        <v/>
      </c>
      <c r="Z239" s="11" t="str">
        <f t="shared" ref="V239:AD267" si="28">IF(ISNUMBER(SEARCH(Z$3,$AE239)), 1,"")</f>
        <v/>
      </c>
      <c r="AA239" s="11" t="str">
        <f t="shared" si="28"/>
        <v/>
      </c>
      <c r="AB239" s="11" t="str">
        <f t="shared" si="28"/>
        <v/>
      </c>
      <c r="AC239" s="11" t="str">
        <f t="shared" si="28"/>
        <v/>
      </c>
      <c r="AD239" s="11" t="str">
        <f t="shared" si="28"/>
        <v/>
      </c>
      <c r="AE239" s="12" t="s">
        <v>27</v>
      </c>
    </row>
    <row r="240" spans="1:31" ht="18" customHeight="1" thickTop="1" thickBot="1" x14ac:dyDescent="0.3">
      <c r="A240" s="4" t="s">
        <v>172</v>
      </c>
      <c r="B240" s="4" t="s">
        <v>950</v>
      </c>
      <c r="C240" s="5" t="s">
        <v>488</v>
      </c>
      <c r="D240" s="5" t="s">
        <v>26</v>
      </c>
      <c r="E240" s="5" t="s">
        <v>69</v>
      </c>
      <c r="F240" s="5" t="s">
        <v>492</v>
      </c>
      <c r="G240" s="5" t="s">
        <v>16</v>
      </c>
      <c r="H240" s="6" t="s">
        <v>101</v>
      </c>
      <c r="I240" s="7" t="s">
        <v>38</v>
      </c>
      <c r="J240" s="8">
        <v>2</v>
      </c>
      <c r="K240" s="8">
        <v>1</v>
      </c>
      <c r="L240" s="8"/>
      <c r="M240" s="5"/>
      <c r="N240" s="8">
        <v>1.2054794520547945</v>
      </c>
      <c r="O240" s="9">
        <v>1.2054794520547947</v>
      </c>
      <c r="P240" s="10" t="s">
        <v>27</v>
      </c>
      <c r="Q240" s="10">
        <f t="shared" si="22"/>
        <v>0</v>
      </c>
      <c r="R240" s="10">
        <f t="shared" si="23"/>
        <v>0</v>
      </c>
      <c r="S240" s="10">
        <f t="shared" si="24"/>
        <v>0</v>
      </c>
      <c r="T240" s="10">
        <f t="shared" si="25"/>
        <v>0</v>
      </c>
      <c r="U240" s="11" t="str">
        <f t="shared" si="26"/>
        <v/>
      </c>
      <c r="V240" s="11" t="str">
        <f t="shared" si="28"/>
        <v/>
      </c>
      <c r="W240" s="11" t="str">
        <f t="shared" si="28"/>
        <v/>
      </c>
      <c r="X240" s="11" t="str">
        <f t="shared" si="28"/>
        <v/>
      </c>
      <c r="Y240" s="11" t="str">
        <f t="shared" si="28"/>
        <v/>
      </c>
      <c r="Z240" s="11" t="str">
        <f t="shared" si="28"/>
        <v/>
      </c>
      <c r="AA240" s="11" t="str">
        <f t="shared" si="28"/>
        <v/>
      </c>
      <c r="AB240" s="11" t="str">
        <f t="shared" si="28"/>
        <v/>
      </c>
      <c r="AC240" s="11" t="str">
        <f t="shared" si="28"/>
        <v/>
      </c>
      <c r="AD240" s="11" t="str">
        <f t="shared" si="28"/>
        <v/>
      </c>
      <c r="AE240" s="12" t="s">
        <v>27</v>
      </c>
    </row>
    <row r="241" spans="1:31" ht="18" customHeight="1" thickTop="1" thickBot="1" x14ac:dyDescent="0.3">
      <c r="A241" s="4" t="s">
        <v>172</v>
      </c>
      <c r="B241" s="4" t="s">
        <v>950</v>
      </c>
      <c r="C241" s="5" t="s">
        <v>488</v>
      </c>
      <c r="D241" s="5" t="s">
        <v>26</v>
      </c>
      <c r="E241" s="5" t="s">
        <v>71</v>
      </c>
      <c r="F241" s="5" t="s">
        <v>493</v>
      </c>
      <c r="G241" s="5" t="s">
        <v>16</v>
      </c>
      <c r="H241" s="6" t="s">
        <v>101</v>
      </c>
      <c r="I241" s="7" t="s">
        <v>38</v>
      </c>
      <c r="J241" s="8">
        <v>1.375</v>
      </c>
      <c r="K241" s="8">
        <v>1</v>
      </c>
      <c r="L241" s="8"/>
      <c r="M241" s="5"/>
      <c r="N241" s="8">
        <v>1.2821292775665398</v>
      </c>
      <c r="O241" s="9">
        <v>1.28212927756654</v>
      </c>
      <c r="P241" s="10" t="s">
        <v>27</v>
      </c>
      <c r="Q241" s="10">
        <f t="shared" si="22"/>
        <v>0</v>
      </c>
      <c r="R241" s="10">
        <f t="shared" si="23"/>
        <v>0</v>
      </c>
      <c r="S241" s="10">
        <f t="shared" si="24"/>
        <v>0</v>
      </c>
      <c r="T241" s="10">
        <f t="shared" si="25"/>
        <v>0</v>
      </c>
      <c r="U241" s="11" t="str">
        <f t="shared" si="26"/>
        <v/>
      </c>
      <c r="V241" s="11" t="str">
        <f t="shared" si="28"/>
        <v/>
      </c>
      <c r="W241" s="11" t="str">
        <f t="shared" si="28"/>
        <v/>
      </c>
      <c r="X241" s="11" t="str">
        <f t="shared" si="28"/>
        <v/>
      </c>
      <c r="Y241" s="11" t="str">
        <f t="shared" si="28"/>
        <v/>
      </c>
      <c r="Z241" s="11" t="str">
        <f t="shared" si="28"/>
        <v/>
      </c>
      <c r="AA241" s="11" t="str">
        <f t="shared" si="28"/>
        <v/>
      </c>
      <c r="AB241" s="11" t="str">
        <f t="shared" si="28"/>
        <v/>
      </c>
      <c r="AC241" s="11" t="str">
        <f t="shared" si="28"/>
        <v/>
      </c>
      <c r="AD241" s="11" t="str">
        <f t="shared" si="28"/>
        <v/>
      </c>
      <c r="AE241" s="12" t="s">
        <v>27</v>
      </c>
    </row>
    <row r="242" spans="1:31" ht="18" customHeight="1" thickTop="1" thickBot="1" x14ac:dyDescent="0.3">
      <c r="A242" s="4" t="s">
        <v>494</v>
      </c>
      <c r="B242" s="4" t="s">
        <v>946</v>
      </c>
      <c r="C242" s="5" t="s">
        <v>495</v>
      </c>
      <c r="D242" s="5" t="s">
        <v>26</v>
      </c>
      <c r="E242" s="5" t="s">
        <v>36</v>
      </c>
      <c r="F242" s="5" t="s">
        <v>496</v>
      </c>
      <c r="G242" s="5" t="s">
        <v>16</v>
      </c>
      <c r="H242" s="6" t="s">
        <v>108</v>
      </c>
      <c r="I242" s="7" t="s">
        <v>359</v>
      </c>
      <c r="J242" s="8" t="s">
        <v>27</v>
      </c>
      <c r="K242" s="8">
        <v>1</v>
      </c>
      <c r="L242" s="8"/>
      <c r="M242" s="5"/>
      <c r="N242" s="8">
        <v>0.95061728395061729</v>
      </c>
      <c r="O242" s="9">
        <v>0.95061728395061718</v>
      </c>
      <c r="P242" s="10" t="s">
        <v>27</v>
      </c>
      <c r="Q242" s="10">
        <f t="shared" si="22"/>
        <v>0</v>
      </c>
      <c r="R242" s="10">
        <f t="shared" si="23"/>
        <v>0</v>
      </c>
      <c r="S242" s="10">
        <f t="shared" si="24"/>
        <v>0</v>
      </c>
      <c r="T242" s="10">
        <f t="shared" si="25"/>
        <v>0</v>
      </c>
      <c r="U242" s="11" t="str">
        <f t="shared" si="26"/>
        <v/>
      </c>
      <c r="V242" s="11" t="str">
        <f t="shared" si="28"/>
        <v/>
      </c>
      <c r="W242" s="11" t="str">
        <f t="shared" si="28"/>
        <v/>
      </c>
      <c r="X242" s="11" t="str">
        <f t="shared" si="28"/>
        <v/>
      </c>
      <c r="Y242" s="11" t="str">
        <f t="shared" si="28"/>
        <v/>
      </c>
      <c r="Z242" s="11" t="str">
        <f t="shared" si="28"/>
        <v/>
      </c>
      <c r="AA242" s="11" t="str">
        <f t="shared" si="28"/>
        <v/>
      </c>
      <c r="AB242" s="11" t="str">
        <f t="shared" si="28"/>
        <v/>
      </c>
      <c r="AC242" s="11" t="str">
        <f t="shared" si="28"/>
        <v/>
      </c>
      <c r="AD242" s="11" t="str">
        <f t="shared" si="28"/>
        <v/>
      </c>
      <c r="AE242" s="12" t="s">
        <v>27</v>
      </c>
    </row>
    <row r="243" spans="1:31" ht="18" customHeight="1" thickTop="1" thickBot="1" x14ac:dyDescent="0.3">
      <c r="A243" s="4" t="s">
        <v>494</v>
      </c>
      <c r="B243" s="4" t="s">
        <v>946</v>
      </c>
      <c r="C243" s="5" t="s">
        <v>495</v>
      </c>
      <c r="D243" s="5" t="s">
        <v>26</v>
      </c>
      <c r="E243" s="5" t="s">
        <v>234</v>
      </c>
      <c r="F243" s="5" t="s">
        <v>497</v>
      </c>
      <c r="G243" s="5" t="s">
        <v>16</v>
      </c>
      <c r="H243" s="6" t="s">
        <v>108</v>
      </c>
      <c r="I243" s="7" t="s">
        <v>359</v>
      </c>
      <c r="J243" s="8" t="s">
        <v>27</v>
      </c>
      <c r="K243" s="8">
        <v>1</v>
      </c>
      <c r="L243" s="8"/>
      <c r="M243" s="5"/>
      <c r="N243" s="8">
        <v>1.4259259259259258</v>
      </c>
      <c r="O243" s="9">
        <v>1.425925925925926</v>
      </c>
      <c r="P243" s="10" t="s">
        <v>27</v>
      </c>
      <c r="Q243" s="10">
        <f t="shared" si="22"/>
        <v>0</v>
      </c>
      <c r="R243" s="10">
        <f t="shared" si="23"/>
        <v>0</v>
      </c>
      <c r="S243" s="10">
        <f t="shared" si="24"/>
        <v>0</v>
      </c>
      <c r="T243" s="10">
        <f t="shared" si="25"/>
        <v>0</v>
      </c>
      <c r="U243" s="11" t="str">
        <f t="shared" si="26"/>
        <v/>
      </c>
      <c r="V243" s="11" t="str">
        <f t="shared" si="28"/>
        <v/>
      </c>
      <c r="W243" s="11" t="str">
        <f t="shared" si="28"/>
        <v/>
      </c>
      <c r="X243" s="11" t="str">
        <f t="shared" si="28"/>
        <v/>
      </c>
      <c r="Y243" s="11" t="str">
        <f t="shared" si="28"/>
        <v/>
      </c>
      <c r="Z243" s="11" t="str">
        <f t="shared" si="28"/>
        <v/>
      </c>
      <c r="AA243" s="11" t="str">
        <f t="shared" si="28"/>
        <v/>
      </c>
      <c r="AB243" s="11" t="str">
        <f t="shared" si="28"/>
        <v/>
      </c>
      <c r="AC243" s="11" t="str">
        <f t="shared" si="28"/>
        <v/>
      </c>
      <c r="AD243" s="11" t="str">
        <f t="shared" si="28"/>
        <v/>
      </c>
      <c r="AE243" s="12" t="s">
        <v>27</v>
      </c>
    </row>
    <row r="244" spans="1:31" ht="18" customHeight="1" thickTop="1" thickBot="1" x14ac:dyDescent="0.3">
      <c r="A244" s="4" t="s">
        <v>494</v>
      </c>
      <c r="B244" s="4" t="s">
        <v>946</v>
      </c>
      <c r="C244" s="5" t="s">
        <v>495</v>
      </c>
      <c r="D244" s="5" t="s">
        <v>26</v>
      </c>
      <c r="E244" s="5" t="s">
        <v>236</v>
      </c>
      <c r="F244" s="5" t="s">
        <v>498</v>
      </c>
      <c r="G244" s="5" t="s">
        <v>16</v>
      </c>
      <c r="H244" s="6" t="s">
        <v>108</v>
      </c>
      <c r="I244" s="7" t="s">
        <v>359</v>
      </c>
      <c r="J244" s="8" t="s">
        <v>27</v>
      </c>
      <c r="K244" s="8">
        <v>1</v>
      </c>
      <c r="L244" s="8"/>
      <c r="M244" s="5"/>
      <c r="N244" s="8">
        <v>1.3703703703703702</v>
      </c>
      <c r="O244" s="9">
        <v>1.3703703703703702</v>
      </c>
      <c r="P244" s="10" t="s">
        <v>27</v>
      </c>
      <c r="Q244" s="10">
        <f t="shared" si="22"/>
        <v>0</v>
      </c>
      <c r="R244" s="10">
        <f t="shared" si="23"/>
        <v>0</v>
      </c>
      <c r="S244" s="10">
        <f t="shared" si="24"/>
        <v>0</v>
      </c>
      <c r="T244" s="10">
        <f t="shared" si="25"/>
        <v>0</v>
      </c>
      <c r="U244" s="11" t="str">
        <f t="shared" si="26"/>
        <v/>
      </c>
      <c r="V244" s="11" t="str">
        <f t="shared" si="28"/>
        <v/>
      </c>
      <c r="W244" s="11" t="str">
        <f t="shared" si="28"/>
        <v/>
      </c>
      <c r="X244" s="11" t="str">
        <f t="shared" si="28"/>
        <v/>
      </c>
      <c r="Y244" s="11" t="str">
        <f t="shared" si="28"/>
        <v/>
      </c>
      <c r="Z244" s="11" t="str">
        <f t="shared" si="28"/>
        <v/>
      </c>
      <c r="AA244" s="11" t="str">
        <f t="shared" si="28"/>
        <v/>
      </c>
      <c r="AB244" s="11" t="str">
        <f t="shared" si="28"/>
        <v/>
      </c>
      <c r="AC244" s="11" t="str">
        <f t="shared" si="28"/>
        <v/>
      </c>
      <c r="AD244" s="11" t="str">
        <f t="shared" si="28"/>
        <v/>
      </c>
      <c r="AE244" s="12" t="s">
        <v>27</v>
      </c>
    </row>
    <row r="245" spans="1:31" ht="18" customHeight="1" thickTop="1" thickBot="1" x14ac:dyDescent="0.3">
      <c r="A245" s="4" t="s">
        <v>494</v>
      </c>
      <c r="B245" s="4" t="s">
        <v>946</v>
      </c>
      <c r="C245" s="5" t="s">
        <v>495</v>
      </c>
      <c r="D245" s="5" t="s">
        <v>26</v>
      </c>
      <c r="E245" s="5" t="s">
        <v>238</v>
      </c>
      <c r="F245" s="5" t="s">
        <v>499</v>
      </c>
      <c r="G245" s="5" t="s">
        <v>16</v>
      </c>
      <c r="H245" s="6" t="s">
        <v>108</v>
      </c>
      <c r="I245" s="7" t="s">
        <v>359</v>
      </c>
      <c r="J245" s="8" t="s">
        <v>27</v>
      </c>
      <c r="K245" s="8">
        <v>1</v>
      </c>
      <c r="L245" s="8"/>
      <c r="M245" s="5"/>
      <c r="N245" s="8">
        <v>0.85106382978723405</v>
      </c>
      <c r="O245" s="9">
        <v>0.85106382978723405</v>
      </c>
      <c r="P245" s="10" t="s">
        <v>27</v>
      </c>
      <c r="Q245" s="10">
        <f t="shared" si="22"/>
        <v>0</v>
      </c>
      <c r="R245" s="10">
        <f t="shared" si="23"/>
        <v>0</v>
      </c>
      <c r="S245" s="10">
        <f t="shared" si="24"/>
        <v>0</v>
      </c>
      <c r="T245" s="10">
        <f t="shared" si="25"/>
        <v>0</v>
      </c>
      <c r="U245" s="11" t="str">
        <f t="shared" si="26"/>
        <v/>
      </c>
      <c r="V245" s="11" t="str">
        <f t="shared" si="28"/>
        <v/>
      </c>
      <c r="W245" s="11" t="str">
        <f t="shared" si="28"/>
        <v/>
      </c>
      <c r="X245" s="11" t="str">
        <f t="shared" si="28"/>
        <v/>
      </c>
      <c r="Y245" s="11" t="str">
        <f t="shared" si="28"/>
        <v/>
      </c>
      <c r="Z245" s="11" t="str">
        <f t="shared" si="28"/>
        <v/>
      </c>
      <c r="AA245" s="11" t="str">
        <f t="shared" si="28"/>
        <v/>
      </c>
      <c r="AB245" s="11" t="str">
        <f t="shared" si="28"/>
        <v/>
      </c>
      <c r="AC245" s="11" t="str">
        <f t="shared" si="28"/>
        <v/>
      </c>
      <c r="AD245" s="11" t="str">
        <f t="shared" si="28"/>
        <v/>
      </c>
      <c r="AE245" s="12" t="s">
        <v>27</v>
      </c>
    </row>
    <row r="246" spans="1:31" ht="18" customHeight="1" thickTop="1" thickBot="1" x14ac:dyDescent="0.3">
      <c r="A246" s="4" t="s">
        <v>494</v>
      </c>
      <c r="B246" s="4" t="s">
        <v>946</v>
      </c>
      <c r="C246" s="5" t="s">
        <v>495</v>
      </c>
      <c r="D246" s="5" t="s">
        <v>26</v>
      </c>
      <c r="E246" s="5" t="s">
        <v>500</v>
      </c>
      <c r="F246" s="5" t="s">
        <v>501</v>
      </c>
      <c r="G246" s="5" t="s">
        <v>16</v>
      </c>
      <c r="H246" s="6" t="s">
        <v>108</v>
      </c>
      <c r="I246" s="7" t="s">
        <v>359</v>
      </c>
      <c r="J246" s="8" t="s">
        <v>27</v>
      </c>
      <c r="K246" s="8">
        <v>1</v>
      </c>
      <c r="L246" s="8"/>
      <c r="M246" s="5"/>
      <c r="N246" s="8">
        <v>1.8</v>
      </c>
      <c r="O246" s="9">
        <v>1.8</v>
      </c>
      <c r="P246" s="10" t="s">
        <v>31</v>
      </c>
      <c r="Q246" s="10">
        <f t="shared" si="22"/>
        <v>0</v>
      </c>
      <c r="R246" s="10">
        <f t="shared" si="23"/>
        <v>0</v>
      </c>
      <c r="S246" s="10">
        <f t="shared" si="24"/>
        <v>1</v>
      </c>
      <c r="T246" s="10">
        <f t="shared" si="25"/>
        <v>0</v>
      </c>
      <c r="U246" s="11" t="str">
        <f t="shared" si="26"/>
        <v/>
      </c>
      <c r="V246" s="11" t="str">
        <f t="shared" si="28"/>
        <v/>
      </c>
      <c r="W246" s="11" t="str">
        <f t="shared" si="28"/>
        <v/>
      </c>
      <c r="X246" s="11" t="str">
        <f t="shared" si="28"/>
        <v/>
      </c>
      <c r="Y246" s="11" t="str">
        <f t="shared" si="28"/>
        <v/>
      </c>
      <c r="Z246" s="11">
        <f t="shared" si="28"/>
        <v>1</v>
      </c>
      <c r="AA246" s="11" t="str">
        <f t="shared" si="28"/>
        <v/>
      </c>
      <c r="AB246" s="11" t="str">
        <f t="shared" si="28"/>
        <v/>
      </c>
      <c r="AC246" s="11">
        <f t="shared" si="28"/>
        <v>1</v>
      </c>
      <c r="AD246" s="11" t="str">
        <f t="shared" si="28"/>
        <v/>
      </c>
      <c r="AE246" s="12" t="s">
        <v>999</v>
      </c>
    </row>
    <row r="247" spans="1:31" ht="18" customHeight="1" thickTop="1" thickBot="1" x14ac:dyDescent="0.3">
      <c r="A247" s="4" t="s">
        <v>494</v>
      </c>
      <c r="B247" s="4" t="s">
        <v>946</v>
      </c>
      <c r="C247" s="5" t="s">
        <v>495</v>
      </c>
      <c r="D247" s="5" t="s">
        <v>26</v>
      </c>
      <c r="E247" s="5" t="s">
        <v>376</v>
      </c>
      <c r="F247" s="5" t="s">
        <v>502</v>
      </c>
      <c r="G247" s="5" t="s">
        <v>16</v>
      </c>
      <c r="H247" s="6" t="s">
        <v>108</v>
      </c>
      <c r="I247" s="7" t="s">
        <v>359</v>
      </c>
      <c r="J247" s="8" t="s">
        <v>27</v>
      </c>
      <c r="K247" s="8">
        <v>0.85</v>
      </c>
      <c r="L247" s="8"/>
      <c r="M247" s="5"/>
      <c r="N247" s="8">
        <v>2.5500000000000003</v>
      </c>
      <c r="O247" s="9">
        <v>3</v>
      </c>
      <c r="P247" s="10" t="s">
        <v>31</v>
      </c>
      <c r="Q247" s="10">
        <f t="shared" si="22"/>
        <v>0</v>
      </c>
      <c r="R247" s="10">
        <f t="shared" si="23"/>
        <v>0</v>
      </c>
      <c r="S247" s="10">
        <f t="shared" si="24"/>
        <v>1</v>
      </c>
      <c r="T247" s="10">
        <f t="shared" si="25"/>
        <v>0</v>
      </c>
      <c r="U247" s="11" t="str">
        <f t="shared" si="26"/>
        <v/>
      </c>
      <c r="V247" s="11" t="str">
        <f t="shared" si="28"/>
        <v/>
      </c>
      <c r="W247" s="11" t="str">
        <f t="shared" si="28"/>
        <v/>
      </c>
      <c r="X247" s="11" t="str">
        <f t="shared" si="28"/>
        <v/>
      </c>
      <c r="Y247" s="11" t="str">
        <f t="shared" si="28"/>
        <v/>
      </c>
      <c r="Z247" s="11">
        <f t="shared" si="28"/>
        <v>1</v>
      </c>
      <c r="AA247" s="11" t="str">
        <f t="shared" si="28"/>
        <v/>
      </c>
      <c r="AB247" s="11" t="str">
        <f t="shared" si="28"/>
        <v/>
      </c>
      <c r="AC247" s="11">
        <f t="shared" si="28"/>
        <v>1</v>
      </c>
      <c r="AD247" s="11" t="str">
        <f t="shared" si="28"/>
        <v/>
      </c>
      <c r="AE247" s="12" t="s">
        <v>999</v>
      </c>
    </row>
    <row r="248" spans="1:31" ht="18" customHeight="1" thickTop="1" thickBot="1" x14ac:dyDescent="0.3">
      <c r="A248" s="4" t="s">
        <v>494</v>
      </c>
      <c r="B248" s="4" t="s">
        <v>946</v>
      </c>
      <c r="C248" s="5" t="s">
        <v>495</v>
      </c>
      <c r="D248" s="5" t="s">
        <v>26</v>
      </c>
      <c r="E248" s="5" t="s">
        <v>378</v>
      </c>
      <c r="F248" s="5" t="s">
        <v>503</v>
      </c>
      <c r="G248" s="5" t="s">
        <v>16</v>
      </c>
      <c r="H248" s="6" t="s">
        <v>108</v>
      </c>
      <c r="I248" s="7" t="s">
        <v>359</v>
      </c>
      <c r="J248" s="8" t="s">
        <v>27</v>
      </c>
      <c r="K248" s="8">
        <v>1</v>
      </c>
      <c r="L248" s="8"/>
      <c r="M248" s="5"/>
      <c r="N248" s="8">
        <v>0.77016129032258063</v>
      </c>
      <c r="O248" s="9">
        <v>0.77016129032258052</v>
      </c>
      <c r="P248" s="10" t="s">
        <v>27</v>
      </c>
      <c r="Q248" s="10">
        <f t="shared" si="22"/>
        <v>0</v>
      </c>
      <c r="R248" s="10">
        <f t="shared" si="23"/>
        <v>0</v>
      </c>
      <c r="S248" s="10">
        <f t="shared" si="24"/>
        <v>0</v>
      </c>
      <c r="T248" s="10">
        <f t="shared" si="25"/>
        <v>0</v>
      </c>
      <c r="U248" s="11" t="str">
        <f t="shared" si="26"/>
        <v/>
      </c>
      <c r="V248" s="11" t="str">
        <f t="shared" si="28"/>
        <v/>
      </c>
      <c r="W248" s="11" t="str">
        <f t="shared" si="28"/>
        <v/>
      </c>
      <c r="X248" s="11" t="str">
        <f t="shared" si="28"/>
        <v/>
      </c>
      <c r="Y248" s="11" t="str">
        <f t="shared" si="28"/>
        <v/>
      </c>
      <c r="Z248" s="11" t="str">
        <f t="shared" si="28"/>
        <v/>
      </c>
      <c r="AA248" s="11" t="str">
        <f t="shared" si="28"/>
        <v/>
      </c>
      <c r="AB248" s="11" t="str">
        <f t="shared" si="28"/>
        <v/>
      </c>
      <c r="AC248" s="11" t="str">
        <f t="shared" si="28"/>
        <v/>
      </c>
      <c r="AD248" s="11" t="str">
        <f t="shared" si="28"/>
        <v/>
      </c>
      <c r="AE248" s="12" t="s">
        <v>27</v>
      </c>
    </row>
    <row r="249" spans="1:31" ht="18" customHeight="1" thickTop="1" thickBot="1" x14ac:dyDescent="0.3">
      <c r="A249" s="4" t="s">
        <v>494</v>
      </c>
      <c r="B249" s="4" t="s">
        <v>946</v>
      </c>
      <c r="C249" s="5" t="s">
        <v>495</v>
      </c>
      <c r="D249" s="5" t="s">
        <v>26</v>
      </c>
      <c r="E249" s="5" t="s">
        <v>504</v>
      </c>
      <c r="F249" s="5" t="s">
        <v>505</v>
      </c>
      <c r="G249" s="5" t="s">
        <v>16</v>
      </c>
      <c r="H249" s="6" t="s">
        <v>108</v>
      </c>
      <c r="I249" s="7" t="s">
        <v>359</v>
      </c>
      <c r="J249" s="8" t="s">
        <v>27</v>
      </c>
      <c r="K249" s="8">
        <v>1</v>
      </c>
      <c r="L249" s="8"/>
      <c r="M249" s="5"/>
      <c r="N249" s="8">
        <v>0.91304347826086962</v>
      </c>
      <c r="O249" s="9">
        <v>0.91304347826086973</v>
      </c>
      <c r="P249" s="10" t="s">
        <v>27</v>
      </c>
      <c r="Q249" s="10">
        <f t="shared" si="22"/>
        <v>0</v>
      </c>
      <c r="R249" s="10">
        <f t="shared" si="23"/>
        <v>0</v>
      </c>
      <c r="S249" s="10">
        <f t="shared" si="24"/>
        <v>0</v>
      </c>
      <c r="T249" s="10">
        <f t="shared" si="25"/>
        <v>0</v>
      </c>
      <c r="U249" s="11" t="str">
        <f t="shared" si="26"/>
        <v/>
      </c>
      <c r="V249" s="11" t="str">
        <f t="shared" si="28"/>
        <v/>
      </c>
      <c r="W249" s="11" t="str">
        <f t="shared" si="28"/>
        <v/>
      </c>
      <c r="X249" s="11" t="str">
        <f t="shared" si="28"/>
        <v/>
      </c>
      <c r="Y249" s="11" t="str">
        <f t="shared" si="28"/>
        <v/>
      </c>
      <c r="Z249" s="11" t="str">
        <f t="shared" si="28"/>
        <v/>
      </c>
      <c r="AA249" s="11" t="str">
        <f t="shared" si="28"/>
        <v/>
      </c>
      <c r="AB249" s="11" t="str">
        <f t="shared" si="28"/>
        <v/>
      </c>
      <c r="AC249" s="11" t="str">
        <f t="shared" si="28"/>
        <v/>
      </c>
      <c r="AD249" s="11" t="str">
        <f t="shared" si="28"/>
        <v/>
      </c>
      <c r="AE249" s="12" t="s">
        <v>27</v>
      </c>
    </row>
    <row r="250" spans="1:31" ht="18" customHeight="1" thickTop="1" thickBot="1" x14ac:dyDescent="0.3">
      <c r="A250" s="4" t="s">
        <v>494</v>
      </c>
      <c r="B250" s="4" t="s">
        <v>946</v>
      </c>
      <c r="C250" s="5" t="s">
        <v>495</v>
      </c>
      <c r="D250" s="5" t="s">
        <v>26</v>
      </c>
      <c r="E250" s="5" t="s">
        <v>506</v>
      </c>
      <c r="F250" s="5" t="s">
        <v>507</v>
      </c>
      <c r="G250" s="5" t="s">
        <v>16</v>
      </c>
      <c r="H250" s="6" t="s">
        <v>108</v>
      </c>
      <c r="I250" s="7" t="s">
        <v>68</v>
      </c>
      <c r="J250" s="8" t="s">
        <v>27</v>
      </c>
      <c r="K250" s="8">
        <v>1</v>
      </c>
      <c r="L250" s="8"/>
      <c r="M250" s="5"/>
      <c r="N250" s="8">
        <v>0.18861209964412812</v>
      </c>
      <c r="O250" s="9">
        <v>0.18861209964412812</v>
      </c>
      <c r="P250" s="10" t="s">
        <v>31</v>
      </c>
      <c r="Q250" s="10">
        <f t="shared" si="22"/>
        <v>0</v>
      </c>
      <c r="R250" s="10">
        <f t="shared" si="23"/>
        <v>0</v>
      </c>
      <c r="S250" s="10">
        <f t="shared" si="24"/>
        <v>0</v>
      </c>
      <c r="T250" s="10">
        <f t="shared" si="25"/>
        <v>1</v>
      </c>
      <c r="U250" s="11" t="str">
        <f t="shared" si="26"/>
        <v/>
      </c>
      <c r="V250" s="11" t="str">
        <f t="shared" si="28"/>
        <v/>
      </c>
      <c r="W250" s="11" t="str">
        <f t="shared" si="28"/>
        <v/>
      </c>
      <c r="X250" s="11" t="str">
        <f t="shared" si="28"/>
        <v/>
      </c>
      <c r="Y250" s="11" t="str">
        <f t="shared" si="28"/>
        <v/>
      </c>
      <c r="Z250" s="11" t="str">
        <f t="shared" si="28"/>
        <v/>
      </c>
      <c r="AA250" s="11" t="str">
        <f t="shared" si="28"/>
        <v/>
      </c>
      <c r="AB250" s="11" t="str">
        <f t="shared" si="28"/>
        <v/>
      </c>
      <c r="AC250" s="11" t="str">
        <f t="shared" si="28"/>
        <v/>
      </c>
      <c r="AD250" s="11">
        <f t="shared" si="28"/>
        <v>1</v>
      </c>
      <c r="AE250" s="12" t="s">
        <v>988</v>
      </c>
    </row>
    <row r="251" spans="1:31" ht="18" customHeight="1" thickTop="1" thickBot="1" x14ac:dyDescent="0.3">
      <c r="A251" s="4" t="s">
        <v>494</v>
      </c>
      <c r="B251" s="4" t="s">
        <v>946</v>
      </c>
      <c r="C251" s="5" t="s">
        <v>495</v>
      </c>
      <c r="D251" s="5" t="s">
        <v>26</v>
      </c>
      <c r="E251" s="5" t="s">
        <v>508</v>
      </c>
      <c r="F251" s="5" t="s">
        <v>509</v>
      </c>
      <c r="G251" s="5" t="s">
        <v>16</v>
      </c>
      <c r="H251" s="6" t="s">
        <v>108</v>
      </c>
      <c r="I251" s="7" t="s">
        <v>359</v>
      </c>
      <c r="J251" s="8" t="s">
        <v>27</v>
      </c>
      <c r="K251" s="8">
        <v>1</v>
      </c>
      <c r="L251" s="8"/>
      <c r="M251" s="5"/>
      <c r="N251" s="8">
        <v>1.25</v>
      </c>
      <c r="O251" s="9">
        <v>1.2499999999999998</v>
      </c>
      <c r="P251" s="10" t="s">
        <v>27</v>
      </c>
      <c r="Q251" s="10">
        <f t="shared" si="22"/>
        <v>0</v>
      </c>
      <c r="R251" s="10">
        <f t="shared" si="23"/>
        <v>0</v>
      </c>
      <c r="S251" s="10">
        <f t="shared" si="24"/>
        <v>0</v>
      </c>
      <c r="T251" s="10">
        <f t="shared" si="25"/>
        <v>0</v>
      </c>
      <c r="U251" s="11" t="str">
        <f t="shared" si="26"/>
        <v/>
      </c>
      <c r="V251" s="11" t="str">
        <f t="shared" si="28"/>
        <v/>
      </c>
      <c r="W251" s="11" t="str">
        <f t="shared" si="28"/>
        <v/>
      </c>
      <c r="X251" s="11" t="str">
        <f t="shared" si="28"/>
        <v/>
      </c>
      <c r="Y251" s="11" t="str">
        <f t="shared" si="28"/>
        <v/>
      </c>
      <c r="Z251" s="11" t="str">
        <f t="shared" si="28"/>
        <v/>
      </c>
      <c r="AA251" s="11" t="str">
        <f t="shared" si="28"/>
        <v/>
      </c>
      <c r="AB251" s="11" t="str">
        <f t="shared" si="28"/>
        <v/>
      </c>
      <c r="AC251" s="11" t="str">
        <f t="shared" si="28"/>
        <v/>
      </c>
      <c r="AD251" s="11" t="str">
        <f t="shared" si="28"/>
        <v/>
      </c>
      <c r="AE251" s="12" t="s">
        <v>27</v>
      </c>
    </row>
    <row r="252" spans="1:31" ht="18" customHeight="1" thickTop="1" thickBot="1" x14ac:dyDescent="0.3">
      <c r="A252" s="4" t="s">
        <v>494</v>
      </c>
      <c r="B252" s="4" t="s">
        <v>946</v>
      </c>
      <c r="C252" s="5" t="s">
        <v>495</v>
      </c>
      <c r="D252" s="5" t="s">
        <v>26</v>
      </c>
      <c r="E252" s="5" t="s">
        <v>510</v>
      </c>
      <c r="F252" s="5" t="s">
        <v>511</v>
      </c>
      <c r="G252" s="5" t="s">
        <v>16</v>
      </c>
      <c r="H252" s="6" t="s">
        <v>108</v>
      </c>
      <c r="I252" s="7" t="s">
        <v>359</v>
      </c>
      <c r="J252" s="8" t="s">
        <v>27</v>
      </c>
      <c r="K252" s="8">
        <v>1</v>
      </c>
      <c r="L252" s="8"/>
      <c r="M252" s="5"/>
      <c r="N252" s="8">
        <v>1.5298507462686566</v>
      </c>
      <c r="O252" s="9">
        <v>1.5298507462686564</v>
      </c>
      <c r="P252" s="10" t="s">
        <v>31</v>
      </c>
      <c r="Q252" s="10">
        <f t="shared" si="22"/>
        <v>0</v>
      </c>
      <c r="R252" s="10">
        <f t="shared" si="23"/>
        <v>0</v>
      </c>
      <c r="S252" s="10">
        <f t="shared" si="24"/>
        <v>1</v>
      </c>
      <c r="T252" s="10">
        <f t="shared" si="25"/>
        <v>0</v>
      </c>
      <c r="U252" s="11" t="str">
        <f t="shared" si="26"/>
        <v/>
      </c>
      <c r="V252" s="11" t="str">
        <f t="shared" si="28"/>
        <v/>
      </c>
      <c r="W252" s="11" t="str">
        <f t="shared" si="28"/>
        <v/>
      </c>
      <c r="X252" s="11" t="str">
        <f t="shared" si="28"/>
        <v/>
      </c>
      <c r="Y252" s="11" t="str">
        <f t="shared" si="28"/>
        <v/>
      </c>
      <c r="Z252" s="11">
        <f t="shared" si="28"/>
        <v>1</v>
      </c>
      <c r="AA252" s="11" t="str">
        <f t="shared" si="28"/>
        <v/>
      </c>
      <c r="AB252" s="11" t="str">
        <f t="shared" si="28"/>
        <v/>
      </c>
      <c r="AC252" s="11">
        <f t="shared" si="28"/>
        <v>1</v>
      </c>
      <c r="AD252" s="11" t="str">
        <f t="shared" si="28"/>
        <v/>
      </c>
      <c r="AE252" s="12" t="s">
        <v>999</v>
      </c>
    </row>
    <row r="253" spans="1:31" ht="18" customHeight="1" thickTop="1" thickBot="1" x14ac:dyDescent="0.3">
      <c r="A253" s="4" t="s">
        <v>494</v>
      </c>
      <c r="B253" s="4" t="s">
        <v>946</v>
      </c>
      <c r="C253" s="5" t="s">
        <v>495</v>
      </c>
      <c r="D253" s="5" t="s">
        <v>26</v>
      </c>
      <c r="E253" s="5" t="s">
        <v>40</v>
      </c>
      <c r="F253" s="5" t="s">
        <v>512</v>
      </c>
      <c r="G253" s="5" t="s">
        <v>16</v>
      </c>
      <c r="H253" s="6" t="s">
        <v>108</v>
      </c>
      <c r="I253" s="7" t="s">
        <v>359</v>
      </c>
      <c r="J253" s="8" t="s">
        <v>27</v>
      </c>
      <c r="K253" s="8">
        <v>1</v>
      </c>
      <c r="L253" s="8"/>
      <c r="M253" s="5"/>
      <c r="N253" s="8">
        <v>0.64516129032258074</v>
      </c>
      <c r="O253" s="9">
        <v>0.64516129032258074</v>
      </c>
      <c r="P253" s="10" t="s">
        <v>27</v>
      </c>
      <c r="Q253" s="10">
        <f t="shared" si="22"/>
        <v>0</v>
      </c>
      <c r="R253" s="10">
        <f t="shared" si="23"/>
        <v>0</v>
      </c>
      <c r="S253" s="10">
        <f t="shared" si="24"/>
        <v>0</v>
      </c>
      <c r="T253" s="10">
        <f t="shared" si="25"/>
        <v>0</v>
      </c>
      <c r="U253" s="11" t="str">
        <f t="shared" si="26"/>
        <v/>
      </c>
      <c r="V253" s="11" t="str">
        <f t="shared" si="28"/>
        <v/>
      </c>
      <c r="W253" s="11" t="str">
        <f t="shared" si="28"/>
        <v/>
      </c>
      <c r="X253" s="11" t="str">
        <f t="shared" si="28"/>
        <v/>
      </c>
      <c r="Y253" s="11" t="str">
        <f t="shared" si="28"/>
        <v/>
      </c>
      <c r="Z253" s="11" t="str">
        <f t="shared" si="28"/>
        <v/>
      </c>
      <c r="AA253" s="11" t="str">
        <f t="shared" si="28"/>
        <v/>
      </c>
      <c r="AB253" s="11" t="str">
        <f t="shared" si="28"/>
        <v/>
      </c>
      <c r="AC253" s="11" t="str">
        <f t="shared" si="28"/>
        <v/>
      </c>
      <c r="AD253" s="11" t="str">
        <f t="shared" si="28"/>
        <v/>
      </c>
      <c r="AE253" s="12" t="s">
        <v>27</v>
      </c>
    </row>
    <row r="254" spans="1:31" ht="18" customHeight="1" thickTop="1" thickBot="1" x14ac:dyDescent="0.3">
      <c r="A254" s="4" t="s">
        <v>494</v>
      </c>
      <c r="B254" s="4" t="s">
        <v>946</v>
      </c>
      <c r="C254" s="5" t="s">
        <v>495</v>
      </c>
      <c r="D254" s="5" t="s">
        <v>26</v>
      </c>
      <c r="E254" s="5" t="s">
        <v>513</v>
      </c>
      <c r="F254" s="5" t="s">
        <v>514</v>
      </c>
      <c r="G254" s="5" t="s">
        <v>16</v>
      </c>
      <c r="H254" s="6" t="s">
        <v>108</v>
      </c>
      <c r="I254" s="7" t="s">
        <v>359</v>
      </c>
      <c r="J254" s="8" t="s">
        <v>27</v>
      </c>
      <c r="K254" s="8">
        <v>1</v>
      </c>
      <c r="L254" s="8"/>
      <c r="M254" s="5"/>
      <c r="N254" s="8">
        <v>1.306878306878307</v>
      </c>
      <c r="O254" s="9">
        <v>1.306878306878307</v>
      </c>
      <c r="P254" s="10" t="s">
        <v>27</v>
      </c>
      <c r="Q254" s="10">
        <f t="shared" si="22"/>
        <v>0</v>
      </c>
      <c r="R254" s="10">
        <f t="shared" si="23"/>
        <v>0</v>
      </c>
      <c r="S254" s="10">
        <f t="shared" si="24"/>
        <v>0</v>
      </c>
      <c r="T254" s="10">
        <f t="shared" si="25"/>
        <v>0</v>
      </c>
      <c r="U254" s="11" t="str">
        <f t="shared" si="26"/>
        <v/>
      </c>
      <c r="V254" s="11" t="str">
        <f t="shared" si="28"/>
        <v/>
      </c>
      <c r="W254" s="11" t="str">
        <f t="shared" si="28"/>
        <v/>
      </c>
      <c r="X254" s="11" t="str">
        <f t="shared" si="28"/>
        <v/>
      </c>
      <c r="Y254" s="11" t="str">
        <f t="shared" si="28"/>
        <v/>
      </c>
      <c r="Z254" s="11" t="str">
        <f t="shared" si="28"/>
        <v/>
      </c>
      <c r="AA254" s="11" t="str">
        <f t="shared" si="28"/>
        <v/>
      </c>
      <c r="AB254" s="11" t="str">
        <f t="shared" si="28"/>
        <v/>
      </c>
      <c r="AC254" s="11" t="str">
        <f t="shared" si="28"/>
        <v/>
      </c>
      <c r="AD254" s="11" t="str">
        <f t="shared" si="28"/>
        <v/>
      </c>
      <c r="AE254" s="12" t="s">
        <v>27</v>
      </c>
    </row>
    <row r="255" spans="1:31" ht="18" customHeight="1" thickTop="1" thickBot="1" x14ac:dyDescent="0.3">
      <c r="A255" s="4" t="s">
        <v>494</v>
      </c>
      <c r="B255" s="4" t="s">
        <v>946</v>
      </c>
      <c r="C255" s="5" t="s">
        <v>495</v>
      </c>
      <c r="D255" s="5" t="s">
        <v>26</v>
      </c>
      <c r="E255" s="5" t="s">
        <v>515</v>
      </c>
      <c r="F255" s="5" t="s">
        <v>516</v>
      </c>
      <c r="G255" s="5" t="s">
        <v>16</v>
      </c>
      <c r="H255" s="6" t="s">
        <v>108</v>
      </c>
      <c r="I255" s="7" t="s">
        <v>68</v>
      </c>
      <c r="J255" s="8" t="s">
        <v>27</v>
      </c>
      <c r="K255" s="8">
        <v>0.46728971962616828</v>
      </c>
      <c r="L255" s="8"/>
      <c r="M255" s="5"/>
      <c r="N255" s="8">
        <v>0.19480519480519481</v>
      </c>
      <c r="O255" s="9">
        <v>0.4168831168831168</v>
      </c>
      <c r="P255" s="10" t="s">
        <v>31</v>
      </c>
      <c r="Q255" s="10">
        <f t="shared" si="22"/>
        <v>0</v>
      </c>
      <c r="R255" s="10">
        <f t="shared" si="23"/>
        <v>1</v>
      </c>
      <c r="S255" s="10">
        <f t="shared" si="24"/>
        <v>0</v>
      </c>
      <c r="T255" s="10">
        <f t="shared" si="25"/>
        <v>1</v>
      </c>
      <c r="U255" s="11" t="str">
        <f t="shared" si="26"/>
        <v/>
      </c>
      <c r="V255" s="11" t="str">
        <f t="shared" si="28"/>
        <v/>
      </c>
      <c r="W255" s="11" t="str">
        <f t="shared" si="28"/>
        <v/>
      </c>
      <c r="X255" s="11" t="str">
        <f t="shared" si="28"/>
        <v/>
      </c>
      <c r="Y255" s="11" t="str">
        <f t="shared" si="28"/>
        <v/>
      </c>
      <c r="Z255" s="11" t="str">
        <f t="shared" si="28"/>
        <v/>
      </c>
      <c r="AA255" s="11" t="str">
        <f t="shared" si="28"/>
        <v/>
      </c>
      <c r="AB255" s="11" t="str">
        <f t="shared" si="28"/>
        <v/>
      </c>
      <c r="AC255" s="11" t="str">
        <f t="shared" si="28"/>
        <v/>
      </c>
      <c r="AD255" s="11">
        <f t="shared" si="28"/>
        <v>1</v>
      </c>
      <c r="AE255" s="12" t="s">
        <v>988</v>
      </c>
    </row>
    <row r="256" spans="1:31" ht="18" customHeight="1" thickTop="1" thickBot="1" x14ac:dyDescent="0.3">
      <c r="A256" s="4" t="s">
        <v>494</v>
      </c>
      <c r="B256" s="4" t="s">
        <v>946</v>
      </c>
      <c r="C256" s="5" t="s">
        <v>495</v>
      </c>
      <c r="D256" s="5" t="s">
        <v>26</v>
      </c>
      <c r="E256" s="5" t="s">
        <v>517</v>
      </c>
      <c r="F256" s="5" t="s">
        <v>518</v>
      </c>
      <c r="G256" s="5" t="s">
        <v>16</v>
      </c>
      <c r="H256" s="6" t="s">
        <v>108</v>
      </c>
      <c r="I256" s="7" t="s">
        <v>68</v>
      </c>
      <c r="J256" s="8" t="s">
        <v>27</v>
      </c>
      <c r="K256" s="8">
        <v>1.0083333333333333</v>
      </c>
      <c r="L256" s="8"/>
      <c r="M256" s="5"/>
      <c r="N256" s="8">
        <v>0.64814814814814803</v>
      </c>
      <c r="O256" s="9">
        <v>0.64279155188246084</v>
      </c>
      <c r="P256" s="10" t="s">
        <v>27</v>
      </c>
      <c r="Q256" s="10">
        <f t="shared" si="22"/>
        <v>0</v>
      </c>
      <c r="R256" s="10">
        <f t="shared" si="23"/>
        <v>0</v>
      </c>
      <c r="S256" s="10">
        <f t="shared" si="24"/>
        <v>0</v>
      </c>
      <c r="T256" s="10">
        <f t="shared" si="25"/>
        <v>0</v>
      </c>
      <c r="U256" s="11" t="str">
        <f t="shared" si="26"/>
        <v/>
      </c>
      <c r="V256" s="11" t="str">
        <f t="shared" si="28"/>
        <v/>
      </c>
      <c r="W256" s="11" t="str">
        <f t="shared" si="28"/>
        <v/>
      </c>
      <c r="X256" s="11" t="str">
        <f t="shared" si="28"/>
        <v/>
      </c>
      <c r="Y256" s="11" t="str">
        <f t="shared" si="28"/>
        <v/>
      </c>
      <c r="Z256" s="11" t="str">
        <f t="shared" si="28"/>
        <v/>
      </c>
      <c r="AA256" s="11" t="str">
        <f t="shared" si="28"/>
        <v/>
      </c>
      <c r="AB256" s="11" t="str">
        <f t="shared" si="28"/>
        <v/>
      </c>
      <c r="AC256" s="11" t="str">
        <f t="shared" si="28"/>
        <v/>
      </c>
      <c r="AD256" s="11" t="str">
        <f t="shared" si="28"/>
        <v/>
      </c>
      <c r="AE256" s="12" t="s">
        <v>27</v>
      </c>
    </row>
    <row r="257" spans="1:31" ht="18" customHeight="1" thickTop="1" thickBot="1" x14ac:dyDescent="0.3">
      <c r="A257" s="4" t="s">
        <v>494</v>
      </c>
      <c r="B257" s="4" t="s">
        <v>946</v>
      </c>
      <c r="C257" s="5" t="s">
        <v>495</v>
      </c>
      <c r="D257" s="5" t="s">
        <v>26</v>
      </c>
      <c r="E257" s="5" t="s">
        <v>519</v>
      </c>
      <c r="F257" s="5" t="s">
        <v>520</v>
      </c>
      <c r="G257" s="5" t="s">
        <v>16</v>
      </c>
      <c r="H257" s="6" t="s">
        <v>108</v>
      </c>
      <c r="I257" s="7" t="s">
        <v>359</v>
      </c>
      <c r="J257" s="8" t="s">
        <v>27</v>
      </c>
      <c r="K257" s="8">
        <v>1</v>
      </c>
      <c r="L257" s="8"/>
      <c r="M257" s="5"/>
      <c r="N257" s="8">
        <v>0.91666666666666674</v>
      </c>
      <c r="O257" s="9">
        <v>0.91666666666666674</v>
      </c>
      <c r="P257" s="10" t="s">
        <v>27</v>
      </c>
      <c r="Q257" s="10">
        <f t="shared" si="22"/>
        <v>0</v>
      </c>
      <c r="R257" s="10">
        <f t="shared" si="23"/>
        <v>0</v>
      </c>
      <c r="S257" s="10">
        <f t="shared" si="24"/>
        <v>0</v>
      </c>
      <c r="T257" s="10">
        <f t="shared" si="25"/>
        <v>0</v>
      </c>
      <c r="U257" s="11" t="str">
        <f t="shared" si="26"/>
        <v/>
      </c>
      <c r="V257" s="11" t="str">
        <f t="shared" si="28"/>
        <v/>
      </c>
      <c r="W257" s="11" t="str">
        <f t="shared" si="28"/>
        <v/>
      </c>
      <c r="X257" s="11" t="str">
        <f t="shared" si="28"/>
        <v/>
      </c>
      <c r="Y257" s="11" t="str">
        <f t="shared" si="28"/>
        <v/>
      </c>
      <c r="Z257" s="11" t="str">
        <f t="shared" si="28"/>
        <v/>
      </c>
      <c r="AA257" s="11" t="str">
        <f t="shared" si="28"/>
        <v/>
      </c>
      <c r="AB257" s="11" t="str">
        <f t="shared" si="28"/>
        <v/>
      </c>
      <c r="AC257" s="11" t="str">
        <f t="shared" si="28"/>
        <v/>
      </c>
      <c r="AD257" s="11" t="str">
        <f t="shared" si="28"/>
        <v/>
      </c>
      <c r="AE257" s="12" t="s">
        <v>27</v>
      </c>
    </row>
    <row r="258" spans="1:31" ht="18" customHeight="1" thickTop="1" thickBot="1" x14ac:dyDescent="0.3">
      <c r="A258" s="4" t="s">
        <v>494</v>
      </c>
      <c r="B258" s="4" t="s">
        <v>946</v>
      </c>
      <c r="C258" s="5" t="s">
        <v>495</v>
      </c>
      <c r="D258" s="5" t="s">
        <v>26</v>
      </c>
      <c r="E258" s="5" t="s">
        <v>521</v>
      </c>
      <c r="F258" s="5" t="s">
        <v>522</v>
      </c>
      <c r="G258" s="5" t="s">
        <v>16</v>
      </c>
      <c r="H258" s="6" t="s">
        <v>108</v>
      </c>
      <c r="I258" s="7" t="s">
        <v>359</v>
      </c>
      <c r="J258" s="8" t="s">
        <v>27</v>
      </c>
      <c r="K258" s="8">
        <v>1</v>
      </c>
      <c r="L258" s="8"/>
      <c r="M258" s="5"/>
      <c r="N258" s="8">
        <v>0.7142857142857143</v>
      </c>
      <c r="O258" s="9">
        <v>0.7142857142857143</v>
      </c>
      <c r="P258" s="10" t="s">
        <v>27</v>
      </c>
      <c r="Q258" s="10">
        <f t="shared" si="22"/>
        <v>0</v>
      </c>
      <c r="R258" s="10">
        <f t="shared" si="23"/>
        <v>0</v>
      </c>
      <c r="S258" s="10">
        <f t="shared" si="24"/>
        <v>0</v>
      </c>
      <c r="T258" s="10">
        <f t="shared" si="25"/>
        <v>0</v>
      </c>
      <c r="U258" s="11" t="str">
        <f t="shared" si="26"/>
        <v/>
      </c>
      <c r="V258" s="11" t="str">
        <f t="shared" si="28"/>
        <v/>
      </c>
      <c r="W258" s="11" t="str">
        <f t="shared" si="28"/>
        <v/>
      </c>
      <c r="X258" s="11" t="str">
        <f t="shared" si="28"/>
        <v/>
      </c>
      <c r="Y258" s="11" t="str">
        <f t="shared" si="28"/>
        <v/>
      </c>
      <c r="Z258" s="11" t="str">
        <f t="shared" si="28"/>
        <v/>
      </c>
      <c r="AA258" s="11" t="str">
        <f t="shared" si="28"/>
        <v/>
      </c>
      <c r="AB258" s="11" t="str">
        <f t="shared" si="28"/>
        <v/>
      </c>
      <c r="AC258" s="11" t="str">
        <f t="shared" si="28"/>
        <v/>
      </c>
      <c r="AD258" s="11" t="str">
        <f t="shared" si="28"/>
        <v/>
      </c>
      <c r="AE258" s="12" t="s">
        <v>27</v>
      </c>
    </row>
    <row r="259" spans="1:31" ht="18" customHeight="1" thickTop="1" thickBot="1" x14ac:dyDescent="0.3">
      <c r="A259" s="4" t="s">
        <v>494</v>
      </c>
      <c r="B259" s="4" t="s">
        <v>946</v>
      </c>
      <c r="C259" s="5" t="s">
        <v>495</v>
      </c>
      <c r="D259" s="5" t="s">
        <v>26</v>
      </c>
      <c r="E259" s="5" t="s">
        <v>523</v>
      </c>
      <c r="F259" s="5" t="s">
        <v>524</v>
      </c>
      <c r="G259" s="5" t="s">
        <v>16</v>
      </c>
      <c r="H259" s="6" t="s">
        <v>108</v>
      </c>
      <c r="I259" s="7" t="s">
        <v>68</v>
      </c>
      <c r="J259" s="8" t="s">
        <v>27</v>
      </c>
      <c r="K259" s="8">
        <v>0.96202531645569611</v>
      </c>
      <c r="L259" s="8"/>
      <c r="M259" s="5"/>
      <c r="N259" s="8">
        <v>1.7142857142857142</v>
      </c>
      <c r="O259" s="9">
        <v>1.7819548872180451</v>
      </c>
      <c r="P259" s="10" t="s">
        <v>31</v>
      </c>
      <c r="Q259" s="10">
        <f t="shared" si="22"/>
        <v>0</v>
      </c>
      <c r="R259" s="10">
        <f t="shared" si="23"/>
        <v>0</v>
      </c>
      <c r="S259" s="10">
        <f t="shared" si="24"/>
        <v>1</v>
      </c>
      <c r="T259" s="10">
        <f t="shared" si="25"/>
        <v>0</v>
      </c>
      <c r="U259" s="11" t="str">
        <f t="shared" si="26"/>
        <v/>
      </c>
      <c r="V259" s="11" t="str">
        <f t="shared" si="28"/>
        <v/>
      </c>
      <c r="W259" s="11" t="str">
        <f t="shared" si="28"/>
        <v/>
      </c>
      <c r="X259" s="11" t="str">
        <f t="shared" si="28"/>
        <v/>
      </c>
      <c r="Y259" s="11" t="str">
        <f t="shared" si="28"/>
        <v/>
      </c>
      <c r="Z259" s="11">
        <f t="shared" si="28"/>
        <v>1</v>
      </c>
      <c r="AA259" s="11" t="str">
        <f t="shared" si="28"/>
        <v/>
      </c>
      <c r="AB259" s="11" t="str">
        <f t="shared" si="28"/>
        <v/>
      </c>
      <c r="AC259" s="11">
        <f t="shared" si="28"/>
        <v>1</v>
      </c>
      <c r="AD259" s="11" t="str">
        <f t="shared" si="28"/>
        <v/>
      </c>
      <c r="AE259" s="12" t="s">
        <v>999</v>
      </c>
    </row>
    <row r="260" spans="1:31" ht="18" customHeight="1" thickTop="1" thickBot="1" x14ac:dyDescent="0.3">
      <c r="A260" s="4" t="s">
        <v>494</v>
      </c>
      <c r="B260" s="4" t="s">
        <v>946</v>
      </c>
      <c r="C260" s="5" t="s">
        <v>495</v>
      </c>
      <c r="D260" s="5" t="s">
        <v>26</v>
      </c>
      <c r="E260" s="5" t="s">
        <v>525</v>
      </c>
      <c r="F260" s="5" t="s">
        <v>526</v>
      </c>
      <c r="G260" s="5" t="s">
        <v>16</v>
      </c>
      <c r="H260" s="6" t="s">
        <v>108</v>
      </c>
      <c r="I260" s="7" t="s">
        <v>68</v>
      </c>
      <c r="J260" s="8" t="s">
        <v>27</v>
      </c>
      <c r="K260" s="8">
        <v>1</v>
      </c>
      <c r="L260" s="8"/>
      <c r="M260" s="5"/>
      <c r="N260" s="8">
        <v>1.26984126984127</v>
      </c>
      <c r="O260" s="9">
        <v>1.2698412698412698</v>
      </c>
      <c r="P260" s="10" t="s">
        <v>27</v>
      </c>
      <c r="Q260" s="10">
        <f t="shared" si="22"/>
        <v>0</v>
      </c>
      <c r="R260" s="10">
        <f t="shared" si="23"/>
        <v>0</v>
      </c>
      <c r="S260" s="10">
        <f t="shared" si="24"/>
        <v>0</v>
      </c>
      <c r="T260" s="10">
        <f t="shared" si="25"/>
        <v>0</v>
      </c>
      <c r="U260" s="11" t="str">
        <f t="shared" si="26"/>
        <v/>
      </c>
      <c r="V260" s="11" t="str">
        <f t="shared" si="28"/>
        <v/>
      </c>
      <c r="W260" s="11" t="str">
        <f t="shared" si="28"/>
        <v/>
      </c>
      <c r="X260" s="11" t="str">
        <f t="shared" si="28"/>
        <v/>
      </c>
      <c r="Y260" s="11" t="str">
        <f t="shared" si="28"/>
        <v/>
      </c>
      <c r="Z260" s="11" t="str">
        <f t="shared" si="28"/>
        <v/>
      </c>
      <c r="AA260" s="11" t="str">
        <f t="shared" si="28"/>
        <v/>
      </c>
      <c r="AB260" s="11" t="str">
        <f t="shared" si="28"/>
        <v/>
      </c>
      <c r="AC260" s="11" t="str">
        <f t="shared" si="28"/>
        <v/>
      </c>
      <c r="AD260" s="11" t="str">
        <f t="shared" si="28"/>
        <v/>
      </c>
      <c r="AE260" s="12" t="s">
        <v>27</v>
      </c>
    </row>
    <row r="261" spans="1:31" ht="18" customHeight="1" thickTop="1" thickBot="1" x14ac:dyDescent="0.3">
      <c r="A261" s="4" t="s">
        <v>494</v>
      </c>
      <c r="B261" s="4" t="s">
        <v>946</v>
      </c>
      <c r="C261" s="5" t="s">
        <v>495</v>
      </c>
      <c r="D261" s="5" t="s">
        <v>26</v>
      </c>
      <c r="E261" s="5" t="s">
        <v>527</v>
      </c>
      <c r="F261" s="5" t="s">
        <v>528</v>
      </c>
      <c r="G261" s="5" t="s">
        <v>16</v>
      </c>
      <c r="H261" s="6" t="s">
        <v>108</v>
      </c>
      <c r="I261" s="7" t="s">
        <v>68</v>
      </c>
      <c r="J261" s="8" t="s">
        <v>27</v>
      </c>
      <c r="K261" s="8">
        <v>1</v>
      </c>
      <c r="L261" s="8"/>
      <c r="M261" s="5"/>
      <c r="N261" s="8">
        <v>1.2545454545454544</v>
      </c>
      <c r="O261" s="9">
        <v>1.2545454545454544</v>
      </c>
      <c r="P261" s="10" t="s">
        <v>27</v>
      </c>
      <c r="Q261" s="10">
        <f t="shared" ref="Q261:Q324" si="29">IF(K261&gt;1.5,1,0)</f>
        <v>0</v>
      </c>
      <c r="R261" s="10">
        <f t="shared" ref="R261:R324" si="30">IF(K261&lt;0.5,1,0)</f>
        <v>0</v>
      </c>
      <c r="S261" s="10">
        <f t="shared" ref="S261:S324" si="31">IF(O261&gt;1.5,1,0)</f>
        <v>0</v>
      </c>
      <c r="T261" s="10">
        <f t="shared" ref="T261:T324" si="32">IF(O261&lt;0.5,1,0)</f>
        <v>0</v>
      </c>
      <c r="U261" s="11" t="str">
        <f t="shared" si="26"/>
        <v/>
      </c>
      <c r="V261" s="11" t="str">
        <f t="shared" si="28"/>
        <v/>
      </c>
      <c r="W261" s="11" t="str">
        <f t="shared" si="28"/>
        <v/>
      </c>
      <c r="X261" s="11" t="str">
        <f t="shared" si="28"/>
        <v/>
      </c>
      <c r="Y261" s="11" t="str">
        <f t="shared" si="28"/>
        <v/>
      </c>
      <c r="Z261" s="11" t="str">
        <f t="shared" si="28"/>
        <v/>
      </c>
      <c r="AA261" s="11" t="str">
        <f t="shared" si="28"/>
        <v/>
      </c>
      <c r="AB261" s="11" t="str">
        <f t="shared" si="28"/>
        <v/>
      </c>
      <c r="AC261" s="11" t="str">
        <f t="shared" si="28"/>
        <v/>
      </c>
      <c r="AD261" s="11" t="str">
        <f t="shared" si="28"/>
        <v/>
      </c>
      <c r="AE261" s="12" t="s">
        <v>27</v>
      </c>
    </row>
    <row r="262" spans="1:31" ht="18" customHeight="1" thickTop="1" thickBot="1" x14ac:dyDescent="0.3">
      <c r="A262" s="4" t="s">
        <v>494</v>
      </c>
      <c r="B262" s="4" t="s">
        <v>946</v>
      </c>
      <c r="C262" s="5" t="s">
        <v>495</v>
      </c>
      <c r="D262" s="5" t="s">
        <v>26</v>
      </c>
      <c r="E262" s="5" t="s">
        <v>529</v>
      </c>
      <c r="F262" s="5" t="s">
        <v>530</v>
      </c>
      <c r="G262" s="5" t="s">
        <v>16</v>
      </c>
      <c r="H262" s="6" t="s">
        <v>108</v>
      </c>
      <c r="I262" s="7" t="s">
        <v>68</v>
      </c>
      <c r="J262" s="8" t="s">
        <v>27</v>
      </c>
      <c r="K262" s="8">
        <v>1</v>
      </c>
      <c r="L262" s="8"/>
      <c r="M262" s="5"/>
      <c r="N262" s="8">
        <v>2.3877551020408161</v>
      </c>
      <c r="O262" s="9">
        <v>2.3877551020408161</v>
      </c>
      <c r="P262" s="10" t="s">
        <v>31</v>
      </c>
      <c r="Q262" s="10">
        <f t="shared" si="29"/>
        <v>0</v>
      </c>
      <c r="R262" s="10">
        <f t="shared" si="30"/>
        <v>0</v>
      </c>
      <c r="S262" s="10">
        <f t="shared" si="31"/>
        <v>1</v>
      </c>
      <c r="T262" s="10">
        <f t="shared" si="32"/>
        <v>0</v>
      </c>
      <c r="U262" s="11" t="str">
        <f t="shared" ref="U262:U325" si="33">IF(ISNUMBER(SEARCH(U$3,$AE262)), 1,"")</f>
        <v/>
      </c>
      <c r="V262" s="11" t="str">
        <f t="shared" si="28"/>
        <v/>
      </c>
      <c r="W262" s="11" t="str">
        <f t="shared" si="28"/>
        <v/>
      </c>
      <c r="X262" s="11" t="str">
        <f t="shared" si="28"/>
        <v/>
      </c>
      <c r="Y262" s="11" t="str">
        <f t="shared" si="28"/>
        <v/>
      </c>
      <c r="Z262" s="11">
        <f t="shared" si="28"/>
        <v>1</v>
      </c>
      <c r="AA262" s="11" t="str">
        <f t="shared" si="28"/>
        <v/>
      </c>
      <c r="AB262" s="11" t="str">
        <f t="shared" si="28"/>
        <v/>
      </c>
      <c r="AC262" s="11">
        <f t="shared" si="28"/>
        <v>1</v>
      </c>
      <c r="AD262" s="11" t="str">
        <f t="shared" si="28"/>
        <v/>
      </c>
      <c r="AE262" s="12" t="s">
        <v>999</v>
      </c>
    </row>
    <row r="263" spans="1:31" ht="18" customHeight="1" thickTop="1" thickBot="1" x14ac:dyDescent="0.3">
      <c r="A263" s="4" t="s">
        <v>494</v>
      </c>
      <c r="B263" s="4" t="s">
        <v>946</v>
      </c>
      <c r="C263" s="5" t="s">
        <v>495</v>
      </c>
      <c r="D263" s="5" t="s">
        <v>26</v>
      </c>
      <c r="E263" s="5" t="s">
        <v>531</v>
      </c>
      <c r="F263" s="5" t="s">
        <v>532</v>
      </c>
      <c r="G263" s="5" t="s">
        <v>16</v>
      </c>
      <c r="H263" s="6" t="s">
        <v>108</v>
      </c>
      <c r="I263" s="7" t="s">
        <v>68</v>
      </c>
      <c r="J263" s="8" t="s">
        <v>27</v>
      </c>
      <c r="K263" s="8">
        <v>1</v>
      </c>
      <c r="L263" s="8"/>
      <c r="M263" s="5"/>
      <c r="N263" s="8">
        <v>2</v>
      </c>
      <c r="O263" s="9">
        <v>2</v>
      </c>
      <c r="P263" s="10" t="s">
        <v>31</v>
      </c>
      <c r="Q263" s="10">
        <f t="shared" si="29"/>
        <v>0</v>
      </c>
      <c r="R263" s="10">
        <f t="shared" si="30"/>
        <v>0</v>
      </c>
      <c r="S263" s="10">
        <f t="shared" si="31"/>
        <v>1</v>
      </c>
      <c r="T263" s="10">
        <f t="shared" si="32"/>
        <v>0</v>
      </c>
      <c r="U263" s="11" t="str">
        <f t="shared" si="33"/>
        <v/>
      </c>
      <c r="V263" s="11" t="str">
        <f t="shared" si="28"/>
        <v/>
      </c>
      <c r="W263" s="11" t="str">
        <f t="shared" si="28"/>
        <v/>
      </c>
      <c r="X263" s="11" t="str">
        <f t="shared" si="28"/>
        <v/>
      </c>
      <c r="Y263" s="11" t="str">
        <f t="shared" si="28"/>
        <v/>
      </c>
      <c r="Z263" s="11">
        <f t="shared" si="28"/>
        <v>1</v>
      </c>
      <c r="AA263" s="11" t="str">
        <f t="shared" si="28"/>
        <v/>
      </c>
      <c r="AB263" s="11" t="str">
        <f t="shared" si="28"/>
        <v/>
      </c>
      <c r="AC263" s="11">
        <f t="shared" si="28"/>
        <v>1</v>
      </c>
      <c r="AD263" s="11" t="str">
        <f t="shared" si="28"/>
        <v/>
      </c>
      <c r="AE263" s="12" t="s">
        <v>999</v>
      </c>
    </row>
    <row r="264" spans="1:31" ht="18" customHeight="1" thickTop="1" thickBot="1" x14ac:dyDescent="0.3">
      <c r="A264" s="4" t="s">
        <v>494</v>
      </c>
      <c r="B264" s="4" t="s">
        <v>946</v>
      </c>
      <c r="C264" s="5" t="s">
        <v>495</v>
      </c>
      <c r="D264" s="5" t="s">
        <v>26</v>
      </c>
      <c r="E264" s="5" t="s">
        <v>69</v>
      </c>
      <c r="F264" s="5" t="s">
        <v>533</v>
      </c>
      <c r="G264" s="5" t="s">
        <v>16</v>
      </c>
      <c r="H264" s="6" t="s">
        <v>108</v>
      </c>
      <c r="I264" s="7" t="s">
        <v>359</v>
      </c>
      <c r="J264" s="8" t="s">
        <v>27</v>
      </c>
      <c r="K264" s="8">
        <v>1</v>
      </c>
      <c r="L264" s="8"/>
      <c r="M264" s="5"/>
      <c r="N264" s="8">
        <v>0.5</v>
      </c>
      <c r="O264" s="9">
        <v>0.5</v>
      </c>
      <c r="P264" s="10" t="s">
        <v>27</v>
      </c>
      <c r="Q264" s="10">
        <f t="shared" si="29"/>
        <v>0</v>
      </c>
      <c r="R264" s="10">
        <f t="shared" si="30"/>
        <v>0</v>
      </c>
      <c r="S264" s="10">
        <f t="shared" si="31"/>
        <v>0</v>
      </c>
      <c r="T264" s="10">
        <f t="shared" si="32"/>
        <v>0</v>
      </c>
      <c r="U264" s="11" t="str">
        <f t="shared" si="33"/>
        <v/>
      </c>
      <c r="V264" s="11" t="str">
        <f t="shared" si="28"/>
        <v/>
      </c>
      <c r="W264" s="11" t="str">
        <f t="shared" si="28"/>
        <v/>
      </c>
      <c r="X264" s="11" t="str">
        <f t="shared" si="28"/>
        <v/>
      </c>
      <c r="Y264" s="11" t="str">
        <f t="shared" si="28"/>
        <v/>
      </c>
      <c r="Z264" s="11" t="str">
        <f t="shared" si="28"/>
        <v/>
      </c>
      <c r="AA264" s="11" t="str">
        <f t="shared" si="28"/>
        <v/>
      </c>
      <c r="AB264" s="11" t="str">
        <f t="shared" si="28"/>
        <v/>
      </c>
      <c r="AC264" s="11" t="str">
        <f t="shared" si="28"/>
        <v/>
      </c>
      <c r="AD264" s="11" t="str">
        <f t="shared" si="28"/>
        <v/>
      </c>
      <c r="AE264" s="12" t="s">
        <v>27</v>
      </c>
    </row>
    <row r="265" spans="1:31" ht="18" customHeight="1" thickTop="1" thickBot="1" x14ac:dyDescent="0.3">
      <c r="A265" s="4" t="s">
        <v>494</v>
      </c>
      <c r="B265" s="4" t="s">
        <v>946</v>
      </c>
      <c r="C265" s="5" t="s">
        <v>495</v>
      </c>
      <c r="D265" s="5" t="s">
        <v>26</v>
      </c>
      <c r="E265" s="5" t="s">
        <v>534</v>
      </c>
      <c r="F265" s="5" t="s">
        <v>535</v>
      </c>
      <c r="G265" s="5" t="s">
        <v>16</v>
      </c>
      <c r="H265" s="6" t="s">
        <v>108</v>
      </c>
      <c r="I265" s="7" t="s">
        <v>68</v>
      </c>
      <c r="J265" s="8" t="s">
        <v>27</v>
      </c>
      <c r="K265" s="8">
        <v>1</v>
      </c>
      <c r="L265" s="8"/>
      <c r="M265" s="5"/>
      <c r="N265" s="8">
        <v>1.9411764705882353</v>
      </c>
      <c r="O265" s="9">
        <v>1.9411764705882353</v>
      </c>
      <c r="P265" s="10" t="s">
        <v>31</v>
      </c>
      <c r="Q265" s="10">
        <f t="shared" si="29"/>
        <v>0</v>
      </c>
      <c r="R265" s="10">
        <f t="shared" si="30"/>
        <v>0</v>
      </c>
      <c r="S265" s="10">
        <f t="shared" si="31"/>
        <v>1</v>
      </c>
      <c r="T265" s="10">
        <f t="shared" si="32"/>
        <v>0</v>
      </c>
      <c r="U265" s="11" t="str">
        <f t="shared" si="33"/>
        <v/>
      </c>
      <c r="V265" s="11" t="str">
        <f t="shared" si="28"/>
        <v/>
      </c>
      <c r="W265" s="11" t="str">
        <f t="shared" si="28"/>
        <v/>
      </c>
      <c r="X265" s="11" t="str">
        <f t="shared" si="28"/>
        <v/>
      </c>
      <c r="Y265" s="11" t="str">
        <f t="shared" si="28"/>
        <v/>
      </c>
      <c r="Z265" s="11">
        <f t="shared" si="28"/>
        <v>1</v>
      </c>
      <c r="AA265" s="11" t="str">
        <f t="shared" si="28"/>
        <v/>
      </c>
      <c r="AB265" s="11" t="str">
        <f t="shared" si="28"/>
        <v/>
      </c>
      <c r="AC265" s="11">
        <f t="shared" si="28"/>
        <v>1</v>
      </c>
      <c r="AD265" s="11" t="str">
        <f t="shared" si="28"/>
        <v/>
      </c>
      <c r="AE265" s="12" t="s">
        <v>999</v>
      </c>
    </row>
    <row r="266" spans="1:31" ht="18" customHeight="1" thickTop="1" thickBot="1" x14ac:dyDescent="0.3">
      <c r="A266" s="4" t="s">
        <v>494</v>
      </c>
      <c r="B266" s="4" t="s">
        <v>946</v>
      </c>
      <c r="C266" s="5" t="s">
        <v>495</v>
      </c>
      <c r="D266" s="5" t="s">
        <v>26</v>
      </c>
      <c r="E266" s="5" t="s">
        <v>536</v>
      </c>
      <c r="F266" s="5" t="s">
        <v>537</v>
      </c>
      <c r="G266" s="5" t="s">
        <v>16</v>
      </c>
      <c r="H266" s="6" t="s">
        <v>108</v>
      </c>
      <c r="I266" s="7" t="s">
        <v>68</v>
      </c>
      <c r="J266" s="8" t="s">
        <v>27</v>
      </c>
      <c r="K266" s="8">
        <v>1</v>
      </c>
      <c r="L266" s="8"/>
      <c r="M266" s="5"/>
      <c r="N266" s="8">
        <v>1.1666666666666667</v>
      </c>
      <c r="O266" s="9">
        <v>1.1666666666666667</v>
      </c>
      <c r="P266" s="10" t="s">
        <v>27</v>
      </c>
      <c r="Q266" s="10">
        <f t="shared" si="29"/>
        <v>0</v>
      </c>
      <c r="R266" s="10">
        <f t="shared" si="30"/>
        <v>0</v>
      </c>
      <c r="S266" s="10">
        <f t="shared" si="31"/>
        <v>0</v>
      </c>
      <c r="T266" s="10">
        <f t="shared" si="32"/>
        <v>0</v>
      </c>
      <c r="U266" s="11" t="str">
        <f t="shared" si="33"/>
        <v/>
      </c>
      <c r="V266" s="11" t="str">
        <f t="shared" si="28"/>
        <v/>
      </c>
      <c r="W266" s="11" t="str">
        <f t="shared" si="28"/>
        <v/>
      </c>
      <c r="X266" s="11" t="str">
        <f t="shared" si="28"/>
        <v/>
      </c>
      <c r="Y266" s="11" t="str">
        <f t="shared" si="28"/>
        <v/>
      </c>
      <c r="Z266" s="11" t="str">
        <f t="shared" si="28"/>
        <v/>
      </c>
      <c r="AA266" s="11" t="str">
        <f t="shared" si="28"/>
        <v/>
      </c>
      <c r="AB266" s="11" t="str">
        <f t="shared" si="28"/>
        <v/>
      </c>
      <c r="AC266" s="11" t="str">
        <f t="shared" si="28"/>
        <v/>
      </c>
      <c r="AD266" s="11" t="str">
        <f t="shared" si="28"/>
        <v/>
      </c>
      <c r="AE266" s="12" t="s">
        <v>27</v>
      </c>
    </row>
    <row r="267" spans="1:31" ht="18" customHeight="1" thickTop="1" thickBot="1" x14ac:dyDescent="0.3">
      <c r="A267" s="4" t="s">
        <v>494</v>
      </c>
      <c r="B267" s="4" t="s">
        <v>946</v>
      </c>
      <c r="C267" s="5" t="s">
        <v>495</v>
      </c>
      <c r="D267" s="5" t="s">
        <v>26</v>
      </c>
      <c r="E267" s="5" t="s">
        <v>538</v>
      </c>
      <c r="F267" s="5" t="s">
        <v>539</v>
      </c>
      <c r="G267" s="5" t="s">
        <v>16</v>
      </c>
      <c r="H267" s="6" t="s">
        <v>108</v>
      </c>
      <c r="I267" s="7" t="s">
        <v>68</v>
      </c>
      <c r="J267" s="8" t="s">
        <v>27</v>
      </c>
      <c r="K267" s="8">
        <v>1</v>
      </c>
      <c r="L267" s="8"/>
      <c r="M267" s="5"/>
      <c r="N267" s="8">
        <v>0.44444444444444442</v>
      </c>
      <c r="O267" s="9">
        <v>0.44444444444444442</v>
      </c>
      <c r="P267" s="10" t="s">
        <v>31</v>
      </c>
      <c r="Q267" s="10">
        <f t="shared" si="29"/>
        <v>0</v>
      </c>
      <c r="R267" s="10">
        <f t="shared" si="30"/>
        <v>0</v>
      </c>
      <c r="S267" s="10">
        <f t="shared" si="31"/>
        <v>0</v>
      </c>
      <c r="T267" s="10">
        <f t="shared" si="32"/>
        <v>1</v>
      </c>
      <c r="U267" s="11" t="str">
        <f t="shared" si="33"/>
        <v/>
      </c>
      <c r="V267" s="11" t="str">
        <f t="shared" si="28"/>
        <v/>
      </c>
      <c r="W267" s="11" t="str">
        <f t="shared" si="28"/>
        <v/>
      </c>
      <c r="X267" s="11" t="str">
        <f t="shared" si="28"/>
        <v/>
      </c>
      <c r="Y267" s="11" t="str">
        <f t="shared" si="28"/>
        <v/>
      </c>
      <c r="Z267" s="11" t="str">
        <f t="shared" si="28"/>
        <v/>
      </c>
      <c r="AA267" s="11" t="str">
        <f t="shared" si="28"/>
        <v/>
      </c>
      <c r="AB267" s="11" t="str">
        <f t="shared" si="28"/>
        <v/>
      </c>
      <c r="AC267" s="11" t="str">
        <f t="shared" ref="V267:AD296" si="34">IF(ISNUMBER(SEARCH(AC$3,$AE267)), 1,"")</f>
        <v/>
      </c>
      <c r="AD267" s="11">
        <f t="shared" si="34"/>
        <v>1</v>
      </c>
      <c r="AE267" s="12" t="s">
        <v>988</v>
      </c>
    </row>
    <row r="268" spans="1:31" ht="18" customHeight="1" thickTop="1" thickBot="1" x14ac:dyDescent="0.3">
      <c r="A268" s="4" t="s">
        <v>494</v>
      </c>
      <c r="B268" s="4" t="s">
        <v>946</v>
      </c>
      <c r="C268" s="5" t="s">
        <v>495</v>
      </c>
      <c r="D268" s="5" t="s">
        <v>26</v>
      </c>
      <c r="E268" s="5" t="s">
        <v>540</v>
      </c>
      <c r="F268" s="5" t="s">
        <v>541</v>
      </c>
      <c r="G268" s="5" t="s">
        <v>16</v>
      </c>
      <c r="H268" s="6" t="s">
        <v>108</v>
      </c>
      <c r="I268" s="7" t="s">
        <v>68</v>
      </c>
      <c r="J268" s="8" t="s">
        <v>27</v>
      </c>
      <c r="K268" s="8">
        <v>1</v>
      </c>
      <c r="L268" s="8"/>
      <c r="M268" s="5"/>
      <c r="N268" s="8">
        <v>1.9295774647887327</v>
      </c>
      <c r="O268" s="9">
        <v>1.9295774647887325</v>
      </c>
      <c r="P268" s="10" t="s">
        <v>31</v>
      </c>
      <c r="Q268" s="10">
        <f t="shared" si="29"/>
        <v>0</v>
      </c>
      <c r="R268" s="10">
        <f t="shared" si="30"/>
        <v>0</v>
      </c>
      <c r="S268" s="10">
        <f t="shared" si="31"/>
        <v>1</v>
      </c>
      <c r="T268" s="10">
        <f t="shared" si="32"/>
        <v>0</v>
      </c>
      <c r="U268" s="11" t="str">
        <f t="shared" si="33"/>
        <v/>
      </c>
      <c r="V268" s="11" t="str">
        <f t="shared" si="34"/>
        <v/>
      </c>
      <c r="W268" s="11" t="str">
        <f t="shared" si="34"/>
        <v/>
      </c>
      <c r="X268" s="11">
        <f t="shared" si="34"/>
        <v>1</v>
      </c>
      <c r="Y268" s="11" t="str">
        <f t="shared" si="34"/>
        <v/>
      </c>
      <c r="Z268" s="11">
        <f t="shared" si="34"/>
        <v>1</v>
      </c>
      <c r="AA268" s="11" t="str">
        <f t="shared" si="34"/>
        <v/>
      </c>
      <c r="AB268" s="11" t="str">
        <f t="shared" si="34"/>
        <v/>
      </c>
      <c r="AC268" s="11" t="str">
        <f t="shared" si="34"/>
        <v/>
      </c>
      <c r="AD268" s="11">
        <f t="shared" si="34"/>
        <v>1</v>
      </c>
      <c r="AE268" s="12" t="s">
        <v>1005</v>
      </c>
    </row>
    <row r="269" spans="1:31" ht="18" customHeight="1" thickTop="1" thickBot="1" x14ac:dyDescent="0.3">
      <c r="A269" s="4" t="s">
        <v>494</v>
      </c>
      <c r="B269" s="4" t="s">
        <v>946</v>
      </c>
      <c r="C269" s="5" t="s">
        <v>495</v>
      </c>
      <c r="D269" s="5" t="s">
        <v>26</v>
      </c>
      <c r="E269" s="5" t="s">
        <v>542</v>
      </c>
      <c r="F269" s="5" t="s">
        <v>543</v>
      </c>
      <c r="G269" s="5" t="s">
        <v>16</v>
      </c>
      <c r="H269" s="6" t="s">
        <v>108</v>
      </c>
      <c r="I269" s="7" t="s">
        <v>68</v>
      </c>
      <c r="J269" s="8" t="s">
        <v>27</v>
      </c>
      <c r="K269" s="8">
        <v>1.6</v>
      </c>
      <c r="L269" s="8"/>
      <c r="M269" s="5"/>
      <c r="N269" s="8">
        <v>3.2307692307692304</v>
      </c>
      <c r="O269" s="9">
        <v>2.0192307692307692</v>
      </c>
      <c r="P269" s="10" t="s">
        <v>31</v>
      </c>
      <c r="Q269" s="10">
        <f t="shared" si="29"/>
        <v>1</v>
      </c>
      <c r="R269" s="10">
        <f t="shared" si="30"/>
        <v>0</v>
      </c>
      <c r="S269" s="10">
        <f t="shared" si="31"/>
        <v>1</v>
      </c>
      <c r="T269" s="10">
        <f t="shared" si="32"/>
        <v>0</v>
      </c>
      <c r="U269" s="11" t="str">
        <f t="shared" si="33"/>
        <v/>
      </c>
      <c r="V269" s="11" t="str">
        <f t="shared" si="34"/>
        <v/>
      </c>
      <c r="W269" s="11" t="str">
        <f t="shared" si="34"/>
        <v/>
      </c>
      <c r="X269" s="11" t="str">
        <f t="shared" si="34"/>
        <v/>
      </c>
      <c r="Y269" s="11" t="str">
        <f t="shared" si="34"/>
        <v/>
      </c>
      <c r="Z269" s="11">
        <f t="shared" si="34"/>
        <v>1</v>
      </c>
      <c r="AA269" s="11" t="str">
        <f t="shared" si="34"/>
        <v/>
      </c>
      <c r="AB269" s="11" t="str">
        <f t="shared" si="34"/>
        <v/>
      </c>
      <c r="AC269" s="11">
        <f t="shared" si="34"/>
        <v>1</v>
      </c>
      <c r="AD269" s="11">
        <f t="shared" si="34"/>
        <v>1</v>
      </c>
      <c r="AE269" s="12" t="s">
        <v>1007</v>
      </c>
    </row>
    <row r="270" spans="1:31" ht="18" customHeight="1" thickTop="1" thickBot="1" x14ac:dyDescent="0.3">
      <c r="A270" s="4" t="s">
        <v>494</v>
      </c>
      <c r="B270" s="4" t="s">
        <v>946</v>
      </c>
      <c r="C270" s="5" t="s">
        <v>495</v>
      </c>
      <c r="D270" s="5" t="s">
        <v>26</v>
      </c>
      <c r="E270" s="5" t="s">
        <v>544</v>
      </c>
      <c r="F270" s="5" t="s">
        <v>545</v>
      </c>
      <c r="G270" s="5" t="s">
        <v>16</v>
      </c>
      <c r="H270" s="6" t="s">
        <v>108</v>
      </c>
      <c r="I270" s="7" t="s">
        <v>68</v>
      </c>
      <c r="J270" s="8" t="s">
        <v>27</v>
      </c>
      <c r="K270" s="8">
        <v>1</v>
      </c>
      <c r="L270" s="8"/>
      <c r="M270" s="5"/>
      <c r="N270" s="8">
        <v>3</v>
      </c>
      <c r="O270" s="9">
        <v>3</v>
      </c>
      <c r="P270" s="10" t="s">
        <v>31</v>
      </c>
      <c r="Q270" s="10">
        <f t="shared" si="29"/>
        <v>0</v>
      </c>
      <c r="R270" s="10">
        <f t="shared" si="30"/>
        <v>0</v>
      </c>
      <c r="S270" s="10">
        <f t="shared" si="31"/>
        <v>1</v>
      </c>
      <c r="T270" s="10">
        <f t="shared" si="32"/>
        <v>0</v>
      </c>
      <c r="U270" s="11" t="str">
        <f t="shared" si="33"/>
        <v/>
      </c>
      <c r="V270" s="11" t="str">
        <f t="shared" si="34"/>
        <v/>
      </c>
      <c r="W270" s="11" t="str">
        <f t="shared" si="34"/>
        <v/>
      </c>
      <c r="X270" s="11" t="str">
        <f t="shared" si="34"/>
        <v/>
      </c>
      <c r="Y270" s="11" t="str">
        <f t="shared" si="34"/>
        <v/>
      </c>
      <c r="Z270" s="11">
        <f t="shared" si="34"/>
        <v>1</v>
      </c>
      <c r="AA270" s="11" t="str">
        <f t="shared" si="34"/>
        <v/>
      </c>
      <c r="AB270" s="11" t="str">
        <f t="shared" si="34"/>
        <v/>
      </c>
      <c r="AC270" s="11">
        <f t="shared" si="34"/>
        <v>1</v>
      </c>
      <c r="AD270" s="11" t="str">
        <f t="shared" si="34"/>
        <v/>
      </c>
      <c r="AE270" s="12" t="s">
        <v>999</v>
      </c>
    </row>
    <row r="271" spans="1:31" ht="18" customHeight="1" thickTop="1" thickBot="1" x14ac:dyDescent="0.3">
      <c r="A271" s="4" t="s">
        <v>494</v>
      </c>
      <c r="B271" s="4" t="s">
        <v>946</v>
      </c>
      <c r="C271" s="5" t="s">
        <v>495</v>
      </c>
      <c r="D271" s="5" t="s">
        <v>26</v>
      </c>
      <c r="E271" s="5" t="s">
        <v>546</v>
      </c>
      <c r="F271" s="5" t="s">
        <v>547</v>
      </c>
      <c r="G271" s="5" t="s">
        <v>16</v>
      </c>
      <c r="H271" s="6" t="s">
        <v>108</v>
      </c>
      <c r="I271" s="7" t="s">
        <v>68</v>
      </c>
      <c r="J271" s="8" t="s">
        <v>27</v>
      </c>
      <c r="K271" s="8">
        <v>1.09375</v>
      </c>
      <c r="L271" s="8"/>
      <c r="M271" s="5"/>
      <c r="N271" s="8">
        <v>3.5</v>
      </c>
      <c r="O271" s="9">
        <v>3.2</v>
      </c>
      <c r="P271" s="10" t="s">
        <v>31</v>
      </c>
      <c r="Q271" s="10">
        <f t="shared" si="29"/>
        <v>0</v>
      </c>
      <c r="R271" s="10">
        <f t="shared" si="30"/>
        <v>0</v>
      </c>
      <c r="S271" s="10">
        <f t="shared" si="31"/>
        <v>1</v>
      </c>
      <c r="T271" s="10">
        <f t="shared" si="32"/>
        <v>0</v>
      </c>
      <c r="U271" s="11" t="str">
        <f t="shared" si="33"/>
        <v/>
      </c>
      <c r="V271" s="11" t="str">
        <f t="shared" si="34"/>
        <v/>
      </c>
      <c r="W271" s="11" t="str">
        <f t="shared" si="34"/>
        <v/>
      </c>
      <c r="X271" s="11" t="str">
        <f t="shared" si="34"/>
        <v/>
      </c>
      <c r="Y271" s="11" t="str">
        <f t="shared" si="34"/>
        <v/>
      </c>
      <c r="Z271" s="11">
        <f t="shared" si="34"/>
        <v>1</v>
      </c>
      <c r="AA271" s="11" t="str">
        <f t="shared" si="34"/>
        <v/>
      </c>
      <c r="AB271" s="11" t="str">
        <f t="shared" si="34"/>
        <v/>
      </c>
      <c r="AC271" s="11">
        <f t="shared" si="34"/>
        <v>1</v>
      </c>
      <c r="AD271" s="11" t="str">
        <f t="shared" si="34"/>
        <v/>
      </c>
      <c r="AE271" s="12" t="s">
        <v>999</v>
      </c>
    </row>
    <row r="272" spans="1:31" ht="18" customHeight="1" thickTop="1" thickBot="1" x14ac:dyDescent="0.3">
      <c r="A272" s="4" t="s">
        <v>494</v>
      </c>
      <c r="B272" s="4" t="s">
        <v>946</v>
      </c>
      <c r="C272" s="5" t="s">
        <v>495</v>
      </c>
      <c r="D272" s="5" t="s">
        <v>26</v>
      </c>
      <c r="E272" s="5" t="s">
        <v>548</v>
      </c>
      <c r="F272" s="5" t="s">
        <v>549</v>
      </c>
      <c r="G272" s="5" t="s">
        <v>16</v>
      </c>
      <c r="H272" s="6" t="s">
        <v>108</v>
      </c>
      <c r="I272" s="7" t="s">
        <v>68</v>
      </c>
      <c r="J272" s="8" t="s">
        <v>27</v>
      </c>
      <c r="K272" s="8">
        <v>1</v>
      </c>
      <c r="L272" s="8"/>
      <c r="M272" s="5"/>
      <c r="N272" s="8">
        <v>1.5037593984962405</v>
      </c>
      <c r="O272" s="9">
        <v>1.5037593984962405</v>
      </c>
      <c r="P272" s="10" t="s">
        <v>31</v>
      </c>
      <c r="Q272" s="10">
        <f t="shared" si="29"/>
        <v>0</v>
      </c>
      <c r="R272" s="10">
        <f t="shared" si="30"/>
        <v>0</v>
      </c>
      <c r="S272" s="10">
        <f t="shared" si="31"/>
        <v>1</v>
      </c>
      <c r="T272" s="10">
        <f t="shared" si="32"/>
        <v>0</v>
      </c>
      <c r="U272" s="11" t="str">
        <f t="shared" si="33"/>
        <v/>
      </c>
      <c r="V272" s="11" t="str">
        <f t="shared" si="34"/>
        <v/>
      </c>
      <c r="W272" s="11" t="str">
        <f t="shared" si="34"/>
        <v/>
      </c>
      <c r="X272" s="11" t="str">
        <f t="shared" si="34"/>
        <v/>
      </c>
      <c r="Y272" s="11" t="str">
        <f t="shared" si="34"/>
        <v/>
      </c>
      <c r="Z272" s="11">
        <f t="shared" si="34"/>
        <v>1</v>
      </c>
      <c r="AA272" s="11" t="str">
        <f t="shared" si="34"/>
        <v/>
      </c>
      <c r="AB272" s="11" t="str">
        <f t="shared" si="34"/>
        <v/>
      </c>
      <c r="AC272" s="11">
        <f t="shared" si="34"/>
        <v>1</v>
      </c>
      <c r="AD272" s="11" t="str">
        <f t="shared" si="34"/>
        <v/>
      </c>
      <c r="AE272" s="12" t="s">
        <v>999</v>
      </c>
    </row>
    <row r="273" spans="1:31" ht="18" customHeight="1" thickTop="1" thickBot="1" x14ac:dyDescent="0.3">
      <c r="A273" s="4" t="s">
        <v>494</v>
      </c>
      <c r="B273" s="4" t="s">
        <v>946</v>
      </c>
      <c r="C273" s="5" t="s">
        <v>495</v>
      </c>
      <c r="D273" s="5" t="s">
        <v>26</v>
      </c>
      <c r="E273" s="5" t="s">
        <v>550</v>
      </c>
      <c r="F273" s="5" t="s">
        <v>551</v>
      </c>
      <c r="G273" s="5" t="s">
        <v>16</v>
      </c>
      <c r="H273" s="6" t="s">
        <v>108</v>
      </c>
      <c r="I273" s="7" t="s">
        <v>68</v>
      </c>
      <c r="J273" s="8" t="s">
        <v>27</v>
      </c>
      <c r="K273" s="8">
        <v>0.99032258064516132</v>
      </c>
      <c r="L273" s="8"/>
      <c r="M273" s="5"/>
      <c r="N273" s="8">
        <v>0.88124999999999987</v>
      </c>
      <c r="O273" s="9">
        <v>0.88986156351791534</v>
      </c>
      <c r="P273" s="10" t="s">
        <v>27</v>
      </c>
      <c r="Q273" s="10">
        <f t="shared" si="29"/>
        <v>0</v>
      </c>
      <c r="R273" s="10">
        <f t="shared" si="30"/>
        <v>0</v>
      </c>
      <c r="S273" s="10">
        <f t="shared" si="31"/>
        <v>0</v>
      </c>
      <c r="T273" s="10">
        <f t="shared" si="32"/>
        <v>0</v>
      </c>
      <c r="U273" s="11" t="str">
        <f t="shared" si="33"/>
        <v/>
      </c>
      <c r="V273" s="11" t="str">
        <f t="shared" si="34"/>
        <v/>
      </c>
      <c r="W273" s="11" t="str">
        <f t="shared" si="34"/>
        <v/>
      </c>
      <c r="X273" s="11" t="str">
        <f t="shared" si="34"/>
        <v/>
      </c>
      <c r="Y273" s="11" t="str">
        <f t="shared" si="34"/>
        <v/>
      </c>
      <c r="Z273" s="11" t="str">
        <f t="shared" si="34"/>
        <v/>
      </c>
      <c r="AA273" s="11" t="str">
        <f t="shared" si="34"/>
        <v/>
      </c>
      <c r="AB273" s="11" t="str">
        <f t="shared" si="34"/>
        <v/>
      </c>
      <c r="AC273" s="11" t="str">
        <f t="shared" si="34"/>
        <v/>
      </c>
      <c r="AD273" s="11" t="str">
        <f t="shared" si="34"/>
        <v/>
      </c>
      <c r="AE273" s="12" t="s">
        <v>27</v>
      </c>
    </row>
    <row r="274" spans="1:31" ht="18" customHeight="1" thickTop="1" thickBot="1" x14ac:dyDescent="0.3">
      <c r="A274" s="4" t="s">
        <v>494</v>
      </c>
      <c r="B274" s="4" t="s">
        <v>946</v>
      </c>
      <c r="C274" s="5" t="s">
        <v>495</v>
      </c>
      <c r="D274" s="5" t="s">
        <v>26</v>
      </c>
      <c r="E274" s="5" t="s">
        <v>552</v>
      </c>
      <c r="F274" s="5" t="s">
        <v>553</v>
      </c>
      <c r="G274" s="5" t="s">
        <v>16</v>
      </c>
      <c r="H274" s="6" t="s">
        <v>108</v>
      </c>
      <c r="I274" s="7" t="s">
        <v>359</v>
      </c>
      <c r="J274" s="8" t="s">
        <v>27</v>
      </c>
      <c r="K274" s="8">
        <v>1</v>
      </c>
      <c r="L274" s="8"/>
      <c r="M274" s="5"/>
      <c r="N274" s="8">
        <v>7.5</v>
      </c>
      <c r="O274" s="9">
        <v>7.5000000000000009</v>
      </c>
      <c r="P274" s="10" t="s">
        <v>31</v>
      </c>
      <c r="Q274" s="10">
        <f t="shared" si="29"/>
        <v>0</v>
      </c>
      <c r="R274" s="10">
        <f t="shared" si="30"/>
        <v>0</v>
      </c>
      <c r="S274" s="10">
        <f t="shared" si="31"/>
        <v>1</v>
      </c>
      <c r="T274" s="10">
        <f t="shared" si="32"/>
        <v>0</v>
      </c>
      <c r="U274" s="11" t="str">
        <f t="shared" si="33"/>
        <v/>
      </c>
      <c r="V274" s="11" t="str">
        <f t="shared" si="34"/>
        <v/>
      </c>
      <c r="W274" s="11" t="str">
        <f t="shared" si="34"/>
        <v/>
      </c>
      <c r="X274" s="11" t="str">
        <f t="shared" si="34"/>
        <v/>
      </c>
      <c r="Y274" s="11" t="str">
        <f t="shared" si="34"/>
        <v/>
      </c>
      <c r="Z274" s="11">
        <f t="shared" si="34"/>
        <v>1</v>
      </c>
      <c r="AA274" s="11" t="str">
        <f t="shared" si="34"/>
        <v/>
      </c>
      <c r="AB274" s="11" t="str">
        <f t="shared" si="34"/>
        <v/>
      </c>
      <c r="AC274" s="11">
        <f t="shared" si="34"/>
        <v>1</v>
      </c>
      <c r="AD274" s="11" t="str">
        <f t="shared" si="34"/>
        <v/>
      </c>
      <c r="AE274" s="12" t="s">
        <v>999</v>
      </c>
    </row>
    <row r="275" spans="1:31" ht="18" customHeight="1" thickTop="1" thickBot="1" x14ac:dyDescent="0.3">
      <c r="A275" s="4" t="s">
        <v>494</v>
      </c>
      <c r="B275" s="4" t="s">
        <v>946</v>
      </c>
      <c r="C275" s="5" t="s">
        <v>495</v>
      </c>
      <c r="D275" s="5" t="s">
        <v>26</v>
      </c>
      <c r="E275" s="5" t="s">
        <v>71</v>
      </c>
      <c r="F275" s="5" t="s">
        <v>554</v>
      </c>
      <c r="G275" s="5" t="s">
        <v>16</v>
      </c>
      <c r="H275" s="6" t="s">
        <v>108</v>
      </c>
      <c r="I275" s="7" t="s">
        <v>359</v>
      </c>
      <c r="J275" s="8" t="s">
        <v>27</v>
      </c>
      <c r="K275" s="8">
        <v>1</v>
      </c>
      <c r="L275" s="8"/>
      <c r="M275" s="5"/>
      <c r="N275" s="8">
        <v>0.84158415841584155</v>
      </c>
      <c r="O275" s="9">
        <v>0.84158415841584155</v>
      </c>
      <c r="P275" s="10" t="s">
        <v>27</v>
      </c>
      <c r="Q275" s="10">
        <f t="shared" si="29"/>
        <v>0</v>
      </c>
      <c r="R275" s="10">
        <f t="shared" si="30"/>
        <v>0</v>
      </c>
      <c r="S275" s="10">
        <f t="shared" si="31"/>
        <v>0</v>
      </c>
      <c r="T275" s="10">
        <f t="shared" si="32"/>
        <v>0</v>
      </c>
      <c r="U275" s="11" t="str">
        <f t="shared" si="33"/>
        <v/>
      </c>
      <c r="V275" s="11" t="str">
        <f t="shared" si="34"/>
        <v/>
      </c>
      <c r="W275" s="11" t="str">
        <f t="shared" si="34"/>
        <v/>
      </c>
      <c r="X275" s="11" t="str">
        <f t="shared" si="34"/>
        <v/>
      </c>
      <c r="Y275" s="11" t="str">
        <f t="shared" si="34"/>
        <v/>
      </c>
      <c r="Z275" s="11" t="str">
        <f t="shared" si="34"/>
        <v/>
      </c>
      <c r="AA275" s="11" t="str">
        <f t="shared" si="34"/>
        <v/>
      </c>
      <c r="AB275" s="11" t="str">
        <f t="shared" si="34"/>
        <v/>
      </c>
      <c r="AC275" s="11" t="str">
        <f t="shared" si="34"/>
        <v/>
      </c>
      <c r="AD275" s="11" t="str">
        <f t="shared" si="34"/>
        <v/>
      </c>
      <c r="AE275" s="12" t="s">
        <v>27</v>
      </c>
    </row>
    <row r="276" spans="1:31" ht="18" customHeight="1" thickTop="1" thickBot="1" x14ac:dyDescent="0.3">
      <c r="A276" s="4" t="s">
        <v>494</v>
      </c>
      <c r="B276" s="4" t="s">
        <v>946</v>
      </c>
      <c r="C276" s="5" t="s">
        <v>495</v>
      </c>
      <c r="D276" s="5" t="s">
        <v>26</v>
      </c>
      <c r="E276" s="5" t="s">
        <v>555</v>
      </c>
      <c r="F276" s="5" t="s">
        <v>556</v>
      </c>
      <c r="G276" s="5" t="s">
        <v>16</v>
      </c>
      <c r="H276" s="6" t="s">
        <v>108</v>
      </c>
      <c r="I276" s="7" t="s">
        <v>68</v>
      </c>
      <c r="J276" s="8" t="s">
        <v>27</v>
      </c>
      <c r="K276" s="8">
        <v>4</v>
      </c>
      <c r="L276" s="8"/>
      <c r="M276" s="5"/>
      <c r="N276" s="8">
        <v>6.6</v>
      </c>
      <c r="O276" s="9">
        <v>1.65</v>
      </c>
      <c r="P276" s="10" t="s">
        <v>31</v>
      </c>
      <c r="Q276" s="10">
        <f t="shared" si="29"/>
        <v>1</v>
      </c>
      <c r="R276" s="10">
        <f t="shared" si="30"/>
        <v>0</v>
      </c>
      <c r="S276" s="10">
        <f t="shared" si="31"/>
        <v>1</v>
      </c>
      <c r="T276" s="10">
        <f t="shared" si="32"/>
        <v>0</v>
      </c>
      <c r="U276" s="11" t="str">
        <f t="shared" si="33"/>
        <v/>
      </c>
      <c r="V276" s="11" t="str">
        <f t="shared" si="34"/>
        <v/>
      </c>
      <c r="W276" s="11" t="str">
        <f t="shared" si="34"/>
        <v/>
      </c>
      <c r="X276" s="11" t="str">
        <f t="shared" si="34"/>
        <v/>
      </c>
      <c r="Y276" s="11" t="str">
        <f t="shared" si="34"/>
        <v/>
      </c>
      <c r="Z276" s="11">
        <f t="shared" si="34"/>
        <v>1</v>
      </c>
      <c r="AA276" s="11" t="str">
        <f t="shared" si="34"/>
        <v/>
      </c>
      <c r="AB276" s="11" t="str">
        <f t="shared" si="34"/>
        <v/>
      </c>
      <c r="AC276" s="11">
        <f t="shared" si="34"/>
        <v>1</v>
      </c>
      <c r="AD276" s="11">
        <f t="shared" si="34"/>
        <v>1</v>
      </c>
      <c r="AE276" s="12" t="s">
        <v>1007</v>
      </c>
    </row>
    <row r="277" spans="1:31" ht="18" customHeight="1" thickTop="1" thickBot="1" x14ac:dyDescent="0.3">
      <c r="A277" s="4" t="s">
        <v>494</v>
      </c>
      <c r="B277" s="4" t="s">
        <v>946</v>
      </c>
      <c r="C277" s="5" t="s">
        <v>495</v>
      </c>
      <c r="D277" s="5" t="s">
        <v>26</v>
      </c>
      <c r="E277" s="5" t="s">
        <v>557</v>
      </c>
      <c r="F277" s="5" t="s">
        <v>558</v>
      </c>
      <c r="G277" s="5" t="s">
        <v>16</v>
      </c>
      <c r="H277" s="6" t="s">
        <v>108</v>
      </c>
      <c r="I277" s="7" t="s">
        <v>359</v>
      </c>
      <c r="J277" s="8" t="s">
        <v>27</v>
      </c>
      <c r="K277" s="8">
        <v>1</v>
      </c>
      <c r="L277" s="8"/>
      <c r="M277" s="5"/>
      <c r="N277" s="8">
        <v>2.248062015503876</v>
      </c>
      <c r="O277" s="9">
        <v>2.2480620155038755</v>
      </c>
      <c r="P277" s="10" t="s">
        <v>31</v>
      </c>
      <c r="Q277" s="10">
        <f t="shared" si="29"/>
        <v>0</v>
      </c>
      <c r="R277" s="10">
        <f t="shared" si="30"/>
        <v>0</v>
      </c>
      <c r="S277" s="10">
        <f t="shared" si="31"/>
        <v>1</v>
      </c>
      <c r="T277" s="10">
        <f t="shared" si="32"/>
        <v>0</v>
      </c>
      <c r="U277" s="11" t="str">
        <f t="shared" si="33"/>
        <v/>
      </c>
      <c r="V277" s="11" t="str">
        <f t="shared" si="34"/>
        <v/>
      </c>
      <c r="W277" s="11" t="str">
        <f t="shared" si="34"/>
        <v/>
      </c>
      <c r="X277" s="11" t="str">
        <f t="shared" si="34"/>
        <v/>
      </c>
      <c r="Y277" s="11" t="str">
        <f t="shared" si="34"/>
        <v/>
      </c>
      <c r="Z277" s="11">
        <f t="shared" si="34"/>
        <v>1</v>
      </c>
      <c r="AA277" s="11" t="str">
        <f t="shared" si="34"/>
        <v/>
      </c>
      <c r="AB277" s="11" t="str">
        <f t="shared" si="34"/>
        <v/>
      </c>
      <c r="AC277" s="11">
        <f t="shared" si="34"/>
        <v>1</v>
      </c>
      <c r="AD277" s="11" t="str">
        <f t="shared" si="34"/>
        <v/>
      </c>
      <c r="AE277" s="12" t="s">
        <v>999</v>
      </c>
    </row>
    <row r="278" spans="1:31" ht="18" customHeight="1" thickTop="1" thickBot="1" x14ac:dyDescent="0.3">
      <c r="A278" s="4" t="s">
        <v>494</v>
      </c>
      <c r="B278" s="4" t="s">
        <v>946</v>
      </c>
      <c r="C278" s="5" t="s">
        <v>495</v>
      </c>
      <c r="D278" s="5" t="s">
        <v>26</v>
      </c>
      <c r="E278" s="5" t="s">
        <v>559</v>
      </c>
      <c r="F278" s="5" t="s">
        <v>560</v>
      </c>
      <c r="G278" s="5" t="s">
        <v>16</v>
      </c>
      <c r="H278" s="6" t="s">
        <v>108</v>
      </c>
      <c r="I278" s="7" t="s">
        <v>68</v>
      </c>
      <c r="J278" s="8" t="s">
        <v>27</v>
      </c>
      <c r="K278" s="8">
        <v>1</v>
      </c>
      <c r="L278" s="8"/>
      <c r="M278" s="5"/>
      <c r="N278" s="8">
        <v>2.043478260869565</v>
      </c>
      <c r="O278" s="9">
        <v>2.0434782608695654</v>
      </c>
      <c r="P278" s="10" t="s">
        <v>31</v>
      </c>
      <c r="Q278" s="10">
        <f t="shared" si="29"/>
        <v>0</v>
      </c>
      <c r="R278" s="10">
        <f t="shared" si="30"/>
        <v>0</v>
      </c>
      <c r="S278" s="10">
        <f t="shared" si="31"/>
        <v>1</v>
      </c>
      <c r="T278" s="10">
        <f t="shared" si="32"/>
        <v>0</v>
      </c>
      <c r="U278" s="11" t="str">
        <f t="shared" si="33"/>
        <v/>
      </c>
      <c r="V278" s="11" t="str">
        <f t="shared" si="34"/>
        <v/>
      </c>
      <c r="W278" s="11" t="str">
        <f t="shared" si="34"/>
        <v/>
      </c>
      <c r="X278" s="11" t="str">
        <f t="shared" si="34"/>
        <v/>
      </c>
      <c r="Y278" s="11" t="str">
        <f t="shared" si="34"/>
        <v/>
      </c>
      <c r="Z278" s="11">
        <f t="shared" si="34"/>
        <v>1</v>
      </c>
      <c r="AA278" s="11" t="str">
        <f t="shared" si="34"/>
        <v/>
      </c>
      <c r="AB278" s="11" t="str">
        <f t="shared" si="34"/>
        <v/>
      </c>
      <c r="AC278" s="11">
        <f t="shared" si="34"/>
        <v>1</v>
      </c>
      <c r="AD278" s="11" t="str">
        <f t="shared" si="34"/>
        <v/>
      </c>
      <c r="AE278" s="12" t="s">
        <v>999</v>
      </c>
    </row>
    <row r="279" spans="1:31" ht="18" customHeight="1" thickTop="1" thickBot="1" x14ac:dyDescent="0.3">
      <c r="A279" s="4" t="s">
        <v>494</v>
      </c>
      <c r="B279" s="4" t="s">
        <v>946</v>
      </c>
      <c r="C279" s="5" t="s">
        <v>495</v>
      </c>
      <c r="D279" s="5" t="s">
        <v>26</v>
      </c>
      <c r="E279" s="5" t="s">
        <v>561</v>
      </c>
      <c r="F279" s="5" t="s">
        <v>562</v>
      </c>
      <c r="G279" s="5" t="s">
        <v>16</v>
      </c>
      <c r="H279" s="6" t="s">
        <v>108</v>
      </c>
      <c r="I279" s="7" t="s">
        <v>68</v>
      </c>
      <c r="J279" s="8" t="s">
        <v>27</v>
      </c>
      <c r="K279" s="8">
        <v>1</v>
      </c>
      <c r="L279" s="8"/>
      <c r="M279" s="5"/>
      <c r="N279" s="8">
        <v>1.1111111111111112</v>
      </c>
      <c r="O279" s="9">
        <v>1.1111111111111112</v>
      </c>
      <c r="P279" s="10" t="s">
        <v>27</v>
      </c>
      <c r="Q279" s="10">
        <f t="shared" si="29"/>
        <v>0</v>
      </c>
      <c r="R279" s="10">
        <f t="shared" si="30"/>
        <v>0</v>
      </c>
      <c r="S279" s="10">
        <f t="shared" si="31"/>
        <v>0</v>
      </c>
      <c r="T279" s="10">
        <f t="shared" si="32"/>
        <v>0</v>
      </c>
      <c r="U279" s="11" t="str">
        <f t="shared" si="33"/>
        <v/>
      </c>
      <c r="V279" s="11" t="str">
        <f t="shared" si="34"/>
        <v/>
      </c>
      <c r="W279" s="11" t="str">
        <f t="shared" si="34"/>
        <v/>
      </c>
      <c r="X279" s="11" t="str">
        <f t="shared" si="34"/>
        <v/>
      </c>
      <c r="Y279" s="11" t="str">
        <f t="shared" si="34"/>
        <v/>
      </c>
      <c r="Z279" s="11" t="str">
        <f t="shared" si="34"/>
        <v/>
      </c>
      <c r="AA279" s="11" t="str">
        <f t="shared" si="34"/>
        <v/>
      </c>
      <c r="AB279" s="11" t="str">
        <f t="shared" si="34"/>
        <v/>
      </c>
      <c r="AC279" s="11" t="str">
        <f t="shared" si="34"/>
        <v/>
      </c>
      <c r="AD279" s="11" t="str">
        <f t="shared" si="34"/>
        <v/>
      </c>
      <c r="AE279" s="12" t="s">
        <v>27</v>
      </c>
    </row>
    <row r="280" spans="1:31" ht="18" customHeight="1" thickTop="1" thickBot="1" x14ac:dyDescent="0.3">
      <c r="A280" s="4" t="s">
        <v>494</v>
      </c>
      <c r="B280" s="4" t="s">
        <v>946</v>
      </c>
      <c r="C280" s="5" t="s">
        <v>495</v>
      </c>
      <c r="D280" s="5" t="s">
        <v>26</v>
      </c>
      <c r="E280" s="5" t="s">
        <v>563</v>
      </c>
      <c r="F280" s="5" t="s">
        <v>564</v>
      </c>
      <c r="G280" s="5" t="s">
        <v>16</v>
      </c>
      <c r="H280" s="6" t="s">
        <v>108</v>
      </c>
      <c r="I280" s="7" t="s">
        <v>359</v>
      </c>
      <c r="J280" s="8" t="s">
        <v>27</v>
      </c>
      <c r="K280" s="8">
        <v>0.95833333333333337</v>
      </c>
      <c r="L280" s="8"/>
      <c r="M280" s="5"/>
      <c r="N280" s="8">
        <v>6.9230769230769234</v>
      </c>
      <c r="O280" s="9">
        <v>7.2240802675585289</v>
      </c>
      <c r="P280" s="10" t="s">
        <v>31</v>
      </c>
      <c r="Q280" s="10">
        <f t="shared" si="29"/>
        <v>0</v>
      </c>
      <c r="R280" s="10">
        <f t="shared" si="30"/>
        <v>0</v>
      </c>
      <c r="S280" s="10">
        <f t="shared" si="31"/>
        <v>1</v>
      </c>
      <c r="T280" s="10">
        <f t="shared" si="32"/>
        <v>0</v>
      </c>
      <c r="U280" s="11" t="str">
        <f t="shared" si="33"/>
        <v/>
      </c>
      <c r="V280" s="11" t="str">
        <f t="shared" si="34"/>
        <v/>
      </c>
      <c r="W280" s="11" t="str">
        <f t="shared" si="34"/>
        <v/>
      </c>
      <c r="X280" s="11" t="str">
        <f t="shared" si="34"/>
        <v/>
      </c>
      <c r="Y280" s="11" t="str">
        <f t="shared" si="34"/>
        <v/>
      </c>
      <c r="Z280" s="11">
        <f t="shared" si="34"/>
        <v>1</v>
      </c>
      <c r="AA280" s="11" t="str">
        <f t="shared" si="34"/>
        <v/>
      </c>
      <c r="AB280" s="11" t="str">
        <f t="shared" si="34"/>
        <v/>
      </c>
      <c r="AC280" s="11">
        <f t="shared" si="34"/>
        <v>1</v>
      </c>
      <c r="AD280" s="11" t="str">
        <f t="shared" si="34"/>
        <v/>
      </c>
      <c r="AE280" s="12" t="s">
        <v>999</v>
      </c>
    </row>
    <row r="281" spans="1:31" ht="18" customHeight="1" thickTop="1" thickBot="1" x14ac:dyDescent="0.3">
      <c r="A281" s="4" t="s">
        <v>494</v>
      </c>
      <c r="B281" s="4" t="s">
        <v>946</v>
      </c>
      <c r="C281" s="5" t="s">
        <v>495</v>
      </c>
      <c r="D281" s="5" t="s">
        <v>26</v>
      </c>
      <c r="E281" s="5" t="s">
        <v>565</v>
      </c>
      <c r="F281" s="5" t="s">
        <v>566</v>
      </c>
      <c r="G281" s="5" t="s">
        <v>16</v>
      </c>
      <c r="H281" s="6" t="s">
        <v>108</v>
      </c>
      <c r="I281" s="7" t="s">
        <v>68</v>
      </c>
      <c r="J281" s="8" t="s">
        <v>27</v>
      </c>
      <c r="K281" s="8">
        <v>1</v>
      </c>
      <c r="L281" s="8"/>
      <c r="M281" s="5"/>
      <c r="N281" s="8">
        <v>0.89743589743589736</v>
      </c>
      <c r="O281" s="9">
        <v>0.89743589743589747</v>
      </c>
      <c r="P281" s="10" t="s">
        <v>27</v>
      </c>
      <c r="Q281" s="10">
        <f t="shared" si="29"/>
        <v>0</v>
      </c>
      <c r="R281" s="10">
        <f t="shared" si="30"/>
        <v>0</v>
      </c>
      <c r="S281" s="10">
        <f t="shared" si="31"/>
        <v>0</v>
      </c>
      <c r="T281" s="10">
        <f t="shared" si="32"/>
        <v>0</v>
      </c>
      <c r="U281" s="11" t="str">
        <f t="shared" si="33"/>
        <v/>
      </c>
      <c r="V281" s="11" t="str">
        <f t="shared" si="34"/>
        <v/>
      </c>
      <c r="W281" s="11" t="str">
        <f t="shared" si="34"/>
        <v/>
      </c>
      <c r="X281" s="11" t="str">
        <f t="shared" si="34"/>
        <v/>
      </c>
      <c r="Y281" s="11" t="str">
        <f t="shared" si="34"/>
        <v/>
      </c>
      <c r="Z281" s="11" t="str">
        <f t="shared" si="34"/>
        <v/>
      </c>
      <c r="AA281" s="11" t="str">
        <f t="shared" si="34"/>
        <v/>
      </c>
      <c r="AB281" s="11" t="str">
        <f t="shared" si="34"/>
        <v/>
      </c>
      <c r="AC281" s="11" t="str">
        <f t="shared" si="34"/>
        <v/>
      </c>
      <c r="AD281" s="11" t="str">
        <f t="shared" si="34"/>
        <v/>
      </c>
      <c r="AE281" s="12" t="s">
        <v>27</v>
      </c>
    </row>
    <row r="282" spans="1:31" ht="18" customHeight="1" thickTop="1" thickBot="1" x14ac:dyDescent="0.3">
      <c r="A282" s="4" t="s">
        <v>494</v>
      </c>
      <c r="B282" s="4" t="s">
        <v>946</v>
      </c>
      <c r="C282" s="5" t="s">
        <v>495</v>
      </c>
      <c r="D282" s="5" t="s">
        <v>26</v>
      </c>
      <c r="E282" s="5" t="s">
        <v>567</v>
      </c>
      <c r="F282" s="5" t="s">
        <v>568</v>
      </c>
      <c r="G282" s="5" t="s">
        <v>16</v>
      </c>
      <c r="H282" s="6" t="s">
        <v>108</v>
      </c>
      <c r="I282" s="7" t="s">
        <v>68</v>
      </c>
      <c r="J282" s="8" t="s">
        <v>27</v>
      </c>
      <c r="K282" s="8">
        <v>1</v>
      </c>
      <c r="L282" s="8"/>
      <c r="M282" s="5"/>
      <c r="N282" s="8">
        <v>1.607142857142857</v>
      </c>
      <c r="O282" s="9">
        <v>1.6071428571428572</v>
      </c>
      <c r="P282" s="10" t="s">
        <v>31</v>
      </c>
      <c r="Q282" s="10">
        <f t="shared" si="29"/>
        <v>0</v>
      </c>
      <c r="R282" s="10">
        <f t="shared" si="30"/>
        <v>0</v>
      </c>
      <c r="S282" s="10">
        <f t="shared" si="31"/>
        <v>1</v>
      </c>
      <c r="T282" s="10">
        <f t="shared" si="32"/>
        <v>0</v>
      </c>
      <c r="U282" s="11" t="str">
        <f t="shared" si="33"/>
        <v/>
      </c>
      <c r="V282" s="11" t="str">
        <f t="shared" si="34"/>
        <v/>
      </c>
      <c r="W282" s="11" t="str">
        <f t="shared" si="34"/>
        <v/>
      </c>
      <c r="X282" s="11" t="str">
        <f t="shared" si="34"/>
        <v/>
      </c>
      <c r="Y282" s="11" t="str">
        <f t="shared" si="34"/>
        <v/>
      </c>
      <c r="Z282" s="11">
        <f t="shared" si="34"/>
        <v>1</v>
      </c>
      <c r="AA282" s="11" t="str">
        <f t="shared" si="34"/>
        <v/>
      </c>
      <c r="AB282" s="11" t="str">
        <f t="shared" si="34"/>
        <v/>
      </c>
      <c r="AC282" s="11">
        <f t="shared" si="34"/>
        <v>1</v>
      </c>
      <c r="AD282" s="11" t="str">
        <f t="shared" si="34"/>
        <v/>
      </c>
      <c r="AE282" s="12" t="s">
        <v>999</v>
      </c>
    </row>
    <row r="283" spans="1:31" ht="18" customHeight="1" thickTop="1" thickBot="1" x14ac:dyDescent="0.3">
      <c r="A283" s="4" t="s">
        <v>494</v>
      </c>
      <c r="B283" s="4" t="s">
        <v>946</v>
      </c>
      <c r="C283" s="5" t="s">
        <v>495</v>
      </c>
      <c r="D283" s="5" t="s">
        <v>26</v>
      </c>
      <c r="E283" s="5" t="s">
        <v>569</v>
      </c>
      <c r="F283" s="5" t="s">
        <v>570</v>
      </c>
      <c r="G283" s="5" t="s">
        <v>16</v>
      </c>
      <c r="H283" s="6" t="s">
        <v>108</v>
      </c>
      <c r="I283" s="7" t="s">
        <v>68</v>
      </c>
      <c r="J283" s="8" t="s">
        <v>27</v>
      </c>
      <c r="K283" s="8">
        <v>0.76666666666666672</v>
      </c>
      <c r="L283" s="8"/>
      <c r="M283" s="5"/>
      <c r="N283" s="8">
        <v>1.1649484536082473</v>
      </c>
      <c r="O283" s="9">
        <v>1.5194979829672792</v>
      </c>
      <c r="P283" s="10" t="s">
        <v>31</v>
      </c>
      <c r="Q283" s="10">
        <f t="shared" si="29"/>
        <v>0</v>
      </c>
      <c r="R283" s="10">
        <f t="shared" si="30"/>
        <v>0</v>
      </c>
      <c r="S283" s="10">
        <f t="shared" si="31"/>
        <v>1</v>
      </c>
      <c r="T283" s="10">
        <f t="shared" si="32"/>
        <v>0</v>
      </c>
      <c r="U283" s="11" t="str">
        <f t="shared" si="33"/>
        <v/>
      </c>
      <c r="V283" s="11" t="str">
        <f t="shared" si="34"/>
        <v/>
      </c>
      <c r="W283" s="11" t="str">
        <f t="shared" si="34"/>
        <v/>
      </c>
      <c r="X283" s="11" t="str">
        <f t="shared" si="34"/>
        <v/>
      </c>
      <c r="Y283" s="11" t="str">
        <f t="shared" si="34"/>
        <v/>
      </c>
      <c r="Z283" s="11">
        <f t="shared" si="34"/>
        <v>1</v>
      </c>
      <c r="AA283" s="11" t="str">
        <f t="shared" si="34"/>
        <v/>
      </c>
      <c r="AB283" s="11" t="str">
        <f t="shared" si="34"/>
        <v/>
      </c>
      <c r="AC283" s="11">
        <f t="shared" si="34"/>
        <v>1</v>
      </c>
      <c r="AD283" s="11" t="str">
        <f t="shared" si="34"/>
        <v/>
      </c>
      <c r="AE283" s="12" t="s">
        <v>999</v>
      </c>
    </row>
    <row r="284" spans="1:31" ht="18" customHeight="1" thickTop="1" thickBot="1" x14ac:dyDescent="0.3">
      <c r="A284" s="4" t="s">
        <v>494</v>
      </c>
      <c r="B284" s="4" t="s">
        <v>946</v>
      </c>
      <c r="C284" s="5" t="s">
        <v>495</v>
      </c>
      <c r="D284" s="5" t="s">
        <v>26</v>
      </c>
      <c r="E284" s="5" t="s">
        <v>571</v>
      </c>
      <c r="F284" s="5" t="s">
        <v>572</v>
      </c>
      <c r="G284" s="5" t="s">
        <v>16</v>
      </c>
      <c r="H284" s="6" t="s">
        <v>108</v>
      </c>
      <c r="I284" s="7" t="s">
        <v>68</v>
      </c>
      <c r="J284" s="8" t="s">
        <v>27</v>
      </c>
      <c r="K284" s="8">
        <v>1</v>
      </c>
      <c r="L284" s="8"/>
      <c r="M284" s="5"/>
      <c r="N284" s="8">
        <v>2.9999999999999996</v>
      </c>
      <c r="O284" s="9">
        <v>2.9999999999999996</v>
      </c>
      <c r="P284" s="10" t="s">
        <v>31</v>
      </c>
      <c r="Q284" s="10">
        <f t="shared" si="29"/>
        <v>0</v>
      </c>
      <c r="R284" s="10">
        <f t="shared" si="30"/>
        <v>0</v>
      </c>
      <c r="S284" s="10">
        <f t="shared" si="31"/>
        <v>1</v>
      </c>
      <c r="T284" s="10">
        <f t="shared" si="32"/>
        <v>0</v>
      </c>
      <c r="U284" s="11" t="str">
        <f t="shared" si="33"/>
        <v/>
      </c>
      <c r="V284" s="11" t="str">
        <f t="shared" si="34"/>
        <v/>
      </c>
      <c r="W284" s="11" t="str">
        <f t="shared" si="34"/>
        <v/>
      </c>
      <c r="X284" s="11" t="str">
        <f t="shared" si="34"/>
        <v/>
      </c>
      <c r="Y284" s="11" t="str">
        <f t="shared" si="34"/>
        <v/>
      </c>
      <c r="Z284" s="11">
        <f t="shared" si="34"/>
        <v>1</v>
      </c>
      <c r="AA284" s="11" t="str">
        <f t="shared" si="34"/>
        <v/>
      </c>
      <c r="AB284" s="11" t="str">
        <f t="shared" si="34"/>
        <v/>
      </c>
      <c r="AC284" s="11">
        <f t="shared" si="34"/>
        <v>1</v>
      </c>
      <c r="AD284" s="11" t="str">
        <f t="shared" si="34"/>
        <v/>
      </c>
      <c r="AE284" s="12" t="s">
        <v>999</v>
      </c>
    </row>
    <row r="285" spans="1:31" ht="18" customHeight="1" thickTop="1" thickBot="1" x14ac:dyDescent="0.3">
      <c r="A285" s="4" t="s">
        <v>494</v>
      </c>
      <c r="B285" s="4" t="s">
        <v>946</v>
      </c>
      <c r="C285" s="5" t="s">
        <v>495</v>
      </c>
      <c r="D285" s="5" t="s">
        <v>26</v>
      </c>
      <c r="E285" s="5" t="s">
        <v>573</v>
      </c>
      <c r="F285" s="5" t="s">
        <v>574</v>
      </c>
      <c r="G285" s="5" t="s">
        <v>16</v>
      </c>
      <c r="H285" s="6" t="s">
        <v>108</v>
      </c>
      <c r="I285" s="7" t="s">
        <v>68</v>
      </c>
      <c r="J285" s="8" t="s">
        <v>27</v>
      </c>
      <c r="K285" s="8">
        <v>1.0555555555555556</v>
      </c>
      <c r="L285" s="8"/>
      <c r="M285" s="5"/>
      <c r="N285" s="8">
        <v>1.1866666666666668</v>
      </c>
      <c r="O285" s="9">
        <v>1.1242105263157895</v>
      </c>
      <c r="P285" s="10" t="s">
        <v>27</v>
      </c>
      <c r="Q285" s="10">
        <f t="shared" si="29"/>
        <v>0</v>
      </c>
      <c r="R285" s="10">
        <f t="shared" si="30"/>
        <v>0</v>
      </c>
      <c r="S285" s="10">
        <f t="shared" si="31"/>
        <v>0</v>
      </c>
      <c r="T285" s="10">
        <f t="shared" si="32"/>
        <v>0</v>
      </c>
      <c r="U285" s="11" t="str">
        <f t="shared" si="33"/>
        <v/>
      </c>
      <c r="V285" s="11" t="str">
        <f t="shared" si="34"/>
        <v/>
      </c>
      <c r="W285" s="11" t="str">
        <f t="shared" si="34"/>
        <v/>
      </c>
      <c r="X285" s="11" t="str">
        <f t="shared" si="34"/>
        <v/>
      </c>
      <c r="Y285" s="11" t="str">
        <f t="shared" si="34"/>
        <v/>
      </c>
      <c r="Z285" s="11" t="str">
        <f t="shared" si="34"/>
        <v/>
      </c>
      <c r="AA285" s="11" t="str">
        <f t="shared" si="34"/>
        <v/>
      </c>
      <c r="AB285" s="11" t="str">
        <f t="shared" si="34"/>
        <v/>
      </c>
      <c r="AC285" s="11" t="str">
        <f t="shared" si="34"/>
        <v/>
      </c>
      <c r="AD285" s="11" t="str">
        <f t="shared" si="34"/>
        <v/>
      </c>
      <c r="AE285" s="12" t="s">
        <v>27</v>
      </c>
    </row>
    <row r="286" spans="1:31" ht="18" customHeight="1" thickTop="1" thickBot="1" x14ac:dyDescent="0.3">
      <c r="A286" s="4" t="s">
        <v>494</v>
      </c>
      <c r="B286" s="4" t="s">
        <v>946</v>
      </c>
      <c r="C286" s="5" t="s">
        <v>495</v>
      </c>
      <c r="D286" s="5" t="s">
        <v>26</v>
      </c>
      <c r="E286" s="5" t="s">
        <v>141</v>
      </c>
      <c r="F286" s="5" t="s">
        <v>575</v>
      </c>
      <c r="G286" s="5" t="s">
        <v>16</v>
      </c>
      <c r="H286" s="6" t="s">
        <v>108</v>
      </c>
      <c r="I286" s="7" t="s">
        <v>359</v>
      </c>
      <c r="J286" s="8" t="s">
        <v>27</v>
      </c>
      <c r="K286" s="8">
        <v>0.6875</v>
      </c>
      <c r="L286" s="8"/>
      <c r="M286" s="5"/>
      <c r="N286" s="8">
        <v>0.57777777777777783</v>
      </c>
      <c r="O286" s="9">
        <v>0.84040404040404038</v>
      </c>
      <c r="P286" s="10" t="s">
        <v>27</v>
      </c>
      <c r="Q286" s="10">
        <f t="shared" si="29"/>
        <v>0</v>
      </c>
      <c r="R286" s="10">
        <f t="shared" si="30"/>
        <v>0</v>
      </c>
      <c r="S286" s="10">
        <f t="shared" si="31"/>
        <v>0</v>
      </c>
      <c r="T286" s="10">
        <f t="shared" si="32"/>
        <v>0</v>
      </c>
      <c r="U286" s="11" t="str">
        <f t="shared" si="33"/>
        <v/>
      </c>
      <c r="V286" s="11" t="str">
        <f t="shared" si="34"/>
        <v/>
      </c>
      <c r="W286" s="11" t="str">
        <f t="shared" si="34"/>
        <v/>
      </c>
      <c r="X286" s="11" t="str">
        <f t="shared" si="34"/>
        <v/>
      </c>
      <c r="Y286" s="11" t="str">
        <f t="shared" si="34"/>
        <v/>
      </c>
      <c r="Z286" s="11" t="str">
        <f t="shared" si="34"/>
        <v/>
      </c>
      <c r="AA286" s="11" t="str">
        <f t="shared" si="34"/>
        <v/>
      </c>
      <c r="AB286" s="11" t="str">
        <f t="shared" si="34"/>
        <v/>
      </c>
      <c r="AC286" s="11" t="str">
        <f t="shared" si="34"/>
        <v/>
      </c>
      <c r="AD286" s="11" t="str">
        <f t="shared" si="34"/>
        <v/>
      </c>
      <c r="AE286" s="12" t="s">
        <v>27</v>
      </c>
    </row>
    <row r="287" spans="1:31" ht="18" customHeight="1" thickTop="1" thickBot="1" x14ac:dyDescent="0.3">
      <c r="A287" s="4" t="s">
        <v>494</v>
      </c>
      <c r="B287" s="4" t="s">
        <v>946</v>
      </c>
      <c r="C287" s="5" t="s">
        <v>495</v>
      </c>
      <c r="D287" s="5" t="s">
        <v>26</v>
      </c>
      <c r="E287" s="5" t="s">
        <v>576</v>
      </c>
      <c r="F287" s="5" t="s">
        <v>577</v>
      </c>
      <c r="G287" s="5" t="s">
        <v>16</v>
      </c>
      <c r="H287" s="6" t="s">
        <v>108</v>
      </c>
      <c r="I287" s="7" t="s">
        <v>68</v>
      </c>
      <c r="J287" s="8" t="s">
        <v>27</v>
      </c>
      <c r="K287" s="8">
        <v>1</v>
      </c>
      <c r="L287" s="8"/>
      <c r="M287" s="5"/>
      <c r="N287" s="8">
        <v>1.4618834080717489</v>
      </c>
      <c r="O287" s="9">
        <v>1.4618834080717489</v>
      </c>
      <c r="P287" s="10" t="s">
        <v>27</v>
      </c>
      <c r="Q287" s="10">
        <f t="shared" si="29"/>
        <v>0</v>
      </c>
      <c r="R287" s="10">
        <f t="shared" si="30"/>
        <v>0</v>
      </c>
      <c r="S287" s="10">
        <f t="shared" si="31"/>
        <v>0</v>
      </c>
      <c r="T287" s="10">
        <f t="shared" si="32"/>
        <v>0</v>
      </c>
      <c r="U287" s="11" t="str">
        <f t="shared" si="33"/>
        <v/>
      </c>
      <c r="V287" s="11" t="str">
        <f t="shared" si="34"/>
        <v/>
      </c>
      <c r="W287" s="11" t="str">
        <f t="shared" si="34"/>
        <v/>
      </c>
      <c r="X287" s="11" t="str">
        <f t="shared" si="34"/>
        <v/>
      </c>
      <c r="Y287" s="11" t="str">
        <f t="shared" si="34"/>
        <v/>
      </c>
      <c r="Z287" s="11" t="str">
        <f t="shared" si="34"/>
        <v/>
      </c>
      <c r="AA287" s="11" t="str">
        <f t="shared" si="34"/>
        <v/>
      </c>
      <c r="AB287" s="11" t="str">
        <f t="shared" si="34"/>
        <v/>
      </c>
      <c r="AC287" s="11" t="str">
        <f t="shared" si="34"/>
        <v/>
      </c>
      <c r="AD287" s="11" t="str">
        <f t="shared" si="34"/>
        <v/>
      </c>
      <c r="AE287" s="12" t="s">
        <v>27</v>
      </c>
    </row>
    <row r="288" spans="1:31" ht="18" customHeight="1" thickTop="1" thickBot="1" x14ac:dyDescent="0.3">
      <c r="A288" s="4" t="s">
        <v>494</v>
      </c>
      <c r="B288" s="4" t="s">
        <v>946</v>
      </c>
      <c r="C288" s="5" t="s">
        <v>495</v>
      </c>
      <c r="D288" s="5" t="s">
        <v>26</v>
      </c>
      <c r="E288" s="5" t="s">
        <v>578</v>
      </c>
      <c r="F288" s="5" t="s">
        <v>579</v>
      </c>
      <c r="G288" s="5" t="s">
        <v>16</v>
      </c>
      <c r="H288" s="6" t="s">
        <v>108</v>
      </c>
      <c r="I288" s="7" t="s">
        <v>68</v>
      </c>
      <c r="J288" s="8" t="s">
        <v>27</v>
      </c>
      <c r="K288" s="8">
        <v>0.7</v>
      </c>
      <c r="L288" s="8"/>
      <c r="M288" s="5"/>
      <c r="N288" s="8">
        <v>0.53623188405797106</v>
      </c>
      <c r="O288" s="9">
        <v>0.76604554865424446</v>
      </c>
      <c r="P288" s="10" t="s">
        <v>27</v>
      </c>
      <c r="Q288" s="10">
        <f t="shared" si="29"/>
        <v>0</v>
      </c>
      <c r="R288" s="10">
        <f t="shared" si="30"/>
        <v>0</v>
      </c>
      <c r="S288" s="10">
        <f t="shared" si="31"/>
        <v>0</v>
      </c>
      <c r="T288" s="10">
        <f t="shared" si="32"/>
        <v>0</v>
      </c>
      <c r="U288" s="11" t="str">
        <f t="shared" si="33"/>
        <v/>
      </c>
      <c r="V288" s="11" t="str">
        <f t="shared" si="34"/>
        <v/>
      </c>
      <c r="W288" s="11" t="str">
        <f t="shared" si="34"/>
        <v/>
      </c>
      <c r="X288" s="11" t="str">
        <f t="shared" si="34"/>
        <v/>
      </c>
      <c r="Y288" s="11" t="str">
        <f t="shared" si="34"/>
        <v/>
      </c>
      <c r="Z288" s="11" t="str">
        <f t="shared" si="34"/>
        <v/>
      </c>
      <c r="AA288" s="11" t="str">
        <f t="shared" si="34"/>
        <v/>
      </c>
      <c r="AB288" s="11" t="str">
        <f t="shared" si="34"/>
        <v/>
      </c>
      <c r="AC288" s="11" t="str">
        <f t="shared" si="34"/>
        <v/>
      </c>
      <c r="AD288" s="11" t="str">
        <f t="shared" si="34"/>
        <v/>
      </c>
      <c r="AE288" s="12" t="s">
        <v>27</v>
      </c>
    </row>
    <row r="289" spans="1:31" ht="18" customHeight="1" thickTop="1" thickBot="1" x14ac:dyDescent="0.3">
      <c r="A289" s="4" t="s">
        <v>494</v>
      </c>
      <c r="B289" s="4" t="s">
        <v>946</v>
      </c>
      <c r="C289" s="5" t="s">
        <v>495</v>
      </c>
      <c r="D289" s="5" t="s">
        <v>26</v>
      </c>
      <c r="E289" s="5" t="s">
        <v>143</v>
      </c>
      <c r="F289" s="5" t="s">
        <v>580</v>
      </c>
      <c r="G289" s="5" t="s">
        <v>16</v>
      </c>
      <c r="H289" s="6" t="s">
        <v>108</v>
      </c>
      <c r="I289" s="7" t="s">
        <v>359</v>
      </c>
      <c r="J289" s="8" t="s">
        <v>27</v>
      </c>
      <c r="K289" s="8">
        <v>2</v>
      </c>
      <c r="L289" s="8"/>
      <c r="M289" s="5"/>
      <c r="N289" s="8">
        <v>2.75</v>
      </c>
      <c r="O289" s="9">
        <v>1.3749999999999998</v>
      </c>
      <c r="P289" s="10" t="s">
        <v>31</v>
      </c>
      <c r="Q289" s="10">
        <f t="shared" si="29"/>
        <v>1</v>
      </c>
      <c r="R289" s="10">
        <f t="shared" si="30"/>
        <v>0</v>
      </c>
      <c r="S289" s="10">
        <f t="shared" si="31"/>
        <v>0</v>
      </c>
      <c r="T289" s="10">
        <f t="shared" si="32"/>
        <v>0</v>
      </c>
      <c r="U289" s="11" t="str">
        <f t="shared" si="33"/>
        <v/>
      </c>
      <c r="V289" s="11" t="str">
        <f t="shared" si="34"/>
        <v/>
      </c>
      <c r="W289" s="11" t="str">
        <f t="shared" si="34"/>
        <v/>
      </c>
      <c r="X289" s="11" t="str">
        <f t="shared" si="34"/>
        <v/>
      </c>
      <c r="Y289" s="11" t="str">
        <f t="shared" si="34"/>
        <v/>
      </c>
      <c r="Z289" s="11" t="str">
        <f t="shared" si="34"/>
        <v/>
      </c>
      <c r="AA289" s="11" t="str">
        <f t="shared" si="34"/>
        <v/>
      </c>
      <c r="AB289" s="11" t="str">
        <f t="shared" si="34"/>
        <v/>
      </c>
      <c r="AC289" s="11" t="str">
        <f t="shared" si="34"/>
        <v/>
      </c>
      <c r="AD289" s="11">
        <f t="shared" si="34"/>
        <v>1</v>
      </c>
      <c r="AE289" s="12" t="s">
        <v>988</v>
      </c>
    </row>
    <row r="290" spans="1:31" ht="18" customHeight="1" thickTop="1" thickBot="1" x14ac:dyDescent="0.3">
      <c r="A290" s="4" t="s">
        <v>494</v>
      </c>
      <c r="B290" s="4" t="s">
        <v>946</v>
      </c>
      <c r="C290" s="5" t="s">
        <v>495</v>
      </c>
      <c r="D290" s="5" t="s">
        <v>26</v>
      </c>
      <c r="E290" s="5" t="s">
        <v>245</v>
      </c>
      <c r="F290" s="5" t="s">
        <v>581</v>
      </c>
      <c r="G290" s="5" t="s">
        <v>16</v>
      </c>
      <c r="H290" s="6" t="s">
        <v>108</v>
      </c>
      <c r="I290" s="7" t="s">
        <v>68</v>
      </c>
      <c r="J290" s="8" t="s">
        <v>27</v>
      </c>
      <c r="K290" s="8">
        <v>1</v>
      </c>
      <c r="L290" s="8"/>
      <c r="M290" s="5"/>
      <c r="N290" s="8">
        <v>0.14666666666666667</v>
      </c>
      <c r="O290" s="9">
        <v>0.14666666666666667</v>
      </c>
      <c r="P290" s="10" t="s">
        <v>31</v>
      </c>
      <c r="Q290" s="10">
        <f t="shared" si="29"/>
        <v>0</v>
      </c>
      <c r="R290" s="10">
        <f t="shared" si="30"/>
        <v>0</v>
      </c>
      <c r="S290" s="10">
        <f t="shared" si="31"/>
        <v>0</v>
      </c>
      <c r="T290" s="10">
        <f t="shared" si="32"/>
        <v>1</v>
      </c>
      <c r="U290" s="11" t="str">
        <f t="shared" si="33"/>
        <v/>
      </c>
      <c r="V290" s="11" t="str">
        <f t="shared" si="34"/>
        <v/>
      </c>
      <c r="W290" s="11" t="str">
        <f t="shared" si="34"/>
        <v/>
      </c>
      <c r="X290" s="11" t="str">
        <f t="shared" si="34"/>
        <v/>
      </c>
      <c r="Y290" s="11" t="str">
        <f t="shared" si="34"/>
        <v/>
      </c>
      <c r="Z290" s="11" t="str">
        <f t="shared" si="34"/>
        <v/>
      </c>
      <c r="AA290" s="11" t="str">
        <f t="shared" si="34"/>
        <v/>
      </c>
      <c r="AB290" s="11" t="str">
        <f t="shared" si="34"/>
        <v/>
      </c>
      <c r="AC290" s="11" t="str">
        <f t="shared" si="34"/>
        <v/>
      </c>
      <c r="AD290" s="11">
        <f t="shared" si="34"/>
        <v>1</v>
      </c>
      <c r="AE290" s="12" t="s">
        <v>988</v>
      </c>
    </row>
    <row r="291" spans="1:31" ht="18" customHeight="1" thickTop="1" thickBot="1" x14ac:dyDescent="0.3">
      <c r="A291" s="4" t="s">
        <v>494</v>
      </c>
      <c r="B291" s="4" t="s">
        <v>946</v>
      </c>
      <c r="C291" s="5" t="s">
        <v>495</v>
      </c>
      <c r="D291" s="5" t="s">
        <v>26</v>
      </c>
      <c r="E291" s="5" t="s">
        <v>247</v>
      </c>
      <c r="F291" s="5" t="s">
        <v>582</v>
      </c>
      <c r="G291" s="5" t="s">
        <v>16</v>
      </c>
      <c r="H291" s="6" t="s">
        <v>108</v>
      </c>
      <c r="I291" s="7" t="s">
        <v>359</v>
      </c>
      <c r="J291" s="8" t="s">
        <v>27</v>
      </c>
      <c r="K291" s="8">
        <v>1</v>
      </c>
      <c r="L291" s="8"/>
      <c r="M291" s="5"/>
      <c r="N291" s="8">
        <v>0.45490196078431372</v>
      </c>
      <c r="O291" s="9">
        <v>0.45490196078431377</v>
      </c>
      <c r="P291" s="10" t="s">
        <v>31</v>
      </c>
      <c r="Q291" s="10">
        <f t="shared" si="29"/>
        <v>0</v>
      </c>
      <c r="R291" s="10">
        <f t="shared" si="30"/>
        <v>0</v>
      </c>
      <c r="S291" s="10">
        <f t="shared" si="31"/>
        <v>0</v>
      </c>
      <c r="T291" s="10">
        <f t="shared" si="32"/>
        <v>1</v>
      </c>
      <c r="U291" s="11" t="str">
        <f t="shared" si="33"/>
        <v/>
      </c>
      <c r="V291" s="11" t="str">
        <f t="shared" si="34"/>
        <v/>
      </c>
      <c r="W291" s="11" t="str">
        <f t="shared" si="34"/>
        <v/>
      </c>
      <c r="X291" s="11" t="str">
        <f t="shared" si="34"/>
        <v/>
      </c>
      <c r="Y291" s="11" t="str">
        <f t="shared" si="34"/>
        <v/>
      </c>
      <c r="Z291" s="11" t="str">
        <f t="shared" si="34"/>
        <v/>
      </c>
      <c r="AA291" s="11" t="str">
        <f t="shared" si="34"/>
        <v/>
      </c>
      <c r="AB291" s="11" t="str">
        <f t="shared" si="34"/>
        <v/>
      </c>
      <c r="AC291" s="11" t="str">
        <f t="shared" si="34"/>
        <v/>
      </c>
      <c r="AD291" s="11">
        <f t="shared" si="34"/>
        <v>1</v>
      </c>
      <c r="AE291" s="12" t="s">
        <v>988</v>
      </c>
    </row>
    <row r="292" spans="1:31" ht="18" customHeight="1" thickTop="1" thickBot="1" x14ac:dyDescent="0.3">
      <c r="A292" s="4" t="s">
        <v>494</v>
      </c>
      <c r="B292" s="4" t="s">
        <v>946</v>
      </c>
      <c r="C292" s="5" t="s">
        <v>495</v>
      </c>
      <c r="D292" s="5" t="s">
        <v>26</v>
      </c>
      <c r="E292" s="5" t="s">
        <v>249</v>
      </c>
      <c r="F292" s="5" t="s">
        <v>583</v>
      </c>
      <c r="G292" s="5" t="s">
        <v>16</v>
      </c>
      <c r="H292" s="6" t="s">
        <v>108</v>
      </c>
      <c r="I292" s="7" t="s">
        <v>359</v>
      </c>
      <c r="J292" s="8" t="s">
        <v>27</v>
      </c>
      <c r="K292" s="8">
        <v>1</v>
      </c>
      <c r="L292" s="8"/>
      <c r="M292" s="5"/>
      <c r="N292" s="8">
        <v>2.6066666666666669</v>
      </c>
      <c r="O292" s="9">
        <v>2.6066666666666669</v>
      </c>
      <c r="P292" s="10" t="s">
        <v>31</v>
      </c>
      <c r="Q292" s="10">
        <f t="shared" si="29"/>
        <v>0</v>
      </c>
      <c r="R292" s="10">
        <f t="shared" si="30"/>
        <v>0</v>
      </c>
      <c r="S292" s="10">
        <f t="shared" si="31"/>
        <v>1</v>
      </c>
      <c r="T292" s="10">
        <f t="shared" si="32"/>
        <v>0</v>
      </c>
      <c r="U292" s="11" t="str">
        <f t="shared" si="33"/>
        <v/>
      </c>
      <c r="V292" s="11" t="str">
        <f t="shared" si="34"/>
        <v/>
      </c>
      <c r="W292" s="11" t="str">
        <f t="shared" si="34"/>
        <v/>
      </c>
      <c r="X292" s="11" t="str">
        <f t="shared" si="34"/>
        <v/>
      </c>
      <c r="Y292" s="11" t="str">
        <f t="shared" si="34"/>
        <v/>
      </c>
      <c r="Z292" s="11">
        <f t="shared" si="34"/>
        <v>1</v>
      </c>
      <c r="AA292" s="11" t="str">
        <f t="shared" si="34"/>
        <v/>
      </c>
      <c r="AB292" s="11" t="str">
        <f t="shared" si="34"/>
        <v/>
      </c>
      <c r="AC292" s="11">
        <f t="shared" si="34"/>
        <v>1</v>
      </c>
      <c r="AD292" s="11" t="str">
        <f t="shared" si="34"/>
        <v/>
      </c>
      <c r="AE292" s="12" t="s">
        <v>999</v>
      </c>
    </row>
    <row r="293" spans="1:31" ht="18" customHeight="1" thickTop="1" thickBot="1" x14ac:dyDescent="0.3">
      <c r="A293" s="4" t="s">
        <v>81</v>
      </c>
      <c r="B293" s="4" t="s">
        <v>945</v>
      </c>
      <c r="C293" s="5" t="s">
        <v>584</v>
      </c>
      <c r="D293" s="5" t="s">
        <v>26</v>
      </c>
      <c r="E293" s="5" t="s">
        <v>27</v>
      </c>
      <c r="F293" s="5" t="s">
        <v>585</v>
      </c>
      <c r="G293" s="5" t="s">
        <v>16</v>
      </c>
      <c r="H293" s="6" t="s">
        <v>586</v>
      </c>
      <c r="I293" s="7" t="s">
        <v>364</v>
      </c>
      <c r="J293" s="8">
        <v>0.83333333333333337</v>
      </c>
      <c r="K293" s="8">
        <v>1.0097740112994349</v>
      </c>
      <c r="L293" s="8"/>
      <c r="M293" s="5"/>
      <c r="N293" s="8">
        <v>1.2422838612542706</v>
      </c>
      <c r="O293" s="9">
        <v>1.2302592930230285</v>
      </c>
      <c r="P293" s="10" t="s">
        <v>27</v>
      </c>
      <c r="Q293" s="10">
        <f t="shared" si="29"/>
        <v>0</v>
      </c>
      <c r="R293" s="10">
        <f t="shared" si="30"/>
        <v>0</v>
      </c>
      <c r="S293" s="10">
        <f t="shared" si="31"/>
        <v>0</v>
      </c>
      <c r="T293" s="10">
        <f t="shared" si="32"/>
        <v>0</v>
      </c>
      <c r="U293" s="11" t="str">
        <f t="shared" si="33"/>
        <v/>
      </c>
      <c r="V293" s="11" t="str">
        <f t="shared" si="34"/>
        <v/>
      </c>
      <c r="W293" s="11" t="str">
        <f t="shared" si="34"/>
        <v/>
      </c>
      <c r="X293" s="11" t="str">
        <f t="shared" si="34"/>
        <v/>
      </c>
      <c r="Y293" s="11" t="str">
        <f t="shared" si="34"/>
        <v/>
      </c>
      <c r="Z293" s="11" t="str">
        <f t="shared" si="34"/>
        <v/>
      </c>
      <c r="AA293" s="11" t="str">
        <f t="shared" si="34"/>
        <v/>
      </c>
      <c r="AB293" s="11" t="str">
        <f t="shared" si="34"/>
        <v/>
      </c>
      <c r="AC293" s="11" t="str">
        <f t="shared" si="34"/>
        <v/>
      </c>
      <c r="AD293" s="11" t="str">
        <f t="shared" si="34"/>
        <v/>
      </c>
      <c r="AE293" s="12" t="s">
        <v>27</v>
      </c>
    </row>
    <row r="294" spans="1:31" ht="18" customHeight="1" thickTop="1" thickBot="1" x14ac:dyDescent="0.3">
      <c r="A294" s="4" t="s">
        <v>81</v>
      </c>
      <c r="B294" s="4" t="s">
        <v>945</v>
      </c>
      <c r="C294" s="5" t="s">
        <v>584</v>
      </c>
      <c r="D294" s="5" t="s">
        <v>42</v>
      </c>
      <c r="E294" s="5" t="s">
        <v>27</v>
      </c>
      <c r="F294" s="5" t="s">
        <v>587</v>
      </c>
      <c r="G294" s="5" t="s">
        <v>16</v>
      </c>
      <c r="H294" s="6" t="s">
        <v>586</v>
      </c>
      <c r="I294" s="7" t="s">
        <v>387</v>
      </c>
      <c r="J294" s="8" t="s">
        <v>27</v>
      </c>
      <c r="K294" s="8">
        <v>1.6009280742459397</v>
      </c>
      <c r="L294" s="8"/>
      <c r="M294" s="5"/>
      <c r="N294" s="8">
        <v>2.2810916179337233</v>
      </c>
      <c r="O294" s="9">
        <v>1.4248557787383109</v>
      </c>
      <c r="P294" s="10" t="s">
        <v>31</v>
      </c>
      <c r="Q294" s="10">
        <f t="shared" si="29"/>
        <v>1</v>
      </c>
      <c r="R294" s="10">
        <f t="shared" si="30"/>
        <v>0</v>
      </c>
      <c r="S294" s="10">
        <f t="shared" si="31"/>
        <v>0</v>
      </c>
      <c r="T294" s="10">
        <f t="shared" si="32"/>
        <v>0</v>
      </c>
      <c r="U294" s="11" t="str">
        <f t="shared" si="33"/>
        <v/>
      </c>
      <c r="V294" s="11" t="str">
        <f t="shared" si="34"/>
        <v/>
      </c>
      <c r="W294" s="11" t="str">
        <f t="shared" si="34"/>
        <v/>
      </c>
      <c r="X294" s="11" t="str">
        <f t="shared" si="34"/>
        <v/>
      </c>
      <c r="Y294" s="11" t="str">
        <f t="shared" si="34"/>
        <v/>
      </c>
      <c r="Z294" s="11" t="str">
        <f t="shared" si="34"/>
        <v/>
      </c>
      <c r="AA294" s="11" t="str">
        <f t="shared" si="34"/>
        <v/>
      </c>
      <c r="AB294" s="11" t="str">
        <f t="shared" si="34"/>
        <v/>
      </c>
      <c r="AC294" s="11" t="str">
        <f t="shared" si="34"/>
        <v/>
      </c>
      <c r="AD294" s="11">
        <f t="shared" si="34"/>
        <v>1</v>
      </c>
      <c r="AE294" s="12" t="s">
        <v>988</v>
      </c>
    </row>
    <row r="295" spans="1:31" ht="18" customHeight="1" thickTop="1" thickBot="1" x14ac:dyDescent="0.3">
      <c r="A295" s="4" t="s">
        <v>81</v>
      </c>
      <c r="B295" s="4" t="s">
        <v>945</v>
      </c>
      <c r="C295" s="5" t="s">
        <v>584</v>
      </c>
      <c r="D295" s="5" t="s">
        <v>42</v>
      </c>
      <c r="E295" s="5" t="s">
        <v>36</v>
      </c>
      <c r="F295" s="5" t="s">
        <v>588</v>
      </c>
      <c r="G295" s="5" t="s">
        <v>16</v>
      </c>
      <c r="H295" s="6" t="s">
        <v>586</v>
      </c>
      <c r="I295" s="7" t="s">
        <v>387</v>
      </c>
      <c r="J295" s="8">
        <v>1</v>
      </c>
      <c r="K295" s="8">
        <v>1.0524822695035461</v>
      </c>
      <c r="L295" s="8"/>
      <c r="M295" s="5"/>
      <c r="N295" s="8">
        <v>1.3856213759105473</v>
      </c>
      <c r="O295" s="9">
        <v>1.3165270485403446</v>
      </c>
      <c r="P295" s="10" t="s">
        <v>27</v>
      </c>
      <c r="Q295" s="10">
        <f t="shared" si="29"/>
        <v>0</v>
      </c>
      <c r="R295" s="10">
        <f t="shared" si="30"/>
        <v>0</v>
      </c>
      <c r="S295" s="10">
        <f t="shared" si="31"/>
        <v>0</v>
      </c>
      <c r="T295" s="10">
        <f t="shared" si="32"/>
        <v>0</v>
      </c>
      <c r="U295" s="11" t="str">
        <f t="shared" si="33"/>
        <v/>
      </c>
      <c r="V295" s="11" t="str">
        <f t="shared" si="34"/>
        <v/>
      </c>
      <c r="W295" s="11" t="str">
        <f t="shared" si="34"/>
        <v/>
      </c>
      <c r="X295" s="11" t="str">
        <f t="shared" si="34"/>
        <v/>
      </c>
      <c r="Y295" s="11" t="str">
        <f t="shared" si="34"/>
        <v/>
      </c>
      <c r="Z295" s="11" t="str">
        <f t="shared" si="34"/>
        <v/>
      </c>
      <c r="AA295" s="11" t="str">
        <f t="shared" si="34"/>
        <v/>
      </c>
      <c r="AB295" s="11" t="str">
        <f t="shared" si="34"/>
        <v/>
      </c>
      <c r="AC295" s="11" t="str">
        <f t="shared" si="34"/>
        <v/>
      </c>
      <c r="AD295" s="11" t="str">
        <f t="shared" si="34"/>
        <v/>
      </c>
      <c r="AE295" s="12" t="s">
        <v>27</v>
      </c>
    </row>
    <row r="296" spans="1:31" ht="18" customHeight="1" thickTop="1" thickBot="1" x14ac:dyDescent="0.3">
      <c r="A296" s="4" t="s">
        <v>81</v>
      </c>
      <c r="B296" s="4" t="s">
        <v>945</v>
      </c>
      <c r="C296" s="5" t="s">
        <v>584</v>
      </c>
      <c r="D296" s="5" t="s">
        <v>42</v>
      </c>
      <c r="E296" s="5" t="s">
        <v>40</v>
      </c>
      <c r="F296" s="5" t="s">
        <v>590</v>
      </c>
      <c r="G296" s="5" t="s">
        <v>16</v>
      </c>
      <c r="H296" s="6" t="s">
        <v>586</v>
      </c>
      <c r="I296" s="7" t="s">
        <v>387</v>
      </c>
      <c r="J296" s="8">
        <v>1</v>
      </c>
      <c r="K296" s="8">
        <v>0.98478260869565226</v>
      </c>
      <c r="L296" s="8"/>
      <c r="M296" s="5"/>
      <c r="N296" s="8">
        <v>1.0849443599800692</v>
      </c>
      <c r="O296" s="9">
        <v>1.1017095046155228</v>
      </c>
      <c r="P296" s="10" t="s">
        <v>27</v>
      </c>
      <c r="Q296" s="10">
        <f t="shared" si="29"/>
        <v>0</v>
      </c>
      <c r="R296" s="10">
        <f t="shared" si="30"/>
        <v>0</v>
      </c>
      <c r="S296" s="10">
        <f t="shared" si="31"/>
        <v>0</v>
      </c>
      <c r="T296" s="10">
        <f t="shared" si="32"/>
        <v>0</v>
      </c>
      <c r="U296" s="11" t="str">
        <f t="shared" si="33"/>
        <v/>
      </c>
      <c r="V296" s="11" t="str">
        <f t="shared" si="34"/>
        <v/>
      </c>
      <c r="W296" s="11" t="str">
        <f t="shared" ref="V296:AD324" si="35">IF(ISNUMBER(SEARCH(W$3,$AE296)), 1,"")</f>
        <v/>
      </c>
      <c r="X296" s="11" t="str">
        <f t="shared" si="35"/>
        <v/>
      </c>
      <c r="Y296" s="11" t="str">
        <f t="shared" si="35"/>
        <v/>
      </c>
      <c r="Z296" s="11" t="str">
        <f t="shared" si="35"/>
        <v/>
      </c>
      <c r="AA296" s="11" t="str">
        <f t="shared" si="35"/>
        <v/>
      </c>
      <c r="AB296" s="11" t="str">
        <f t="shared" si="35"/>
        <v/>
      </c>
      <c r="AC296" s="11" t="str">
        <f t="shared" si="35"/>
        <v/>
      </c>
      <c r="AD296" s="11" t="str">
        <f t="shared" si="35"/>
        <v/>
      </c>
      <c r="AE296" s="12" t="s">
        <v>27</v>
      </c>
    </row>
    <row r="297" spans="1:31" ht="18" customHeight="1" thickTop="1" thickBot="1" x14ac:dyDescent="0.3">
      <c r="A297" s="4" t="s">
        <v>81</v>
      </c>
      <c r="B297" s="4" t="s">
        <v>945</v>
      </c>
      <c r="C297" s="5" t="s">
        <v>584</v>
      </c>
      <c r="D297" s="5" t="s">
        <v>42</v>
      </c>
      <c r="E297" s="5" t="s">
        <v>69</v>
      </c>
      <c r="F297" s="5" t="s">
        <v>591</v>
      </c>
      <c r="G297" s="5" t="s">
        <v>16</v>
      </c>
      <c r="H297" s="6" t="s">
        <v>586</v>
      </c>
      <c r="I297" s="7" t="s">
        <v>387</v>
      </c>
      <c r="J297" s="8">
        <v>1.6666666666666667</v>
      </c>
      <c r="K297" s="8">
        <v>1.145631067961165</v>
      </c>
      <c r="L297" s="8"/>
      <c r="M297" s="5"/>
      <c r="N297" s="8">
        <v>2.9756043159015308</v>
      </c>
      <c r="O297" s="9">
        <v>2.597349529981845</v>
      </c>
      <c r="P297" s="10" t="s">
        <v>31</v>
      </c>
      <c r="Q297" s="10">
        <f t="shared" si="29"/>
        <v>0</v>
      </c>
      <c r="R297" s="10">
        <f t="shared" si="30"/>
        <v>0</v>
      </c>
      <c r="S297" s="10">
        <f t="shared" si="31"/>
        <v>1</v>
      </c>
      <c r="T297" s="10">
        <f t="shared" si="32"/>
        <v>0</v>
      </c>
      <c r="U297" s="11" t="str">
        <f t="shared" si="33"/>
        <v/>
      </c>
      <c r="V297" s="11" t="str">
        <f t="shared" si="35"/>
        <v/>
      </c>
      <c r="W297" s="11">
        <f t="shared" si="35"/>
        <v>1</v>
      </c>
      <c r="X297" s="11" t="str">
        <f t="shared" si="35"/>
        <v/>
      </c>
      <c r="Y297" s="11" t="str">
        <f t="shared" si="35"/>
        <v/>
      </c>
      <c r="Z297" s="11" t="str">
        <f t="shared" si="35"/>
        <v/>
      </c>
      <c r="AA297" s="11" t="str">
        <f t="shared" si="35"/>
        <v/>
      </c>
      <c r="AB297" s="11" t="str">
        <f t="shared" si="35"/>
        <v/>
      </c>
      <c r="AC297" s="11">
        <f t="shared" si="35"/>
        <v>1</v>
      </c>
      <c r="AD297" s="11" t="str">
        <f t="shared" si="35"/>
        <v/>
      </c>
      <c r="AE297" s="12" t="s">
        <v>1013</v>
      </c>
    </row>
    <row r="298" spans="1:31" ht="18" customHeight="1" thickTop="1" thickBot="1" x14ac:dyDescent="0.3">
      <c r="A298" s="4" t="s">
        <v>81</v>
      </c>
      <c r="B298" s="4" t="s">
        <v>945</v>
      </c>
      <c r="C298" s="5" t="s">
        <v>584</v>
      </c>
      <c r="D298" s="5" t="s">
        <v>42</v>
      </c>
      <c r="E298" s="5" t="s">
        <v>71</v>
      </c>
      <c r="F298" s="5" t="s">
        <v>592</v>
      </c>
      <c r="G298" s="5" t="s">
        <v>16</v>
      </c>
      <c r="H298" s="6" t="s">
        <v>586</v>
      </c>
      <c r="I298" s="7" t="s">
        <v>387</v>
      </c>
      <c r="J298" s="8">
        <v>1</v>
      </c>
      <c r="K298" s="8">
        <v>0.99030303030303035</v>
      </c>
      <c r="L298" s="8"/>
      <c r="M298" s="5"/>
      <c r="N298" s="8">
        <v>1.8113250123404554</v>
      </c>
      <c r="O298" s="9">
        <v>1.8290613649704719</v>
      </c>
      <c r="P298" s="10" t="s">
        <v>31</v>
      </c>
      <c r="Q298" s="10">
        <f t="shared" si="29"/>
        <v>0</v>
      </c>
      <c r="R298" s="10">
        <f t="shared" si="30"/>
        <v>0</v>
      </c>
      <c r="S298" s="10">
        <f t="shared" si="31"/>
        <v>1</v>
      </c>
      <c r="T298" s="10">
        <f t="shared" si="32"/>
        <v>0</v>
      </c>
      <c r="U298" s="11" t="str">
        <f t="shared" si="33"/>
        <v/>
      </c>
      <c r="V298" s="11" t="str">
        <f t="shared" si="35"/>
        <v/>
      </c>
      <c r="W298" s="11">
        <f t="shared" si="35"/>
        <v>1</v>
      </c>
      <c r="X298" s="11" t="str">
        <f t="shared" si="35"/>
        <v/>
      </c>
      <c r="Y298" s="11" t="str">
        <f t="shared" si="35"/>
        <v/>
      </c>
      <c r="Z298" s="11" t="str">
        <f t="shared" si="35"/>
        <v/>
      </c>
      <c r="AA298" s="11" t="str">
        <f t="shared" si="35"/>
        <v/>
      </c>
      <c r="AB298" s="11" t="str">
        <f t="shared" si="35"/>
        <v/>
      </c>
      <c r="AC298" s="11">
        <f t="shared" si="35"/>
        <v>1</v>
      </c>
      <c r="AD298" s="11" t="str">
        <f t="shared" si="35"/>
        <v/>
      </c>
      <c r="AE298" s="12" t="s">
        <v>1013</v>
      </c>
    </row>
    <row r="299" spans="1:31" ht="18" customHeight="1" thickTop="1" thickBot="1" x14ac:dyDescent="0.3">
      <c r="A299" s="4" t="s">
        <v>81</v>
      </c>
      <c r="B299" s="4" t="s">
        <v>945</v>
      </c>
      <c r="C299" s="5" t="s">
        <v>584</v>
      </c>
      <c r="D299" s="5" t="s">
        <v>42</v>
      </c>
      <c r="E299" s="5" t="s">
        <v>141</v>
      </c>
      <c r="F299" s="5" t="s">
        <v>593</v>
      </c>
      <c r="G299" s="5" t="s">
        <v>16</v>
      </c>
      <c r="H299" s="6" t="s">
        <v>586</v>
      </c>
      <c r="I299" s="7" t="s">
        <v>387</v>
      </c>
      <c r="J299" s="8">
        <v>1</v>
      </c>
      <c r="K299" s="8">
        <v>1.1139896373056994</v>
      </c>
      <c r="L299" s="8"/>
      <c r="M299" s="5"/>
      <c r="N299" s="8">
        <v>1.1747392280731208</v>
      </c>
      <c r="O299" s="9">
        <v>1.0545333535726156</v>
      </c>
      <c r="P299" s="10" t="s">
        <v>27</v>
      </c>
      <c r="Q299" s="10">
        <f t="shared" si="29"/>
        <v>0</v>
      </c>
      <c r="R299" s="10">
        <f t="shared" si="30"/>
        <v>0</v>
      </c>
      <c r="S299" s="10">
        <f t="shared" si="31"/>
        <v>0</v>
      </c>
      <c r="T299" s="10">
        <f t="shared" si="32"/>
        <v>0</v>
      </c>
      <c r="U299" s="11" t="str">
        <f t="shared" si="33"/>
        <v/>
      </c>
      <c r="V299" s="11" t="str">
        <f t="shared" si="35"/>
        <v/>
      </c>
      <c r="W299" s="11" t="str">
        <f t="shared" si="35"/>
        <v/>
      </c>
      <c r="X299" s="11" t="str">
        <f t="shared" si="35"/>
        <v/>
      </c>
      <c r="Y299" s="11" t="str">
        <f t="shared" si="35"/>
        <v/>
      </c>
      <c r="Z299" s="11" t="str">
        <f t="shared" si="35"/>
        <v/>
      </c>
      <c r="AA299" s="11" t="str">
        <f t="shared" si="35"/>
        <v/>
      </c>
      <c r="AB299" s="11" t="str">
        <f t="shared" si="35"/>
        <v/>
      </c>
      <c r="AC299" s="11" t="str">
        <f t="shared" si="35"/>
        <v/>
      </c>
      <c r="AD299" s="11" t="str">
        <f t="shared" si="35"/>
        <v/>
      </c>
      <c r="AE299" s="12" t="s">
        <v>27</v>
      </c>
    </row>
    <row r="300" spans="1:31" ht="18" customHeight="1" thickTop="1" thickBot="1" x14ac:dyDescent="0.3">
      <c r="A300" s="4" t="s">
        <v>594</v>
      </c>
      <c r="B300" s="4" t="s">
        <v>946</v>
      </c>
      <c r="C300" s="5" t="s">
        <v>595</v>
      </c>
      <c r="D300" s="5" t="s">
        <v>26</v>
      </c>
      <c r="E300" s="5" t="s">
        <v>27</v>
      </c>
      <c r="F300" s="5" t="s">
        <v>596</v>
      </c>
      <c r="G300" s="5" t="s">
        <v>16</v>
      </c>
      <c r="H300" s="6" t="s">
        <v>126</v>
      </c>
      <c r="I300" s="7" t="s">
        <v>359</v>
      </c>
      <c r="J300" s="8" t="s">
        <v>27</v>
      </c>
      <c r="K300" s="8">
        <v>1</v>
      </c>
      <c r="L300" s="8"/>
      <c r="M300" s="5"/>
      <c r="N300" s="8">
        <v>1.1679032701291563</v>
      </c>
      <c r="O300" s="9">
        <v>1.1679032701291563</v>
      </c>
      <c r="P300" s="10" t="s">
        <v>27</v>
      </c>
      <c r="Q300" s="10">
        <f t="shared" si="29"/>
        <v>0</v>
      </c>
      <c r="R300" s="10">
        <f t="shared" si="30"/>
        <v>0</v>
      </c>
      <c r="S300" s="10">
        <f t="shared" si="31"/>
        <v>0</v>
      </c>
      <c r="T300" s="10">
        <f t="shared" si="32"/>
        <v>0</v>
      </c>
      <c r="U300" s="11" t="str">
        <f t="shared" si="33"/>
        <v/>
      </c>
      <c r="V300" s="11" t="str">
        <f t="shared" si="35"/>
        <v/>
      </c>
      <c r="W300" s="11" t="str">
        <f t="shared" si="35"/>
        <v/>
      </c>
      <c r="X300" s="11" t="str">
        <f t="shared" si="35"/>
        <v/>
      </c>
      <c r="Y300" s="11" t="str">
        <f t="shared" si="35"/>
        <v/>
      </c>
      <c r="Z300" s="11" t="str">
        <f t="shared" si="35"/>
        <v/>
      </c>
      <c r="AA300" s="11" t="str">
        <f t="shared" si="35"/>
        <v/>
      </c>
      <c r="AB300" s="11" t="str">
        <f t="shared" si="35"/>
        <v/>
      </c>
      <c r="AC300" s="11" t="str">
        <f t="shared" si="35"/>
        <v/>
      </c>
      <c r="AD300" s="11" t="str">
        <f t="shared" si="35"/>
        <v/>
      </c>
      <c r="AE300" s="12" t="s">
        <v>27</v>
      </c>
    </row>
    <row r="301" spans="1:31" ht="18" customHeight="1" thickTop="1" thickBot="1" x14ac:dyDescent="0.3">
      <c r="A301" s="4" t="s">
        <v>594</v>
      </c>
      <c r="B301" s="4" t="s">
        <v>946</v>
      </c>
      <c r="C301" s="5" t="s">
        <v>595</v>
      </c>
      <c r="D301" s="5" t="s">
        <v>42</v>
      </c>
      <c r="E301" s="5" t="s">
        <v>27</v>
      </c>
      <c r="F301" s="5" t="s">
        <v>597</v>
      </c>
      <c r="G301" s="5" t="s">
        <v>16</v>
      </c>
      <c r="H301" s="6" t="s">
        <v>126</v>
      </c>
      <c r="I301" s="7" t="s">
        <v>68</v>
      </c>
      <c r="J301" s="8" t="s">
        <v>27</v>
      </c>
      <c r="K301" s="8">
        <v>0.44333333333333336</v>
      </c>
      <c r="L301" s="8"/>
      <c r="M301" s="5"/>
      <c r="N301" s="8">
        <v>0.56481481481481477</v>
      </c>
      <c r="O301" s="9">
        <v>1.2740183792815372</v>
      </c>
      <c r="P301" s="10" t="s">
        <v>31</v>
      </c>
      <c r="Q301" s="10">
        <f t="shared" si="29"/>
        <v>0</v>
      </c>
      <c r="R301" s="10">
        <f t="shared" si="30"/>
        <v>1</v>
      </c>
      <c r="S301" s="10">
        <f t="shared" si="31"/>
        <v>0</v>
      </c>
      <c r="T301" s="10">
        <f t="shared" si="32"/>
        <v>0</v>
      </c>
      <c r="U301" s="11">
        <f t="shared" si="33"/>
        <v>1</v>
      </c>
      <c r="V301" s="11" t="str">
        <f t="shared" si="35"/>
        <v/>
      </c>
      <c r="W301" s="11">
        <f t="shared" si="35"/>
        <v>1</v>
      </c>
      <c r="X301" s="11" t="str">
        <f t="shared" si="35"/>
        <v/>
      </c>
      <c r="Y301" s="11" t="str">
        <f t="shared" si="35"/>
        <v/>
      </c>
      <c r="Z301" s="11" t="str">
        <f t="shared" si="35"/>
        <v/>
      </c>
      <c r="AA301" s="11" t="str">
        <f t="shared" si="35"/>
        <v/>
      </c>
      <c r="AB301" s="11" t="str">
        <f t="shared" si="35"/>
        <v/>
      </c>
      <c r="AC301" s="11" t="str">
        <f t="shared" si="35"/>
        <v/>
      </c>
      <c r="AD301" s="11">
        <f t="shared" si="35"/>
        <v>1</v>
      </c>
      <c r="AE301" s="12" t="s">
        <v>1015</v>
      </c>
    </row>
    <row r="302" spans="1:31" ht="18" customHeight="1" thickTop="1" thickBot="1" x14ac:dyDescent="0.3">
      <c r="A302" s="4" t="s">
        <v>81</v>
      </c>
      <c r="B302" s="4" t="s">
        <v>945</v>
      </c>
      <c r="C302" s="5" t="s">
        <v>598</v>
      </c>
      <c r="D302" s="5" t="s">
        <v>42</v>
      </c>
      <c r="E302" s="5" t="s">
        <v>27</v>
      </c>
      <c r="F302" s="5" t="s">
        <v>599</v>
      </c>
      <c r="G302" s="5" t="s">
        <v>16</v>
      </c>
      <c r="H302" s="6" t="s">
        <v>226</v>
      </c>
      <c r="I302" s="7" t="s">
        <v>359</v>
      </c>
      <c r="J302" s="8" t="s">
        <v>27</v>
      </c>
      <c r="K302" s="8">
        <v>0.95291268666756357</v>
      </c>
      <c r="L302" s="8"/>
      <c r="M302" s="5"/>
      <c r="N302" s="8">
        <v>1.4284530386740331</v>
      </c>
      <c r="O302" s="9">
        <v>1.4990387457947321</v>
      </c>
      <c r="P302" s="10" t="s">
        <v>27</v>
      </c>
      <c r="Q302" s="10">
        <f t="shared" si="29"/>
        <v>0</v>
      </c>
      <c r="R302" s="10">
        <f t="shared" si="30"/>
        <v>0</v>
      </c>
      <c r="S302" s="10">
        <f t="shared" si="31"/>
        <v>0</v>
      </c>
      <c r="T302" s="10">
        <f t="shared" si="32"/>
        <v>0</v>
      </c>
      <c r="U302" s="11" t="str">
        <f t="shared" si="33"/>
        <v/>
      </c>
      <c r="V302" s="11" t="str">
        <f t="shared" si="35"/>
        <v/>
      </c>
      <c r="W302" s="11" t="str">
        <f t="shared" si="35"/>
        <v/>
      </c>
      <c r="X302" s="11" t="str">
        <f t="shared" si="35"/>
        <v/>
      </c>
      <c r="Y302" s="11" t="str">
        <f t="shared" si="35"/>
        <v/>
      </c>
      <c r="Z302" s="11" t="str">
        <f t="shared" si="35"/>
        <v/>
      </c>
      <c r="AA302" s="11" t="str">
        <f t="shared" si="35"/>
        <v/>
      </c>
      <c r="AB302" s="11" t="str">
        <f t="shared" si="35"/>
        <v/>
      </c>
      <c r="AC302" s="11" t="str">
        <f t="shared" si="35"/>
        <v/>
      </c>
      <c r="AD302" s="11" t="str">
        <f t="shared" si="35"/>
        <v/>
      </c>
      <c r="AE302" s="12" t="s">
        <v>27</v>
      </c>
    </row>
    <row r="303" spans="1:31" ht="18" customHeight="1" thickTop="1" thickBot="1" x14ac:dyDescent="0.3">
      <c r="A303" s="4" t="s">
        <v>600</v>
      </c>
      <c r="B303" s="4" t="s">
        <v>949</v>
      </c>
      <c r="C303" s="5" t="s">
        <v>601</v>
      </c>
      <c r="D303" s="5" t="s">
        <v>26</v>
      </c>
      <c r="E303" s="5" t="s">
        <v>27</v>
      </c>
      <c r="F303" s="5" t="s">
        <v>602</v>
      </c>
      <c r="G303" s="5" t="s">
        <v>16</v>
      </c>
      <c r="H303" s="6" t="s">
        <v>52</v>
      </c>
      <c r="I303" s="7" t="s">
        <v>359</v>
      </c>
      <c r="J303" s="8">
        <v>1.5</v>
      </c>
      <c r="K303" s="8">
        <v>0.96078431372549022</v>
      </c>
      <c r="L303" s="8"/>
      <c r="M303" s="5"/>
      <c r="N303" s="8">
        <v>1.1416666666666666</v>
      </c>
      <c r="O303" s="9">
        <v>1.1882653061224488</v>
      </c>
      <c r="P303" s="10" t="s">
        <v>27</v>
      </c>
      <c r="Q303" s="10">
        <f t="shared" si="29"/>
        <v>0</v>
      </c>
      <c r="R303" s="10">
        <f t="shared" si="30"/>
        <v>0</v>
      </c>
      <c r="S303" s="10">
        <f t="shared" si="31"/>
        <v>0</v>
      </c>
      <c r="T303" s="10">
        <f t="shared" si="32"/>
        <v>0</v>
      </c>
      <c r="U303" s="11" t="str">
        <f t="shared" si="33"/>
        <v/>
      </c>
      <c r="V303" s="11" t="str">
        <f t="shared" si="35"/>
        <v/>
      </c>
      <c r="W303" s="11" t="str">
        <f t="shared" si="35"/>
        <v/>
      </c>
      <c r="X303" s="11" t="str">
        <f t="shared" si="35"/>
        <v/>
      </c>
      <c r="Y303" s="11" t="str">
        <f t="shared" si="35"/>
        <v/>
      </c>
      <c r="Z303" s="11" t="str">
        <f t="shared" si="35"/>
        <v/>
      </c>
      <c r="AA303" s="11" t="str">
        <f t="shared" si="35"/>
        <v/>
      </c>
      <c r="AB303" s="11" t="str">
        <f t="shared" si="35"/>
        <v/>
      </c>
      <c r="AC303" s="11" t="str">
        <f t="shared" si="35"/>
        <v/>
      </c>
      <c r="AD303" s="11" t="str">
        <f t="shared" si="35"/>
        <v/>
      </c>
      <c r="AE303" s="12" t="s">
        <v>27</v>
      </c>
    </row>
    <row r="304" spans="1:31" ht="18" customHeight="1" thickTop="1" thickBot="1" x14ac:dyDescent="0.3">
      <c r="A304" s="4" t="s">
        <v>600</v>
      </c>
      <c r="B304" s="4" t="s">
        <v>949</v>
      </c>
      <c r="C304" s="5" t="s">
        <v>601</v>
      </c>
      <c r="D304" s="5" t="s">
        <v>42</v>
      </c>
      <c r="E304" s="5" t="s">
        <v>27</v>
      </c>
      <c r="F304" s="5" t="s">
        <v>603</v>
      </c>
      <c r="G304" s="5" t="s">
        <v>16</v>
      </c>
      <c r="H304" s="6" t="s">
        <v>52</v>
      </c>
      <c r="I304" s="7" t="s">
        <v>68</v>
      </c>
      <c r="J304" s="8">
        <v>1</v>
      </c>
      <c r="K304" s="8">
        <v>1.0232558139534884</v>
      </c>
      <c r="L304" s="8"/>
      <c r="M304" s="5"/>
      <c r="N304" s="8">
        <v>1.4750000000000001</v>
      </c>
      <c r="O304" s="9">
        <v>1.4414772727272729</v>
      </c>
      <c r="P304" s="10" t="s">
        <v>27</v>
      </c>
      <c r="Q304" s="10">
        <f t="shared" si="29"/>
        <v>0</v>
      </c>
      <c r="R304" s="10">
        <f t="shared" si="30"/>
        <v>0</v>
      </c>
      <c r="S304" s="10">
        <f t="shared" si="31"/>
        <v>0</v>
      </c>
      <c r="T304" s="10">
        <f t="shared" si="32"/>
        <v>0</v>
      </c>
      <c r="U304" s="11" t="str">
        <f t="shared" si="33"/>
        <v/>
      </c>
      <c r="V304" s="11" t="str">
        <f t="shared" si="35"/>
        <v/>
      </c>
      <c r="W304" s="11" t="str">
        <f t="shared" si="35"/>
        <v/>
      </c>
      <c r="X304" s="11" t="str">
        <f t="shared" si="35"/>
        <v/>
      </c>
      <c r="Y304" s="11" t="str">
        <f t="shared" si="35"/>
        <v/>
      </c>
      <c r="Z304" s="11" t="str">
        <f t="shared" si="35"/>
        <v/>
      </c>
      <c r="AA304" s="11" t="str">
        <f t="shared" si="35"/>
        <v/>
      </c>
      <c r="AB304" s="11" t="str">
        <f t="shared" si="35"/>
        <v/>
      </c>
      <c r="AC304" s="11" t="str">
        <f t="shared" si="35"/>
        <v/>
      </c>
      <c r="AD304" s="11" t="str">
        <f t="shared" si="35"/>
        <v/>
      </c>
      <c r="AE304" s="12" t="s">
        <v>27</v>
      </c>
    </row>
    <row r="305" spans="1:31" ht="18" customHeight="1" thickTop="1" thickBot="1" x14ac:dyDescent="0.3">
      <c r="A305" s="4" t="s">
        <v>123</v>
      </c>
      <c r="B305" s="4" t="s">
        <v>948</v>
      </c>
      <c r="C305" s="5" t="s">
        <v>604</v>
      </c>
      <c r="D305" s="5" t="s">
        <v>26</v>
      </c>
      <c r="E305" s="5" t="s">
        <v>27</v>
      </c>
      <c r="F305" s="5" t="s">
        <v>605</v>
      </c>
      <c r="G305" s="5" t="s">
        <v>16</v>
      </c>
      <c r="H305" s="6" t="s">
        <v>98</v>
      </c>
      <c r="I305" s="7" t="s">
        <v>364</v>
      </c>
      <c r="J305" s="8" t="s">
        <v>27</v>
      </c>
      <c r="K305" s="8">
        <v>0.874</v>
      </c>
      <c r="L305" s="8"/>
      <c r="M305" s="5"/>
      <c r="N305" s="8">
        <v>1.3152161872761512</v>
      </c>
      <c r="O305" s="9">
        <v>1.5048240129017749</v>
      </c>
      <c r="P305" s="10" t="s">
        <v>31</v>
      </c>
      <c r="Q305" s="10">
        <f t="shared" si="29"/>
        <v>0</v>
      </c>
      <c r="R305" s="10">
        <f t="shared" si="30"/>
        <v>0</v>
      </c>
      <c r="S305" s="10">
        <f t="shared" si="31"/>
        <v>1</v>
      </c>
      <c r="T305" s="10">
        <f t="shared" si="32"/>
        <v>0</v>
      </c>
      <c r="U305" s="11">
        <f t="shared" si="33"/>
        <v>1</v>
      </c>
      <c r="V305" s="11" t="str">
        <f t="shared" si="35"/>
        <v/>
      </c>
      <c r="W305" s="11" t="str">
        <f t="shared" si="35"/>
        <v/>
      </c>
      <c r="X305" s="11" t="str">
        <f t="shared" si="35"/>
        <v/>
      </c>
      <c r="Y305" s="11" t="str">
        <f t="shared" si="35"/>
        <v/>
      </c>
      <c r="Z305" s="11" t="str">
        <f t="shared" si="35"/>
        <v/>
      </c>
      <c r="AA305" s="11" t="str">
        <f t="shared" si="35"/>
        <v/>
      </c>
      <c r="AB305" s="11" t="str">
        <f t="shared" si="35"/>
        <v/>
      </c>
      <c r="AC305" s="11" t="str">
        <f t="shared" si="35"/>
        <v/>
      </c>
      <c r="AD305" s="11" t="str">
        <f t="shared" si="35"/>
        <v/>
      </c>
      <c r="AE305" s="12" t="s">
        <v>1017</v>
      </c>
    </row>
    <row r="306" spans="1:31" ht="18" customHeight="1" thickTop="1" thickBot="1" x14ac:dyDescent="0.3">
      <c r="A306" s="4" t="s">
        <v>123</v>
      </c>
      <c r="B306" s="4" t="s">
        <v>948</v>
      </c>
      <c r="C306" s="5" t="s">
        <v>604</v>
      </c>
      <c r="D306" s="5" t="s">
        <v>26</v>
      </c>
      <c r="E306" s="5" t="s">
        <v>36</v>
      </c>
      <c r="F306" s="5" t="s">
        <v>606</v>
      </c>
      <c r="G306" s="5" t="s">
        <v>16</v>
      </c>
      <c r="H306" s="6" t="s">
        <v>98</v>
      </c>
      <c r="I306" s="7" t="s">
        <v>364</v>
      </c>
      <c r="J306" s="8" t="s">
        <v>27</v>
      </c>
      <c r="K306" s="8">
        <v>1</v>
      </c>
      <c r="L306" s="8"/>
      <c r="M306" s="5"/>
      <c r="N306" s="8">
        <v>1.4233797698364625</v>
      </c>
      <c r="O306" s="9">
        <v>1.4233797698364627</v>
      </c>
      <c r="P306" s="10" t="s">
        <v>27</v>
      </c>
      <c r="Q306" s="10">
        <f t="shared" si="29"/>
        <v>0</v>
      </c>
      <c r="R306" s="10">
        <f t="shared" si="30"/>
        <v>0</v>
      </c>
      <c r="S306" s="10">
        <f t="shared" si="31"/>
        <v>0</v>
      </c>
      <c r="T306" s="10">
        <f t="shared" si="32"/>
        <v>0</v>
      </c>
      <c r="U306" s="11" t="str">
        <f t="shared" si="33"/>
        <v/>
      </c>
      <c r="V306" s="11" t="str">
        <f t="shared" si="35"/>
        <v/>
      </c>
      <c r="W306" s="11" t="str">
        <f t="shared" si="35"/>
        <v/>
      </c>
      <c r="X306" s="11" t="str">
        <f t="shared" si="35"/>
        <v/>
      </c>
      <c r="Y306" s="11" t="str">
        <f t="shared" si="35"/>
        <v/>
      </c>
      <c r="Z306" s="11" t="str">
        <f t="shared" si="35"/>
        <v/>
      </c>
      <c r="AA306" s="11" t="str">
        <f t="shared" si="35"/>
        <v/>
      </c>
      <c r="AB306" s="11" t="str">
        <f t="shared" si="35"/>
        <v/>
      </c>
      <c r="AC306" s="11" t="str">
        <f t="shared" si="35"/>
        <v/>
      </c>
      <c r="AD306" s="11" t="str">
        <f t="shared" si="35"/>
        <v/>
      </c>
      <c r="AE306" s="12" t="s">
        <v>27</v>
      </c>
    </row>
    <row r="307" spans="1:31" ht="18" customHeight="1" thickTop="1" thickBot="1" x14ac:dyDescent="0.3">
      <c r="A307" s="4" t="s">
        <v>123</v>
      </c>
      <c r="B307" s="4" t="s">
        <v>948</v>
      </c>
      <c r="C307" s="5" t="s">
        <v>604</v>
      </c>
      <c r="D307" s="5" t="s">
        <v>26</v>
      </c>
      <c r="E307" s="5" t="s">
        <v>234</v>
      </c>
      <c r="F307" s="5" t="s">
        <v>607</v>
      </c>
      <c r="G307" s="5" t="s">
        <v>16</v>
      </c>
      <c r="H307" s="6" t="s">
        <v>98</v>
      </c>
      <c r="I307" s="7" t="s">
        <v>364</v>
      </c>
      <c r="J307" s="8" t="s">
        <v>27</v>
      </c>
      <c r="K307" s="8">
        <v>1</v>
      </c>
      <c r="L307" s="8"/>
      <c r="M307" s="5"/>
      <c r="N307" s="8">
        <v>1.9791967639410575</v>
      </c>
      <c r="O307" s="9">
        <v>1.9791967639410575</v>
      </c>
      <c r="P307" s="10" t="s">
        <v>31</v>
      </c>
      <c r="Q307" s="10">
        <f t="shared" si="29"/>
        <v>0</v>
      </c>
      <c r="R307" s="10">
        <f t="shared" si="30"/>
        <v>0</v>
      </c>
      <c r="S307" s="10">
        <f t="shared" si="31"/>
        <v>1</v>
      </c>
      <c r="T307" s="10">
        <f t="shared" si="32"/>
        <v>0</v>
      </c>
      <c r="U307" s="11">
        <f t="shared" si="33"/>
        <v>1</v>
      </c>
      <c r="V307" s="11" t="str">
        <f t="shared" si="35"/>
        <v/>
      </c>
      <c r="W307" s="11" t="str">
        <f t="shared" si="35"/>
        <v/>
      </c>
      <c r="X307" s="11" t="str">
        <f t="shared" si="35"/>
        <v/>
      </c>
      <c r="Y307" s="11" t="str">
        <f t="shared" si="35"/>
        <v/>
      </c>
      <c r="Z307" s="11" t="str">
        <f t="shared" si="35"/>
        <v/>
      </c>
      <c r="AA307" s="11" t="str">
        <f t="shared" si="35"/>
        <v/>
      </c>
      <c r="AB307" s="11" t="str">
        <f t="shared" si="35"/>
        <v/>
      </c>
      <c r="AC307" s="11" t="str">
        <f t="shared" si="35"/>
        <v/>
      </c>
      <c r="AD307" s="11" t="str">
        <f t="shared" si="35"/>
        <v/>
      </c>
      <c r="AE307" s="12" t="s">
        <v>1017</v>
      </c>
    </row>
    <row r="308" spans="1:31" ht="18" customHeight="1" thickTop="1" thickBot="1" x14ac:dyDescent="0.3">
      <c r="A308" s="4" t="s">
        <v>123</v>
      </c>
      <c r="B308" s="4" t="s">
        <v>948</v>
      </c>
      <c r="C308" s="5" t="s">
        <v>604</v>
      </c>
      <c r="D308" s="5" t="s">
        <v>26</v>
      </c>
      <c r="E308" s="5" t="s">
        <v>236</v>
      </c>
      <c r="F308" s="5" t="s">
        <v>608</v>
      </c>
      <c r="G308" s="5" t="s">
        <v>16</v>
      </c>
      <c r="H308" s="6" t="s">
        <v>98</v>
      </c>
      <c r="I308" s="7" t="s">
        <v>213</v>
      </c>
      <c r="J308" s="8" t="s">
        <v>27</v>
      </c>
      <c r="K308" s="8">
        <v>1</v>
      </c>
      <c r="L308" s="8"/>
      <c r="M308" s="5"/>
      <c r="N308" s="8">
        <v>0.17227235438884334</v>
      </c>
      <c r="O308" s="9">
        <v>0.17227235438884334</v>
      </c>
      <c r="P308" s="10" t="s">
        <v>31</v>
      </c>
      <c r="Q308" s="10">
        <f t="shared" si="29"/>
        <v>0</v>
      </c>
      <c r="R308" s="10">
        <f t="shared" si="30"/>
        <v>0</v>
      </c>
      <c r="S308" s="10">
        <f t="shared" si="31"/>
        <v>0</v>
      </c>
      <c r="T308" s="10">
        <f t="shared" si="32"/>
        <v>1</v>
      </c>
      <c r="U308" s="11" t="str">
        <f t="shared" si="33"/>
        <v/>
      </c>
      <c r="V308" s="11" t="str">
        <f t="shared" si="35"/>
        <v/>
      </c>
      <c r="W308" s="11" t="str">
        <f t="shared" si="35"/>
        <v/>
      </c>
      <c r="X308" s="11" t="str">
        <f t="shared" si="35"/>
        <v/>
      </c>
      <c r="Y308" s="11" t="str">
        <f t="shared" si="35"/>
        <v/>
      </c>
      <c r="Z308" s="11" t="str">
        <f t="shared" si="35"/>
        <v/>
      </c>
      <c r="AA308" s="11" t="str">
        <f t="shared" si="35"/>
        <v/>
      </c>
      <c r="AB308" s="11" t="str">
        <f t="shared" si="35"/>
        <v/>
      </c>
      <c r="AC308" s="11">
        <f t="shared" si="35"/>
        <v>1</v>
      </c>
      <c r="AD308" s="11" t="str">
        <f t="shared" si="35"/>
        <v/>
      </c>
      <c r="AE308" s="12" t="s">
        <v>982</v>
      </c>
    </row>
    <row r="309" spans="1:31" ht="18" customHeight="1" thickTop="1" thickBot="1" x14ac:dyDescent="0.3">
      <c r="A309" s="4" t="s">
        <v>123</v>
      </c>
      <c r="B309" s="4" t="s">
        <v>948</v>
      </c>
      <c r="C309" s="5" t="s">
        <v>604</v>
      </c>
      <c r="D309" s="5" t="s">
        <v>26</v>
      </c>
      <c r="E309" s="5" t="s">
        <v>40</v>
      </c>
      <c r="F309" s="5" t="s">
        <v>609</v>
      </c>
      <c r="G309" s="5" t="s">
        <v>16</v>
      </c>
      <c r="H309" s="6" t="s">
        <v>98</v>
      </c>
      <c r="I309" s="7" t="s">
        <v>364</v>
      </c>
      <c r="J309" s="8" t="s">
        <v>27</v>
      </c>
      <c r="K309" s="8">
        <v>1</v>
      </c>
      <c r="L309" s="8"/>
      <c r="M309" s="5"/>
      <c r="N309" s="8">
        <v>1.1487559555320275</v>
      </c>
      <c r="O309" s="9">
        <v>1.1487559555320277</v>
      </c>
      <c r="P309" s="10" t="s">
        <v>27</v>
      </c>
      <c r="Q309" s="10">
        <f t="shared" si="29"/>
        <v>0</v>
      </c>
      <c r="R309" s="10">
        <f t="shared" si="30"/>
        <v>0</v>
      </c>
      <c r="S309" s="10">
        <f t="shared" si="31"/>
        <v>0</v>
      </c>
      <c r="T309" s="10">
        <f t="shared" si="32"/>
        <v>0</v>
      </c>
      <c r="U309" s="11" t="str">
        <f t="shared" si="33"/>
        <v/>
      </c>
      <c r="V309" s="11" t="str">
        <f t="shared" si="35"/>
        <v/>
      </c>
      <c r="W309" s="11" t="str">
        <f t="shared" si="35"/>
        <v/>
      </c>
      <c r="X309" s="11" t="str">
        <f t="shared" si="35"/>
        <v/>
      </c>
      <c r="Y309" s="11" t="str">
        <f t="shared" si="35"/>
        <v/>
      </c>
      <c r="Z309" s="11" t="str">
        <f t="shared" si="35"/>
        <v/>
      </c>
      <c r="AA309" s="11" t="str">
        <f t="shared" si="35"/>
        <v/>
      </c>
      <c r="AB309" s="11" t="str">
        <f t="shared" si="35"/>
        <v/>
      </c>
      <c r="AC309" s="11" t="str">
        <f t="shared" si="35"/>
        <v/>
      </c>
      <c r="AD309" s="11" t="str">
        <f t="shared" si="35"/>
        <v/>
      </c>
      <c r="AE309" s="12" t="s">
        <v>27</v>
      </c>
    </row>
    <row r="310" spans="1:31" ht="18" customHeight="1" thickTop="1" thickBot="1" x14ac:dyDescent="0.3">
      <c r="A310" s="4" t="s">
        <v>123</v>
      </c>
      <c r="B310" s="4" t="s">
        <v>948</v>
      </c>
      <c r="C310" s="5" t="s">
        <v>604</v>
      </c>
      <c r="D310" s="5" t="s">
        <v>26</v>
      </c>
      <c r="E310" s="5" t="s">
        <v>69</v>
      </c>
      <c r="F310" s="5" t="s">
        <v>610</v>
      </c>
      <c r="G310" s="5" t="s">
        <v>16</v>
      </c>
      <c r="H310" s="6" t="s">
        <v>98</v>
      </c>
      <c r="I310" s="7" t="s">
        <v>364</v>
      </c>
      <c r="J310" s="8" t="s">
        <v>27</v>
      </c>
      <c r="K310" s="8">
        <v>1</v>
      </c>
      <c r="L310" s="8"/>
      <c r="M310" s="5"/>
      <c r="N310" s="8">
        <v>1.089727568107973</v>
      </c>
      <c r="O310" s="9">
        <v>1.089727568107973</v>
      </c>
      <c r="P310" s="10" t="s">
        <v>27</v>
      </c>
      <c r="Q310" s="10">
        <f t="shared" si="29"/>
        <v>0</v>
      </c>
      <c r="R310" s="10">
        <f t="shared" si="30"/>
        <v>0</v>
      </c>
      <c r="S310" s="10">
        <f t="shared" si="31"/>
        <v>0</v>
      </c>
      <c r="T310" s="10">
        <f t="shared" si="32"/>
        <v>0</v>
      </c>
      <c r="U310" s="11" t="str">
        <f t="shared" si="33"/>
        <v/>
      </c>
      <c r="V310" s="11" t="str">
        <f t="shared" si="35"/>
        <v/>
      </c>
      <c r="W310" s="11" t="str">
        <f t="shared" si="35"/>
        <v/>
      </c>
      <c r="X310" s="11" t="str">
        <f t="shared" si="35"/>
        <v/>
      </c>
      <c r="Y310" s="11" t="str">
        <f t="shared" si="35"/>
        <v/>
      </c>
      <c r="Z310" s="11" t="str">
        <f t="shared" si="35"/>
        <v/>
      </c>
      <c r="AA310" s="11" t="str">
        <f t="shared" si="35"/>
        <v/>
      </c>
      <c r="AB310" s="11" t="str">
        <f t="shared" si="35"/>
        <v/>
      </c>
      <c r="AC310" s="11" t="str">
        <f t="shared" si="35"/>
        <v/>
      </c>
      <c r="AD310" s="11" t="str">
        <f t="shared" si="35"/>
        <v/>
      </c>
      <c r="AE310" s="12" t="s">
        <v>27</v>
      </c>
    </row>
    <row r="311" spans="1:31" ht="18" customHeight="1" thickTop="1" thickBot="1" x14ac:dyDescent="0.3">
      <c r="A311" s="4" t="s">
        <v>123</v>
      </c>
      <c r="B311" s="4" t="s">
        <v>948</v>
      </c>
      <c r="C311" s="5" t="s">
        <v>604</v>
      </c>
      <c r="D311" s="5" t="s">
        <v>26</v>
      </c>
      <c r="E311" s="5" t="s">
        <v>71</v>
      </c>
      <c r="F311" s="5" t="s">
        <v>611</v>
      </c>
      <c r="G311" s="5" t="s">
        <v>16</v>
      </c>
      <c r="H311" s="6" t="s">
        <v>98</v>
      </c>
      <c r="I311" s="7" t="s">
        <v>364</v>
      </c>
      <c r="J311" s="8" t="s">
        <v>27</v>
      </c>
      <c r="K311" s="8">
        <v>1</v>
      </c>
      <c r="L311" s="8"/>
      <c r="M311" s="5"/>
      <c r="N311" s="8">
        <v>0.80645161290322587</v>
      </c>
      <c r="O311" s="9">
        <v>0.80645161290322576</v>
      </c>
      <c r="P311" s="10" t="s">
        <v>27</v>
      </c>
      <c r="Q311" s="10">
        <f t="shared" si="29"/>
        <v>0</v>
      </c>
      <c r="R311" s="10">
        <f t="shared" si="30"/>
        <v>0</v>
      </c>
      <c r="S311" s="10">
        <f t="shared" si="31"/>
        <v>0</v>
      </c>
      <c r="T311" s="10">
        <f t="shared" si="32"/>
        <v>0</v>
      </c>
      <c r="U311" s="11" t="str">
        <f t="shared" si="33"/>
        <v/>
      </c>
      <c r="V311" s="11" t="str">
        <f t="shared" si="35"/>
        <v/>
      </c>
      <c r="W311" s="11" t="str">
        <f t="shared" si="35"/>
        <v/>
      </c>
      <c r="X311" s="11" t="str">
        <f t="shared" si="35"/>
        <v/>
      </c>
      <c r="Y311" s="11" t="str">
        <f t="shared" si="35"/>
        <v/>
      </c>
      <c r="Z311" s="11" t="str">
        <f t="shared" si="35"/>
        <v/>
      </c>
      <c r="AA311" s="11" t="str">
        <f t="shared" si="35"/>
        <v/>
      </c>
      <c r="AB311" s="11" t="str">
        <f t="shared" si="35"/>
        <v/>
      </c>
      <c r="AC311" s="11" t="str">
        <f t="shared" si="35"/>
        <v/>
      </c>
      <c r="AD311" s="11" t="str">
        <f t="shared" si="35"/>
        <v/>
      </c>
      <c r="AE311" s="12" t="s">
        <v>27</v>
      </c>
    </row>
    <row r="312" spans="1:31" ht="18" customHeight="1" thickTop="1" thickBot="1" x14ac:dyDescent="0.3">
      <c r="A312" s="4" t="s">
        <v>123</v>
      </c>
      <c r="B312" s="4" t="s">
        <v>948</v>
      </c>
      <c r="C312" s="5" t="s">
        <v>604</v>
      </c>
      <c r="D312" s="5" t="s">
        <v>26</v>
      </c>
      <c r="E312" s="5" t="s">
        <v>141</v>
      </c>
      <c r="F312" s="5" t="s">
        <v>612</v>
      </c>
      <c r="G312" s="5" t="s">
        <v>16</v>
      </c>
      <c r="H312" s="6" t="s">
        <v>98</v>
      </c>
      <c r="I312" s="7" t="s">
        <v>364</v>
      </c>
      <c r="J312" s="8" t="s">
        <v>27</v>
      </c>
      <c r="K312" s="8">
        <v>1</v>
      </c>
      <c r="L312" s="8"/>
      <c r="M312" s="5"/>
      <c r="N312" s="8">
        <v>1.1597938144329898</v>
      </c>
      <c r="O312" s="9">
        <v>1.1597938144329898</v>
      </c>
      <c r="P312" s="10" t="s">
        <v>27</v>
      </c>
      <c r="Q312" s="10">
        <f t="shared" si="29"/>
        <v>0</v>
      </c>
      <c r="R312" s="10">
        <f t="shared" si="30"/>
        <v>0</v>
      </c>
      <c r="S312" s="10">
        <f t="shared" si="31"/>
        <v>0</v>
      </c>
      <c r="T312" s="10">
        <f t="shared" si="32"/>
        <v>0</v>
      </c>
      <c r="U312" s="11" t="str">
        <f t="shared" si="33"/>
        <v/>
      </c>
      <c r="V312" s="11" t="str">
        <f t="shared" si="35"/>
        <v/>
      </c>
      <c r="W312" s="11" t="str">
        <f t="shared" si="35"/>
        <v/>
      </c>
      <c r="X312" s="11" t="str">
        <f t="shared" si="35"/>
        <v/>
      </c>
      <c r="Y312" s="11" t="str">
        <f t="shared" si="35"/>
        <v/>
      </c>
      <c r="Z312" s="11" t="str">
        <f t="shared" si="35"/>
        <v/>
      </c>
      <c r="AA312" s="11" t="str">
        <f t="shared" si="35"/>
        <v/>
      </c>
      <c r="AB312" s="11" t="str">
        <f t="shared" si="35"/>
        <v/>
      </c>
      <c r="AC312" s="11" t="str">
        <f t="shared" si="35"/>
        <v/>
      </c>
      <c r="AD312" s="11" t="str">
        <f t="shared" si="35"/>
        <v/>
      </c>
      <c r="AE312" s="12" t="s">
        <v>27</v>
      </c>
    </row>
    <row r="313" spans="1:31" ht="18" customHeight="1" thickTop="1" thickBot="1" x14ac:dyDescent="0.3">
      <c r="A313" s="4" t="s">
        <v>123</v>
      </c>
      <c r="B313" s="4" t="s">
        <v>948</v>
      </c>
      <c r="C313" s="5" t="s">
        <v>604</v>
      </c>
      <c r="D313" s="5" t="s">
        <v>26</v>
      </c>
      <c r="E313" s="5" t="s">
        <v>143</v>
      </c>
      <c r="F313" s="5" t="s">
        <v>613</v>
      </c>
      <c r="G313" s="5" t="s">
        <v>16</v>
      </c>
      <c r="H313" s="6" t="s">
        <v>98</v>
      </c>
      <c r="I313" s="7" t="s">
        <v>364</v>
      </c>
      <c r="J313" s="8" t="s">
        <v>27</v>
      </c>
      <c r="K313" s="8">
        <v>1</v>
      </c>
      <c r="L313" s="8"/>
      <c r="M313" s="5"/>
      <c r="N313" s="8">
        <v>0.93722755013077585</v>
      </c>
      <c r="O313" s="9">
        <v>0.93722755013077585</v>
      </c>
      <c r="P313" s="10" t="s">
        <v>27</v>
      </c>
      <c r="Q313" s="10">
        <f t="shared" si="29"/>
        <v>0</v>
      </c>
      <c r="R313" s="10">
        <f t="shared" si="30"/>
        <v>0</v>
      </c>
      <c r="S313" s="10">
        <f t="shared" si="31"/>
        <v>0</v>
      </c>
      <c r="T313" s="10">
        <f t="shared" si="32"/>
        <v>0</v>
      </c>
      <c r="U313" s="11" t="str">
        <f t="shared" si="33"/>
        <v/>
      </c>
      <c r="V313" s="11" t="str">
        <f t="shared" si="35"/>
        <v/>
      </c>
      <c r="W313" s="11" t="str">
        <f t="shared" si="35"/>
        <v/>
      </c>
      <c r="X313" s="11" t="str">
        <f t="shared" si="35"/>
        <v/>
      </c>
      <c r="Y313" s="11" t="str">
        <f t="shared" si="35"/>
        <v/>
      </c>
      <c r="Z313" s="11" t="str">
        <f t="shared" si="35"/>
        <v/>
      </c>
      <c r="AA313" s="11" t="str">
        <f t="shared" si="35"/>
        <v/>
      </c>
      <c r="AB313" s="11" t="str">
        <f t="shared" si="35"/>
        <v/>
      </c>
      <c r="AC313" s="11" t="str">
        <f t="shared" si="35"/>
        <v/>
      </c>
      <c r="AD313" s="11" t="str">
        <f t="shared" si="35"/>
        <v/>
      </c>
      <c r="AE313" s="12" t="s">
        <v>27</v>
      </c>
    </row>
    <row r="314" spans="1:31" ht="18" customHeight="1" thickTop="1" thickBot="1" x14ac:dyDescent="0.3">
      <c r="A314" s="4" t="s">
        <v>123</v>
      </c>
      <c r="B314" s="4" t="s">
        <v>948</v>
      </c>
      <c r="C314" s="5" t="s">
        <v>604</v>
      </c>
      <c r="D314" s="5" t="s">
        <v>26</v>
      </c>
      <c r="E314" s="5" t="s">
        <v>245</v>
      </c>
      <c r="F314" s="5" t="s">
        <v>614</v>
      </c>
      <c r="G314" s="5" t="s">
        <v>16</v>
      </c>
      <c r="H314" s="6" t="s">
        <v>98</v>
      </c>
      <c r="I314" s="7" t="s">
        <v>364</v>
      </c>
      <c r="J314" s="8" t="s">
        <v>27</v>
      </c>
      <c r="K314" s="8">
        <v>1</v>
      </c>
      <c r="L314" s="8"/>
      <c r="M314" s="5"/>
      <c r="N314" s="8">
        <v>0.57199211045364884</v>
      </c>
      <c r="O314" s="9">
        <v>0.57199211045364884</v>
      </c>
      <c r="P314" s="10" t="s">
        <v>27</v>
      </c>
      <c r="Q314" s="10">
        <f t="shared" si="29"/>
        <v>0</v>
      </c>
      <c r="R314" s="10">
        <f t="shared" si="30"/>
        <v>0</v>
      </c>
      <c r="S314" s="10">
        <f t="shared" si="31"/>
        <v>0</v>
      </c>
      <c r="T314" s="10">
        <f t="shared" si="32"/>
        <v>0</v>
      </c>
      <c r="U314" s="11" t="str">
        <f t="shared" si="33"/>
        <v/>
      </c>
      <c r="V314" s="11" t="str">
        <f t="shared" si="35"/>
        <v/>
      </c>
      <c r="W314" s="11" t="str">
        <f t="shared" si="35"/>
        <v/>
      </c>
      <c r="X314" s="11" t="str">
        <f t="shared" si="35"/>
        <v/>
      </c>
      <c r="Y314" s="11" t="str">
        <f t="shared" si="35"/>
        <v/>
      </c>
      <c r="Z314" s="11" t="str">
        <f t="shared" si="35"/>
        <v/>
      </c>
      <c r="AA314" s="11" t="str">
        <f t="shared" si="35"/>
        <v/>
      </c>
      <c r="AB314" s="11" t="str">
        <f t="shared" si="35"/>
        <v/>
      </c>
      <c r="AC314" s="11" t="str">
        <f t="shared" si="35"/>
        <v/>
      </c>
      <c r="AD314" s="11" t="str">
        <f t="shared" si="35"/>
        <v/>
      </c>
      <c r="AE314" s="12" t="s">
        <v>27</v>
      </c>
    </row>
    <row r="315" spans="1:31" ht="18" customHeight="1" thickTop="1" thickBot="1" x14ac:dyDescent="0.3">
      <c r="A315" s="4" t="s">
        <v>123</v>
      </c>
      <c r="B315" s="4" t="s">
        <v>948</v>
      </c>
      <c r="C315" s="5" t="s">
        <v>604</v>
      </c>
      <c r="D315" s="5" t="s">
        <v>26</v>
      </c>
      <c r="E315" s="5" t="s">
        <v>247</v>
      </c>
      <c r="F315" s="5" t="s">
        <v>615</v>
      </c>
      <c r="G315" s="5" t="s">
        <v>16</v>
      </c>
      <c r="H315" s="6" t="s">
        <v>98</v>
      </c>
      <c r="I315" s="7" t="s">
        <v>364</v>
      </c>
      <c r="J315" s="8" t="s">
        <v>27</v>
      </c>
      <c r="K315" s="8">
        <v>1</v>
      </c>
      <c r="L315" s="8"/>
      <c r="M315" s="5"/>
      <c r="N315" s="8">
        <v>0.38756295160937154</v>
      </c>
      <c r="O315" s="9">
        <v>0.38756295160937149</v>
      </c>
      <c r="P315" s="10" t="s">
        <v>31</v>
      </c>
      <c r="Q315" s="10">
        <f t="shared" si="29"/>
        <v>0</v>
      </c>
      <c r="R315" s="10">
        <f t="shared" si="30"/>
        <v>0</v>
      </c>
      <c r="S315" s="10">
        <f t="shared" si="31"/>
        <v>0</v>
      </c>
      <c r="T315" s="10">
        <f t="shared" si="32"/>
        <v>1</v>
      </c>
      <c r="U315" s="11" t="str">
        <f t="shared" si="33"/>
        <v/>
      </c>
      <c r="V315" s="11" t="str">
        <f t="shared" si="35"/>
        <v/>
      </c>
      <c r="W315" s="11" t="str">
        <f t="shared" si="35"/>
        <v/>
      </c>
      <c r="X315" s="11" t="str">
        <f t="shared" si="35"/>
        <v/>
      </c>
      <c r="Y315" s="11" t="str">
        <f t="shared" si="35"/>
        <v/>
      </c>
      <c r="Z315" s="11" t="str">
        <f t="shared" si="35"/>
        <v/>
      </c>
      <c r="AA315" s="11" t="str">
        <f t="shared" si="35"/>
        <v/>
      </c>
      <c r="AB315" s="11" t="str">
        <f t="shared" si="35"/>
        <v/>
      </c>
      <c r="AC315" s="11">
        <f t="shared" si="35"/>
        <v>1</v>
      </c>
      <c r="AD315" s="11" t="str">
        <f t="shared" si="35"/>
        <v/>
      </c>
      <c r="AE315" s="12" t="s">
        <v>982</v>
      </c>
    </row>
    <row r="316" spans="1:31" ht="18" customHeight="1" thickTop="1" thickBot="1" x14ac:dyDescent="0.3">
      <c r="A316" s="4" t="s">
        <v>123</v>
      </c>
      <c r="B316" s="4" t="s">
        <v>948</v>
      </c>
      <c r="C316" s="5" t="s">
        <v>604</v>
      </c>
      <c r="D316" s="5" t="s">
        <v>26</v>
      </c>
      <c r="E316" s="5" t="s">
        <v>249</v>
      </c>
      <c r="F316" s="5" t="s">
        <v>616</v>
      </c>
      <c r="G316" s="5" t="s">
        <v>16</v>
      </c>
      <c r="H316" s="6" t="s">
        <v>98</v>
      </c>
      <c r="I316" s="7" t="s">
        <v>364</v>
      </c>
      <c r="J316" s="8" t="s">
        <v>27</v>
      </c>
      <c r="K316" s="8">
        <v>1</v>
      </c>
      <c r="L316" s="8"/>
      <c r="M316" s="5"/>
      <c r="N316" s="8">
        <v>9.8834498834498827</v>
      </c>
      <c r="O316" s="9">
        <v>9.8834498834498827</v>
      </c>
      <c r="P316" s="10" t="s">
        <v>31</v>
      </c>
      <c r="Q316" s="10">
        <f t="shared" si="29"/>
        <v>0</v>
      </c>
      <c r="R316" s="10">
        <f t="shared" si="30"/>
        <v>0</v>
      </c>
      <c r="S316" s="10">
        <f t="shared" si="31"/>
        <v>1</v>
      </c>
      <c r="T316" s="10">
        <f t="shared" si="32"/>
        <v>0</v>
      </c>
      <c r="U316" s="11">
        <f t="shared" si="33"/>
        <v>1</v>
      </c>
      <c r="V316" s="11" t="str">
        <f t="shared" si="35"/>
        <v/>
      </c>
      <c r="W316" s="11" t="str">
        <f t="shared" si="35"/>
        <v/>
      </c>
      <c r="X316" s="11" t="str">
        <f t="shared" si="35"/>
        <v/>
      </c>
      <c r="Y316" s="11" t="str">
        <f t="shared" si="35"/>
        <v/>
      </c>
      <c r="Z316" s="11" t="str">
        <f t="shared" si="35"/>
        <v/>
      </c>
      <c r="AA316" s="11" t="str">
        <f t="shared" si="35"/>
        <v/>
      </c>
      <c r="AB316" s="11" t="str">
        <f t="shared" si="35"/>
        <v/>
      </c>
      <c r="AC316" s="11" t="str">
        <f t="shared" si="35"/>
        <v/>
      </c>
      <c r="AD316" s="11" t="str">
        <f t="shared" si="35"/>
        <v/>
      </c>
      <c r="AE316" s="12" t="s">
        <v>1020</v>
      </c>
    </row>
    <row r="317" spans="1:31" ht="18" customHeight="1" thickTop="1" thickBot="1" x14ac:dyDescent="0.3">
      <c r="A317" s="4" t="s">
        <v>123</v>
      </c>
      <c r="B317" s="4" t="s">
        <v>948</v>
      </c>
      <c r="C317" s="5" t="s">
        <v>604</v>
      </c>
      <c r="D317" s="5" t="s">
        <v>42</v>
      </c>
      <c r="E317" s="5" t="s">
        <v>27</v>
      </c>
      <c r="F317" s="5" t="s">
        <v>617</v>
      </c>
      <c r="G317" s="5" t="s">
        <v>16</v>
      </c>
      <c r="H317" s="6" t="s">
        <v>98</v>
      </c>
      <c r="I317" s="7" t="s">
        <v>68</v>
      </c>
      <c r="J317" s="8" t="s">
        <v>27</v>
      </c>
      <c r="K317" s="8">
        <v>0.96153846153846156</v>
      </c>
      <c r="L317" s="8"/>
      <c r="M317" s="5"/>
      <c r="N317" s="8">
        <v>1.74141524958859</v>
      </c>
      <c r="O317" s="9">
        <v>1.8110718595721336</v>
      </c>
      <c r="P317" s="10" t="s">
        <v>31</v>
      </c>
      <c r="Q317" s="10">
        <f t="shared" si="29"/>
        <v>0</v>
      </c>
      <c r="R317" s="10">
        <f t="shared" si="30"/>
        <v>0</v>
      </c>
      <c r="S317" s="10">
        <f t="shared" si="31"/>
        <v>1</v>
      </c>
      <c r="T317" s="10">
        <f t="shared" si="32"/>
        <v>0</v>
      </c>
      <c r="U317" s="11">
        <f t="shared" si="33"/>
        <v>1</v>
      </c>
      <c r="V317" s="11" t="str">
        <f t="shared" si="35"/>
        <v/>
      </c>
      <c r="W317" s="11" t="str">
        <f t="shared" si="35"/>
        <v/>
      </c>
      <c r="X317" s="11" t="str">
        <f t="shared" si="35"/>
        <v/>
      </c>
      <c r="Y317" s="11" t="str">
        <f t="shared" si="35"/>
        <v/>
      </c>
      <c r="Z317" s="11" t="str">
        <f t="shared" si="35"/>
        <v/>
      </c>
      <c r="AA317" s="11" t="str">
        <f t="shared" si="35"/>
        <v/>
      </c>
      <c r="AB317" s="11" t="str">
        <f t="shared" si="35"/>
        <v/>
      </c>
      <c r="AC317" s="11" t="str">
        <f t="shared" si="35"/>
        <v/>
      </c>
      <c r="AD317" s="11" t="str">
        <f t="shared" si="35"/>
        <v/>
      </c>
      <c r="AE317" s="12" t="s">
        <v>1020</v>
      </c>
    </row>
    <row r="318" spans="1:31" ht="18" customHeight="1" thickTop="1" thickBot="1" x14ac:dyDescent="0.3">
      <c r="A318" s="4" t="s">
        <v>81</v>
      </c>
      <c r="B318" s="4" t="s">
        <v>945</v>
      </c>
      <c r="C318" s="5" t="s">
        <v>618</v>
      </c>
      <c r="D318" s="5" t="s">
        <v>26</v>
      </c>
      <c r="E318" s="5" t="s">
        <v>27</v>
      </c>
      <c r="F318" s="5" t="s">
        <v>619</v>
      </c>
      <c r="G318" s="5" t="s">
        <v>16</v>
      </c>
      <c r="H318" s="6" t="s">
        <v>620</v>
      </c>
      <c r="I318" s="7" t="s">
        <v>111</v>
      </c>
      <c r="J318" s="8">
        <v>1</v>
      </c>
      <c r="K318" s="8">
        <v>1</v>
      </c>
      <c r="L318" s="8"/>
      <c r="M318" s="5"/>
      <c r="N318" s="8">
        <v>1.5874406645569621</v>
      </c>
      <c r="O318" s="9">
        <v>1.5874406645569621</v>
      </c>
      <c r="P318" s="10" t="s">
        <v>31</v>
      </c>
      <c r="Q318" s="10">
        <f t="shared" si="29"/>
        <v>0</v>
      </c>
      <c r="R318" s="10">
        <f t="shared" si="30"/>
        <v>0</v>
      </c>
      <c r="S318" s="10">
        <f t="shared" si="31"/>
        <v>1</v>
      </c>
      <c r="T318" s="10">
        <f t="shared" si="32"/>
        <v>0</v>
      </c>
      <c r="U318" s="11">
        <f t="shared" si="33"/>
        <v>1</v>
      </c>
      <c r="V318" s="11" t="str">
        <f t="shared" si="35"/>
        <v/>
      </c>
      <c r="W318" s="11" t="str">
        <f t="shared" si="35"/>
        <v/>
      </c>
      <c r="X318" s="11" t="str">
        <f t="shared" si="35"/>
        <v/>
      </c>
      <c r="Y318" s="11" t="str">
        <f t="shared" si="35"/>
        <v/>
      </c>
      <c r="Z318" s="11" t="str">
        <f t="shared" si="35"/>
        <v/>
      </c>
      <c r="AA318" s="11" t="str">
        <f t="shared" si="35"/>
        <v/>
      </c>
      <c r="AB318" s="11" t="str">
        <f t="shared" si="35"/>
        <v/>
      </c>
      <c r="AC318" s="11">
        <f t="shared" si="35"/>
        <v>1</v>
      </c>
      <c r="AD318" s="11" t="str">
        <f t="shared" si="35"/>
        <v/>
      </c>
      <c r="AE318" s="12" t="s">
        <v>1022</v>
      </c>
    </row>
    <row r="319" spans="1:31" ht="18" customHeight="1" thickTop="1" thickBot="1" x14ac:dyDescent="0.3">
      <c r="A319" s="4" t="s">
        <v>81</v>
      </c>
      <c r="B319" s="4" t="s">
        <v>945</v>
      </c>
      <c r="C319" s="5" t="s">
        <v>618</v>
      </c>
      <c r="D319" s="5" t="s">
        <v>42</v>
      </c>
      <c r="E319" s="5" t="s">
        <v>27</v>
      </c>
      <c r="F319" s="5" t="s">
        <v>621</v>
      </c>
      <c r="G319" s="5" t="s">
        <v>16</v>
      </c>
      <c r="H319" s="6" t="s">
        <v>620</v>
      </c>
      <c r="I319" s="7" t="s">
        <v>387</v>
      </c>
      <c r="J319" s="8" t="s">
        <v>27</v>
      </c>
      <c r="K319" s="8">
        <v>1</v>
      </c>
      <c r="L319" s="8"/>
      <c r="M319" s="5"/>
      <c r="N319" s="8">
        <v>0.63444108761329299</v>
      </c>
      <c r="O319" s="9">
        <v>0.63444108761329299</v>
      </c>
      <c r="P319" s="10" t="s">
        <v>27</v>
      </c>
      <c r="Q319" s="10">
        <f t="shared" si="29"/>
        <v>0</v>
      </c>
      <c r="R319" s="10">
        <f t="shared" si="30"/>
        <v>0</v>
      </c>
      <c r="S319" s="10">
        <f t="shared" si="31"/>
        <v>0</v>
      </c>
      <c r="T319" s="10">
        <f t="shared" si="32"/>
        <v>0</v>
      </c>
      <c r="U319" s="11" t="str">
        <f t="shared" si="33"/>
        <v/>
      </c>
      <c r="V319" s="11" t="str">
        <f t="shared" si="35"/>
        <v/>
      </c>
      <c r="W319" s="11" t="str">
        <f t="shared" si="35"/>
        <v/>
      </c>
      <c r="X319" s="11" t="str">
        <f t="shared" si="35"/>
        <v/>
      </c>
      <c r="Y319" s="11" t="str">
        <f t="shared" si="35"/>
        <v/>
      </c>
      <c r="Z319" s="11" t="str">
        <f t="shared" si="35"/>
        <v/>
      </c>
      <c r="AA319" s="11" t="str">
        <f t="shared" si="35"/>
        <v/>
      </c>
      <c r="AB319" s="11" t="str">
        <f t="shared" si="35"/>
        <v/>
      </c>
      <c r="AC319" s="11" t="str">
        <f t="shared" si="35"/>
        <v/>
      </c>
      <c r="AD319" s="11" t="str">
        <f t="shared" si="35"/>
        <v/>
      </c>
      <c r="AE319" s="12" t="s">
        <v>27</v>
      </c>
    </row>
    <row r="320" spans="1:31" ht="18" customHeight="1" thickTop="1" thickBot="1" x14ac:dyDescent="0.3">
      <c r="A320" s="4" t="s">
        <v>81</v>
      </c>
      <c r="B320" s="4" t="s">
        <v>945</v>
      </c>
      <c r="C320" s="5" t="s">
        <v>622</v>
      </c>
      <c r="D320" s="5" t="s">
        <v>26</v>
      </c>
      <c r="E320" s="5" t="s">
        <v>27</v>
      </c>
      <c r="F320" s="5" t="s">
        <v>623</v>
      </c>
      <c r="G320" s="5" t="s">
        <v>16</v>
      </c>
      <c r="H320" s="6" t="s">
        <v>620</v>
      </c>
      <c r="I320" s="7" t="s">
        <v>111</v>
      </c>
      <c r="J320" s="8" t="s">
        <v>27</v>
      </c>
      <c r="K320" s="8">
        <v>1</v>
      </c>
      <c r="L320" s="8"/>
      <c r="M320" s="5"/>
      <c r="N320" s="8">
        <v>0.90989827224285491</v>
      </c>
      <c r="O320" s="9">
        <v>0.90989827224285491</v>
      </c>
      <c r="P320" s="10" t="s">
        <v>27</v>
      </c>
      <c r="Q320" s="10">
        <f t="shared" si="29"/>
        <v>0</v>
      </c>
      <c r="R320" s="10">
        <f t="shared" si="30"/>
        <v>0</v>
      </c>
      <c r="S320" s="10">
        <f t="shared" si="31"/>
        <v>0</v>
      </c>
      <c r="T320" s="10">
        <f t="shared" si="32"/>
        <v>0</v>
      </c>
      <c r="U320" s="11" t="str">
        <f t="shared" si="33"/>
        <v/>
      </c>
      <c r="V320" s="11" t="str">
        <f t="shared" si="35"/>
        <v/>
      </c>
      <c r="W320" s="11" t="str">
        <f t="shared" si="35"/>
        <v/>
      </c>
      <c r="X320" s="11" t="str">
        <f t="shared" si="35"/>
        <v/>
      </c>
      <c r="Y320" s="11" t="str">
        <f t="shared" si="35"/>
        <v/>
      </c>
      <c r="Z320" s="11" t="str">
        <f t="shared" si="35"/>
        <v/>
      </c>
      <c r="AA320" s="11" t="str">
        <f t="shared" si="35"/>
        <v/>
      </c>
      <c r="AB320" s="11" t="str">
        <f t="shared" si="35"/>
        <v/>
      </c>
      <c r="AC320" s="11" t="str">
        <f t="shared" si="35"/>
        <v/>
      </c>
      <c r="AD320" s="11" t="str">
        <f t="shared" si="35"/>
        <v/>
      </c>
      <c r="AE320" s="12" t="s">
        <v>27</v>
      </c>
    </row>
    <row r="321" spans="1:31" ht="18" customHeight="1" thickTop="1" thickBot="1" x14ac:dyDescent="0.3">
      <c r="A321" s="4" t="s">
        <v>81</v>
      </c>
      <c r="B321" s="4" t="s">
        <v>945</v>
      </c>
      <c r="C321" s="5" t="s">
        <v>622</v>
      </c>
      <c r="D321" s="5" t="s">
        <v>42</v>
      </c>
      <c r="E321" s="5" t="s">
        <v>27</v>
      </c>
      <c r="F321" s="5" t="s">
        <v>624</v>
      </c>
      <c r="G321" s="5" t="s">
        <v>16</v>
      </c>
      <c r="H321" s="6" t="s">
        <v>620</v>
      </c>
      <c r="I321" s="7" t="s">
        <v>387</v>
      </c>
      <c r="J321" s="8" t="s">
        <v>27</v>
      </c>
      <c r="K321" s="8">
        <v>1.935860058309038</v>
      </c>
      <c r="L321" s="8"/>
      <c r="M321" s="5"/>
      <c r="N321" s="8">
        <v>1.3363338788870704</v>
      </c>
      <c r="O321" s="9">
        <v>0.69030500069015843</v>
      </c>
      <c r="P321" s="10" t="s">
        <v>31</v>
      </c>
      <c r="Q321" s="10">
        <f t="shared" si="29"/>
        <v>1</v>
      </c>
      <c r="R321" s="10">
        <f t="shared" si="30"/>
        <v>0</v>
      </c>
      <c r="S321" s="10">
        <f t="shared" si="31"/>
        <v>0</v>
      </c>
      <c r="T321" s="10">
        <f t="shared" si="32"/>
        <v>0</v>
      </c>
      <c r="U321" s="11" t="str">
        <f t="shared" si="33"/>
        <v/>
      </c>
      <c r="V321" s="11" t="str">
        <f t="shared" si="35"/>
        <v/>
      </c>
      <c r="W321" s="11" t="str">
        <f t="shared" si="35"/>
        <v/>
      </c>
      <c r="X321" s="11" t="str">
        <f t="shared" si="35"/>
        <v/>
      </c>
      <c r="Y321" s="11" t="str">
        <f t="shared" si="35"/>
        <v/>
      </c>
      <c r="Z321" s="11" t="str">
        <f t="shared" si="35"/>
        <v/>
      </c>
      <c r="AA321" s="11" t="str">
        <f t="shared" si="35"/>
        <v/>
      </c>
      <c r="AB321" s="11" t="str">
        <f t="shared" si="35"/>
        <v/>
      </c>
      <c r="AC321" s="11" t="str">
        <f t="shared" si="35"/>
        <v/>
      </c>
      <c r="AD321" s="11">
        <f t="shared" si="35"/>
        <v>1</v>
      </c>
      <c r="AE321" s="12" t="s">
        <v>988</v>
      </c>
    </row>
    <row r="322" spans="1:31" ht="18" customHeight="1" thickTop="1" thickBot="1" x14ac:dyDescent="0.3">
      <c r="A322" s="4" t="s">
        <v>81</v>
      </c>
      <c r="B322" s="4" t="s">
        <v>945</v>
      </c>
      <c r="C322" s="5" t="s">
        <v>622</v>
      </c>
      <c r="D322" s="5" t="s">
        <v>42</v>
      </c>
      <c r="E322" s="5" t="s">
        <v>36</v>
      </c>
      <c r="F322" s="5" t="s">
        <v>625</v>
      </c>
      <c r="G322" s="5" t="s">
        <v>16</v>
      </c>
      <c r="H322" s="6" t="s">
        <v>620</v>
      </c>
      <c r="I322" s="7" t="s">
        <v>387</v>
      </c>
      <c r="J322" s="8" t="s">
        <v>27</v>
      </c>
      <c r="K322" s="8">
        <v>1</v>
      </c>
      <c r="L322" s="8"/>
      <c r="M322" s="5"/>
      <c r="N322" s="8">
        <v>0.9573067632850244</v>
      </c>
      <c r="O322" s="9">
        <v>0.9573067632850244</v>
      </c>
      <c r="P322" s="10" t="s">
        <v>27</v>
      </c>
      <c r="Q322" s="10">
        <f t="shared" si="29"/>
        <v>0</v>
      </c>
      <c r="R322" s="10">
        <f t="shared" si="30"/>
        <v>0</v>
      </c>
      <c r="S322" s="10">
        <f t="shared" si="31"/>
        <v>0</v>
      </c>
      <c r="T322" s="10">
        <f t="shared" si="32"/>
        <v>0</v>
      </c>
      <c r="U322" s="11" t="str">
        <f t="shared" si="33"/>
        <v/>
      </c>
      <c r="V322" s="11" t="str">
        <f t="shared" si="35"/>
        <v/>
      </c>
      <c r="W322" s="11" t="str">
        <f t="shared" si="35"/>
        <v/>
      </c>
      <c r="X322" s="11" t="str">
        <f t="shared" si="35"/>
        <v/>
      </c>
      <c r="Y322" s="11" t="str">
        <f t="shared" si="35"/>
        <v/>
      </c>
      <c r="Z322" s="11" t="str">
        <f t="shared" si="35"/>
        <v/>
      </c>
      <c r="AA322" s="11" t="str">
        <f t="shared" si="35"/>
        <v/>
      </c>
      <c r="AB322" s="11" t="str">
        <f t="shared" si="35"/>
        <v/>
      </c>
      <c r="AC322" s="11" t="str">
        <f t="shared" si="35"/>
        <v/>
      </c>
      <c r="AD322" s="11" t="str">
        <f t="shared" si="35"/>
        <v/>
      </c>
      <c r="AE322" s="12" t="s">
        <v>27</v>
      </c>
    </row>
    <row r="323" spans="1:31" ht="18" customHeight="1" thickTop="1" thickBot="1" x14ac:dyDescent="0.3">
      <c r="A323" s="4" t="s">
        <v>81</v>
      </c>
      <c r="B323" s="4" t="s">
        <v>945</v>
      </c>
      <c r="C323" s="5" t="s">
        <v>622</v>
      </c>
      <c r="D323" s="5" t="s">
        <v>42</v>
      </c>
      <c r="E323" s="5" t="s">
        <v>40</v>
      </c>
      <c r="F323" s="5" t="s">
        <v>626</v>
      </c>
      <c r="G323" s="5" t="s">
        <v>16</v>
      </c>
      <c r="H323" s="6" t="s">
        <v>620</v>
      </c>
      <c r="I323" s="7" t="s">
        <v>387</v>
      </c>
      <c r="J323" s="8" t="s">
        <v>27</v>
      </c>
      <c r="K323" s="8">
        <v>1</v>
      </c>
      <c r="L323" s="8"/>
      <c r="M323" s="5"/>
      <c r="N323" s="8">
        <v>0.79828722002635055</v>
      </c>
      <c r="O323" s="9">
        <v>0.79828722002635055</v>
      </c>
      <c r="P323" s="10" t="s">
        <v>27</v>
      </c>
      <c r="Q323" s="10">
        <f t="shared" si="29"/>
        <v>0</v>
      </c>
      <c r="R323" s="10">
        <f t="shared" si="30"/>
        <v>0</v>
      </c>
      <c r="S323" s="10">
        <f t="shared" si="31"/>
        <v>0</v>
      </c>
      <c r="T323" s="10">
        <f t="shared" si="32"/>
        <v>0</v>
      </c>
      <c r="U323" s="11" t="str">
        <f t="shared" si="33"/>
        <v/>
      </c>
      <c r="V323" s="11" t="str">
        <f t="shared" si="35"/>
        <v/>
      </c>
      <c r="W323" s="11" t="str">
        <f t="shared" si="35"/>
        <v/>
      </c>
      <c r="X323" s="11" t="str">
        <f t="shared" si="35"/>
        <v/>
      </c>
      <c r="Y323" s="11" t="str">
        <f t="shared" si="35"/>
        <v/>
      </c>
      <c r="Z323" s="11" t="str">
        <f t="shared" si="35"/>
        <v/>
      </c>
      <c r="AA323" s="11" t="str">
        <f t="shared" si="35"/>
        <v/>
      </c>
      <c r="AB323" s="11" t="str">
        <f t="shared" si="35"/>
        <v/>
      </c>
      <c r="AC323" s="11" t="str">
        <f t="shared" si="35"/>
        <v/>
      </c>
      <c r="AD323" s="11" t="str">
        <f t="shared" si="35"/>
        <v/>
      </c>
      <c r="AE323" s="12" t="s">
        <v>27</v>
      </c>
    </row>
    <row r="324" spans="1:31" ht="18" customHeight="1" thickTop="1" thickBot="1" x14ac:dyDescent="0.3">
      <c r="A324" s="4" t="s">
        <v>81</v>
      </c>
      <c r="B324" s="4" t="s">
        <v>945</v>
      </c>
      <c r="C324" s="5" t="s">
        <v>622</v>
      </c>
      <c r="D324" s="5" t="s">
        <v>42</v>
      </c>
      <c r="E324" s="5" t="s">
        <v>69</v>
      </c>
      <c r="F324" s="5" t="s">
        <v>627</v>
      </c>
      <c r="G324" s="5" t="s">
        <v>16</v>
      </c>
      <c r="H324" s="6" t="s">
        <v>620</v>
      </c>
      <c r="I324" s="7" t="s">
        <v>387</v>
      </c>
      <c r="J324" s="8" t="s">
        <v>27</v>
      </c>
      <c r="K324" s="8">
        <v>1</v>
      </c>
      <c r="L324" s="8"/>
      <c r="M324" s="5"/>
      <c r="N324" s="8">
        <v>0.51323671497584544</v>
      </c>
      <c r="O324" s="9">
        <v>0.51323671497584555</v>
      </c>
      <c r="P324" s="10" t="s">
        <v>27</v>
      </c>
      <c r="Q324" s="10">
        <f t="shared" si="29"/>
        <v>0</v>
      </c>
      <c r="R324" s="10">
        <f t="shared" si="30"/>
        <v>0</v>
      </c>
      <c r="S324" s="10">
        <f t="shared" si="31"/>
        <v>0</v>
      </c>
      <c r="T324" s="10">
        <f t="shared" si="32"/>
        <v>0</v>
      </c>
      <c r="U324" s="11" t="str">
        <f t="shared" si="33"/>
        <v/>
      </c>
      <c r="V324" s="11" t="str">
        <f t="shared" si="35"/>
        <v/>
      </c>
      <c r="W324" s="11" t="str">
        <f t="shared" si="35"/>
        <v/>
      </c>
      <c r="X324" s="11" t="str">
        <f t="shared" si="35"/>
        <v/>
      </c>
      <c r="Y324" s="11" t="str">
        <f t="shared" si="35"/>
        <v/>
      </c>
      <c r="Z324" s="11" t="str">
        <f t="shared" ref="V324:AD352" si="36">IF(ISNUMBER(SEARCH(Z$3,$AE324)), 1,"")</f>
        <v/>
      </c>
      <c r="AA324" s="11" t="str">
        <f t="shared" si="36"/>
        <v/>
      </c>
      <c r="AB324" s="11" t="str">
        <f t="shared" si="36"/>
        <v/>
      </c>
      <c r="AC324" s="11" t="str">
        <f t="shared" si="36"/>
        <v/>
      </c>
      <c r="AD324" s="11" t="str">
        <f t="shared" si="36"/>
        <v/>
      </c>
      <c r="AE324" s="12" t="s">
        <v>27</v>
      </c>
    </row>
    <row r="325" spans="1:31" ht="18" customHeight="1" thickTop="1" thickBot="1" x14ac:dyDescent="0.3">
      <c r="A325" s="4" t="s">
        <v>81</v>
      </c>
      <c r="B325" s="4" t="s">
        <v>945</v>
      </c>
      <c r="C325" s="5" t="s">
        <v>622</v>
      </c>
      <c r="D325" s="5" t="s">
        <v>42</v>
      </c>
      <c r="E325" s="5" t="s">
        <v>71</v>
      </c>
      <c r="F325" s="5" t="s">
        <v>628</v>
      </c>
      <c r="G325" s="5" t="s">
        <v>16</v>
      </c>
      <c r="H325" s="6" t="s">
        <v>620</v>
      </c>
      <c r="I325" s="7" t="s">
        <v>387</v>
      </c>
      <c r="J325" s="8" t="s">
        <v>27</v>
      </c>
      <c r="K325" s="8">
        <v>1</v>
      </c>
      <c r="L325" s="8"/>
      <c r="M325" s="5"/>
      <c r="N325" s="8">
        <v>0.98523119392684622</v>
      </c>
      <c r="O325" s="9">
        <v>0.98523119392684622</v>
      </c>
      <c r="P325" s="10" t="s">
        <v>27</v>
      </c>
      <c r="Q325" s="10">
        <f t="shared" ref="Q325:Q388" si="37">IF(K325&gt;1.5,1,0)</f>
        <v>0</v>
      </c>
      <c r="R325" s="10">
        <f t="shared" ref="R325:R388" si="38">IF(K325&lt;0.5,1,0)</f>
        <v>0</v>
      </c>
      <c r="S325" s="10">
        <f t="shared" ref="S325:S388" si="39">IF(O325&gt;1.5,1,0)</f>
        <v>0</v>
      </c>
      <c r="T325" s="10">
        <f t="shared" ref="T325:T388" si="40">IF(O325&lt;0.5,1,0)</f>
        <v>0</v>
      </c>
      <c r="U325" s="11" t="str">
        <f t="shared" si="33"/>
        <v/>
      </c>
      <c r="V325" s="11" t="str">
        <f t="shared" si="36"/>
        <v/>
      </c>
      <c r="W325" s="11" t="str">
        <f t="shared" si="36"/>
        <v/>
      </c>
      <c r="X325" s="11" t="str">
        <f t="shared" si="36"/>
        <v/>
      </c>
      <c r="Y325" s="11" t="str">
        <f t="shared" si="36"/>
        <v/>
      </c>
      <c r="Z325" s="11" t="str">
        <f t="shared" si="36"/>
        <v/>
      </c>
      <c r="AA325" s="11" t="str">
        <f t="shared" si="36"/>
        <v/>
      </c>
      <c r="AB325" s="11" t="str">
        <f t="shared" si="36"/>
        <v/>
      </c>
      <c r="AC325" s="11" t="str">
        <f t="shared" si="36"/>
        <v/>
      </c>
      <c r="AD325" s="11" t="str">
        <f t="shared" si="36"/>
        <v/>
      </c>
      <c r="AE325" s="12" t="s">
        <v>27</v>
      </c>
    </row>
    <row r="326" spans="1:31" ht="18" customHeight="1" thickTop="1" thickBot="1" x14ac:dyDescent="0.3">
      <c r="A326" s="4" t="s">
        <v>629</v>
      </c>
      <c r="B326" s="4" t="s">
        <v>945</v>
      </c>
      <c r="C326" s="5" t="s">
        <v>630</v>
      </c>
      <c r="D326" s="5" t="s">
        <v>26</v>
      </c>
      <c r="E326" s="5" t="s">
        <v>36</v>
      </c>
      <c r="F326" s="5" t="s">
        <v>631</v>
      </c>
      <c r="G326" s="5" t="s">
        <v>16</v>
      </c>
      <c r="H326" s="6" t="s">
        <v>422</v>
      </c>
      <c r="I326" s="7" t="s">
        <v>387</v>
      </c>
      <c r="J326" s="8" t="s">
        <v>27</v>
      </c>
      <c r="K326" s="8">
        <v>0.90825688073394495</v>
      </c>
      <c r="L326" s="8"/>
      <c r="M326" s="5"/>
      <c r="N326" s="8">
        <v>0.9044943820224719</v>
      </c>
      <c r="O326" s="9">
        <v>0.99585745091363054</v>
      </c>
      <c r="P326" s="10" t="s">
        <v>27</v>
      </c>
      <c r="Q326" s="10">
        <f t="shared" si="37"/>
        <v>0</v>
      </c>
      <c r="R326" s="10">
        <f t="shared" si="38"/>
        <v>0</v>
      </c>
      <c r="S326" s="10">
        <f t="shared" si="39"/>
        <v>0</v>
      </c>
      <c r="T326" s="10">
        <f t="shared" si="40"/>
        <v>0</v>
      </c>
      <c r="U326" s="11" t="str">
        <f t="shared" ref="U326:U389" si="41">IF(ISNUMBER(SEARCH(U$3,$AE326)), 1,"")</f>
        <v/>
      </c>
      <c r="V326" s="11" t="str">
        <f t="shared" si="36"/>
        <v/>
      </c>
      <c r="W326" s="11" t="str">
        <f t="shared" si="36"/>
        <v/>
      </c>
      <c r="X326" s="11" t="str">
        <f t="shared" si="36"/>
        <v/>
      </c>
      <c r="Y326" s="11" t="str">
        <f t="shared" si="36"/>
        <v/>
      </c>
      <c r="Z326" s="11" t="str">
        <f t="shared" si="36"/>
        <v/>
      </c>
      <c r="AA326" s="11" t="str">
        <f t="shared" si="36"/>
        <v/>
      </c>
      <c r="AB326" s="11" t="str">
        <f t="shared" si="36"/>
        <v/>
      </c>
      <c r="AC326" s="11" t="str">
        <f t="shared" si="36"/>
        <v/>
      </c>
      <c r="AD326" s="11" t="str">
        <f t="shared" si="36"/>
        <v/>
      </c>
      <c r="AE326" s="12" t="s">
        <v>27</v>
      </c>
    </row>
    <row r="327" spans="1:31" ht="18" customHeight="1" thickTop="1" thickBot="1" x14ac:dyDescent="0.3">
      <c r="A327" s="4" t="s">
        <v>629</v>
      </c>
      <c r="B327" s="4" t="s">
        <v>945</v>
      </c>
      <c r="C327" s="5" t="s">
        <v>630</v>
      </c>
      <c r="D327" s="5" t="s">
        <v>26</v>
      </c>
      <c r="E327" s="5" t="s">
        <v>234</v>
      </c>
      <c r="F327" s="5" t="s">
        <v>632</v>
      </c>
      <c r="G327" s="5" t="s">
        <v>16</v>
      </c>
      <c r="H327" s="6" t="s">
        <v>422</v>
      </c>
      <c r="I327" s="7" t="s">
        <v>387</v>
      </c>
      <c r="J327" s="8" t="s">
        <v>27</v>
      </c>
      <c r="K327" s="8">
        <v>0.7407407407407407</v>
      </c>
      <c r="L327" s="8"/>
      <c r="M327" s="5"/>
      <c r="N327" s="8">
        <v>1.0769230769230769</v>
      </c>
      <c r="O327" s="9">
        <v>1.453846153846154</v>
      </c>
      <c r="P327" s="10" t="s">
        <v>27</v>
      </c>
      <c r="Q327" s="10">
        <f t="shared" si="37"/>
        <v>0</v>
      </c>
      <c r="R327" s="10">
        <f t="shared" si="38"/>
        <v>0</v>
      </c>
      <c r="S327" s="10">
        <f t="shared" si="39"/>
        <v>0</v>
      </c>
      <c r="T327" s="10">
        <f t="shared" si="40"/>
        <v>0</v>
      </c>
      <c r="U327" s="11" t="str">
        <f t="shared" si="41"/>
        <v/>
      </c>
      <c r="V327" s="11" t="str">
        <f t="shared" si="36"/>
        <v/>
      </c>
      <c r="W327" s="11" t="str">
        <f t="shared" si="36"/>
        <v/>
      </c>
      <c r="X327" s="11" t="str">
        <f t="shared" si="36"/>
        <v/>
      </c>
      <c r="Y327" s="11" t="str">
        <f t="shared" si="36"/>
        <v/>
      </c>
      <c r="Z327" s="11" t="str">
        <f t="shared" si="36"/>
        <v/>
      </c>
      <c r="AA327" s="11" t="str">
        <f t="shared" si="36"/>
        <v/>
      </c>
      <c r="AB327" s="11" t="str">
        <f t="shared" si="36"/>
        <v/>
      </c>
      <c r="AC327" s="11" t="str">
        <f t="shared" si="36"/>
        <v/>
      </c>
      <c r="AD327" s="11" t="str">
        <f t="shared" si="36"/>
        <v/>
      </c>
      <c r="AE327" s="12" t="s">
        <v>27</v>
      </c>
    </row>
    <row r="328" spans="1:31" ht="18" customHeight="1" thickTop="1" thickBot="1" x14ac:dyDescent="0.3">
      <c r="A328" s="4" t="s">
        <v>629</v>
      </c>
      <c r="B328" s="4" t="s">
        <v>945</v>
      </c>
      <c r="C328" s="5" t="s">
        <v>630</v>
      </c>
      <c r="D328" s="5" t="s">
        <v>26</v>
      </c>
      <c r="E328" s="5" t="s">
        <v>40</v>
      </c>
      <c r="F328" s="5" t="s">
        <v>633</v>
      </c>
      <c r="G328" s="5" t="s">
        <v>16</v>
      </c>
      <c r="H328" s="6" t="s">
        <v>422</v>
      </c>
      <c r="I328" s="7" t="s">
        <v>387</v>
      </c>
      <c r="J328" s="8" t="s">
        <v>27</v>
      </c>
      <c r="K328" s="8">
        <v>1.0169491525423728</v>
      </c>
      <c r="L328" s="8"/>
      <c r="M328" s="5"/>
      <c r="N328" s="8">
        <v>1.4021739130434783</v>
      </c>
      <c r="O328" s="9">
        <v>1.3788043478260872</v>
      </c>
      <c r="P328" s="10" t="s">
        <v>27</v>
      </c>
      <c r="Q328" s="10">
        <f t="shared" si="37"/>
        <v>0</v>
      </c>
      <c r="R328" s="10">
        <f t="shared" si="38"/>
        <v>0</v>
      </c>
      <c r="S328" s="10">
        <f t="shared" si="39"/>
        <v>0</v>
      </c>
      <c r="T328" s="10">
        <f t="shared" si="40"/>
        <v>0</v>
      </c>
      <c r="U328" s="11" t="str">
        <f t="shared" si="41"/>
        <v/>
      </c>
      <c r="V328" s="11" t="str">
        <f t="shared" si="36"/>
        <v/>
      </c>
      <c r="W328" s="11" t="str">
        <f t="shared" si="36"/>
        <v/>
      </c>
      <c r="X328" s="11" t="str">
        <f t="shared" si="36"/>
        <v/>
      </c>
      <c r="Y328" s="11" t="str">
        <f t="shared" si="36"/>
        <v/>
      </c>
      <c r="Z328" s="11" t="str">
        <f t="shared" si="36"/>
        <v/>
      </c>
      <c r="AA328" s="11" t="str">
        <f t="shared" si="36"/>
        <v/>
      </c>
      <c r="AB328" s="11" t="str">
        <f t="shared" si="36"/>
        <v/>
      </c>
      <c r="AC328" s="11" t="str">
        <f t="shared" si="36"/>
        <v/>
      </c>
      <c r="AD328" s="11" t="str">
        <f t="shared" si="36"/>
        <v/>
      </c>
      <c r="AE328" s="12" t="s">
        <v>27</v>
      </c>
    </row>
    <row r="329" spans="1:31" ht="18" customHeight="1" thickTop="1" thickBot="1" x14ac:dyDescent="0.3">
      <c r="A329" s="4" t="s">
        <v>629</v>
      </c>
      <c r="B329" s="4" t="s">
        <v>945</v>
      </c>
      <c r="C329" s="5" t="s">
        <v>630</v>
      </c>
      <c r="D329" s="5" t="s">
        <v>26</v>
      </c>
      <c r="E329" s="5" t="s">
        <v>69</v>
      </c>
      <c r="F329" s="5" t="s">
        <v>634</v>
      </c>
      <c r="G329" s="5" t="s">
        <v>16</v>
      </c>
      <c r="H329" s="6" t="s">
        <v>422</v>
      </c>
      <c r="I329" s="7" t="s">
        <v>387</v>
      </c>
      <c r="J329" s="8" t="s">
        <v>27</v>
      </c>
      <c r="K329" s="8">
        <v>1.5168539325842696</v>
      </c>
      <c r="L329" s="8"/>
      <c r="M329" s="5"/>
      <c r="N329" s="8">
        <v>1.6101694915254237</v>
      </c>
      <c r="O329" s="9">
        <v>1.061519146264909</v>
      </c>
      <c r="P329" s="10" t="s">
        <v>31</v>
      </c>
      <c r="Q329" s="10">
        <f t="shared" si="37"/>
        <v>1</v>
      </c>
      <c r="R329" s="10">
        <f t="shared" si="38"/>
        <v>0</v>
      </c>
      <c r="S329" s="10">
        <f t="shared" si="39"/>
        <v>0</v>
      </c>
      <c r="T329" s="10">
        <f t="shared" si="40"/>
        <v>0</v>
      </c>
      <c r="U329" s="11" t="str">
        <f t="shared" si="41"/>
        <v/>
      </c>
      <c r="V329" s="11" t="str">
        <f t="shared" si="36"/>
        <v/>
      </c>
      <c r="W329" s="11" t="str">
        <f t="shared" si="36"/>
        <v/>
      </c>
      <c r="X329" s="11" t="str">
        <f t="shared" si="36"/>
        <v/>
      </c>
      <c r="Y329" s="11" t="str">
        <f t="shared" si="36"/>
        <v/>
      </c>
      <c r="Z329" s="11">
        <f t="shared" si="36"/>
        <v>1</v>
      </c>
      <c r="AA329" s="11" t="str">
        <f t="shared" si="36"/>
        <v/>
      </c>
      <c r="AB329" s="11" t="str">
        <f t="shared" si="36"/>
        <v/>
      </c>
      <c r="AC329" s="11" t="str">
        <f t="shared" si="36"/>
        <v/>
      </c>
      <c r="AD329" s="11">
        <f t="shared" si="36"/>
        <v>1</v>
      </c>
      <c r="AE329" s="12" t="s">
        <v>1025</v>
      </c>
    </row>
    <row r="330" spans="1:31" ht="18" customHeight="1" thickTop="1" thickBot="1" x14ac:dyDescent="0.3">
      <c r="A330" s="4" t="s">
        <v>629</v>
      </c>
      <c r="B330" s="4" t="s">
        <v>945</v>
      </c>
      <c r="C330" s="5" t="s">
        <v>630</v>
      </c>
      <c r="D330" s="5" t="s">
        <v>26</v>
      </c>
      <c r="E330" s="5" t="s">
        <v>71</v>
      </c>
      <c r="F330" s="5" t="s">
        <v>635</v>
      </c>
      <c r="G330" s="5" t="s">
        <v>16</v>
      </c>
      <c r="H330" s="6" t="s">
        <v>422</v>
      </c>
      <c r="I330" s="7" t="s">
        <v>387</v>
      </c>
      <c r="J330" s="8" t="s">
        <v>27</v>
      </c>
      <c r="K330" s="8">
        <v>0.8351648351648352</v>
      </c>
      <c r="L330" s="8"/>
      <c r="M330" s="5"/>
      <c r="N330" s="8">
        <v>0.81538461538461537</v>
      </c>
      <c r="O330" s="9">
        <v>0.97631578947368425</v>
      </c>
      <c r="P330" s="10" t="s">
        <v>27</v>
      </c>
      <c r="Q330" s="10">
        <f t="shared" si="37"/>
        <v>0</v>
      </c>
      <c r="R330" s="10">
        <f t="shared" si="38"/>
        <v>0</v>
      </c>
      <c r="S330" s="10">
        <f t="shared" si="39"/>
        <v>0</v>
      </c>
      <c r="T330" s="10">
        <f t="shared" si="40"/>
        <v>0</v>
      </c>
      <c r="U330" s="11" t="str">
        <f t="shared" si="41"/>
        <v/>
      </c>
      <c r="V330" s="11" t="str">
        <f t="shared" si="36"/>
        <v/>
      </c>
      <c r="W330" s="11" t="str">
        <f t="shared" si="36"/>
        <v/>
      </c>
      <c r="X330" s="11" t="str">
        <f t="shared" si="36"/>
        <v/>
      </c>
      <c r="Y330" s="11" t="str">
        <f t="shared" si="36"/>
        <v/>
      </c>
      <c r="Z330" s="11" t="str">
        <f t="shared" si="36"/>
        <v/>
      </c>
      <c r="AA330" s="11" t="str">
        <f t="shared" si="36"/>
        <v/>
      </c>
      <c r="AB330" s="11" t="str">
        <f t="shared" si="36"/>
        <v/>
      </c>
      <c r="AC330" s="11" t="str">
        <f t="shared" si="36"/>
        <v/>
      </c>
      <c r="AD330" s="11" t="str">
        <f t="shared" si="36"/>
        <v/>
      </c>
      <c r="AE330" s="12" t="s">
        <v>27</v>
      </c>
    </row>
    <row r="331" spans="1:31" ht="18" customHeight="1" thickTop="1" thickBot="1" x14ac:dyDescent="0.3">
      <c r="A331" s="4" t="s">
        <v>629</v>
      </c>
      <c r="B331" s="4" t="s">
        <v>945</v>
      </c>
      <c r="C331" s="5" t="s">
        <v>630</v>
      </c>
      <c r="D331" s="5" t="s">
        <v>26</v>
      </c>
      <c r="E331" s="5" t="s">
        <v>141</v>
      </c>
      <c r="F331" s="5" t="s">
        <v>636</v>
      </c>
      <c r="G331" s="5" t="s">
        <v>16</v>
      </c>
      <c r="H331" s="6" t="s">
        <v>422</v>
      </c>
      <c r="I331" s="7" t="s">
        <v>387</v>
      </c>
      <c r="J331" s="8" t="s">
        <v>27</v>
      </c>
      <c r="K331" s="8">
        <v>1.0130718954248366</v>
      </c>
      <c r="L331" s="8"/>
      <c r="M331" s="5"/>
      <c r="N331" s="8">
        <v>1.0650406504065042</v>
      </c>
      <c r="O331" s="9">
        <v>1.051298190401259</v>
      </c>
      <c r="P331" s="10" t="s">
        <v>27</v>
      </c>
      <c r="Q331" s="10">
        <f t="shared" si="37"/>
        <v>0</v>
      </c>
      <c r="R331" s="10">
        <f t="shared" si="38"/>
        <v>0</v>
      </c>
      <c r="S331" s="10">
        <f t="shared" si="39"/>
        <v>0</v>
      </c>
      <c r="T331" s="10">
        <f t="shared" si="40"/>
        <v>0</v>
      </c>
      <c r="U331" s="11" t="str">
        <f t="shared" si="41"/>
        <v/>
      </c>
      <c r="V331" s="11" t="str">
        <f t="shared" si="36"/>
        <v/>
      </c>
      <c r="W331" s="11" t="str">
        <f t="shared" si="36"/>
        <v/>
      </c>
      <c r="X331" s="11" t="str">
        <f t="shared" si="36"/>
        <v/>
      </c>
      <c r="Y331" s="11" t="str">
        <f t="shared" si="36"/>
        <v/>
      </c>
      <c r="Z331" s="11" t="str">
        <f t="shared" si="36"/>
        <v/>
      </c>
      <c r="AA331" s="11" t="str">
        <f t="shared" si="36"/>
        <v/>
      </c>
      <c r="AB331" s="11" t="str">
        <f t="shared" si="36"/>
        <v/>
      </c>
      <c r="AC331" s="11" t="str">
        <f t="shared" si="36"/>
        <v/>
      </c>
      <c r="AD331" s="11" t="str">
        <f t="shared" si="36"/>
        <v/>
      </c>
      <c r="AE331" s="12" t="s">
        <v>27</v>
      </c>
    </row>
    <row r="332" spans="1:31" ht="18" customHeight="1" thickTop="1" thickBot="1" x14ac:dyDescent="0.3">
      <c r="A332" s="4" t="s">
        <v>629</v>
      </c>
      <c r="B332" s="4" t="s">
        <v>945</v>
      </c>
      <c r="C332" s="5" t="s">
        <v>630</v>
      </c>
      <c r="D332" s="5" t="s">
        <v>26</v>
      </c>
      <c r="E332" s="5" t="s">
        <v>143</v>
      </c>
      <c r="F332" s="5" t="s">
        <v>637</v>
      </c>
      <c r="G332" s="5" t="s">
        <v>16</v>
      </c>
      <c r="H332" s="6" t="s">
        <v>422</v>
      </c>
      <c r="I332" s="7" t="s">
        <v>387</v>
      </c>
      <c r="J332" s="8" t="s">
        <v>27</v>
      </c>
      <c r="K332" s="8">
        <v>1.0054347826086958</v>
      </c>
      <c r="L332" s="8"/>
      <c r="M332" s="5"/>
      <c r="N332" s="8">
        <v>1.36697247706422</v>
      </c>
      <c r="O332" s="9">
        <v>1.3595834366476565</v>
      </c>
      <c r="P332" s="10" t="s">
        <v>27</v>
      </c>
      <c r="Q332" s="10">
        <f t="shared" si="37"/>
        <v>0</v>
      </c>
      <c r="R332" s="10">
        <f t="shared" si="38"/>
        <v>0</v>
      </c>
      <c r="S332" s="10">
        <f t="shared" si="39"/>
        <v>0</v>
      </c>
      <c r="T332" s="10">
        <f t="shared" si="40"/>
        <v>0</v>
      </c>
      <c r="U332" s="11" t="str">
        <f t="shared" si="41"/>
        <v/>
      </c>
      <c r="V332" s="11" t="str">
        <f t="shared" si="36"/>
        <v/>
      </c>
      <c r="W332" s="11" t="str">
        <f t="shared" si="36"/>
        <v/>
      </c>
      <c r="X332" s="11" t="str">
        <f t="shared" si="36"/>
        <v/>
      </c>
      <c r="Y332" s="11" t="str">
        <f t="shared" si="36"/>
        <v/>
      </c>
      <c r="Z332" s="11" t="str">
        <f t="shared" si="36"/>
        <v/>
      </c>
      <c r="AA332" s="11" t="str">
        <f t="shared" si="36"/>
        <v/>
      </c>
      <c r="AB332" s="11" t="str">
        <f t="shared" si="36"/>
        <v/>
      </c>
      <c r="AC332" s="11" t="str">
        <f t="shared" si="36"/>
        <v/>
      </c>
      <c r="AD332" s="11" t="str">
        <f t="shared" si="36"/>
        <v/>
      </c>
      <c r="AE332" s="12" t="s">
        <v>27</v>
      </c>
    </row>
    <row r="333" spans="1:31" ht="18" customHeight="1" thickTop="1" thickBot="1" x14ac:dyDescent="0.3">
      <c r="A333" s="4" t="s">
        <v>629</v>
      </c>
      <c r="B333" s="4" t="s">
        <v>945</v>
      </c>
      <c r="C333" s="5" t="s">
        <v>630</v>
      </c>
      <c r="D333" s="5" t="s">
        <v>26</v>
      </c>
      <c r="E333" s="5" t="s">
        <v>245</v>
      </c>
      <c r="F333" s="5" t="s">
        <v>638</v>
      </c>
      <c r="G333" s="5" t="s">
        <v>16</v>
      </c>
      <c r="H333" s="6" t="s">
        <v>422</v>
      </c>
      <c r="I333" s="7" t="s">
        <v>387</v>
      </c>
      <c r="J333" s="8" t="s">
        <v>27</v>
      </c>
      <c r="K333" s="8">
        <v>1.6292134831460674</v>
      </c>
      <c r="L333" s="8"/>
      <c r="M333" s="5"/>
      <c r="N333" s="8">
        <v>1.8965517241379313</v>
      </c>
      <c r="O333" s="9">
        <v>1.1640903686087996</v>
      </c>
      <c r="P333" s="10" t="s">
        <v>31</v>
      </c>
      <c r="Q333" s="10">
        <f t="shared" si="37"/>
        <v>1</v>
      </c>
      <c r="R333" s="10">
        <f t="shared" si="38"/>
        <v>0</v>
      </c>
      <c r="S333" s="10">
        <f t="shared" si="39"/>
        <v>0</v>
      </c>
      <c r="T333" s="10">
        <f t="shared" si="40"/>
        <v>0</v>
      </c>
      <c r="U333" s="11" t="str">
        <f t="shared" si="41"/>
        <v/>
      </c>
      <c r="V333" s="11" t="str">
        <f t="shared" si="36"/>
        <v/>
      </c>
      <c r="W333" s="11" t="str">
        <f t="shared" si="36"/>
        <v/>
      </c>
      <c r="X333" s="11" t="str">
        <f t="shared" si="36"/>
        <v/>
      </c>
      <c r="Y333" s="11" t="str">
        <f t="shared" si="36"/>
        <v/>
      </c>
      <c r="Z333" s="11">
        <f t="shared" si="36"/>
        <v>1</v>
      </c>
      <c r="AA333" s="11" t="str">
        <f t="shared" si="36"/>
        <v/>
      </c>
      <c r="AB333" s="11" t="str">
        <f t="shared" si="36"/>
        <v/>
      </c>
      <c r="AC333" s="11" t="str">
        <f t="shared" si="36"/>
        <v/>
      </c>
      <c r="AD333" s="11">
        <f t="shared" si="36"/>
        <v>1</v>
      </c>
      <c r="AE333" s="12" t="s">
        <v>1025</v>
      </c>
    </row>
    <row r="334" spans="1:31" ht="18" customHeight="1" thickTop="1" thickBot="1" x14ac:dyDescent="0.3">
      <c r="A334" s="4" t="s">
        <v>629</v>
      </c>
      <c r="B334" s="4" t="s">
        <v>945</v>
      </c>
      <c r="C334" s="5" t="s">
        <v>630</v>
      </c>
      <c r="D334" s="5" t="s">
        <v>26</v>
      </c>
      <c r="E334" s="5" t="s">
        <v>247</v>
      </c>
      <c r="F334" s="5" t="s">
        <v>639</v>
      </c>
      <c r="G334" s="5" t="s">
        <v>16</v>
      </c>
      <c r="H334" s="6" t="s">
        <v>422</v>
      </c>
      <c r="I334" s="7" t="s">
        <v>387</v>
      </c>
      <c r="J334" s="8" t="s">
        <v>27</v>
      </c>
      <c r="K334" s="8">
        <v>0.99212598425196852</v>
      </c>
      <c r="L334" s="8"/>
      <c r="M334" s="5"/>
      <c r="N334" s="8">
        <v>1.6904761904761905</v>
      </c>
      <c r="O334" s="9">
        <v>1.7038926681783826</v>
      </c>
      <c r="P334" s="10" t="s">
        <v>31</v>
      </c>
      <c r="Q334" s="10">
        <f t="shared" si="37"/>
        <v>0</v>
      </c>
      <c r="R334" s="10">
        <f t="shared" si="38"/>
        <v>0</v>
      </c>
      <c r="S334" s="10">
        <f t="shared" si="39"/>
        <v>1</v>
      </c>
      <c r="T334" s="10">
        <f t="shared" si="40"/>
        <v>0</v>
      </c>
      <c r="U334" s="11" t="str">
        <f t="shared" si="41"/>
        <v/>
      </c>
      <c r="V334" s="11" t="str">
        <f t="shared" si="36"/>
        <v/>
      </c>
      <c r="W334" s="11" t="str">
        <f t="shared" si="36"/>
        <v/>
      </c>
      <c r="X334" s="11">
        <f t="shared" si="36"/>
        <v>1</v>
      </c>
      <c r="Y334" s="11" t="str">
        <f t="shared" si="36"/>
        <v/>
      </c>
      <c r="Z334" s="11" t="str">
        <f t="shared" si="36"/>
        <v/>
      </c>
      <c r="AA334" s="11" t="str">
        <f t="shared" si="36"/>
        <v/>
      </c>
      <c r="AB334" s="11" t="str">
        <f t="shared" si="36"/>
        <v/>
      </c>
      <c r="AC334" s="11" t="str">
        <f t="shared" si="36"/>
        <v/>
      </c>
      <c r="AD334" s="11">
        <f t="shared" si="36"/>
        <v>1</v>
      </c>
      <c r="AE334" s="12" t="s">
        <v>1027</v>
      </c>
    </row>
    <row r="335" spans="1:31" ht="18" customHeight="1" thickTop="1" thickBot="1" x14ac:dyDescent="0.3">
      <c r="A335" s="4" t="s">
        <v>629</v>
      </c>
      <c r="B335" s="4" t="s">
        <v>945</v>
      </c>
      <c r="C335" s="5" t="s">
        <v>630</v>
      </c>
      <c r="D335" s="5" t="s">
        <v>26</v>
      </c>
      <c r="E335" s="5" t="s">
        <v>249</v>
      </c>
      <c r="F335" s="5" t="s">
        <v>640</v>
      </c>
      <c r="G335" s="5" t="s">
        <v>16</v>
      </c>
      <c r="H335" s="6" t="s">
        <v>422</v>
      </c>
      <c r="I335" s="7" t="s">
        <v>359</v>
      </c>
      <c r="J335" s="8" t="s">
        <v>27</v>
      </c>
      <c r="K335" s="8">
        <v>1.0179640718562875</v>
      </c>
      <c r="L335" s="8"/>
      <c r="M335" s="5"/>
      <c r="N335" s="8">
        <v>1.75</v>
      </c>
      <c r="O335" s="9">
        <v>1.7191176470588234</v>
      </c>
      <c r="P335" s="10" t="s">
        <v>31</v>
      </c>
      <c r="Q335" s="10">
        <f t="shared" si="37"/>
        <v>0</v>
      </c>
      <c r="R335" s="10">
        <f t="shared" si="38"/>
        <v>0</v>
      </c>
      <c r="S335" s="10">
        <f t="shared" si="39"/>
        <v>1</v>
      </c>
      <c r="T335" s="10">
        <f t="shared" si="40"/>
        <v>0</v>
      </c>
      <c r="U335" s="11" t="str">
        <f t="shared" si="41"/>
        <v/>
      </c>
      <c r="V335" s="11" t="str">
        <f t="shared" si="36"/>
        <v/>
      </c>
      <c r="W335" s="11" t="str">
        <f t="shared" si="36"/>
        <v/>
      </c>
      <c r="X335" s="11">
        <f t="shared" si="36"/>
        <v>1</v>
      </c>
      <c r="Y335" s="11" t="str">
        <f t="shared" si="36"/>
        <v/>
      </c>
      <c r="Z335" s="11" t="str">
        <f t="shared" si="36"/>
        <v/>
      </c>
      <c r="AA335" s="11" t="str">
        <f t="shared" si="36"/>
        <v/>
      </c>
      <c r="AB335" s="11" t="str">
        <f t="shared" si="36"/>
        <v/>
      </c>
      <c r="AC335" s="11" t="str">
        <f t="shared" si="36"/>
        <v/>
      </c>
      <c r="AD335" s="11">
        <f t="shared" si="36"/>
        <v>1</v>
      </c>
      <c r="AE335" s="12" t="s">
        <v>1027</v>
      </c>
    </row>
    <row r="336" spans="1:31" ht="18" customHeight="1" thickTop="1" thickBot="1" x14ac:dyDescent="0.3">
      <c r="A336" s="4" t="s">
        <v>641</v>
      </c>
      <c r="B336" s="4" t="s">
        <v>950</v>
      </c>
      <c r="C336" s="5" t="s">
        <v>642</v>
      </c>
      <c r="D336" s="5" t="s">
        <v>26</v>
      </c>
      <c r="E336" s="5" t="s">
        <v>36</v>
      </c>
      <c r="F336" s="5" t="s">
        <v>643</v>
      </c>
      <c r="G336" s="5" t="s">
        <v>16</v>
      </c>
      <c r="H336" s="6" t="s">
        <v>644</v>
      </c>
      <c r="I336" s="7" t="s">
        <v>68</v>
      </c>
      <c r="J336" s="8">
        <v>0.89189189189189189</v>
      </c>
      <c r="K336" s="8">
        <v>1</v>
      </c>
      <c r="L336" s="8"/>
      <c r="M336" s="5"/>
      <c r="N336" s="8">
        <v>0.85041322314049583</v>
      </c>
      <c r="O336" s="9">
        <v>0.85041322314049583</v>
      </c>
      <c r="P336" s="10" t="s">
        <v>27</v>
      </c>
      <c r="Q336" s="10">
        <f t="shared" si="37"/>
        <v>0</v>
      </c>
      <c r="R336" s="10">
        <f t="shared" si="38"/>
        <v>0</v>
      </c>
      <c r="S336" s="10">
        <f t="shared" si="39"/>
        <v>0</v>
      </c>
      <c r="T336" s="10">
        <f t="shared" si="40"/>
        <v>0</v>
      </c>
      <c r="U336" s="11" t="str">
        <f t="shared" si="41"/>
        <v/>
      </c>
      <c r="V336" s="11" t="str">
        <f t="shared" si="36"/>
        <v/>
      </c>
      <c r="W336" s="11" t="str">
        <f t="shared" si="36"/>
        <v/>
      </c>
      <c r="X336" s="11" t="str">
        <f t="shared" si="36"/>
        <v/>
      </c>
      <c r="Y336" s="11" t="str">
        <f t="shared" si="36"/>
        <v/>
      </c>
      <c r="Z336" s="11" t="str">
        <f t="shared" si="36"/>
        <v/>
      </c>
      <c r="AA336" s="11" t="str">
        <f t="shared" si="36"/>
        <v/>
      </c>
      <c r="AB336" s="11" t="str">
        <f t="shared" si="36"/>
        <v/>
      </c>
      <c r="AC336" s="11" t="str">
        <f t="shared" si="36"/>
        <v/>
      </c>
      <c r="AD336" s="11" t="str">
        <f t="shared" si="36"/>
        <v/>
      </c>
      <c r="AE336" s="12" t="s">
        <v>27</v>
      </c>
    </row>
    <row r="337" spans="1:31" ht="18" customHeight="1" thickTop="1" thickBot="1" x14ac:dyDescent="0.3">
      <c r="A337" s="4" t="s">
        <v>641</v>
      </c>
      <c r="B337" s="4" t="s">
        <v>950</v>
      </c>
      <c r="C337" s="5" t="s">
        <v>642</v>
      </c>
      <c r="D337" s="5" t="s">
        <v>26</v>
      </c>
      <c r="E337" s="5" t="s">
        <v>40</v>
      </c>
      <c r="F337" s="5" t="s">
        <v>645</v>
      </c>
      <c r="G337" s="5" t="s">
        <v>16</v>
      </c>
      <c r="H337" s="6" t="s">
        <v>644</v>
      </c>
      <c r="I337" s="7" t="s">
        <v>68</v>
      </c>
      <c r="J337" s="8">
        <v>1</v>
      </c>
      <c r="K337" s="8">
        <v>1</v>
      </c>
      <c r="L337" s="8"/>
      <c r="M337" s="5"/>
      <c r="N337" s="8">
        <v>0.80219780219780223</v>
      </c>
      <c r="O337" s="9">
        <v>0.80219780219780212</v>
      </c>
      <c r="P337" s="10" t="s">
        <v>27</v>
      </c>
      <c r="Q337" s="10">
        <f t="shared" si="37"/>
        <v>0</v>
      </c>
      <c r="R337" s="10">
        <f t="shared" si="38"/>
        <v>0</v>
      </c>
      <c r="S337" s="10">
        <f t="shared" si="39"/>
        <v>0</v>
      </c>
      <c r="T337" s="10">
        <f t="shared" si="40"/>
        <v>0</v>
      </c>
      <c r="U337" s="11" t="str">
        <f t="shared" si="41"/>
        <v/>
      </c>
      <c r="V337" s="11" t="str">
        <f t="shared" si="36"/>
        <v/>
      </c>
      <c r="W337" s="11" t="str">
        <f t="shared" si="36"/>
        <v/>
      </c>
      <c r="X337" s="11" t="str">
        <f t="shared" si="36"/>
        <v/>
      </c>
      <c r="Y337" s="11" t="str">
        <f t="shared" si="36"/>
        <v/>
      </c>
      <c r="Z337" s="11" t="str">
        <f t="shared" si="36"/>
        <v/>
      </c>
      <c r="AA337" s="11" t="str">
        <f t="shared" si="36"/>
        <v/>
      </c>
      <c r="AB337" s="11" t="str">
        <f t="shared" si="36"/>
        <v/>
      </c>
      <c r="AC337" s="11" t="str">
        <f t="shared" si="36"/>
        <v/>
      </c>
      <c r="AD337" s="11" t="str">
        <f t="shared" si="36"/>
        <v/>
      </c>
      <c r="AE337" s="12" t="s">
        <v>27</v>
      </c>
    </row>
    <row r="338" spans="1:31" ht="18" customHeight="1" thickTop="1" thickBot="1" x14ac:dyDescent="0.3">
      <c r="A338" s="4" t="s">
        <v>641</v>
      </c>
      <c r="B338" s="4" t="s">
        <v>950</v>
      </c>
      <c r="C338" s="5" t="s">
        <v>642</v>
      </c>
      <c r="D338" s="5" t="s">
        <v>26</v>
      </c>
      <c r="E338" s="5" t="s">
        <v>69</v>
      </c>
      <c r="F338" s="5" t="s">
        <v>646</v>
      </c>
      <c r="G338" s="5" t="s">
        <v>16</v>
      </c>
      <c r="H338" s="6" t="s">
        <v>644</v>
      </c>
      <c r="I338" s="7" t="s">
        <v>68</v>
      </c>
      <c r="J338" s="8">
        <v>1.173913043478261</v>
      </c>
      <c r="K338" s="8">
        <v>1</v>
      </c>
      <c r="L338" s="8"/>
      <c r="M338" s="5"/>
      <c r="N338" s="8">
        <v>0.4588571428571428</v>
      </c>
      <c r="O338" s="9">
        <v>0.45885714285714285</v>
      </c>
      <c r="P338" s="10" t="s">
        <v>31</v>
      </c>
      <c r="Q338" s="10">
        <f t="shared" si="37"/>
        <v>0</v>
      </c>
      <c r="R338" s="10">
        <f t="shared" si="38"/>
        <v>0</v>
      </c>
      <c r="S338" s="10">
        <f t="shared" si="39"/>
        <v>0</v>
      </c>
      <c r="T338" s="10">
        <f t="shared" si="40"/>
        <v>1</v>
      </c>
      <c r="U338" s="11" t="str">
        <f t="shared" si="41"/>
        <v/>
      </c>
      <c r="V338" s="11" t="str">
        <f t="shared" si="36"/>
        <v/>
      </c>
      <c r="W338" s="11" t="str">
        <f t="shared" si="36"/>
        <v/>
      </c>
      <c r="X338" s="11" t="str">
        <f t="shared" si="36"/>
        <v/>
      </c>
      <c r="Y338" s="11" t="str">
        <f t="shared" si="36"/>
        <v/>
      </c>
      <c r="Z338" s="11" t="str">
        <f t="shared" si="36"/>
        <v/>
      </c>
      <c r="AA338" s="11" t="str">
        <f t="shared" si="36"/>
        <v/>
      </c>
      <c r="AB338" s="11" t="str">
        <f t="shared" si="36"/>
        <v/>
      </c>
      <c r="AC338" s="11">
        <f t="shared" si="36"/>
        <v>1</v>
      </c>
      <c r="AD338" s="11" t="str">
        <f t="shared" si="36"/>
        <v/>
      </c>
      <c r="AE338" s="12" t="s">
        <v>982</v>
      </c>
    </row>
    <row r="339" spans="1:31" ht="18" customHeight="1" thickTop="1" thickBot="1" x14ac:dyDescent="0.3">
      <c r="A339" s="4" t="s">
        <v>641</v>
      </c>
      <c r="B339" s="4" t="s">
        <v>950</v>
      </c>
      <c r="C339" s="5" t="s">
        <v>642</v>
      </c>
      <c r="D339" s="5" t="s">
        <v>26</v>
      </c>
      <c r="E339" s="5" t="s">
        <v>71</v>
      </c>
      <c r="F339" s="5" t="s">
        <v>647</v>
      </c>
      <c r="G339" s="5" t="s">
        <v>16</v>
      </c>
      <c r="H339" s="6" t="s">
        <v>644</v>
      </c>
      <c r="I339" s="7" t="s">
        <v>68</v>
      </c>
      <c r="J339" s="8" t="s">
        <v>27</v>
      </c>
      <c r="K339" s="8">
        <v>1</v>
      </c>
      <c r="L339" s="8"/>
      <c r="M339" s="5"/>
      <c r="N339" s="8">
        <v>0.62209302325581395</v>
      </c>
      <c r="O339" s="9">
        <v>0.62209302325581384</v>
      </c>
      <c r="P339" s="10" t="s">
        <v>27</v>
      </c>
      <c r="Q339" s="10">
        <f t="shared" si="37"/>
        <v>0</v>
      </c>
      <c r="R339" s="10">
        <f t="shared" si="38"/>
        <v>0</v>
      </c>
      <c r="S339" s="10">
        <f t="shared" si="39"/>
        <v>0</v>
      </c>
      <c r="T339" s="10">
        <f t="shared" si="40"/>
        <v>0</v>
      </c>
      <c r="U339" s="11" t="str">
        <f t="shared" si="41"/>
        <v/>
      </c>
      <c r="V339" s="11" t="str">
        <f t="shared" si="36"/>
        <v/>
      </c>
      <c r="W339" s="11" t="str">
        <f t="shared" si="36"/>
        <v/>
      </c>
      <c r="X339" s="11" t="str">
        <f t="shared" si="36"/>
        <v/>
      </c>
      <c r="Y339" s="11" t="str">
        <f t="shared" si="36"/>
        <v/>
      </c>
      <c r="Z339" s="11" t="str">
        <f t="shared" si="36"/>
        <v/>
      </c>
      <c r="AA339" s="11" t="str">
        <f t="shared" si="36"/>
        <v/>
      </c>
      <c r="AB339" s="11" t="str">
        <f t="shared" si="36"/>
        <v/>
      </c>
      <c r="AC339" s="11" t="str">
        <f t="shared" si="36"/>
        <v/>
      </c>
      <c r="AD339" s="11" t="str">
        <f t="shared" si="36"/>
        <v/>
      </c>
      <c r="AE339" s="12" t="s">
        <v>27</v>
      </c>
    </row>
    <row r="340" spans="1:31" ht="18" customHeight="1" thickTop="1" thickBot="1" x14ac:dyDescent="0.3">
      <c r="A340" s="4" t="s">
        <v>123</v>
      </c>
      <c r="B340" s="4" t="s">
        <v>948</v>
      </c>
      <c r="C340" s="5" t="s">
        <v>648</v>
      </c>
      <c r="D340" s="5" t="s">
        <v>26</v>
      </c>
      <c r="E340" s="5" t="s">
        <v>27</v>
      </c>
      <c r="F340" s="5" t="s">
        <v>649</v>
      </c>
      <c r="G340" s="5" t="s">
        <v>16</v>
      </c>
      <c r="H340" s="6" t="s">
        <v>126</v>
      </c>
      <c r="I340" s="7" t="s">
        <v>364</v>
      </c>
      <c r="J340" s="8" t="s">
        <v>27</v>
      </c>
      <c r="K340" s="8">
        <v>0.43868739205526769</v>
      </c>
      <c r="L340" s="8"/>
      <c r="M340" s="5"/>
      <c r="N340" s="8">
        <v>0.71923415492957754</v>
      </c>
      <c r="O340" s="9">
        <v>1.6395140775756902</v>
      </c>
      <c r="P340" s="10" t="s">
        <v>31</v>
      </c>
      <c r="Q340" s="10">
        <f t="shared" si="37"/>
        <v>0</v>
      </c>
      <c r="R340" s="10">
        <f t="shared" si="38"/>
        <v>1</v>
      </c>
      <c r="S340" s="10">
        <f t="shared" si="39"/>
        <v>1</v>
      </c>
      <c r="T340" s="10">
        <f t="shared" si="40"/>
        <v>0</v>
      </c>
      <c r="U340" s="11" t="str">
        <f t="shared" si="41"/>
        <v/>
      </c>
      <c r="V340" s="11" t="str">
        <f t="shared" si="36"/>
        <v/>
      </c>
      <c r="W340" s="11" t="str">
        <f t="shared" si="36"/>
        <v/>
      </c>
      <c r="X340" s="11">
        <f t="shared" si="36"/>
        <v>1</v>
      </c>
      <c r="Y340" s="11" t="str">
        <f t="shared" si="36"/>
        <v/>
      </c>
      <c r="Z340" s="11">
        <f t="shared" si="36"/>
        <v>1</v>
      </c>
      <c r="AA340" s="11" t="str">
        <f t="shared" si="36"/>
        <v/>
      </c>
      <c r="AB340" s="11" t="str">
        <f t="shared" si="36"/>
        <v/>
      </c>
      <c r="AC340" s="11">
        <f t="shared" si="36"/>
        <v>1</v>
      </c>
      <c r="AD340" s="11">
        <f t="shared" si="36"/>
        <v>1</v>
      </c>
      <c r="AE340" s="12" t="s">
        <v>1030</v>
      </c>
    </row>
    <row r="341" spans="1:31" ht="18" customHeight="1" thickTop="1" thickBot="1" x14ac:dyDescent="0.3">
      <c r="A341" s="4" t="s">
        <v>123</v>
      </c>
      <c r="B341" s="4" t="s">
        <v>948</v>
      </c>
      <c r="C341" s="5" t="s">
        <v>648</v>
      </c>
      <c r="D341" s="5" t="s">
        <v>42</v>
      </c>
      <c r="E341" s="5" t="s">
        <v>27</v>
      </c>
      <c r="F341" s="5" t="s">
        <v>650</v>
      </c>
      <c r="G341" s="5" t="s">
        <v>16</v>
      </c>
      <c r="H341" s="6" t="s">
        <v>126</v>
      </c>
      <c r="I341" s="7" t="s">
        <v>68</v>
      </c>
      <c r="J341" s="8" t="s">
        <v>27</v>
      </c>
      <c r="K341" s="8">
        <v>1.1456888007928643</v>
      </c>
      <c r="L341" s="8"/>
      <c r="M341" s="5"/>
      <c r="N341" s="8">
        <v>2.3926062846580405</v>
      </c>
      <c r="O341" s="9">
        <v>2.0883561775259198</v>
      </c>
      <c r="P341" s="10" t="s">
        <v>31</v>
      </c>
      <c r="Q341" s="10">
        <f t="shared" si="37"/>
        <v>0</v>
      </c>
      <c r="R341" s="10">
        <f t="shared" si="38"/>
        <v>0</v>
      </c>
      <c r="S341" s="10">
        <f t="shared" si="39"/>
        <v>1</v>
      </c>
      <c r="T341" s="10">
        <f t="shared" si="40"/>
        <v>0</v>
      </c>
      <c r="U341" s="11" t="str">
        <f t="shared" si="41"/>
        <v/>
      </c>
      <c r="V341" s="11" t="str">
        <f t="shared" si="36"/>
        <v/>
      </c>
      <c r="W341" s="11" t="str">
        <f t="shared" si="36"/>
        <v/>
      </c>
      <c r="X341" s="11">
        <f t="shared" si="36"/>
        <v>1</v>
      </c>
      <c r="Y341" s="11" t="str">
        <f t="shared" si="36"/>
        <v/>
      </c>
      <c r="Z341" s="11">
        <f t="shared" si="36"/>
        <v>1</v>
      </c>
      <c r="AA341" s="11" t="str">
        <f t="shared" si="36"/>
        <v/>
      </c>
      <c r="AB341" s="11" t="str">
        <f t="shared" si="36"/>
        <v/>
      </c>
      <c r="AC341" s="11">
        <f t="shared" si="36"/>
        <v>1</v>
      </c>
      <c r="AD341" s="11" t="str">
        <f t="shared" si="36"/>
        <v/>
      </c>
      <c r="AE341" s="12" t="s">
        <v>1032</v>
      </c>
    </row>
    <row r="342" spans="1:31" ht="18" customHeight="1" thickTop="1" thickBot="1" x14ac:dyDescent="0.3">
      <c r="A342" s="4" t="s">
        <v>651</v>
      </c>
      <c r="B342" s="4" t="s">
        <v>950</v>
      </c>
      <c r="C342" s="5" t="s">
        <v>652</v>
      </c>
      <c r="D342" s="5" t="s">
        <v>26</v>
      </c>
      <c r="E342" s="5" t="s">
        <v>27</v>
      </c>
      <c r="F342" s="5" t="s">
        <v>653</v>
      </c>
      <c r="G342" s="5" t="s">
        <v>16</v>
      </c>
      <c r="H342" s="6" t="s">
        <v>654</v>
      </c>
      <c r="I342" s="7" t="s">
        <v>359</v>
      </c>
      <c r="J342" s="8" t="s">
        <v>27</v>
      </c>
      <c r="K342" s="8">
        <v>0.37948136601955507</v>
      </c>
      <c r="L342" s="8"/>
      <c r="M342" s="5"/>
      <c r="N342" s="8">
        <v>1.0064985300943834</v>
      </c>
      <c r="O342" s="9">
        <v>2.6523002714249677</v>
      </c>
      <c r="P342" s="10" t="s">
        <v>31</v>
      </c>
      <c r="Q342" s="10">
        <f t="shared" si="37"/>
        <v>0</v>
      </c>
      <c r="R342" s="10">
        <f t="shared" si="38"/>
        <v>1</v>
      </c>
      <c r="S342" s="10">
        <f t="shared" si="39"/>
        <v>1</v>
      </c>
      <c r="T342" s="10">
        <f t="shared" si="40"/>
        <v>0</v>
      </c>
      <c r="U342" s="11">
        <f t="shared" si="41"/>
        <v>1</v>
      </c>
      <c r="V342" s="11" t="str">
        <f t="shared" si="36"/>
        <v/>
      </c>
      <c r="W342" s="11">
        <f t="shared" si="36"/>
        <v>1</v>
      </c>
      <c r="X342" s="11" t="str">
        <f t="shared" si="36"/>
        <v/>
      </c>
      <c r="Y342" s="11" t="str">
        <f t="shared" si="36"/>
        <v/>
      </c>
      <c r="Z342" s="11" t="str">
        <f t="shared" si="36"/>
        <v/>
      </c>
      <c r="AA342" s="11" t="str">
        <f t="shared" si="36"/>
        <v/>
      </c>
      <c r="AB342" s="11" t="str">
        <f t="shared" si="36"/>
        <v/>
      </c>
      <c r="AC342" s="11" t="str">
        <f t="shared" si="36"/>
        <v/>
      </c>
      <c r="AD342" s="11">
        <f t="shared" si="36"/>
        <v>1</v>
      </c>
      <c r="AE342" s="12" t="s">
        <v>1015</v>
      </c>
    </row>
    <row r="343" spans="1:31" ht="18" customHeight="1" thickTop="1" thickBot="1" x14ac:dyDescent="0.3">
      <c r="A343" s="4" t="s">
        <v>400</v>
      </c>
      <c r="B343" s="4" t="s">
        <v>945</v>
      </c>
      <c r="C343" s="5" t="s">
        <v>655</v>
      </c>
      <c r="D343" s="5" t="s">
        <v>26</v>
      </c>
      <c r="E343" s="5" t="s">
        <v>27</v>
      </c>
      <c r="F343" s="5" t="s">
        <v>656</v>
      </c>
      <c r="G343" s="5" t="s">
        <v>16</v>
      </c>
      <c r="H343" s="6" t="s">
        <v>175</v>
      </c>
      <c r="I343" s="7" t="s">
        <v>359</v>
      </c>
      <c r="J343" s="8">
        <v>1</v>
      </c>
      <c r="K343" s="8">
        <v>0.49467812259553734</v>
      </c>
      <c r="L343" s="8"/>
      <c r="M343" s="5"/>
      <c r="N343" s="8">
        <v>1.1620157480314961</v>
      </c>
      <c r="O343" s="9">
        <v>2.349034038405601</v>
      </c>
      <c r="P343" s="10" t="s">
        <v>31</v>
      </c>
      <c r="Q343" s="10">
        <f t="shared" si="37"/>
        <v>0</v>
      </c>
      <c r="R343" s="10">
        <f t="shared" si="38"/>
        <v>1</v>
      </c>
      <c r="S343" s="10">
        <f t="shared" si="39"/>
        <v>1</v>
      </c>
      <c r="T343" s="10">
        <f t="shared" si="40"/>
        <v>0</v>
      </c>
      <c r="U343" s="11">
        <f t="shared" si="41"/>
        <v>1</v>
      </c>
      <c r="V343" s="11" t="str">
        <f t="shared" si="36"/>
        <v/>
      </c>
      <c r="W343" s="11" t="str">
        <f t="shared" si="36"/>
        <v/>
      </c>
      <c r="X343" s="11" t="str">
        <f t="shared" si="36"/>
        <v/>
      </c>
      <c r="Y343" s="11" t="str">
        <f t="shared" si="36"/>
        <v/>
      </c>
      <c r="Z343" s="11">
        <f t="shared" si="36"/>
        <v>1</v>
      </c>
      <c r="AA343" s="11" t="str">
        <f t="shared" si="36"/>
        <v/>
      </c>
      <c r="AB343" s="11" t="str">
        <f t="shared" si="36"/>
        <v/>
      </c>
      <c r="AC343" s="11" t="str">
        <f t="shared" si="36"/>
        <v/>
      </c>
      <c r="AD343" s="11">
        <f t="shared" si="36"/>
        <v>1</v>
      </c>
      <c r="AE343" s="12" t="s">
        <v>1035</v>
      </c>
    </row>
    <row r="344" spans="1:31" ht="18" customHeight="1" thickTop="1" thickBot="1" x14ac:dyDescent="0.3">
      <c r="A344" s="4" t="s">
        <v>400</v>
      </c>
      <c r="B344" s="4" t="s">
        <v>945</v>
      </c>
      <c r="C344" s="5" t="s">
        <v>655</v>
      </c>
      <c r="D344" s="5" t="s">
        <v>26</v>
      </c>
      <c r="E344" s="5" t="s">
        <v>36</v>
      </c>
      <c r="F344" s="5" t="s">
        <v>657</v>
      </c>
      <c r="G344" s="5" t="s">
        <v>16</v>
      </c>
      <c r="H344" s="6" t="s">
        <v>175</v>
      </c>
      <c r="I344" s="7" t="s">
        <v>68</v>
      </c>
      <c r="J344" s="8" t="s">
        <v>27</v>
      </c>
      <c r="K344" s="8">
        <v>0.38033843674456086</v>
      </c>
      <c r="L344" s="8"/>
      <c r="M344" s="5"/>
      <c r="N344" s="8">
        <v>0.75980392156862742</v>
      </c>
      <c r="O344" s="9">
        <v>1.9977048022598864</v>
      </c>
      <c r="P344" s="10" t="s">
        <v>31</v>
      </c>
      <c r="Q344" s="10">
        <f t="shared" si="37"/>
        <v>0</v>
      </c>
      <c r="R344" s="10">
        <f t="shared" si="38"/>
        <v>1</v>
      </c>
      <c r="S344" s="10">
        <f t="shared" si="39"/>
        <v>1</v>
      </c>
      <c r="T344" s="10">
        <f t="shared" si="40"/>
        <v>0</v>
      </c>
      <c r="U344" s="11" t="str">
        <f t="shared" si="41"/>
        <v/>
      </c>
      <c r="V344" s="11" t="str">
        <f t="shared" si="36"/>
        <v/>
      </c>
      <c r="W344" s="11" t="str">
        <f t="shared" si="36"/>
        <v/>
      </c>
      <c r="X344" s="11" t="str">
        <f t="shared" si="36"/>
        <v/>
      </c>
      <c r="Y344" s="11" t="str">
        <f t="shared" si="36"/>
        <v/>
      </c>
      <c r="Z344" s="11">
        <f t="shared" si="36"/>
        <v>1</v>
      </c>
      <c r="AA344" s="11" t="str">
        <f t="shared" si="36"/>
        <v/>
      </c>
      <c r="AB344" s="11" t="str">
        <f t="shared" si="36"/>
        <v/>
      </c>
      <c r="AC344" s="11" t="str">
        <f t="shared" si="36"/>
        <v/>
      </c>
      <c r="AD344" s="11">
        <f t="shared" si="36"/>
        <v>1</v>
      </c>
      <c r="AE344" s="12" t="s">
        <v>1037</v>
      </c>
    </row>
    <row r="345" spans="1:31" ht="18" customHeight="1" thickTop="1" thickBot="1" x14ac:dyDescent="0.3">
      <c r="A345" s="4" t="s">
        <v>400</v>
      </c>
      <c r="B345" s="4" t="s">
        <v>945</v>
      </c>
      <c r="C345" s="5" t="s">
        <v>655</v>
      </c>
      <c r="D345" s="5" t="s">
        <v>26</v>
      </c>
      <c r="E345" s="5" t="s">
        <v>40</v>
      </c>
      <c r="F345" s="5" t="s">
        <v>658</v>
      </c>
      <c r="G345" s="5" t="s">
        <v>16</v>
      </c>
      <c r="H345" s="6" t="s">
        <v>175</v>
      </c>
      <c r="I345" s="7" t="s">
        <v>359</v>
      </c>
      <c r="J345" s="8" t="s">
        <v>27</v>
      </c>
      <c r="K345" s="8">
        <v>4.3481152993348111</v>
      </c>
      <c r="L345" s="8"/>
      <c r="M345" s="5"/>
      <c r="N345" s="8">
        <v>8.5329192546583847</v>
      </c>
      <c r="O345" s="9">
        <v>1.9624408892661558</v>
      </c>
      <c r="P345" s="10" t="s">
        <v>31</v>
      </c>
      <c r="Q345" s="10">
        <f t="shared" si="37"/>
        <v>1</v>
      </c>
      <c r="R345" s="10">
        <f t="shared" si="38"/>
        <v>0</v>
      </c>
      <c r="S345" s="10">
        <f t="shared" si="39"/>
        <v>1</v>
      </c>
      <c r="T345" s="10">
        <f t="shared" si="40"/>
        <v>0</v>
      </c>
      <c r="U345" s="11">
        <f t="shared" si="41"/>
        <v>1</v>
      </c>
      <c r="V345" s="11" t="str">
        <f t="shared" si="36"/>
        <v/>
      </c>
      <c r="W345" s="11" t="str">
        <f t="shared" si="36"/>
        <v/>
      </c>
      <c r="X345" s="11" t="str">
        <f t="shared" si="36"/>
        <v/>
      </c>
      <c r="Y345" s="11" t="str">
        <f t="shared" si="36"/>
        <v/>
      </c>
      <c r="Z345" s="11" t="str">
        <f t="shared" si="36"/>
        <v/>
      </c>
      <c r="AA345" s="11" t="str">
        <f t="shared" si="36"/>
        <v/>
      </c>
      <c r="AB345" s="11" t="str">
        <f t="shared" si="36"/>
        <v/>
      </c>
      <c r="AC345" s="11" t="str">
        <f t="shared" si="36"/>
        <v/>
      </c>
      <c r="AD345" s="11">
        <f t="shared" si="36"/>
        <v>1</v>
      </c>
      <c r="AE345" s="12" t="s">
        <v>1039</v>
      </c>
    </row>
    <row r="346" spans="1:31" ht="18" customHeight="1" thickTop="1" thickBot="1" x14ac:dyDescent="0.3">
      <c r="A346" s="4" t="s">
        <v>400</v>
      </c>
      <c r="B346" s="4" t="s">
        <v>945</v>
      </c>
      <c r="C346" s="5" t="s">
        <v>655</v>
      </c>
      <c r="D346" s="5" t="s">
        <v>26</v>
      </c>
      <c r="E346" s="5" t="s">
        <v>69</v>
      </c>
      <c r="F346" s="5" t="s">
        <v>659</v>
      </c>
      <c r="G346" s="5" t="s">
        <v>16</v>
      </c>
      <c r="H346" s="6" t="s">
        <v>175</v>
      </c>
      <c r="I346" s="7" t="s">
        <v>68</v>
      </c>
      <c r="J346" s="8" t="s">
        <v>27</v>
      </c>
      <c r="K346" s="8">
        <v>0.88698630136986301</v>
      </c>
      <c r="L346" s="8"/>
      <c r="M346" s="5"/>
      <c r="N346" s="8">
        <v>1.2551210428305402</v>
      </c>
      <c r="O346" s="9">
        <v>1.4150399401796052</v>
      </c>
      <c r="P346" s="10" t="s">
        <v>27</v>
      </c>
      <c r="Q346" s="10">
        <f t="shared" si="37"/>
        <v>0</v>
      </c>
      <c r="R346" s="10">
        <f t="shared" si="38"/>
        <v>0</v>
      </c>
      <c r="S346" s="10">
        <f t="shared" si="39"/>
        <v>0</v>
      </c>
      <c r="T346" s="10">
        <f t="shared" si="40"/>
        <v>0</v>
      </c>
      <c r="U346" s="11" t="str">
        <f t="shared" si="41"/>
        <v/>
      </c>
      <c r="V346" s="11" t="str">
        <f t="shared" si="36"/>
        <v/>
      </c>
      <c r="W346" s="11" t="str">
        <f t="shared" si="36"/>
        <v/>
      </c>
      <c r="X346" s="11" t="str">
        <f t="shared" si="36"/>
        <v/>
      </c>
      <c r="Y346" s="11" t="str">
        <f t="shared" si="36"/>
        <v/>
      </c>
      <c r="Z346" s="11" t="str">
        <f t="shared" si="36"/>
        <v/>
      </c>
      <c r="AA346" s="11" t="str">
        <f t="shared" si="36"/>
        <v/>
      </c>
      <c r="AB346" s="11" t="str">
        <f t="shared" si="36"/>
        <v/>
      </c>
      <c r="AC346" s="11" t="str">
        <f t="shared" si="36"/>
        <v/>
      </c>
      <c r="AD346" s="11" t="str">
        <f t="shared" si="36"/>
        <v/>
      </c>
      <c r="AE346" s="12" t="s">
        <v>27</v>
      </c>
    </row>
    <row r="347" spans="1:31" ht="18" customHeight="1" thickTop="1" thickBot="1" x14ac:dyDescent="0.3">
      <c r="A347" s="4" t="s">
        <v>400</v>
      </c>
      <c r="B347" s="4" t="s">
        <v>945</v>
      </c>
      <c r="C347" s="5" t="s">
        <v>655</v>
      </c>
      <c r="D347" s="5" t="s">
        <v>26</v>
      </c>
      <c r="E347" s="5" t="s">
        <v>71</v>
      </c>
      <c r="F347" s="5" t="s">
        <v>660</v>
      </c>
      <c r="G347" s="5" t="s">
        <v>16</v>
      </c>
      <c r="H347" s="6" t="s">
        <v>175</v>
      </c>
      <c r="I347" s="7" t="s">
        <v>359</v>
      </c>
      <c r="J347" s="8" t="s">
        <v>27</v>
      </c>
      <c r="K347" s="8">
        <v>0.38235294117647056</v>
      </c>
      <c r="L347" s="8"/>
      <c r="M347" s="5"/>
      <c r="N347" s="8">
        <v>0.86565096952908593</v>
      </c>
      <c r="O347" s="9">
        <v>2.2640102279991479</v>
      </c>
      <c r="P347" s="10" t="s">
        <v>31</v>
      </c>
      <c r="Q347" s="10">
        <f t="shared" si="37"/>
        <v>0</v>
      </c>
      <c r="R347" s="10">
        <f t="shared" si="38"/>
        <v>1</v>
      </c>
      <c r="S347" s="10">
        <f t="shared" si="39"/>
        <v>1</v>
      </c>
      <c r="T347" s="10">
        <f t="shared" si="40"/>
        <v>0</v>
      </c>
      <c r="U347" s="11">
        <f t="shared" si="41"/>
        <v>1</v>
      </c>
      <c r="V347" s="11" t="str">
        <f t="shared" si="36"/>
        <v/>
      </c>
      <c r="W347" s="11" t="str">
        <f t="shared" si="36"/>
        <v/>
      </c>
      <c r="X347" s="11" t="str">
        <f t="shared" si="36"/>
        <v/>
      </c>
      <c r="Y347" s="11" t="str">
        <f t="shared" si="36"/>
        <v/>
      </c>
      <c r="Z347" s="11">
        <f t="shared" si="36"/>
        <v>1</v>
      </c>
      <c r="AA347" s="11" t="str">
        <f t="shared" si="36"/>
        <v/>
      </c>
      <c r="AB347" s="11" t="str">
        <f t="shared" si="36"/>
        <v/>
      </c>
      <c r="AC347" s="11" t="str">
        <f t="shared" si="36"/>
        <v/>
      </c>
      <c r="AD347" s="11">
        <f t="shared" si="36"/>
        <v>1</v>
      </c>
      <c r="AE347" s="12" t="s">
        <v>1035</v>
      </c>
    </row>
    <row r="348" spans="1:31" ht="18" customHeight="1" thickTop="1" thickBot="1" x14ac:dyDescent="0.3">
      <c r="A348" s="4" t="s">
        <v>400</v>
      </c>
      <c r="B348" s="4" t="s">
        <v>945</v>
      </c>
      <c r="C348" s="5" t="s">
        <v>655</v>
      </c>
      <c r="D348" s="5" t="s">
        <v>26</v>
      </c>
      <c r="E348" s="5" t="s">
        <v>141</v>
      </c>
      <c r="F348" s="5" t="s">
        <v>661</v>
      </c>
      <c r="G348" s="5" t="s">
        <v>16</v>
      </c>
      <c r="H348" s="6" t="s">
        <v>175</v>
      </c>
      <c r="I348" s="7" t="s">
        <v>68</v>
      </c>
      <c r="J348" s="8" t="s">
        <v>27</v>
      </c>
      <c r="K348" s="8">
        <v>0.32367927058192547</v>
      </c>
      <c r="L348" s="8"/>
      <c r="M348" s="5"/>
      <c r="N348" s="8">
        <v>0.47022268254790267</v>
      </c>
      <c r="O348" s="9">
        <v>1.4527426538700323</v>
      </c>
      <c r="P348" s="10" t="s">
        <v>31</v>
      </c>
      <c r="Q348" s="10">
        <f t="shared" si="37"/>
        <v>0</v>
      </c>
      <c r="R348" s="10">
        <f t="shared" si="38"/>
        <v>1</v>
      </c>
      <c r="S348" s="10">
        <f t="shared" si="39"/>
        <v>0</v>
      </c>
      <c r="T348" s="10">
        <f t="shared" si="40"/>
        <v>0</v>
      </c>
      <c r="U348" s="11">
        <f t="shared" si="41"/>
        <v>1</v>
      </c>
      <c r="V348" s="11" t="str">
        <f t="shared" si="36"/>
        <v/>
      </c>
      <c r="W348" s="11" t="str">
        <f t="shared" si="36"/>
        <v/>
      </c>
      <c r="X348" s="11" t="str">
        <f t="shared" si="36"/>
        <v/>
      </c>
      <c r="Y348" s="11" t="str">
        <f t="shared" si="36"/>
        <v/>
      </c>
      <c r="Z348" s="11">
        <f t="shared" si="36"/>
        <v>1</v>
      </c>
      <c r="AA348" s="11" t="str">
        <f t="shared" si="36"/>
        <v/>
      </c>
      <c r="AB348" s="11" t="str">
        <f t="shared" si="36"/>
        <v/>
      </c>
      <c r="AC348" s="11" t="str">
        <f t="shared" si="36"/>
        <v/>
      </c>
      <c r="AD348" s="11">
        <f t="shared" si="36"/>
        <v>1</v>
      </c>
      <c r="AE348" s="12" t="s">
        <v>1035</v>
      </c>
    </row>
    <row r="349" spans="1:31" ht="18" customHeight="1" thickTop="1" thickBot="1" x14ac:dyDescent="0.3">
      <c r="A349" s="4" t="s">
        <v>400</v>
      </c>
      <c r="B349" s="4" t="s">
        <v>945</v>
      </c>
      <c r="C349" s="5" t="s">
        <v>655</v>
      </c>
      <c r="D349" s="5" t="s">
        <v>26</v>
      </c>
      <c r="E349" s="5" t="s">
        <v>143</v>
      </c>
      <c r="F349" s="5" t="s">
        <v>662</v>
      </c>
      <c r="G349" s="5" t="s">
        <v>16</v>
      </c>
      <c r="H349" s="6" t="s">
        <v>175</v>
      </c>
      <c r="I349" s="7" t="s">
        <v>359</v>
      </c>
      <c r="J349" s="8" t="s">
        <v>27</v>
      </c>
      <c r="K349" s="8">
        <v>0.40903903218443272</v>
      </c>
      <c r="L349" s="8"/>
      <c r="M349" s="5"/>
      <c r="N349" s="8">
        <v>0.76982405398891296</v>
      </c>
      <c r="O349" s="9">
        <v>1.8820307927039222</v>
      </c>
      <c r="P349" s="10" t="s">
        <v>31</v>
      </c>
      <c r="Q349" s="10">
        <f t="shared" si="37"/>
        <v>0</v>
      </c>
      <c r="R349" s="10">
        <f t="shared" si="38"/>
        <v>1</v>
      </c>
      <c r="S349" s="10">
        <f t="shared" si="39"/>
        <v>1</v>
      </c>
      <c r="T349" s="10">
        <f t="shared" si="40"/>
        <v>0</v>
      </c>
      <c r="U349" s="11">
        <f t="shared" si="41"/>
        <v>1</v>
      </c>
      <c r="V349" s="11" t="str">
        <f t="shared" si="36"/>
        <v/>
      </c>
      <c r="W349" s="11" t="str">
        <f t="shared" si="36"/>
        <v/>
      </c>
      <c r="X349" s="11" t="str">
        <f t="shared" si="36"/>
        <v/>
      </c>
      <c r="Y349" s="11" t="str">
        <f t="shared" si="36"/>
        <v/>
      </c>
      <c r="Z349" s="11">
        <f t="shared" si="36"/>
        <v>1</v>
      </c>
      <c r="AA349" s="11" t="str">
        <f t="shared" si="36"/>
        <v/>
      </c>
      <c r="AB349" s="11" t="str">
        <f t="shared" si="36"/>
        <v/>
      </c>
      <c r="AC349" s="11" t="str">
        <f t="shared" si="36"/>
        <v/>
      </c>
      <c r="AD349" s="11">
        <f t="shared" si="36"/>
        <v>1</v>
      </c>
      <c r="AE349" s="12" t="s">
        <v>1035</v>
      </c>
    </row>
    <row r="350" spans="1:31" ht="18" customHeight="1" thickTop="1" thickBot="1" x14ac:dyDescent="0.3">
      <c r="A350" s="4" t="s">
        <v>400</v>
      </c>
      <c r="B350" s="4" t="s">
        <v>945</v>
      </c>
      <c r="C350" s="5" t="s">
        <v>655</v>
      </c>
      <c r="D350" s="5" t="s">
        <v>26</v>
      </c>
      <c r="E350" s="5" t="s">
        <v>245</v>
      </c>
      <c r="F350" s="5" t="s">
        <v>663</v>
      </c>
      <c r="G350" s="5" t="s">
        <v>16</v>
      </c>
      <c r="H350" s="6" t="s">
        <v>175</v>
      </c>
      <c r="I350" s="7" t="s">
        <v>68</v>
      </c>
      <c r="J350" s="8" t="s">
        <v>27</v>
      </c>
      <c r="K350" s="8">
        <v>0.26055063351433744</v>
      </c>
      <c r="L350" s="8"/>
      <c r="M350" s="5"/>
      <c r="N350" s="8">
        <v>0.56571654790182102</v>
      </c>
      <c r="O350" s="9">
        <v>2.1712345898813221</v>
      </c>
      <c r="P350" s="10" t="s">
        <v>31</v>
      </c>
      <c r="Q350" s="10">
        <f t="shared" si="37"/>
        <v>0</v>
      </c>
      <c r="R350" s="10">
        <f t="shared" si="38"/>
        <v>1</v>
      </c>
      <c r="S350" s="10">
        <f t="shared" si="39"/>
        <v>1</v>
      </c>
      <c r="T350" s="10">
        <f t="shared" si="40"/>
        <v>0</v>
      </c>
      <c r="U350" s="11">
        <f t="shared" si="41"/>
        <v>1</v>
      </c>
      <c r="V350" s="11" t="str">
        <f t="shared" si="36"/>
        <v/>
      </c>
      <c r="W350" s="11" t="str">
        <f t="shared" si="36"/>
        <v/>
      </c>
      <c r="X350" s="11" t="str">
        <f t="shared" si="36"/>
        <v/>
      </c>
      <c r="Y350" s="11" t="str">
        <f t="shared" si="36"/>
        <v/>
      </c>
      <c r="Z350" s="11">
        <f t="shared" si="36"/>
        <v>1</v>
      </c>
      <c r="AA350" s="11" t="str">
        <f t="shared" si="36"/>
        <v/>
      </c>
      <c r="AB350" s="11" t="str">
        <f t="shared" si="36"/>
        <v/>
      </c>
      <c r="AC350" s="11" t="str">
        <f t="shared" si="36"/>
        <v/>
      </c>
      <c r="AD350" s="11">
        <f t="shared" si="36"/>
        <v>1</v>
      </c>
      <c r="AE350" s="12" t="s">
        <v>1035</v>
      </c>
    </row>
    <row r="351" spans="1:31" ht="18" customHeight="1" thickTop="1" thickBot="1" x14ac:dyDescent="0.3">
      <c r="A351" s="4" t="s">
        <v>400</v>
      </c>
      <c r="B351" s="4" t="s">
        <v>945</v>
      </c>
      <c r="C351" s="5" t="s">
        <v>655</v>
      </c>
      <c r="D351" s="5" t="s">
        <v>26</v>
      </c>
      <c r="E351" s="5" t="s">
        <v>247</v>
      </c>
      <c r="F351" s="5" t="s">
        <v>664</v>
      </c>
      <c r="G351" s="5" t="s">
        <v>16</v>
      </c>
      <c r="H351" s="6" t="s">
        <v>175</v>
      </c>
      <c r="I351" s="7" t="s">
        <v>359</v>
      </c>
      <c r="J351" s="8" t="s">
        <v>27</v>
      </c>
      <c r="K351" s="8">
        <v>0.49090714591356438</v>
      </c>
      <c r="L351" s="8"/>
      <c r="M351" s="5"/>
      <c r="N351" s="8">
        <v>0.94053315105946689</v>
      </c>
      <c r="O351" s="9">
        <v>1.9159084541520803</v>
      </c>
      <c r="P351" s="10" t="s">
        <v>31</v>
      </c>
      <c r="Q351" s="10">
        <f t="shared" si="37"/>
        <v>0</v>
      </c>
      <c r="R351" s="10">
        <f t="shared" si="38"/>
        <v>1</v>
      </c>
      <c r="S351" s="10">
        <f t="shared" si="39"/>
        <v>1</v>
      </c>
      <c r="T351" s="10">
        <f t="shared" si="40"/>
        <v>0</v>
      </c>
      <c r="U351" s="11">
        <f t="shared" si="41"/>
        <v>1</v>
      </c>
      <c r="V351" s="11" t="str">
        <f t="shared" si="36"/>
        <v/>
      </c>
      <c r="W351" s="11" t="str">
        <f t="shared" si="36"/>
        <v/>
      </c>
      <c r="X351" s="11" t="str">
        <f t="shared" si="36"/>
        <v/>
      </c>
      <c r="Y351" s="11" t="str">
        <f t="shared" si="36"/>
        <v/>
      </c>
      <c r="Z351" s="11">
        <f t="shared" si="36"/>
        <v>1</v>
      </c>
      <c r="AA351" s="11" t="str">
        <f t="shared" si="36"/>
        <v/>
      </c>
      <c r="AB351" s="11" t="str">
        <f t="shared" si="36"/>
        <v/>
      </c>
      <c r="AC351" s="11" t="str">
        <f t="shared" si="36"/>
        <v/>
      </c>
      <c r="AD351" s="11">
        <f t="shared" si="36"/>
        <v>1</v>
      </c>
      <c r="AE351" s="12" t="s">
        <v>1035</v>
      </c>
    </row>
    <row r="352" spans="1:31" ht="18" customHeight="1" thickTop="1" thickBot="1" x14ac:dyDescent="0.3">
      <c r="A352" s="4" t="s">
        <v>665</v>
      </c>
      <c r="B352" s="4" t="s">
        <v>950</v>
      </c>
      <c r="C352" s="5" t="s">
        <v>666</v>
      </c>
      <c r="D352" s="5" t="s">
        <v>26</v>
      </c>
      <c r="E352" s="5" t="s">
        <v>27</v>
      </c>
      <c r="F352" s="5" t="s">
        <v>667</v>
      </c>
      <c r="G352" s="5" t="s">
        <v>16</v>
      </c>
      <c r="H352" s="6" t="s">
        <v>126</v>
      </c>
      <c r="I352" s="7" t="s">
        <v>38</v>
      </c>
      <c r="J352" s="8" t="s">
        <v>27</v>
      </c>
      <c r="K352" s="8">
        <v>1.0466666666666666</v>
      </c>
      <c r="L352" s="8"/>
      <c r="M352" s="5"/>
      <c r="N352" s="8">
        <v>1.6121827411167513</v>
      </c>
      <c r="O352" s="9">
        <v>1.5403019819586798</v>
      </c>
      <c r="P352" s="10" t="s">
        <v>31</v>
      </c>
      <c r="Q352" s="10">
        <f t="shared" si="37"/>
        <v>0</v>
      </c>
      <c r="R352" s="10">
        <f t="shared" si="38"/>
        <v>0</v>
      </c>
      <c r="S352" s="10">
        <f t="shared" si="39"/>
        <v>1</v>
      </c>
      <c r="T352" s="10">
        <f t="shared" si="40"/>
        <v>0</v>
      </c>
      <c r="U352" s="11">
        <f t="shared" si="41"/>
        <v>1</v>
      </c>
      <c r="V352" s="11" t="str">
        <f t="shared" si="36"/>
        <v/>
      </c>
      <c r="W352" s="11" t="str">
        <f t="shared" si="36"/>
        <v/>
      </c>
      <c r="X352" s="11" t="str">
        <f t="shared" si="36"/>
        <v/>
      </c>
      <c r="Y352" s="11" t="str">
        <f t="shared" si="36"/>
        <v/>
      </c>
      <c r="Z352" s="11" t="str">
        <f t="shared" si="36"/>
        <v/>
      </c>
      <c r="AA352" s="11" t="str">
        <f t="shared" si="36"/>
        <v/>
      </c>
      <c r="AB352" s="11" t="str">
        <f t="shared" si="36"/>
        <v/>
      </c>
      <c r="AC352" s="11" t="str">
        <f t="shared" ref="V352:AD381" si="42">IF(ISNUMBER(SEARCH(AC$3,$AE352)), 1,"")</f>
        <v/>
      </c>
      <c r="AD352" s="11" t="str">
        <f t="shared" si="42"/>
        <v/>
      </c>
      <c r="AE352" s="12" t="s">
        <v>1041</v>
      </c>
    </row>
    <row r="353" spans="1:31" ht="18" customHeight="1" thickTop="1" thickBot="1" x14ac:dyDescent="0.3">
      <c r="A353" s="4" t="s">
        <v>665</v>
      </c>
      <c r="B353" s="4" t="s">
        <v>950</v>
      </c>
      <c r="C353" s="5" t="s">
        <v>666</v>
      </c>
      <c r="D353" s="5" t="s">
        <v>26</v>
      </c>
      <c r="E353" s="5" t="s">
        <v>36</v>
      </c>
      <c r="F353" s="5" t="s">
        <v>668</v>
      </c>
      <c r="G353" s="5" t="s">
        <v>16</v>
      </c>
      <c r="H353" s="6" t="s">
        <v>126</v>
      </c>
      <c r="I353" s="7" t="s">
        <v>68</v>
      </c>
      <c r="J353" s="8" t="s">
        <v>27</v>
      </c>
      <c r="K353" s="8">
        <v>1</v>
      </c>
      <c r="L353" s="8"/>
      <c r="M353" s="5"/>
      <c r="N353" s="8">
        <v>1.0322864045684164</v>
      </c>
      <c r="O353" s="9">
        <v>1.0322864045684164</v>
      </c>
      <c r="P353" s="10" t="s">
        <v>27</v>
      </c>
      <c r="Q353" s="10">
        <f t="shared" si="37"/>
        <v>0</v>
      </c>
      <c r="R353" s="10">
        <f t="shared" si="38"/>
        <v>0</v>
      </c>
      <c r="S353" s="10">
        <f t="shared" si="39"/>
        <v>0</v>
      </c>
      <c r="T353" s="10">
        <f t="shared" si="40"/>
        <v>0</v>
      </c>
      <c r="U353" s="11" t="str">
        <f t="shared" si="41"/>
        <v/>
      </c>
      <c r="V353" s="11" t="str">
        <f t="shared" si="42"/>
        <v/>
      </c>
      <c r="W353" s="11" t="str">
        <f t="shared" si="42"/>
        <v/>
      </c>
      <c r="X353" s="11" t="str">
        <f t="shared" si="42"/>
        <v/>
      </c>
      <c r="Y353" s="11" t="str">
        <f t="shared" si="42"/>
        <v/>
      </c>
      <c r="Z353" s="11" t="str">
        <f t="shared" si="42"/>
        <v/>
      </c>
      <c r="AA353" s="11" t="str">
        <f t="shared" si="42"/>
        <v/>
      </c>
      <c r="AB353" s="11" t="str">
        <f t="shared" si="42"/>
        <v/>
      </c>
      <c r="AC353" s="11" t="str">
        <f t="shared" si="42"/>
        <v/>
      </c>
      <c r="AD353" s="11" t="str">
        <f t="shared" si="42"/>
        <v/>
      </c>
      <c r="AE353" s="12" t="s">
        <v>27</v>
      </c>
    </row>
    <row r="354" spans="1:31" ht="18" customHeight="1" thickTop="1" thickBot="1" x14ac:dyDescent="0.3">
      <c r="A354" s="4" t="s">
        <v>665</v>
      </c>
      <c r="B354" s="4" t="s">
        <v>950</v>
      </c>
      <c r="C354" s="5" t="s">
        <v>666</v>
      </c>
      <c r="D354" s="5" t="s">
        <v>26</v>
      </c>
      <c r="E354" s="5" t="s">
        <v>40</v>
      </c>
      <c r="F354" s="5" t="s">
        <v>669</v>
      </c>
      <c r="G354" s="5" t="s">
        <v>16</v>
      </c>
      <c r="H354" s="6" t="s">
        <v>126</v>
      </c>
      <c r="I354" s="7" t="s">
        <v>68</v>
      </c>
      <c r="J354" s="8" t="s">
        <v>27</v>
      </c>
      <c r="K354" s="8">
        <v>1.3311827956989246</v>
      </c>
      <c r="L354" s="8"/>
      <c r="M354" s="5"/>
      <c r="N354" s="8">
        <v>1.2843837990036819</v>
      </c>
      <c r="O354" s="9">
        <v>0.96484404933232981</v>
      </c>
      <c r="P354" s="10" t="s">
        <v>27</v>
      </c>
      <c r="Q354" s="10">
        <f t="shared" si="37"/>
        <v>0</v>
      </c>
      <c r="R354" s="10">
        <f t="shared" si="38"/>
        <v>0</v>
      </c>
      <c r="S354" s="10">
        <f t="shared" si="39"/>
        <v>0</v>
      </c>
      <c r="T354" s="10">
        <f t="shared" si="40"/>
        <v>0</v>
      </c>
      <c r="U354" s="11" t="str">
        <f t="shared" si="41"/>
        <v/>
      </c>
      <c r="V354" s="11" t="str">
        <f t="shared" si="42"/>
        <v/>
      </c>
      <c r="W354" s="11" t="str">
        <f t="shared" si="42"/>
        <v/>
      </c>
      <c r="X354" s="11" t="str">
        <f t="shared" si="42"/>
        <v/>
      </c>
      <c r="Y354" s="11" t="str">
        <f t="shared" si="42"/>
        <v/>
      </c>
      <c r="Z354" s="11" t="str">
        <f t="shared" si="42"/>
        <v/>
      </c>
      <c r="AA354" s="11" t="str">
        <f t="shared" si="42"/>
        <v/>
      </c>
      <c r="AB354" s="11" t="str">
        <f t="shared" si="42"/>
        <v/>
      </c>
      <c r="AC354" s="11" t="str">
        <f t="shared" si="42"/>
        <v/>
      </c>
      <c r="AD354" s="11" t="str">
        <f t="shared" si="42"/>
        <v/>
      </c>
      <c r="AE354" s="12" t="s">
        <v>27</v>
      </c>
    </row>
    <row r="355" spans="1:31" ht="18" customHeight="1" thickTop="1" thickBot="1" x14ac:dyDescent="0.3">
      <c r="A355" s="4" t="s">
        <v>670</v>
      </c>
      <c r="B355" s="4" t="s">
        <v>947</v>
      </c>
      <c r="C355" s="5" t="s">
        <v>671</v>
      </c>
      <c r="D355" s="5" t="s">
        <v>26</v>
      </c>
      <c r="E355" s="5" t="s">
        <v>36</v>
      </c>
      <c r="F355" s="5" t="s">
        <v>672</v>
      </c>
      <c r="G355" s="5" t="s">
        <v>16</v>
      </c>
      <c r="H355" s="6" t="s">
        <v>487</v>
      </c>
      <c r="I355" s="7" t="s">
        <v>359</v>
      </c>
      <c r="J355" s="8" t="s">
        <v>27</v>
      </c>
      <c r="K355" s="8">
        <v>1</v>
      </c>
      <c r="L355" s="8"/>
      <c r="M355" s="5"/>
      <c r="N355" s="8">
        <v>1.8954545454545453</v>
      </c>
      <c r="O355" s="9">
        <v>1.8954545454545453</v>
      </c>
      <c r="P355" s="10" t="s">
        <v>31</v>
      </c>
      <c r="Q355" s="10">
        <f t="shared" si="37"/>
        <v>0</v>
      </c>
      <c r="R355" s="10">
        <f t="shared" si="38"/>
        <v>0</v>
      </c>
      <c r="S355" s="10">
        <f t="shared" si="39"/>
        <v>1</v>
      </c>
      <c r="T355" s="10">
        <f t="shared" si="40"/>
        <v>0</v>
      </c>
      <c r="U355" s="11" t="str">
        <f t="shared" si="41"/>
        <v/>
      </c>
      <c r="V355" s="11" t="str">
        <f t="shared" si="42"/>
        <v/>
      </c>
      <c r="W355" s="11" t="str">
        <f t="shared" si="42"/>
        <v/>
      </c>
      <c r="X355" s="11" t="str">
        <f t="shared" si="42"/>
        <v/>
      </c>
      <c r="Y355" s="11" t="str">
        <f t="shared" si="42"/>
        <v/>
      </c>
      <c r="Z355" s="11">
        <f t="shared" si="42"/>
        <v>1</v>
      </c>
      <c r="AA355" s="11" t="str">
        <f t="shared" si="42"/>
        <v/>
      </c>
      <c r="AB355" s="11" t="str">
        <f t="shared" si="42"/>
        <v/>
      </c>
      <c r="AC355" s="11">
        <f t="shared" si="42"/>
        <v>1</v>
      </c>
      <c r="AD355" s="11" t="str">
        <f t="shared" si="42"/>
        <v/>
      </c>
      <c r="AE355" s="12" t="s">
        <v>980</v>
      </c>
    </row>
    <row r="356" spans="1:31" ht="18" customHeight="1" thickTop="1" thickBot="1" x14ac:dyDescent="0.3">
      <c r="A356" s="4" t="s">
        <v>670</v>
      </c>
      <c r="B356" s="4" t="s">
        <v>947</v>
      </c>
      <c r="C356" s="5" t="s">
        <v>671</v>
      </c>
      <c r="D356" s="5" t="s">
        <v>26</v>
      </c>
      <c r="E356" s="5" t="s">
        <v>40</v>
      </c>
      <c r="F356" s="5" t="s">
        <v>673</v>
      </c>
      <c r="G356" s="5" t="s">
        <v>16</v>
      </c>
      <c r="H356" s="6" t="s">
        <v>487</v>
      </c>
      <c r="I356" s="7" t="s">
        <v>359</v>
      </c>
      <c r="J356" s="8" t="s">
        <v>27</v>
      </c>
      <c r="K356" s="8">
        <v>1</v>
      </c>
      <c r="L356" s="8"/>
      <c r="M356" s="5"/>
      <c r="N356" s="8">
        <v>1.8052631578947369</v>
      </c>
      <c r="O356" s="9">
        <v>1.8052631578947369</v>
      </c>
      <c r="P356" s="10" t="s">
        <v>31</v>
      </c>
      <c r="Q356" s="10">
        <f t="shared" si="37"/>
        <v>0</v>
      </c>
      <c r="R356" s="10">
        <f t="shared" si="38"/>
        <v>0</v>
      </c>
      <c r="S356" s="10">
        <f t="shared" si="39"/>
        <v>1</v>
      </c>
      <c r="T356" s="10">
        <f t="shared" si="40"/>
        <v>0</v>
      </c>
      <c r="U356" s="11" t="str">
        <f t="shared" si="41"/>
        <v/>
      </c>
      <c r="V356" s="11" t="str">
        <f t="shared" si="42"/>
        <v/>
      </c>
      <c r="W356" s="11" t="str">
        <f t="shared" si="42"/>
        <v/>
      </c>
      <c r="X356" s="11" t="str">
        <f t="shared" si="42"/>
        <v/>
      </c>
      <c r="Y356" s="11" t="str">
        <f t="shared" si="42"/>
        <v/>
      </c>
      <c r="Z356" s="11">
        <f t="shared" si="42"/>
        <v>1</v>
      </c>
      <c r="AA356" s="11" t="str">
        <f t="shared" si="42"/>
        <v/>
      </c>
      <c r="AB356" s="11" t="str">
        <f t="shared" si="42"/>
        <v/>
      </c>
      <c r="AC356" s="11">
        <f t="shared" si="42"/>
        <v>1</v>
      </c>
      <c r="AD356" s="11" t="str">
        <f t="shared" si="42"/>
        <v/>
      </c>
      <c r="AE356" s="12" t="s">
        <v>980</v>
      </c>
    </row>
    <row r="357" spans="1:31" ht="18" customHeight="1" thickTop="1" thickBot="1" x14ac:dyDescent="0.3">
      <c r="A357" s="4" t="s">
        <v>670</v>
      </c>
      <c r="B357" s="4" t="s">
        <v>947</v>
      </c>
      <c r="C357" s="5" t="s">
        <v>671</v>
      </c>
      <c r="D357" s="5" t="s">
        <v>26</v>
      </c>
      <c r="E357" s="5" t="s">
        <v>69</v>
      </c>
      <c r="F357" s="5" t="s">
        <v>674</v>
      </c>
      <c r="G357" s="5" t="s">
        <v>16</v>
      </c>
      <c r="H357" s="6" t="s">
        <v>487</v>
      </c>
      <c r="I357" s="7" t="s">
        <v>359</v>
      </c>
      <c r="J357" s="8" t="s">
        <v>27</v>
      </c>
      <c r="K357" s="8">
        <v>1</v>
      </c>
      <c r="L357" s="8"/>
      <c r="M357" s="5"/>
      <c r="N357" s="8">
        <v>1.4307692307692308</v>
      </c>
      <c r="O357" s="9">
        <v>1.4307692307692308</v>
      </c>
      <c r="P357" s="10" t="s">
        <v>27</v>
      </c>
      <c r="Q357" s="10">
        <f t="shared" si="37"/>
        <v>0</v>
      </c>
      <c r="R357" s="10">
        <f t="shared" si="38"/>
        <v>0</v>
      </c>
      <c r="S357" s="10">
        <f t="shared" si="39"/>
        <v>0</v>
      </c>
      <c r="T357" s="10">
        <f t="shared" si="40"/>
        <v>0</v>
      </c>
      <c r="U357" s="11" t="str">
        <f t="shared" si="41"/>
        <v/>
      </c>
      <c r="V357" s="11" t="str">
        <f t="shared" si="42"/>
        <v/>
      </c>
      <c r="W357" s="11" t="str">
        <f t="shared" si="42"/>
        <v/>
      </c>
      <c r="X357" s="11" t="str">
        <f t="shared" si="42"/>
        <v/>
      </c>
      <c r="Y357" s="11" t="str">
        <f t="shared" si="42"/>
        <v/>
      </c>
      <c r="Z357" s="11" t="str">
        <f t="shared" si="42"/>
        <v/>
      </c>
      <c r="AA357" s="11" t="str">
        <f t="shared" si="42"/>
        <v/>
      </c>
      <c r="AB357" s="11" t="str">
        <f t="shared" si="42"/>
        <v/>
      </c>
      <c r="AC357" s="11" t="str">
        <f t="shared" si="42"/>
        <v/>
      </c>
      <c r="AD357" s="11" t="str">
        <f t="shared" si="42"/>
        <v/>
      </c>
      <c r="AE357" s="12" t="s">
        <v>27</v>
      </c>
    </row>
    <row r="358" spans="1:31" ht="18" customHeight="1" thickTop="1" thickBot="1" x14ac:dyDescent="0.3">
      <c r="A358" s="4" t="s">
        <v>670</v>
      </c>
      <c r="B358" s="4" t="s">
        <v>947</v>
      </c>
      <c r="C358" s="5" t="s">
        <v>671</v>
      </c>
      <c r="D358" s="5" t="s">
        <v>26</v>
      </c>
      <c r="E358" s="5" t="s">
        <v>71</v>
      </c>
      <c r="F358" s="5" t="s">
        <v>675</v>
      </c>
      <c r="G358" s="5" t="s">
        <v>16</v>
      </c>
      <c r="H358" s="6" t="s">
        <v>487</v>
      </c>
      <c r="I358" s="7" t="s">
        <v>359</v>
      </c>
      <c r="J358" s="8" t="s">
        <v>27</v>
      </c>
      <c r="K358" s="8">
        <v>1</v>
      </c>
      <c r="L358" s="8"/>
      <c r="M358" s="5"/>
      <c r="N358" s="8">
        <v>0.75</v>
      </c>
      <c r="O358" s="9">
        <v>0.75000000000000011</v>
      </c>
      <c r="P358" s="10" t="s">
        <v>27</v>
      </c>
      <c r="Q358" s="10">
        <f t="shared" si="37"/>
        <v>0</v>
      </c>
      <c r="R358" s="10">
        <f t="shared" si="38"/>
        <v>0</v>
      </c>
      <c r="S358" s="10">
        <f t="shared" si="39"/>
        <v>0</v>
      </c>
      <c r="T358" s="10">
        <f t="shared" si="40"/>
        <v>0</v>
      </c>
      <c r="U358" s="11" t="str">
        <f t="shared" si="41"/>
        <v/>
      </c>
      <c r="V358" s="11" t="str">
        <f t="shared" si="42"/>
        <v/>
      </c>
      <c r="W358" s="11" t="str">
        <f t="shared" si="42"/>
        <v/>
      </c>
      <c r="X358" s="11" t="str">
        <f t="shared" si="42"/>
        <v/>
      </c>
      <c r="Y358" s="11" t="str">
        <f t="shared" si="42"/>
        <v/>
      </c>
      <c r="Z358" s="11" t="str">
        <f t="shared" si="42"/>
        <v/>
      </c>
      <c r="AA358" s="11" t="str">
        <f t="shared" si="42"/>
        <v/>
      </c>
      <c r="AB358" s="11" t="str">
        <f t="shared" si="42"/>
        <v/>
      </c>
      <c r="AC358" s="11" t="str">
        <f t="shared" si="42"/>
        <v/>
      </c>
      <c r="AD358" s="11" t="str">
        <f t="shared" si="42"/>
        <v/>
      </c>
      <c r="AE358" s="12" t="s">
        <v>27</v>
      </c>
    </row>
    <row r="359" spans="1:31" ht="18" customHeight="1" thickTop="1" thickBot="1" x14ac:dyDescent="0.3">
      <c r="A359" s="4" t="s">
        <v>676</v>
      </c>
      <c r="B359" s="4" t="s">
        <v>945</v>
      </c>
      <c r="C359" s="5" t="s">
        <v>677</v>
      </c>
      <c r="D359" s="5" t="s">
        <v>26</v>
      </c>
      <c r="E359" s="5" t="s">
        <v>36</v>
      </c>
      <c r="F359" s="5" t="s">
        <v>678</v>
      </c>
      <c r="G359" s="5" t="s">
        <v>16</v>
      </c>
      <c r="H359" s="6" t="s">
        <v>654</v>
      </c>
      <c r="I359" s="7" t="s">
        <v>78</v>
      </c>
      <c r="J359" s="8">
        <v>1.2666666666666666</v>
      </c>
      <c r="K359" s="8">
        <v>0.9375</v>
      </c>
      <c r="L359" s="8"/>
      <c r="M359" s="5"/>
      <c r="N359" s="8">
        <v>3.6357142857142857</v>
      </c>
      <c r="O359" s="9">
        <v>3.8780952380952383</v>
      </c>
      <c r="P359" s="10" t="s">
        <v>31</v>
      </c>
      <c r="Q359" s="10">
        <f t="shared" si="37"/>
        <v>0</v>
      </c>
      <c r="R359" s="10">
        <f t="shared" si="38"/>
        <v>0</v>
      </c>
      <c r="S359" s="10">
        <f t="shared" si="39"/>
        <v>1</v>
      </c>
      <c r="T359" s="10">
        <f t="shared" si="40"/>
        <v>0</v>
      </c>
      <c r="U359" s="11" t="str">
        <f t="shared" si="41"/>
        <v/>
      </c>
      <c r="V359" s="11" t="str">
        <f t="shared" si="42"/>
        <v/>
      </c>
      <c r="W359" s="11">
        <f t="shared" si="42"/>
        <v>1</v>
      </c>
      <c r="X359" s="11" t="str">
        <f t="shared" si="42"/>
        <v/>
      </c>
      <c r="Y359" s="11" t="str">
        <f t="shared" si="42"/>
        <v/>
      </c>
      <c r="Z359" s="11">
        <f t="shared" si="42"/>
        <v>1</v>
      </c>
      <c r="AA359" s="11" t="str">
        <f t="shared" si="42"/>
        <v/>
      </c>
      <c r="AB359" s="11" t="str">
        <f t="shared" si="42"/>
        <v/>
      </c>
      <c r="AC359" s="11">
        <f t="shared" si="42"/>
        <v>1</v>
      </c>
      <c r="AD359" s="11" t="str">
        <f t="shared" si="42"/>
        <v/>
      </c>
      <c r="AE359" s="12" t="s">
        <v>1044</v>
      </c>
    </row>
    <row r="360" spans="1:31" ht="18" customHeight="1" thickTop="1" thickBot="1" x14ac:dyDescent="0.3">
      <c r="A360" s="4" t="s">
        <v>676</v>
      </c>
      <c r="B360" s="4" t="s">
        <v>945</v>
      </c>
      <c r="C360" s="5" t="s">
        <v>677</v>
      </c>
      <c r="D360" s="5" t="s">
        <v>26</v>
      </c>
      <c r="E360" s="5" t="s">
        <v>40</v>
      </c>
      <c r="F360" s="5" t="s">
        <v>679</v>
      </c>
      <c r="G360" s="5" t="s">
        <v>16</v>
      </c>
      <c r="H360" s="6" t="s">
        <v>654</v>
      </c>
      <c r="I360" s="7" t="s">
        <v>56</v>
      </c>
      <c r="J360" s="8">
        <v>1</v>
      </c>
      <c r="K360" s="8">
        <v>1</v>
      </c>
      <c r="L360" s="8"/>
      <c r="M360" s="5"/>
      <c r="N360" s="8">
        <v>4.407258064516129</v>
      </c>
      <c r="O360" s="9">
        <v>4.407258064516129</v>
      </c>
      <c r="P360" s="10" t="s">
        <v>31</v>
      </c>
      <c r="Q360" s="10">
        <f t="shared" si="37"/>
        <v>0</v>
      </c>
      <c r="R360" s="10">
        <f t="shared" si="38"/>
        <v>0</v>
      </c>
      <c r="S360" s="10">
        <f t="shared" si="39"/>
        <v>1</v>
      </c>
      <c r="T360" s="10">
        <f t="shared" si="40"/>
        <v>0</v>
      </c>
      <c r="U360" s="11" t="str">
        <f t="shared" si="41"/>
        <v/>
      </c>
      <c r="V360" s="11" t="str">
        <f t="shared" si="42"/>
        <v/>
      </c>
      <c r="W360" s="11">
        <f t="shared" si="42"/>
        <v>1</v>
      </c>
      <c r="X360" s="11" t="str">
        <f t="shared" si="42"/>
        <v/>
      </c>
      <c r="Y360" s="11" t="str">
        <f t="shared" si="42"/>
        <v/>
      </c>
      <c r="Z360" s="11">
        <f t="shared" si="42"/>
        <v>1</v>
      </c>
      <c r="AA360" s="11" t="str">
        <f t="shared" si="42"/>
        <v/>
      </c>
      <c r="AB360" s="11" t="str">
        <f t="shared" si="42"/>
        <v/>
      </c>
      <c r="AC360" s="11">
        <f t="shared" si="42"/>
        <v>1</v>
      </c>
      <c r="AD360" s="11" t="str">
        <f t="shared" si="42"/>
        <v/>
      </c>
      <c r="AE360" s="12" t="s">
        <v>1044</v>
      </c>
    </row>
    <row r="361" spans="1:31" ht="18" customHeight="1" thickTop="1" thickBot="1" x14ac:dyDescent="0.3">
      <c r="A361" s="4" t="s">
        <v>676</v>
      </c>
      <c r="B361" s="4" t="s">
        <v>945</v>
      </c>
      <c r="C361" s="5" t="s">
        <v>677</v>
      </c>
      <c r="D361" s="5" t="s">
        <v>26</v>
      </c>
      <c r="E361" s="5" t="s">
        <v>69</v>
      </c>
      <c r="F361" s="5" t="s">
        <v>680</v>
      </c>
      <c r="G361" s="5" t="s">
        <v>16</v>
      </c>
      <c r="H361" s="6" t="s">
        <v>654</v>
      </c>
      <c r="I361" s="7" t="s">
        <v>387</v>
      </c>
      <c r="J361" s="8">
        <v>0.33333333333333331</v>
      </c>
      <c r="K361" s="8">
        <v>1.0076923076923077</v>
      </c>
      <c r="L361" s="8"/>
      <c r="M361" s="5"/>
      <c r="N361" s="8">
        <v>3.8666666666666667</v>
      </c>
      <c r="O361" s="9">
        <v>3.8371501272264625</v>
      </c>
      <c r="P361" s="10" t="s">
        <v>31</v>
      </c>
      <c r="Q361" s="10">
        <f t="shared" si="37"/>
        <v>0</v>
      </c>
      <c r="R361" s="10">
        <f t="shared" si="38"/>
        <v>0</v>
      </c>
      <c r="S361" s="10">
        <f t="shared" si="39"/>
        <v>1</v>
      </c>
      <c r="T361" s="10">
        <f t="shared" si="40"/>
        <v>0</v>
      </c>
      <c r="U361" s="11" t="str">
        <f t="shared" si="41"/>
        <v/>
      </c>
      <c r="V361" s="11" t="str">
        <f t="shared" si="42"/>
        <v/>
      </c>
      <c r="W361" s="11">
        <f t="shared" si="42"/>
        <v>1</v>
      </c>
      <c r="X361" s="11" t="str">
        <f t="shared" si="42"/>
        <v/>
      </c>
      <c r="Y361" s="11" t="str">
        <f t="shared" si="42"/>
        <v/>
      </c>
      <c r="Z361" s="11">
        <f t="shared" si="42"/>
        <v>1</v>
      </c>
      <c r="AA361" s="11" t="str">
        <f t="shared" si="42"/>
        <v/>
      </c>
      <c r="AB361" s="11" t="str">
        <f t="shared" si="42"/>
        <v/>
      </c>
      <c r="AC361" s="11">
        <f t="shared" si="42"/>
        <v>1</v>
      </c>
      <c r="AD361" s="11" t="str">
        <f t="shared" si="42"/>
        <v/>
      </c>
      <c r="AE361" s="12" t="s">
        <v>1044</v>
      </c>
    </row>
    <row r="362" spans="1:31" ht="18" customHeight="1" thickTop="1" thickBot="1" x14ac:dyDescent="0.3">
      <c r="A362" s="4" t="s">
        <v>81</v>
      </c>
      <c r="B362" s="4" t="s">
        <v>945</v>
      </c>
      <c r="C362" s="5" t="s">
        <v>681</v>
      </c>
      <c r="D362" s="5" t="s">
        <v>26</v>
      </c>
      <c r="E362" s="5" t="s">
        <v>27</v>
      </c>
      <c r="F362" s="5" t="s">
        <v>682</v>
      </c>
      <c r="G362" s="5" t="s">
        <v>16</v>
      </c>
      <c r="H362" s="6" t="s">
        <v>683</v>
      </c>
      <c r="I362" s="7" t="s">
        <v>111</v>
      </c>
      <c r="J362" s="8" t="s">
        <v>27</v>
      </c>
      <c r="K362" s="8">
        <v>1</v>
      </c>
      <c r="L362" s="8"/>
      <c r="M362" s="5"/>
      <c r="N362" s="8">
        <v>1.9539947259639372</v>
      </c>
      <c r="O362" s="9">
        <v>1.9539947259639372</v>
      </c>
      <c r="P362" s="10" t="s">
        <v>31</v>
      </c>
      <c r="Q362" s="10">
        <f t="shared" si="37"/>
        <v>0</v>
      </c>
      <c r="R362" s="10">
        <f t="shared" si="38"/>
        <v>0</v>
      </c>
      <c r="S362" s="10">
        <f t="shared" si="39"/>
        <v>1</v>
      </c>
      <c r="T362" s="10">
        <f t="shared" si="40"/>
        <v>0</v>
      </c>
      <c r="U362" s="11">
        <f t="shared" si="41"/>
        <v>1</v>
      </c>
      <c r="V362" s="11" t="str">
        <f t="shared" si="42"/>
        <v/>
      </c>
      <c r="W362" s="11" t="str">
        <f t="shared" si="42"/>
        <v/>
      </c>
      <c r="X362" s="11" t="str">
        <f t="shared" si="42"/>
        <v/>
      </c>
      <c r="Y362" s="11" t="str">
        <f t="shared" si="42"/>
        <v/>
      </c>
      <c r="Z362" s="11" t="str">
        <f t="shared" si="42"/>
        <v/>
      </c>
      <c r="AA362" s="11" t="str">
        <f t="shared" si="42"/>
        <v/>
      </c>
      <c r="AB362" s="11" t="str">
        <f t="shared" si="42"/>
        <v/>
      </c>
      <c r="AC362" s="11" t="str">
        <f t="shared" si="42"/>
        <v/>
      </c>
      <c r="AD362" s="11" t="str">
        <f t="shared" si="42"/>
        <v/>
      </c>
      <c r="AE362" s="12" t="s">
        <v>1041</v>
      </c>
    </row>
    <row r="363" spans="1:31" ht="18" customHeight="1" thickTop="1" thickBot="1" x14ac:dyDescent="0.3">
      <c r="A363" s="4" t="s">
        <v>81</v>
      </c>
      <c r="B363" s="4" t="s">
        <v>945</v>
      </c>
      <c r="C363" s="5" t="s">
        <v>681</v>
      </c>
      <c r="D363" s="5" t="s">
        <v>42</v>
      </c>
      <c r="E363" s="5" t="s">
        <v>27</v>
      </c>
      <c r="F363" s="5" t="s">
        <v>684</v>
      </c>
      <c r="G363" s="5" t="s">
        <v>16</v>
      </c>
      <c r="H363" s="6" t="s">
        <v>683</v>
      </c>
      <c r="I363" s="7" t="s">
        <v>387</v>
      </c>
      <c r="J363" s="8" t="s">
        <v>27</v>
      </c>
      <c r="K363" s="8">
        <v>1</v>
      </c>
      <c r="L363" s="8"/>
      <c r="M363" s="5"/>
      <c r="N363" s="8">
        <v>1.6431596781024991</v>
      </c>
      <c r="O363" s="9">
        <v>1.6431596781024993</v>
      </c>
      <c r="P363" s="10" t="s">
        <v>31</v>
      </c>
      <c r="Q363" s="10">
        <f t="shared" si="37"/>
        <v>0</v>
      </c>
      <c r="R363" s="10">
        <f t="shared" si="38"/>
        <v>0</v>
      </c>
      <c r="S363" s="10">
        <f t="shared" si="39"/>
        <v>1</v>
      </c>
      <c r="T363" s="10">
        <f t="shared" si="40"/>
        <v>0</v>
      </c>
      <c r="U363" s="11">
        <f t="shared" si="41"/>
        <v>1</v>
      </c>
      <c r="V363" s="11" t="str">
        <f t="shared" si="42"/>
        <v/>
      </c>
      <c r="W363" s="11" t="str">
        <f t="shared" si="42"/>
        <v/>
      </c>
      <c r="X363" s="11" t="str">
        <f t="shared" si="42"/>
        <v/>
      </c>
      <c r="Y363" s="11" t="str">
        <f t="shared" si="42"/>
        <v/>
      </c>
      <c r="Z363" s="11" t="str">
        <f t="shared" si="42"/>
        <v/>
      </c>
      <c r="AA363" s="11" t="str">
        <f t="shared" si="42"/>
        <v/>
      </c>
      <c r="AB363" s="11" t="str">
        <f t="shared" si="42"/>
        <v/>
      </c>
      <c r="AC363" s="11" t="str">
        <f t="shared" si="42"/>
        <v/>
      </c>
      <c r="AD363" s="11" t="str">
        <f t="shared" si="42"/>
        <v/>
      </c>
      <c r="AE363" s="12" t="s">
        <v>1041</v>
      </c>
    </row>
    <row r="364" spans="1:31" ht="18" customHeight="1" thickTop="1" thickBot="1" x14ac:dyDescent="0.3">
      <c r="A364" s="4" t="s">
        <v>123</v>
      </c>
      <c r="B364" s="4" t="s">
        <v>948</v>
      </c>
      <c r="C364" s="5" t="s">
        <v>685</v>
      </c>
      <c r="D364" s="5" t="s">
        <v>26</v>
      </c>
      <c r="E364" s="5" t="s">
        <v>36</v>
      </c>
      <c r="F364" s="5" t="s">
        <v>686</v>
      </c>
      <c r="G364" s="5" t="s">
        <v>16</v>
      </c>
      <c r="H364" s="6" t="s">
        <v>175</v>
      </c>
      <c r="I364" s="7" t="s">
        <v>387</v>
      </c>
      <c r="J364" s="8">
        <v>2</v>
      </c>
      <c r="K364" s="8">
        <v>1.4642857142857142</v>
      </c>
      <c r="L364" s="8"/>
      <c r="M364" s="5"/>
      <c r="N364" s="8">
        <v>1.5618004205569556</v>
      </c>
      <c r="O364" s="9">
        <v>1.0665954091608476</v>
      </c>
      <c r="P364" s="10" t="s">
        <v>27</v>
      </c>
      <c r="Q364" s="10">
        <f t="shared" si="37"/>
        <v>0</v>
      </c>
      <c r="R364" s="10">
        <f t="shared" si="38"/>
        <v>0</v>
      </c>
      <c r="S364" s="10">
        <f t="shared" si="39"/>
        <v>0</v>
      </c>
      <c r="T364" s="10">
        <f t="shared" si="40"/>
        <v>0</v>
      </c>
      <c r="U364" s="11" t="str">
        <f t="shared" si="41"/>
        <v/>
      </c>
      <c r="V364" s="11" t="str">
        <f t="shared" si="42"/>
        <v/>
      </c>
      <c r="W364" s="11" t="str">
        <f t="shared" si="42"/>
        <v/>
      </c>
      <c r="X364" s="11" t="str">
        <f t="shared" si="42"/>
        <v/>
      </c>
      <c r="Y364" s="11" t="str">
        <f t="shared" si="42"/>
        <v/>
      </c>
      <c r="Z364" s="11" t="str">
        <f t="shared" si="42"/>
        <v/>
      </c>
      <c r="AA364" s="11" t="str">
        <f t="shared" si="42"/>
        <v/>
      </c>
      <c r="AB364" s="11" t="str">
        <f t="shared" si="42"/>
        <v/>
      </c>
      <c r="AC364" s="11" t="str">
        <f t="shared" si="42"/>
        <v/>
      </c>
      <c r="AD364" s="11">
        <f t="shared" si="42"/>
        <v>1</v>
      </c>
      <c r="AE364" s="12" t="s">
        <v>988</v>
      </c>
    </row>
    <row r="365" spans="1:31" ht="18" customHeight="1" thickTop="1" thickBot="1" x14ac:dyDescent="0.3">
      <c r="A365" s="4" t="s">
        <v>123</v>
      </c>
      <c r="B365" s="4" t="s">
        <v>948</v>
      </c>
      <c r="C365" s="5" t="s">
        <v>685</v>
      </c>
      <c r="D365" s="5" t="s">
        <v>26</v>
      </c>
      <c r="E365" s="5" t="s">
        <v>40</v>
      </c>
      <c r="F365" s="5" t="s">
        <v>687</v>
      </c>
      <c r="G365" s="5" t="s">
        <v>16</v>
      </c>
      <c r="H365" s="6" t="s">
        <v>175</v>
      </c>
      <c r="I365" s="7" t="s">
        <v>387</v>
      </c>
      <c r="J365" s="8">
        <v>1.5</v>
      </c>
      <c r="K365" s="8">
        <v>0.96923076923076923</v>
      </c>
      <c r="L365" s="8"/>
      <c r="M365" s="5"/>
      <c r="N365" s="8">
        <v>0.85712729826807488</v>
      </c>
      <c r="O365" s="9">
        <v>0.88433768868928364</v>
      </c>
      <c r="P365" s="10" t="s">
        <v>27</v>
      </c>
      <c r="Q365" s="10">
        <f t="shared" si="37"/>
        <v>0</v>
      </c>
      <c r="R365" s="10">
        <f t="shared" si="38"/>
        <v>0</v>
      </c>
      <c r="S365" s="10">
        <f t="shared" si="39"/>
        <v>0</v>
      </c>
      <c r="T365" s="10">
        <f t="shared" si="40"/>
        <v>0</v>
      </c>
      <c r="U365" s="11" t="str">
        <f t="shared" si="41"/>
        <v/>
      </c>
      <c r="V365" s="11" t="str">
        <f t="shared" si="42"/>
        <v/>
      </c>
      <c r="W365" s="11" t="str">
        <f t="shared" si="42"/>
        <v/>
      </c>
      <c r="X365" s="11" t="str">
        <f t="shared" si="42"/>
        <v/>
      </c>
      <c r="Y365" s="11" t="str">
        <f t="shared" si="42"/>
        <v/>
      </c>
      <c r="Z365" s="11" t="str">
        <f t="shared" si="42"/>
        <v/>
      </c>
      <c r="AA365" s="11" t="str">
        <f t="shared" si="42"/>
        <v/>
      </c>
      <c r="AB365" s="11" t="str">
        <f t="shared" si="42"/>
        <v/>
      </c>
      <c r="AC365" s="11" t="str">
        <f t="shared" si="42"/>
        <v/>
      </c>
      <c r="AD365" s="11" t="str">
        <f t="shared" si="42"/>
        <v/>
      </c>
      <c r="AE365" s="12" t="s">
        <v>27</v>
      </c>
    </row>
    <row r="366" spans="1:31" ht="18" customHeight="1" thickTop="1" thickBot="1" x14ac:dyDescent="0.3">
      <c r="A366" s="4" t="s">
        <v>123</v>
      </c>
      <c r="B366" s="4" t="s">
        <v>948</v>
      </c>
      <c r="C366" s="5" t="s">
        <v>685</v>
      </c>
      <c r="D366" s="5" t="s">
        <v>26</v>
      </c>
      <c r="E366" s="5" t="s">
        <v>69</v>
      </c>
      <c r="F366" s="5" t="s">
        <v>688</v>
      </c>
      <c r="G366" s="5" t="s">
        <v>16</v>
      </c>
      <c r="H366" s="6" t="s">
        <v>175</v>
      </c>
      <c r="I366" s="7" t="s">
        <v>387</v>
      </c>
      <c r="J366" s="8">
        <v>1.5</v>
      </c>
      <c r="K366" s="8">
        <v>2.7550394390885189</v>
      </c>
      <c r="L366" s="8"/>
      <c r="M366" s="5"/>
      <c r="N366" s="8">
        <v>2.3828938269413533</v>
      </c>
      <c r="O366" s="9">
        <v>0.86492185670115607</v>
      </c>
      <c r="P366" s="10" t="s">
        <v>31</v>
      </c>
      <c r="Q366" s="10">
        <f t="shared" si="37"/>
        <v>1</v>
      </c>
      <c r="R366" s="10">
        <f t="shared" si="38"/>
        <v>0</v>
      </c>
      <c r="S366" s="10">
        <f t="shared" si="39"/>
        <v>0</v>
      </c>
      <c r="T366" s="10">
        <f t="shared" si="40"/>
        <v>0</v>
      </c>
      <c r="U366" s="11" t="str">
        <f t="shared" si="41"/>
        <v/>
      </c>
      <c r="V366" s="11" t="str">
        <f t="shared" si="42"/>
        <v/>
      </c>
      <c r="W366" s="11" t="str">
        <f t="shared" si="42"/>
        <v/>
      </c>
      <c r="X366" s="11" t="str">
        <f t="shared" si="42"/>
        <v/>
      </c>
      <c r="Y366" s="11" t="str">
        <f t="shared" si="42"/>
        <v/>
      </c>
      <c r="Z366" s="11" t="str">
        <f t="shared" si="42"/>
        <v/>
      </c>
      <c r="AA366" s="11" t="str">
        <f t="shared" si="42"/>
        <v/>
      </c>
      <c r="AB366" s="11" t="str">
        <f t="shared" si="42"/>
        <v/>
      </c>
      <c r="AC366" s="11" t="str">
        <f t="shared" si="42"/>
        <v/>
      </c>
      <c r="AD366" s="11">
        <f t="shared" si="42"/>
        <v>1</v>
      </c>
      <c r="AE366" s="12" t="s">
        <v>988</v>
      </c>
    </row>
    <row r="367" spans="1:31" ht="18" customHeight="1" thickTop="1" thickBot="1" x14ac:dyDescent="0.3">
      <c r="A367" s="4" t="s">
        <v>123</v>
      </c>
      <c r="B367" s="4" t="s">
        <v>948</v>
      </c>
      <c r="C367" s="5" t="s">
        <v>685</v>
      </c>
      <c r="D367" s="5" t="s">
        <v>26</v>
      </c>
      <c r="E367" s="5" t="s">
        <v>71</v>
      </c>
      <c r="F367" s="5" t="s">
        <v>689</v>
      </c>
      <c r="G367" s="5" t="s">
        <v>16</v>
      </c>
      <c r="H367" s="6" t="s">
        <v>175</v>
      </c>
      <c r="I367" s="7" t="s">
        <v>387</v>
      </c>
      <c r="J367" s="8">
        <v>1.5</v>
      </c>
      <c r="K367" s="8">
        <v>1.5197135061391542</v>
      </c>
      <c r="L367" s="8"/>
      <c r="M367" s="5"/>
      <c r="N367" s="8">
        <v>1.6639535289921741</v>
      </c>
      <c r="O367" s="9">
        <v>1.0949126412776726</v>
      </c>
      <c r="P367" s="10" t="s">
        <v>31</v>
      </c>
      <c r="Q367" s="10">
        <f t="shared" si="37"/>
        <v>1</v>
      </c>
      <c r="R367" s="10">
        <f t="shared" si="38"/>
        <v>0</v>
      </c>
      <c r="S367" s="10">
        <f t="shared" si="39"/>
        <v>0</v>
      </c>
      <c r="T367" s="10">
        <f t="shared" si="40"/>
        <v>0</v>
      </c>
      <c r="U367" s="11" t="str">
        <f t="shared" si="41"/>
        <v/>
      </c>
      <c r="V367" s="11" t="str">
        <f t="shared" si="42"/>
        <v/>
      </c>
      <c r="W367" s="11" t="str">
        <f t="shared" si="42"/>
        <v/>
      </c>
      <c r="X367" s="11" t="str">
        <f t="shared" si="42"/>
        <v/>
      </c>
      <c r="Y367" s="11" t="str">
        <f t="shared" si="42"/>
        <v/>
      </c>
      <c r="Z367" s="11" t="str">
        <f t="shared" si="42"/>
        <v/>
      </c>
      <c r="AA367" s="11" t="str">
        <f t="shared" si="42"/>
        <v/>
      </c>
      <c r="AB367" s="11" t="str">
        <f t="shared" si="42"/>
        <v/>
      </c>
      <c r="AC367" s="11" t="str">
        <f t="shared" si="42"/>
        <v/>
      </c>
      <c r="AD367" s="11">
        <f t="shared" si="42"/>
        <v>1</v>
      </c>
      <c r="AE367" s="12" t="s">
        <v>988</v>
      </c>
    </row>
    <row r="368" spans="1:31" ht="18" customHeight="1" thickTop="1" thickBot="1" x14ac:dyDescent="0.3">
      <c r="A368" s="4" t="s">
        <v>308</v>
      </c>
      <c r="B368" s="4" t="s">
        <v>947</v>
      </c>
      <c r="C368" s="5" t="s">
        <v>690</v>
      </c>
      <c r="D368" s="5" t="s">
        <v>42</v>
      </c>
      <c r="E368" s="5" t="s">
        <v>27</v>
      </c>
      <c r="F368" s="5" t="s">
        <v>691</v>
      </c>
      <c r="G368" s="5" t="s">
        <v>16</v>
      </c>
      <c r="H368" s="6" t="s">
        <v>693</v>
      </c>
      <c r="I368" s="7" t="s">
        <v>692</v>
      </c>
      <c r="J368" s="8" t="s">
        <v>27</v>
      </c>
      <c r="K368" s="8">
        <v>1</v>
      </c>
      <c r="L368" s="8"/>
      <c r="M368" s="5"/>
      <c r="N368" s="8">
        <v>0.84047919293820939</v>
      </c>
      <c r="O368" s="9">
        <v>0.84047919293820939</v>
      </c>
      <c r="P368" s="10" t="s">
        <v>27</v>
      </c>
      <c r="Q368" s="10">
        <f t="shared" si="37"/>
        <v>0</v>
      </c>
      <c r="R368" s="10">
        <f t="shared" si="38"/>
        <v>0</v>
      </c>
      <c r="S368" s="10">
        <f t="shared" si="39"/>
        <v>0</v>
      </c>
      <c r="T368" s="10">
        <f t="shared" si="40"/>
        <v>0</v>
      </c>
      <c r="U368" s="11" t="str">
        <f t="shared" si="41"/>
        <v/>
      </c>
      <c r="V368" s="11" t="str">
        <f t="shared" si="42"/>
        <v/>
      </c>
      <c r="W368" s="11" t="str">
        <f t="shared" si="42"/>
        <v/>
      </c>
      <c r="X368" s="11" t="str">
        <f t="shared" si="42"/>
        <v/>
      </c>
      <c r="Y368" s="11" t="str">
        <f t="shared" si="42"/>
        <v/>
      </c>
      <c r="Z368" s="11" t="str">
        <f t="shared" si="42"/>
        <v/>
      </c>
      <c r="AA368" s="11" t="str">
        <f t="shared" si="42"/>
        <v/>
      </c>
      <c r="AB368" s="11" t="str">
        <f t="shared" si="42"/>
        <v/>
      </c>
      <c r="AC368" s="11" t="str">
        <f t="shared" si="42"/>
        <v/>
      </c>
      <c r="AD368" s="11" t="str">
        <f t="shared" si="42"/>
        <v/>
      </c>
      <c r="AE368" s="12" t="s">
        <v>27</v>
      </c>
    </row>
    <row r="369" spans="1:31" ht="18" customHeight="1" thickTop="1" thickBot="1" x14ac:dyDescent="0.3">
      <c r="A369" s="4" t="s">
        <v>694</v>
      </c>
      <c r="B369" s="4" t="s">
        <v>948</v>
      </c>
      <c r="C369" s="5" t="s">
        <v>695</v>
      </c>
      <c r="D369" s="5" t="s">
        <v>26</v>
      </c>
      <c r="E369" s="5" t="s">
        <v>27</v>
      </c>
      <c r="F369" s="5" t="s">
        <v>696</v>
      </c>
      <c r="G369" s="5" t="s">
        <v>16</v>
      </c>
      <c r="H369" s="6" t="s">
        <v>697</v>
      </c>
      <c r="I369" s="7" t="s">
        <v>38</v>
      </c>
      <c r="J369" s="8" t="s">
        <v>27</v>
      </c>
      <c r="K369" s="8">
        <v>0.9948096885813148</v>
      </c>
      <c r="L369" s="8"/>
      <c r="M369" s="5"/>
      <c r="N369" s="8">
        <v>1.4092989985693849</v>
      </c>
      <c r="O369" s="9">
        <v>1.4166518629097469</v>
      </c>
      <c r="P369" s="10" t="s">
        <v>27</v>
      </c>
      <c r="Q369" s="10">
        <f t="shared" si="37"/>
        <v>0</v>
      </c>
      <c r="R369" s="10">
        <f t="shared" si="38"/>
        <v>0</v>
      </c>
      <c r="S369" s="10">
        <f t="shared" si="39"/>
        <v>0</v>
      </c>
      <c r="T369" s="10">
        <f t="shared" si="40"/>
        <v>0</v>
      </c>
      <c r="U369" s="11" t="str">
        <f t="shared" si="41"/>
        <v/>
      </c>
      <c r="V369" s="11" t="str">
        <f t="shared" si="42"/>
        <v/>
      </c>
      <c r="W369" s="11" t="str">
        <f t="shared" si="42"/>
        <v/>
      </c>
      <c r="X369" s="11" t="str">
        <f t="shared" si="42"/>
        <v/>
      </c>
      <c r="Y369" s="11" t="str">
        <f t="shared" si="42"/>
        <v/>
      </c>
      <c r="Z369" s="11" t="str">
        <f t="shared" si="42"/>
        <v/>
      </c>
      <c r="AA369" s="11" t="str">
        <f t="shared" si="42"/>
        <v/>
      </c>
      <c r="AB369" s="11" t="str">
        <f t="shared" si="42"/>
        <v/>
      </c>
      <c r="AC369" s="11" t="str">
        <f t="shared" si="42"/>
        <v/>
      </c>
      <c r="AD369" s="11" t="str">
        <f t="shared" si="42"/>
        <v/>
      </c>
      <c r="AE369" s="12" t="s">
        <v>27</v>
      </c>
    </row>
    <row r="370" spans="1:31" ht="18" customHeight="1" thickTop="1" thickBot="1" x14ac:dyDescent="0.3">
      <c r="A370" s="4" t="s">
        <v>694</v>
      </c>
      <c r="B370" s="4" t="s">
        <v>948</v>
      </c>
      <c r="C370" s="5" t="s">
        <v>695</v>
      </c>
      <c r="D370" s="5" t="s">
        <v>26</v>
      </c>
      <c r="E370" s="5" t="s">
        <v>36</v>
      </c>
      <c r="F370" s="5" t="s">
        <v>698</v>
      </c>
      <c r="G370" s="5" t="s">
        <v>16</v>
      </c>
      <c r="H370" s="6" t="s">
        <v>697</v>
      </c>
      <c r="I370" s="7" t="s">
        <v>38</v>
      </c>
      <c r="J370" s="8">
        <v>5</v>
      </c>
      <c r="K370" s="8">
        <v>1</v>
      </c>
      <c r="L370" s="8"/>
      <c r="M370" s="5"/>
      <c r="N370" s="8">
        <v>1.4997772828507796</v>
      </c>
      <c r="O370" s="9">
        <v>1.4997772828507796</v>
      </c>
      <c r="P370" s="10" t="s">
        <v>27</v>
      </c>
      <c r="Q370" s="10">
        <f t="shared" si="37"/>
        <v>0</v>
      </c>
      <c r="R370" s="10">
        <f t="shared" si="38"/>
        <v>0</v>
      </c>
      <c r="S370" s="10">
        <f t="shared" si="39"/>
        <v>0</v>
      </c>
      <c r="T370" s="10">
        <f t="shared" si="40"/>
        <v>0</v>
      </c>
      <c r="U370" s="11" t="str">
        <f t="shared" si="41"/>
        <v/>
      </c>
      <c r="V370" s="11" t="str">
        <f t="shared" si="42"/>
        <v/>
      </c>
      <c r="W370" s="11" t="str">
        <f t="shared" si="42"/>
        <v/>
      </c>
      <c r="X370" s="11" t="str">
        <f t="shared" si="42"/>
        <v/>
      </c>
      <c r="Y370" s="11" t="str">
        <f t="shared" si="42"/>
        <v/>
      </c>
      <c r="Z370" s="11" t="str">
        <f t="shared" si="42"/>
        <v/>
      </c>
      <c r="AA370" s="11" t="str">
        <f t="shared" si="42"/>
        <v/>
      </c>
      <c r="AB370" s="11" t="str">
        <f t="shared" si="42"/>
        <v/>
      </c>
      <c r="AC370" s="11" t="str">
        <f t="shared" si="42"/>
        <v/>
      </c>
      <c r="AD370" s="11" t="str">
        <f t="shared" si="42"/>
        <v/>
      </c>
      <c r="AE370" s="12" t="s">
        <v>27</v>
      </c>
    </row>
    <row r="371" spans="1:31" ht="18" customHeight="1" thickTop="1" thickBot="1" x14ac:dyDescent="0.3">
      <c r="A371" s="4" t="s">
        <v>694</v>
      </c>
      <c r="B371" s="4" t="s">
        <v>948</v>
      </c>
      <c r="C371" s="5" t="s">
        <v>695</v>
      </c>
      <c r="D371" s="5" t="s">
        <v>26</v>
      </c>
      <c r="E371" s="5" t="s">
        <v>40</v>
      </c>
      <c r="F371" s="5" t="s">
        <v>699</v>
      </c>
      <c r="G371" s="5" t="s">
        <v>16</v>
      </c>
      <c r="H371" s="6" t="s">
        <v>697</v>
      </c>
      <c r="I371" s="7" t="s">
        <v>38</v>
      </c>
      <c r="J371" s="8">
        <v>1.5714285714285714</v>
      </c>
      <c r="K371" s="8">
        <v>0.98952270081490101</v>
      </c>
      <c r="L371" s="8"/>
      <c r="M371" s="5"/>
      <c r="N371" s="8">
        <v>1.2468000000000001</v>
      </c>
      <c r="O371" s="9">
        <v>1.260001411764706</v>
      </c>
      <c r="P371" s="10" t="s">
        <v>27</v>
      </c>
      <c r="Q371" s="10">
        <f t="shared" si="37"/>
        <v>0</v>
      </c>
      <c r="R371" s="10">
        <f t="shared" si="38"/>
        <v>0</v>
      </c>
      <c r="S371" s="10">
        <f t="shared" si="39"/>
        <v>0</v>
      </c>
      <c r="T371" s="10">
        <f t="shared" si="40"/>
        <v>0</v>
      </c>
      <c r="U371" s="11" t="str">
        <f t="shared" si="41"/>
        <v/>
      </c>
      <c r="V371" s="11" t="str">
        <f t="shared" si="42"/>
        <v/>
      </c>
      <c r="W371" s="11" t="str">
        <f t="shared" si="42"/>
        <v/>
      </c>
      <c r="X371" s="11" t="str">
        <f t="shared" si="42"/>
        <v/>
      </c>
      <c r="Y371" s="11" t="str">
        <f t="shared" si="42"/>
        <v/>
      </c>
      <c r="Z371" s="11" t="str">
        <f t="shared" si="42"/>
        <v/>
      </c>
      <c r="AA371" s="11" t="str">
        <f t="shared" si="42"/>
        <v/>
      </c>
      <c r="AB371" s="11" t="str">
        <f t="shared" si="42"/>
        <v/>
      </c>
      <c r="AC371" s="11" t="str">
        <f t="shared" si="42"/>
        <v/>
      </c>
      <c r="AD371" s="11" t="str">
        <f t="shared" si="42"/>
        <v/>
      </c>
      <c r="AE371" s="12" t="s">
        <v>27</v>
      </c>
    </row>
    <row r="372" spans="1:31" ht="18" customHeight="1" thickTop="1" thickBot="1" x14ac:dyDescent="0.3">
      <c r="A372" s="4" t="s">
        <v>694</v>
      </c>
      <c r="B372" s="4" t="s">
        <v>948</v>
      </c>
      <c r="C372" s="5" t="s">
        <v>695</v>
      </c>
      <c r="D372" s="5" t="s">
        <v>42</v>
      </c>
      <c r="E372" s="5" t="s">
        <v>27</v>
      </c>
      <c r="F372" s="5" t="s">
        <v>700</v>
      </c>
      <c r="G372" s="5" t="s">
        <v>16</v>
      </c>
      <c r="H372" s="6" t="s">
        <v>697</v>
      </c>
      <c r="I372" s="7" t="s">
        <v>387</v>
      </c>
      <c r="J372" s="8" t="s">
        <v>27</v>
      </c>
      <c r="K372" s="8">
        <v>0.24399999999999999</v>
      </c>
      <c r="L372" s="8"/>
      <c r="M372" s="5"/>
      <c r="N372" s="8">
        <v>0.73185378590078343</v>
      </c>
      <c r="O372" s="9">
        <v>2.9994007618884568</v>
      </c>
      <c r="P372" s="10" t="s">
        <v>31</v>
      </c>
      <c r="Q372" s="10">
        <f t="shared" si="37"/>
        <v>0</v>
      </c>
      <c r="R372" s="10">
        <f t="shared" si="38"/>
        <v>1</v>
      </c>
      <c r="S372" s="10">
        <f t="shared" si="39"/>
        <v>1</v>
      </c>
      <c r="T372" s="10">
        <f t="shared" si="40"/>
        <v>0</v>
      </c>
      <c r="U372" s="11" t="str">
        <f t="shared" si="41"/>
        <v/>
      </c>
      <c r="V372" s="11">
        <f t="shared" si="42"/>
        <v>1</v>
      </c>
      <c r="W372" s="11" t="str">
        <f t="shared" si="42"/>
        <v/>
      </c>
      <c r="X372" s="11" t="str">
        <f t="shared" si="42"/>
        <v/>
      </c>
      <c r="Y372" s="11" t="str">
        <f t="shared" si="42"/>
        <v/>
      </c>
      <c r="Z372" s="11" t="str">
        <f t="shared" si="42"/>
        <v/>
      </c>
      <c r="AA372" s="11" t="str">
        <f t="shared" si="42"/>
        <v/>
      </c>
      <c r="AB372" s="11">
        <f t="shared" si="42"/>
        <v>1</v>
      </c>
      <c r="AC372" s="11" t="str">
        <f t="shared" si="42"/>
        <v/>
      </c>
      <c r="AD372" s="11">
        <f t="shared" si="42"/>
        <v>1</v>
      </c>
      <c r="AE372" s="12" t="s">
        <v>1048</v>
      </c>
    </row>
    <row r="373" spans="1:31" ht="18" customHeight="1" thickTop="1" thickBot="1" x14ac:dyDescent="0.3">
      <c r="A373" s="4" t="s">
        <v>701</v>
      </c>
      <c r="B373" s="4" t="s">
        <v>950</v>
      </c>
      <c r="C373" s="5" t="s">
        <v>702</v>
      </c>
      <c r="D373" s="5" t="s">
        <v>26</v>
      </c>
      <c r="E373" s="5" t="s">
        <v>36</v>
      </c>
      <c r="F373" s="5" t="s">
        <v>703</v>
      </c>
      <c r="G373" s="5" t="s">
        <v>16</v>
      </c>
      <c r="H373" s="6" t="s">
        <v>226</v>
      </c>
      <c r="I373" s="7" t="s">
        <v>387</v>
      </c>
      <c r="J373" s="8" t="s">
        <v>27</v>
      </c>
      <c r="K373" s="8">
        <v>1.0490909090909091</v>
      </c>
      <c r="L373" s="8"/>
      <c r="M373" s="5"/>
      <c r="N373" s="8">
        <v>0.9870805670195586</v>
      </c>
      <c r="O373" s="9">
        <v>0.94089135504463983</v>
      </c>
      <c r="P373" s="10" t="s">
        <v>27</v>
      </c>
      <c r="Q373" s="10">
        <f t="shared" si="37"/>
        <v>0</v>
      </c>
      <c r="R373" s="10">
        <f t="shared" si="38"/>
        <v>0</v>
      </c>
      <c r="S373" s="10">
        <f t="shared" si="39"/>
        <v>0</v>
      </c>
      <c r="T373" s="10">
        <f t="shared" si="40"/>
        <v>0</v>
      </c>
      <c r="U373" s="11" t="str">
        <f t="shared" si="41"/>
        <v/>
      </c>
      <c r="V373" s="11" t="str">
        <f t="shared" si="42"/>
        <v/>
      </c>
      <c r="W373" s="11" t="str">
        <f t="shared" si="42"/>
        <v/>
      </c>
      <c r="X373" s="11" t="str">
        <f t="shared" si="42"/>
        <v/>
      </c>
      <c r="Y373" s="11" t="str">
        <f t="shared" si="42"/>
        <v/>
      </c>
      <c r="Z373" s="11" t="str">
        <f t="shared" si="42"/>
        <v/>
      </c>
      <c r="AA373" s="11" t="str">
        <f t="shared" si="42"/>
        <v/>
      </c>
      <c r="AB373" s="11" t="str">
        <f t="shared" si="42"/>
        <v/>
      </c>
      <c r="AC373" s="11" t="str">
        <f t="shared" si="42"/>
        <v/>
      </c>
      <c r="AD373" s="11" t="str">
        <f t="shared" si="42"/>
        <v/>
      </c>
      <c r="AE373" s="12" t="s">
        <v>27</v>
      </c>
    </row>
    <row r="374" spans="1:31" ht="18" customHeight="1" thickTop="1" thickBot="1" x14ac:dyDescent="0.3">
      <c r="A374" s="4" t="s">
        <v>701</v>
      </c>
      <c r="B374" s="4" t="s">
        <v>950</v>
      </c>
      <c r="C374" s="5" t="s">
        <v>702</v>
      </c>
      <c r="D374" s="5" t="s">
        <v>26</v>
      </c>
      <c r="E374" s="5" t="s">
        <v>40</v>
      </c>
      <c r="F374" s="5" t="s">
        <v>704</v>
      </c>
      <c r="G374" s="5" t="s">
        <v>16</v>
      </c>
      <c r="H374" s="6" t="s">
        <v>226</v>
      </c>
      <c r="I374" s="7" t="s">
        <v>387</v>
      </c>
      <c r="J374" s="8">
        <v>2</v>
      </c>
      <c r="K374" s="8">
        <v>0.98245614035087714</v>
      </c>
      <c r="L374" s="8"/>
      <c r="M374" s="5"/>
      <c r="N374" s="8">
        <v>1.1384615384615384</v>
      </c>
      <c r="O374" s="9">
        <v>1.1587912087912089</v>
      </c>
      <c r="P374" s="10" t="s">
        <v>27</v>
      </c>
      <c r="Q374" s="10">
        <f t="shared" si="37"/>
        <v>0</v>
      </c>
      <c r="R374" s="10">
        <f t="shared" si="38"/>
        <v>0</v>
      </c>
      <c r="S374" s="10">
        <f t="shared" si="39"/>
        <v>0</v>
      </c>
      <c r="T374" s="10">
        <f t="shared" si="40"/>
        <v>0</v>
      </c>
      <c r="U374" s="11" t="str">
        <f t="shared" si="41"/>
        <v/>
      </c>
      <c r="V374" s="11" t="str">
        <f t="shared" si="42"/>
        <v/>
      </c>
      <c r="W374" s="11" t="str">
        <f t="shared" si="42"/>
        <v/>
      </c>
      <c r="X374" s="11" t="str">
        <f t="shared" si="42"/>
        <v/>
      </c>
      <c r="Y374" s="11" t="str">
        <f t="shared" si="42"/>
        <v/>
      </c>
      <c r="Z374" s="11" t="str">
        <f t="shared" si="42"/>
        <v/>
      </c>
      <c r="AA374" s="11" t="str">
        <f t="shared" si="42"/>
        <v/>
      </c>
      <c r="AB374" s="11" t="str">
        <f t="shared" si="42"/>
        <v/>
      </c>
      <c r="AC374" s="11" t="str">
        <f t="shared" si="42"/>
        <v/>
      </c>
      <c r="AD374" s="11" t="str">
        <f t="shared" si="42"/>
        <v/>
      </c>
      <c r="AE374" s="12" t="s">
        <v>27</v>
      </c>
    </row>
    <row r="375" spans="1:31" ht="18" customHeight="1" thickTop="1" thickBot="1" x14ac:dyDescent="0.3">
      <c r="A375" s="4" t="s">
        <v>408</v>
      </c>
      <c r="B375" s="4" t="s">
        <v>946</v>
      </c>
      <c r="C375" s="5" t="s">
        <v>705</v>
      </c>
      <c r="D375" s="5" t="s">
        <v>26</v>
      </c>
      <c r="E375" s="5" t="s">
        <v>27</v>
      </c>
      <c r="F375" s="5" t="s">
        <v>706</v>
      </c>
      <c r="G375" s="5" t="s">
        <v>16</v>
      </c>
      <c r="H375" s="6" t="s">
        <v>210</v>
      </c>
      <c r="I375" s="7" t="s">
        <v>359</v>
      </c>
      <c r="J375" s="8" t="s">
        <v>27</v>
      </c>
      <c r="K375" s="8">
        <v>1.0414285714285714</v>
      </c>
      <c r="L375" s="8"/>
      <c r="M375" s="5"/>
      <c r="N375" s="8">
        <v>1.0190867185249208</v>
      </c>
      <c r="O375" s="9">
        <v>0.97854691765081558</v>
      </c>
      <c r="P375" s="10" t="s">
        <v>27</v>
      </c>
      <c r="Q375" s="10">
        <f t="shared" si="37"/>
        <v>0</v>
      </c>
      <c r="R375" s="10">
        <f t="shared" si="38"/>
        <v>0</v>
      </c>
      <c r="S375" s="10">
        <f t="shared" si="39"/>
        <v>0</v>
      </c>
      <c r="T375" s="10">
        <f t="shared" si="40"/>
        <v>0</v>
      </c>
      <c r="U375" s="11" t="str">
        <f t="shared" si="41"/>
        <v/>
      </c>
      <c r="V375" s="11" t="str">
        <f t="shared" si="42"/>
        <v/>
      </c>
      <c r="W375" s="11" t="str">
        <f t="shared" si="42"/>
        <v/>
      </c>
      <c r="X375" s="11" t="str">
        <f t="shared" si="42"/>
        <v/>
      </c>
      <c r="Y375" s="11" t="str">
        <f t="shared" si="42"/>
        <v/>
      </c>
      <c r="Z375" s="11" t="str">
        <f t="shared" si="42"/>
        <v/>
      </c>
      <c r="AA375" s="11" t="str">
        <f t="shared" si="42"/>
        <v/>
      </c>
      <c r="AB375" s="11" t="str">
        <f t="shared" si="42"/>
        <v/>
      </c>
      <c r="AC375" s="11" t="str">
        <f t="shared" si="42"/>
        <v/>
      </c>
      <c r="AD375" s="11" t="str">
        <f t="shared" si="42"/>
        <v/>
      </c>
      <c r="AE375" s="12" t="s">
        <v>27</v>
      </c>
    </row>
    <row r="376" spans="1:31" ht="18" customHeight="1" thickTop="1" thickBot="1" x14ac:dyDescent="0.3">
      <c r="A376" s="4" t="s">
        <v>408</v>
      </c>
      <c r="B376" s="4" t="s">
        <v>946</v>
      </c>
      <c r="C376" s="5" t="s">
        <v>705</v>
      </c>
      <c r="D376" s="5" t="s">
        <v>26</v>
      </c>
      <c r="E376" s="5" t="s">
        <v>36</v>
      </c>
      <c r="F376" s="5" t="s">
        <v>707</v>
      </c>
      <c r="G376" s="5" t="s">
        <v>16</v>
      </c>
      <c r="H376" s="6" t="s">
        <v>210</v>
      </c>
      <c r="I376" s="7" t="s">
        <v>359</v>
      </c>
      <c r="J376" s="8" t="s">
        <v>27</v>
      </c>
      <c r="K376" s="8">
        <v>0.71</v>
      </c>
      <c r="L376" s="8"/>
      <c r="M376" s="5"/>
      <c r="N376" s="8">
        <v>0.93054545454545456</v>
      </c>
      <c r="O376" s="9">
        <v>1.3106274007682457</v>
      </c>
      <c r="P376" s="10" t="s">
        <v>27</v>
      </c>
      <c r="Q376" s="10">
        <f t="shared" si="37"/>
        <v>0</v>
      </c>
      <c r="R376" s="10">
        <f t="shared" si="38"/>
        <v>0</v>
      </c>
      <c r="S376" s="10">
        <f t="shared" si="39"/>
        <v>0</v>
      </c>
      <c r="T376" s="10">
        <f t="shared" si="40"/>
        <v>0</v>
      </c>
      <c r="U376" s="11" t="str">
        <f t="shared" si="41"/>
        <v/>
      </c>
      <c r="V376" s="11" t="str">
        <f t="shared" si="42"/>
        <v/>
      </c>
      <c r="W376" s="11" t="str">
        <f t="shared" si="42"/>
        <v/>
      </c>
      <c r="X376" s="11" t="str">
        <f t="shared" si="42"/>
        <v/>
      </c>
      <c r="Y376" s="11" t="str">
        <f t="shared" si="42"/>
        <v/>
      </c>
      <c r="Z376" s="11" t="str">
        <f t="shared" si="42"/>
        <v/>
      </c>
      <c r="AA376" s="11" t="str">
        <f t="shared" si="42"/>
        <v/>
      </c>
      <c r="AB376" s="11" t="str">
        <f t="shared" si="42"/>
        <v/>
      </c>
      <c r="AC376" s="11" t="str">
        <f t="shared" si="42"/>
        <v/>
      </c>
      <c r="AD376" s="11" t="str">
        <f t="shared" si="42"/>
        <v/>
      </c>
      <c r="AE376" s="12" t="s">
        <v>27</v>
      </c>
    </row>
    <row r="377" spans="1:31" ht="18" customHeight="1" thickTop="1" thickBot="1" x14ac:dyDescent="0.3">
      <c r="A377" s="4" t="s">
        <v>408</v>
      </c>
      <c r="B377" s="4" t="s">
        <v>946</v>
      </c>
      <c r="C377" s="5" t="s">
        <v>705</v>
      </c>
      <c r="D377" s="5" t="s">
        <v>26</v>
      </c>
      <c r="E377" s="5" t="s">
        <v>40</v>
      </c>
      <c r="F377" s="5" t="s">
        <v>708</v>
      </c>
      <c r="G377" s="5" t="s">
        <v>16</v>
      </c>
      <c r="H377" s="6" t="s">
        <v>210</v>
      </c>
      <c r="I377" s="7" t="s">
        <v>122</v>
      </c>
      <c r="J377" s="8" t="s">
        <v>27</v>
      </c>
      <c r="K377" s="8">
        <v>1.3114814814814815</v>
      </c>
      <c r="L377" s="8"/>
      <c r="M377" s="5"/>
      <c r="N377" s="8">
        <v>1.4928609201480698</v>
      </c>
      <c r="O377" s="9">
        <v>1.138301181700025</v>
      </c>
      <c r="P377" s="10" t="s">
        <v>27</v>
      </c>
      <c r="Q377" s="10">
        <f t="shared" si="37"/>
        <v>0</v>
      </c>
      <c r="R377" s="10">
        <f t="shared" si="38"/>
        <v>0</v>
      </c>
      <c r="S377" s="10">
        <f t="shared" si="39"/>
        <v>0</v>
      </c>
      <c r="T377" s="10">
        <f t="shared" si="40"/>
        <v>0</v>
      </c>
      <c r="U377" s="11" t="str">
        <f t="shared" si="41"/>
        <v/>
      </c>
      <c r="V377" s="11" t="str">
        <f t="shared" si="42"/>
        <v/>
      </c>
      <c r="W377" s="11" t="str">
        <f t="shared" si="42"/>
        <v/>
      </c>
      <c r="X377" s="11" t="str">
        <f t="shared" si="42"/>
        <v/>
      </c>
      <c r="Y377" s="11" t="str">
        <f t="shared" si="42"/>
        <v/>
      </c>
      <c r="Z377" s="11" t="str">
        <f t="shared" si="42"/>
        <v/>
      </c>
      <c r="AA377" s="11" t="str">
        <f t="shared" si="42"/>
        <v/>
      </c>
      <c r="AB377" s="11" t="str">
        <f t="shared" si="42"/>
        <v/>
      </c>
      <c r="AC377" s="11" t="str">
        <f t="shared" si="42"/>
        <v/>
      </c>
      <c r="AD377" s="11" t="str">
        <f t="shared" si="42"/>
        <v/>
      </c>
      <c r="AE377" s="12" t="s">
        <v>27</v>
      </c>
    </row>
    <row r="378" spans="1:31" ht="18" customHeight="1" thickTop="1" thickBot="1" x14ac:dyDescent="0.3">
      <c r="A378" s="4" t="s">
        <v>220</v>
      </c>
      <c r="B378" s="4" t="s">
        <v>950</v>
      </c>
      <c r="C378" s="5" t="s">
        <v>709</v>
      </c>
      <c r="D378" s="5" t="s">
        <v>26</v>
      </c>
      <c r="E378" s="5" t="s">
        <v>27</v>
      </c>
      <c r="F378" s="5" t="s">
        <v>710</v>
      </c>
      <c r="G378" s="5" t="s">
        <v>16</v>
      </c>
      <c r="H378" s="6" t="s">
        <v>226</v>
      </c>
      <c r="I378" s="7" t="s">
        <v>68</v>
      </c>
      <c r="J378" s="8">
        <v>1.2</v>
      </c>
      <c r="K378" s="8">
        <v>0.42375886524822692</v>
      </c>
      <c r="L378" s="8"/>
      <c r="M378" s="5"/>
      <c r="N378" s="8">
        <v>0.98830049261083752</v>
      </c>
      <c r="O378" s="9">
        <v>2.3322237566213904</v>
      </c>
      <c r="P378" s="10" t="s">
        <v>31</v>
      </c>
      <c r="Q378" s="10">
        <f t="shared" si="37"/>
        <v>0</v>
      </c>
      <c r="R378" s="10">
        <f t="shared" si="38"/>
        <v>1</v>
      </c>
      <c r="S378" s="10">
        <f t="shared" si="39"/>
        <v>1</v>
      </c>
      <c r="T378" s="10">
        <f t="shared" si="40"/>
        <v>0</v>
      </c>
      <c r="U378" s="11" t="str">
        <f t="shared" si="41"/>
        <v/>
      </c>
      <c r="V378" s="11" t="str">
        <f t="shared" si="42"/>
        <v/>
      </c>
      <c r="W378" s="11" t="str">
        <f t="shared" si="42"/>
        <v/>
      </c>
      <c r="X378" s="11">
        <f t="shared" si="42"/>
        <v>1</v>
      </c>
      <c r="Y378" s="11" t="str">
        <f t="shared" si="42"/>
        <v/>
      </c>
      <c r="Z378" s="11">
        <f t="shared" si="42"/>
        <v>1</v>
      </c>
      <c r="AA378" s="11" t="str">
        <f t="shared" si="42"/>
        <v/>
      </c>
      <c r="AB378" s="11" t="str">
        <f t="shared" si="42"/>
        <v/>
      </c>
      <c r="AC378" s="11" t="str">
        <f t="shared" si="42"/>
        <v/>
      </c>
      <c r="AD378" s="11" t="str">
        <f t="shared" si="42"/>
        <v/>
      </c>
      <c r="AE378" s="12" t="s">
        <v>1050</v>
      </c>
    </row>
    <row r="379" spans="1:31" ht="18" customHeight="1" thickTop="1" thickBot="1" x14ac:dyDescent="0.3">
      <c r="A379" s="4" t="s">
        <v>400</v>
      </c>
      <c r="B379" s="4" t="s">
        <v>945</v>
      </c>
      <c r="C379" s="5" t="s">
        <v>711</v>
      </c>
      <c r="D379" s="5" t="s">
        <v>26</v>
      </c>
      <c r="E379" s="5" t="s">
        <v>27</v>
      </c>
      <c r="F379" s="5" t="s">
        <v>712</v>
      </c>
      <c r="G379" s="5" t="s">
        <v>16</v>
      </c>
      <c r="H379" s="6" t="s">
        <v>186</v>
      </c>
      <c r="I379" s="7" t="s">
        <v>359</v>
      </c>
      <c r="J379" s="8" t="s">
        <v>27</v>
      </c>
      <c r="K379" s="8">
        <v>0.56889165628891658</v>
      </c>
      <c r="L379" s="8"/>
      <c r="M379" s="5"/>
      <c r="N379" s="8">
        <v>0.79664250286150318</v>
      </c>
      <c r="O379" s="9">
        <v>1.4003413375022702</v>
      </c>
      <c r="P379" s="10" t="s">
        <v>27</v>
      </c>
      <c r="Q379" s="10">
        <f t="shared" si="37"/>
        <v>0</v>
      </c>
      <c r="R379" s="10">
        <f t="shared" si="38"/>
        <v>0</v>
      </c>
      <c r="S379" s="10">
        <f t="shared" si="39"/>
        <v>0</v>
      </c>
      <c r="T379" s="10">
        <f t="shared" si="40"/>
        <v>0</v>
      </c>
      <c r="U379" s="11" t="str">
        <f t="shared" si="41"/>
        <v/>
      </c>
      <c r="V379" s="11" t="str">
        <f t="shared" si="42"/>
        <v/>
      </c>
      <c r="W379" s="11" t="str">
        <f t="shared" si="42"/>
        <v/>
      </c>
      <c r="X379" s="11" t="str">
        <f t="shared" si="42"/>
        <v/>
      </c>
      <c r="Y379" s="11" t="str">
        <f t="shared" si="42"/>
        <v/>
      </c>
      <c r="Z379" s="11" t="str">
        <f t="shared" si="42"/>
        <v/>
      </c>
      <c r="AA379" s="11" t="str">
        <f t="shared" si="42"/>
        <v/>
      </c>
      <c r="AB379" s="11" t="str">
        <f t="shared" si="42"/>
        <v/>
      </c>
      <c r="AC379" s="11" t="str">
        <f t="shared" si="42"/>
        <v/>
      </c>
      <c r="AD379" s="11" t="str">
        <f t="shared" si="42"/>
        <v/>
      </c>
      <c r="AE379" s="12" t="s">
        <v>27</v>
      </c>
    </row>
    <row r="380" spans="1:31" ht="18" customHeight="1" thickTop="1" thickBot="1" x14ac:dyDescent="0.3">
      <c r="A380" s="4" t="s">
        <v>400</v>
      </c>
      <c r="B380" s="4" t="s">
        <v>945</v>
      </c>
      <c r="C380" s="5" t="s">
        <v>711</v>
      </c>
      <c r="D380" s="5" t="s">
        <v>26</v>
      </c>
      <c r="E380" s="5" t="s">
        <v>36</v>
      </c>
      <c r="F380" s="5" t="s">
        <v>713</v>
      </c>
      <c r="G380" s="5" t="s">
        <v>16</v>
      </c>
      <c r="H380" s="6" t="s">
        <v>186</v>
      </c>
      <c r="I380" s="7" t="s">
        <v>38</v>
      </c>
      <c r="J380" s="8" t="s">
        <v>27</v>
      </c>
      <c r="K380" s="8">
        <v>0.7503526093088857</v>
      </c>
      <c r="L380" s="8"/>
      <c r="M380" s="5"/>
      <c r="N380" s="8">
        <v>0.84154460719041291</v>
      </c>
      <c r="O380" s="9">
        <v>1.1215321926654187</v>
      </c>
      <c r="P380" s="10" t="s">
        <v>27</v>
      </c>
      <c r="Q380" s="10">
        <f t="shared" si="37"/>
        <v>0</v>
      </c>
      <c r="R380" s="10">
        <f t="shared" si="38"/>
        <v>0</v>
      </c>
      <c r="S380" s="10">
        <f t="shared" si="39"/>
        <v>0</v>
      </c>
      <c r="T380" s="10">
        <f t="shared" si="40"/>
        <v>0</v>
      </c>
      <c r="U380" s="11" t="str">
        <f t="shared" si="41"/>
        <v/>
      </c>
      <c r="V380" s="11" t="str">
        <f t="shared" si="42"/>
        <v/>
      </c>
      <c r="W380" s="11" t="str">
        <f t="shared" si="42"/>
        <v/>
      </c>
      <c r="X380" s="11" t="str">
        <f t="shared" si="42"/>
        <v/>
      </c>
      <c r="Y380" s="11" t="str">
        <f t="shared" si="42"/>
        <v/>
      </c>
      <c r="Z380" s="11" t="str">
        <f t="shared" si="42"/>
        <v/>
      </c>
      <c r="AA380" s="11" t="str">
        <f t="shared" si="42"/>
        <v/>
      </c>
      <c r="AB380" s="11" t="str">
        <f t="shared" si="42"/>
        <v/>
      </c>
      <c r="AC380" s="11" t="str">
        <f t="shared" si="42"/>
        <v/>
      </c>
      <c r="AD380" s="11" t="str">
        <f t="shared" si="42"/>
        <v/>
      </c>
      <c r="AE380" s="12" t="s">
        <v>27</v>
      </c>
    </row>
    <row r="381" spans="1:31" ht="18" customHeight="1" thickTop="1" thickBot="1" x14ac:dyDescent="0.3">
      <c r="A381" s="4" t="s">
        <v>400</v>
      </c>
      <c r="B381" s="4" t="s">
        <v>945</v>
      </c>
      <c r="C381" s="5" t="s">
        <v>711</v>
      </c>
      <c r="D381" s="5" t="s">
        <v>26</v>
      </c>
      <c r="E381" s="5" t="s">
        <v>40</v>
      </c>
      <c r="F381" s="5" t="s">
        <v>714</v>
      </c>
      <c r="G381" s="5" t="s">
        <v>16</v>
      </c>
      <c r="H381" s="6" t="s">
        <v>186</v>
      </c>
      <c r="I381" s="7" t="s">
        <v>56</v>
      </c>
      <c r="J381" s="8" t="s">
        <v>27</v>
      </c>
      <c r="K381" s="8">
        <v>0.82731707317073166</v>
      </c>
      <c r="L381" s="8"/>
      <c r="M381" s="5"/>
      <c r="N381" s="8">
        <v>0.94984954864593785</v>
      </c>
      <c r="O381" s="9">
        <v>1.148108239813781</v>
      </c>
      <c r="P381" s="10" t="s">
        <v>27</v>
      </c>
      <c r="Q381" s="10">
        <f t="shared" si="37"/>
        <v>0</v>
      </c>
      <c r="R381" s="10">
        <f t="shared" si="38"/>
        <v>0</v>
      </c>
      <c r="S381" s="10">
        <f t="shared" si="39"/>
        <v>0</v>
      </c>
      <c r="T381" s="10">
        <f t="shared" si="40"/>
        <v>0</v>
      </c>
      <c r="U381" s="11" t="str">
        <f t="shared" si="41"/>
        <v/>
      </c>
      <c r="V381" s="11" t="str">
        <f t="shared" si="42"/>
        <v/>
      </c>
      <c r="W381" s="11" t="str">
        <f t="shared" ref="V381:AD409" si="43">IF(ISNUMBER(SEARCH(W$3,$AE381)), 1,"")</f>
        <v/>
      </c>
      <c r="X381" s="11" t="str">
        <f t="shared" si="43"/>
        <v/>
      </c>
      <c r="Y381" s="11" t="str">
        <f t="shared" si="43"/>
        <v/>
      </c>
      <c r="Z381" s="11" t="str">
        <f t="shared" si="43"/>
        <v/>
      </c>
      <c r="AA381" s="11" t="str">
        <f t="shared" si="43"/>
        <v/>
      </c>
      <c r="AB381" s="11" t="str">
        <f t="shared" si="43"/>
        <v/>
      </c>
      <c r="AC381" s="11" t="str">
        <f t="shared" si="43"/>
        <v/>
      </c>
      <c r="AD381" s="11" t="str">
        <f t="shared" si="43"/>
        <v/>
      </c>
      <c r="AE381" s="12" t="s">
        <v>27</v>
      </c>
    </row>
    <row r="382" spans="1:31" ht="18" customHeight="1" thickTop="1" thickBot="1" x14ac:dyDescent="0.3">
      <c r="A382" s="4" t="s">
        <v>400</v>
      </c>
      <c r="B382" s="4" t="s">
        <v>945</v>
      </c>
      <c r="C382" s="5" t="s">
        <v>711</v>
      </c>
      <c r="D382" s="5" t="s">
        <v>26</v>
      </c>
      <c r="E382" s="5" t="s">
        <v>69</v>
      </c>
      <c r="F382" s="5" t="s">
        <v>715</v>
      </c>
      <c r="G382" s="5" t="s">
        <v>16</v>
      </c>
      <c r="H382" s="6" t="s">
        <v>186</v>
      </c>
      <c r="I382" s="7" t="s">
        <v>213</v>
      </c>
      <c r="J382" s="8" t="s">
        <v>27</v>
      </c>
      <c r="K382" s="8">
        <v>0.79273504273504281</v>
      </c>
      <c r="L382" s="8"/>
      <c r="M382" s="5"/>
      <c r="N382" s="8">
        <v>0.81562320505456642</v>
      </c>
      <c r="O382" s="9">
        <v>1.0288723988289408</v>
      </c>
      <c r="P382" s="10" t="s">
        <v>27</v>
      </c>
      <c r="Q382" s="10">
        <f t="shared" si="37"/>
        <v>0</v>
      </c>
      <c r="R382" s="10">
        <f t="shared" si="38"/>
        <v>0</v>
      </c>
      <c r="S382" s="10">
        <f t="shared" si="39"/>
        <v>0</v>
      </c>
      <c r="T382" s="10">
        <f t="shared" si="40"/>
        <v>0</v>
      </c>
      <c r="U382" s="11" t="str">
        <f t="shared" si="41"/>
        <v/>
      </c>
      <c r="V382" s="11" t="str">
        <f t="shared" si="43"/>
        <v/>
      </c>
      <c r="W382" s="11" t="str">
        <f t="shared" si="43"/>
        <v/>
      </c>
      <c r="X382" s="11" t="str">
        <f t="shared" si="43"/>
        <v/>
      </c>
      <c r="Y382" s="11" t="str">
        <f t="shared" si="43"/>
        <v/>
      </c>
      <c r="Z382" s="11" t="str">
        <f t="shared" si="43"/>
        <v/>
      </c>
      <c r="AA382" s="11" t="str">
        <f t="shared" si="43"/>
        <v/>
      </c>
      <c r="AB382" s="11" t="str">
        <f t="shared" si="43"/>
        <v/>
      </c>
      <c r="AC382" s="11" t="str">
        <f t="shared" si="43"/>
        <v/>
      </c>
      <c r="AD382" s="11" t="str">
        <f t="shared" si="43"/>
        <v/>
      </c>
      <c r="AE382" s="12" t="s">
        <v>27</v>
      </c>
    </row>
    <row r="383" spans="1:31" ht="18" customHeight="1" thickTop="1" thickBot="1" x14ac:dyDescent="0.3">
      <c r="A383" s="4" t="s">
        <v>716</v>
      </c>
      <c r="B383" s="4" t="s">
        <v>949</v>
      </c>
      <c r="C383" s="5" t="s">
        <v>717</v>
      </c>
      <c r="D383" s="5" t="s">
        <v>26</v>
      </c>
      <c r="E383" s="5" t="s">
        <v>36</v>
      </c>
      <c r="F383" s="5" t="s">
        <v>718</v>
      </c>
      <c r="G383" s="5" t="s">
        <v>16</v>
      </c>
      <c r="H383" s="6" t="s">
        <v>487</v>
      </c>
      <c r="I383" s="7" t="s">
        <v>111</v>
      </c>
      <c r="J383" s="8" t="s">
        <v>27</v>
      </c>
      <c r="K383" s="8">
        <v>1</v>
      </c>
      <c r="L383" s="8"/>
      <c r="M383" s="5"/>
      <c r="N383" s="8">
        <v>2.6628440366972477</v>
      </c>
      <c r="O383" s="9">
        <v>2.6628440366972477</v>
      </c>
      <c r="P383" s="10" t="s">
        <v>31</v>
      </c>
      <c r="Q383" s="10">
        <f t="shared" si="37"/>
        <v>0</v>
      </c>
      <c r="R383" s="10">
        <f t="shared" si="38"/>
        <v>0</v>
      </c>
      <c r="S383" s="10">
        <f t="shared" si="39"/>
        <v>1</v>
      </c>
      <c r="T383" s="10">
        <f t="shared" si="40"/>
        <v>0</v>
      </c>
      <c r="U383" s="11" t="str">
        <f t="shared" si="41"/>
        <v/>
      </c>
      <c r="V383" s="11">
        <f t="shared" si="43"/>
        <v>1</v>
      </c>
      <c r="W383" s="11" t="str">
        <f t="shared" si="43"/>
        <v/>
      </c>
      <c r="X383" s="11" t="str">
        <f t="shared" si="43"/>
        <v/>
      </c>
      <c r="Y383" s="11" t="str">
        <f t="shared" si="43"/>
        <v/>
      </c>
      <c r="Z383" s="11" t="str">
        <f t="shared" si="43"/>
        <v/>
      </c>
      <c r="AA383" s="11" t="str">
        <f t="shared" si="43"/>
        <v/>
      </c>
      <c r="AB383" s="11">
        <f t="shared" si="43"/>
        <v>1</v>
      </c>
      <c r="AC383" s="11">
        <f t="shared" si="43"/>
        <v>1</v>
      </c>
      <c r="AD383" s="11" t="str">
        <f t="shared" si="43"/>
        <v/>
      </c>
      <c r="AE383" s="12" t="s">
        <v>1052</v>
      </c>
    </row>
    <row r="384" spans="1:31" ht="18" customHeight="1" thickTop="1" thickBot="1" x14ac:dyDescent="0.3">
      <c r="A384" s="4" t="s">
        <v>716</v>
      </c>
      <c r="B384" s="4" t="s">
        <v>949</v>
      </c>
      <c r="C384" s="5" t="s">
        <v>717</v>
      </c>
      <c r="D384" s="5" t="s">
        <v>26</v>
      </c>
      <c r="E384" s="5" t="s">
        <v>40</v>
      </c>
      <c r="F384" s="5" t="s">
        <v>719</v>
      </c>
      <c r="G384" s="5" t="s">
        <v>16</v>
      </c>
      <c r="H384" s="6" t="s">
        <v>487</v>
      </c>
      <c r="I384" s="7" t="s">
        <v>111</v>
      </c>
      <c r="J384" s="8" t="s">
        <v>27</v>
      </c>
      <c r="K384" s="8">
        <v>1</v>
      </c>
      <c r="L384" s="8"/>
      <c r="M384" s="5"/>
      <c r="N384" s="8">
        <v>2.2540983606557381</v>
      </c>
      <c r="O384" s="9">
        <v>2.2540983606557381</v>
      </c>
      <c r="P384" s="10" t="s">
        <v>31</v>
      </c>
      <c r="Q384" s="10">
        <f t="shared" si="37"/>
        <v>0</v>
      </c>
      <c r="R384" s="10">
        <f t="shared" si="38"/>
        <v>0</v>
      </c>
      <c r="S384" s="10">
        <f t="shared" si="39"/>
        <v>1</v>
      </c>
      <c r="T384" s="10">
        <f t="shared" si="40"/>
        <v>0</v>
      </c>
      <c r="U384" s="11" t="str">
        <f t="shared" si="41"/>
        <v/>
      </c>
      <c r="V384" s="11">
        <f t="shared" si="43"/>
        <v>1</v>
      </c>
      <c r="W384" s="11" t="str">
        <f t="shared" si="43"/>
        <v/>
      </c>
      <c r="X384" s="11" t="str">
        <f t="shared" si="43"/>
        <v/>
      </c>
      <c r="Y384" s="11" t="str">
        <f t="shared" si="43"/>
        <v/>
      </c>
      <c r="Z384" s="11" t="str">
        <f t="shared" si="43"/>
        <v/>
      </c>
      <c r="AA384" s="11" t="str">
        <f t="shared" si="43"/>
        <v/>
      </c>
      <c r="AB384" s="11" t="str">
        <f t="shared" si="43"/>
        <v/>
      </c>
      <c r="AC384" s="11">
        <f t="shared" si="43"/>
        <v>1</v>
      </c>
      <c r="AD384" s="11" t="str">
        <f t="shared" si="43"/>
        <v/>
      </c>
      <c r="AE384" s="12" t="s">
        <v>1054</v>
      </c>
    </row>
    <row r="385" spans="1:31" ht="18" customHeight="1" thickTop="1" thickBot="1" x14ac:dyDescent="0.3">
      <c r="A385" s="4" t="s">
        <v>716</v>
      </c>
      <c r="B385" s="4" t="s">
        <v>949</v>
      </c>
      <c r="C385" s="5" t="s">
        <v>717</v>
      </c>
      <c r="D385" s="5" t="s">
        <v>26</v>
      </c>
      <c r="E385" s="5" t="s">
        <v>69</v>
      </c>
      <c r="F385" s="5" t="s">
        <v>720</v>
      </c>
      <c r="G385" s="5" t="s">
        <v>16</v>
      </c>
      <c r="H385" s="6" t="s">
        <v>487</v>
      </c>
      <c r="I385" s="7" t="s">
        <v>111</v>
      </c>
      <c r="J385" s="8" t="s">
        <v>27</v>
      </c>
      <c r="K385" s="8">
        <v>1</v>
      </c>
      <c r="L385" s="8"/>
      <c r="M385" s="5"/>
      <c r="N385" s="8">
        <v>2.9766803840877913</v>
      </c>
      <c r="O385" s="9">
        <v>2.9766803840877918</v>
      </c>
      <c r="P385" s="10" t="s">
        <v>31</v>
      </c>
      <c r="Q385" s="10">
        <f t="shared" si="37"/>
        <v>0</v>
      </c>
      <c r="R385" s="10">
        <f t="shared" si="38"/>
        <v>0</v>
      </c>
      <c r="S385" s="10">
        <f t="shared" si="39"/>
        <v>1</v>
      </c>
      <c r="T385" s="10">
        <f t="shared" si="40"/>
        <v>0</v>
      </c>
      <c r="U385" s="11" t="str">
        <f t="shared" si="41"/>
        <v/>
      </c>
      <c r="V385" s="11">
        <f t="shared" si="43"/>
        <v>1</v>
      </c>
      <c r="W385" s="11" t="str">
        <f t="shared" si="43"/>
        <v/>
      </c>
      <c r="X385" s="11" t="str">
        <f t="shared" si="43"/>
        <v/>
      </c>
      <c r="Y385" s="11" t="str">
        <f t="shared" si="43"/>
        <v/>
      </c>
      <c r="Z385" s="11" t="str">
        <f t="shared" si="43"/>
        <v/>
      </c>
      <c r="AA385" s="11" t="str">
        <f t="shared" si="43"/>
        <v/>
      </c>
      <c r="AB385" s="11" t="str">
        <f t="shared" si="43"/>
        <v/>
      </c>
      <c r="AC385" s="11">
        <f t="shared" si="43"/>
        <v>1</v>
      </c>
      <c r="AD385" s="11" t="str">
        <f t="shared" si="43"/>
        <v/>
      </c>
      <c r="AE385" s="12" t="s">
        <v>1054</v>
      </c>
    </row>
    <row r="386" spans="1:31" ht="18" customHeight="1" thickTop="1" thickBot="1" x14ac:dyDescent="0.3">
      <c r="A386" s="4" t="s">
        <v>721</v>
      </c>
      <c r="B386" s="4" t="s">
        <v>946</v>
      </c>
      <c r="C386" s="5" t="s">
        <v>722</v>
      </c>
      <c r="D386" s="5" t="s">
        <v>26</v>
      </c>
      <c r="E386" s="5" t="s">
        <v>27</v>
      </c>
      <c r="F386" s="5" t="s">
        <v>723</v>
      </c>
      <c r="G386" s="5" t="s">
        <v>16</v>
      </c>
      <c r="H386" s="6" t="s">
        <v>724</v>
      </c>
      <c r="I386" s="7" t="s">
        <v>38</v>
      </c>
      <c r="J386" s="8" t="s">
        <v>27</v>
      </c>
      <c r="K386" s="8">
        <v>0.64359504132231404</v>
      </c>
      <c r="L386" s="8"/>
      <c r="M386" s="5"/>
      <c r="N386" s="8">
        <v>1.6909090909090907</v>
      </c>
      <c r="O386" s="9">
        <v>2.6272873194221504</v>
      </c>
      <c r="P386" s="10" t="s">
        <v>31</v>
      </c>
      <c r="Q386" s="10">
        <f t="shared" si="37"/>
        <v>0</v>
      </c>
      <c r="R386" s="10">
        <f t="shared" si="38"/>
        <v>0</v>
      </c>
      <c r="S386" s="10">
        <f t="shared" si="39"/>
        <v>1</v>
      </c>
      <c r="T386" s="10">
        <f t="shared" si="40"/>
        <v>0</v>
      </c>
      <c r="U386" s="11" t="str">
        <f t="shared" si="41"/>
        <v/>
      </c>
      <c r="V386" s="11" t="str">
        <f t="shared" si="43"/>
        <v/>
      </c>
      <c r="W386" s="11" t="str">
        <f t="shared" si="43"/>
        <v/>
      </c>
      <c r="X386" s="11" t="str">
        <f t="shared" si="43"/>
        <v/>
      </c>
      <c r="Y386" s="11" t="str">
        <f t="shared" si="43"/>
        <v/>
      </c>
      <c r="Z386" s="11" t="str">
        <f t="shared" si="43"/>
        <v/>
      </c>
      <c r="AA386" s="11" t="str">
        <f t="shared" si="43"/>
        <v/>
      </c>
      <c r="AB386" s="11" t="str">
        <f t="shared" si="43"/>
        <v/>
      </c>
      <c r="AC386" s="11">
        <f t="shared" si="43"/>
        <v>1</v>
      </c>
      <c r="AD386" s="11" t="str">
        <f t="shared" si="43"/>
        <v/>
      </c>
      <c r="AE386" s="12" t="s">
        <v>982</v>
      </c>
    </row>
    <row r="387" spans="1:31" ht="18" customHeight="1" thickTop="1" thickBot="1" x14ac:dyDescent="0.3">
      <c r="A387" s="4" t="s">
        <v>721</v>
      </c>
      <c r="B387" s="4" t="s">
        <v>946</v>
      </c>
      <c r="C387" s="5" t="s">
        <v>722</v>
      </c>
      <c r="D387" s="5" t="s">
        <v>26</v>
      </c>
      <c r="E387" s="5" t="s">
        <v>36</v>
      </c>
      <c r="F387" s="5" t="s">
        <v>725</v>
      </c>
      <c r="G387" s="5" t="s">
        <v>16</v>
      </c>
      <c r="H387" s="6" t="s">
        <v>724</v>
      </c>
      <c r="I387" s="7" t="s">
        <v>38</v>
      </c>
      <c r="J387" s="8">
        <v>1</v>
      </c>
      <c r="K387" s="8">
        <v>1</v>
      </c>
      <c r="L387" s="8"/>
      <c r="M387" s="5"/>
      <c r="N387" s="8">
        <v>1.1891304347826088</v>
      </c>
      <c r="O387" s="9">
        <v>1.1891304347826086</v>
      </c>
      <c r="P387" s="10" t="s">
        <v>27</v>
      </c>
      <c r="Q387" s="10">
        <f t="shared" si="37"/>
        <v>0</v>
      </c>
      <c r="R387" s="10">
        <f t="shared" si="38"/>
        <v>0</v>
      </c>
      <c r="S387" s="10">
        <f t="shared" si="39"/>
        <v>0</v>
      </c>
      <c r="T387" s="10">
        <f t="shared" si="40"/>
        <v>0</v>
      </c>
      <c r="U387" s="11" t="str">
        <f t="shared" si="41"/>
        <v/>
      </c>
      <c r="V387" s="11" t="str">
        <f t="shared" si="43"/>
        <v/>
      </c>
      <c r="W387" s="11" t="str">
        <f t="shared" si="43"/>
        <v/>
      </c>
      <c r="X387" s="11" t="str">
        <f t="shared" si="43"/>
        <v/>
      </c>
      <c r="Y387" s="11" t="str">
        <f t="shared" si="43"/>
        <v/>
      </c>
      <c r="Z387" s="11" t="str">
        <f t="shared" si="43"/>
        <v/>
      </c>
      <c r="AA387" s="11" t="str">
        <f t="shared" si="43"/>
        <v/>
      </c>
      <c r="AB387" s="11" t="str">
        <f t="shared" si="43"/>
        <v/>
      </c>
      <c r="AC387" s="11" t="str">
        <f t="shared" si="43"/>
        <v/>
      </c>
      <c r="AD387" s="11" t="str">
        <f t="shared" si="43"/>
        <v/>
      </c>
      <c r="AE387" s="12" t="s">
        <v>27</v>
      </c>
    </row>
    <row r="388" spans="1:31" ht="18" customHeight="1" thickTop="1" thickBot="1" x14ac:dyDescent="0.3">
      <c r="A388" s="4" t="s">
        <v>721</v>
      </c>
      <c r="B388" s="4" t="s">
        <v>946</v>
      </c>
      <c r="C388" s="5" t="s">
        <v>722</v>
      </c>
      <c r="D388" s="5" t="s">
        <v>26</v>
      </c>
      <c r="E388" s="5" t="s">
        <v>40</v>
      </c>
      <c r="F388" s="5" t="s">
        <v>726</v>
      </c>
      <c r="G388" s="5" t="s">
        <v>16</v>
      </c>
      <c r="H388" s="6" t="s">
        <v>724</v>
      </c>
      <c r="I388" s="7" t="s">
        <v>38</v>
      </c>
      <c r="J388" s="8">
        <v>1</v>
      </c>
      <c r="K388" s="8">
        <v>1</v>
      </c>
      <c r="L388" s="8"/>
      <c r="M388" s="5"/>
      <c r="N388" s="8">
        <v>1.744660194174757</v>
      </c>
      <c r="O388" s="9">
        <v>1.744660194174757</v>
      </c>
      <c r="P388" s="10" t="s">
        <v>31</v>
      </c>
      <c r="Q388" s="10">
        <f t="shared" si="37"/>
        <v>0</v>
      </c>
      <c r="R388" s="10">
        <f t="shared" si="38"/>
        <v>0</v>
      </c>
      <c r="S388" s="10">
        <f t="shared" si="39"/>
        <v>1</v>
      </c>
      <c r="T388" s="10">
        <f t="shared" si="40"/>
        <v>0</v>
      </c>
      <c r="U388" s="11" t="str">
        <f t="shared" si="41"/>
        <v/>
      </c>
      <c r="V388" s="11" t="str">
        <f t="shared" si="43"/>
        <v/>
      </c>
      <c r="W388" s="11" t="str">
        <f t="shared" si="43"/>
        <v/>
      </c>
      <c r="X388" s="11" t="str">
        <f t="shared" si="43"/>
        <v/>
      </c>
      <c r="Y388" s="11" t="str">
        <f t="shared" si="43"/>
        <v/>
      </c>
      <c r="Z388" s="11" t="str">
        <f t="shared" si="43"/>
        <v/>
      </c>
      <c r="AA388" s="11" t="str">
        <f t="shared" si="43"/>
        <v/>
      </c>
      <c r="AB388" s="11" t="str">
        <f t="shared" si="43"/>
        <v/>
      </c>
      <c r="AC388" s="11">
        <f t="shared" si="43"/>
        <v>1</v>
      </c>
      <c r="AD388" s="11" t="str">
        <f t="shared" si="43"/>
        <v/>
      </c>
      <c r="AE388" s="12" t="s">
        <v>982</v>
      </c>
    </row>
    <row r="389" spans="1:31" ht="18" customHeight="1" thickTop="1" thickBot="1" x14ac:dyDescent="0.3">
      <c r="A389" s="4" t="s">
        <v>721</v>
      </c>
      <c r="B389" s="4" t="s">
        <v>946</v>
      </c>
      <c r="C389" s="5" t="s">
        <v>722</v>
      </c>
      <c r="D389" s="5" t="s">
        <v>26</v>
      </c>
      <c r="E389" s="5" t="s">
        <v>69</v>
      </c>
      <c r="F389" s="5" t="s">
        <v>727</v>
      </c>
      <c r="G389" s="5" t="s">
        <v>16</v>
      </c>
      <c r="H389" s="6" t="s">
        <v>724</v>
      </c>
      <c r="I389" s="7" t="s">
        <v>38</v>
      </c>
      <c r="J389" s="8">
        <v>1.7284069981583792</v>
      </c>
      <c r="K389" s="8">
        <v>1</v>
      </c>
      <c r="L389" s="8"/>
      <c r="M389" s="5"/>
      <c r="N389" s="8">
        <v>3.9459532710280376</v>
      </c>
      <c r="O389" s="9">
        <v>3.9459532710280376</v>
      </c>
      <c r="P389" s="10" t="s">
        <v>31</v>
      </c>
      <c r="Q389" s="10">
        <f t="shared" ref="Q389:Q452" si="44">IF(K389&gt;1.5,1,0)</f>
        <v>0</v>
      </c>
      <c r="R389" s="10">
        <f t="shared" ref="R389:R452" si="45">IF(K389&lt;0.5,1,0)</f>
        <v>0</v>
      </c>
      <c r="S389" s="10">
        <f t="shared" ref="S389:S452" si="46">IF(O389&gt;1.5,1,0)</f>
        <v>1</v>
      </c>
      <c r="T389" s="10">
        <f t="shared" ref="T389:T452" si="47">IF(O389&lt;0.5,1,0)</f>
        <v>0</v>
      </c>
      <c r="U389" s="11" t="str">
        <f t="shared" si="41"/>
        <v/>
      </c>
      <c r="V389" s="11" t="str">
        <f t="shared" si="43"/>
        <v/>
      </c>
      <c r="W389" s="11" t="str">
        <f t="shared" si="43"/>
        <v/>
      </c>
      <c r="X389" s="11" t="str">
        <f t="shared" si="43"/>
        <v/>
      </c>
      <c r="Y389" s="11" t="str">
        <f t="shared" si="43"/>
        <v/>
      </c>
      <c r="Z389" s="11" t="str">
        <f t="shared" si="43"/>
        <v/>
      </c>
      <c r="AA389" s="11" t="str">
        <f t="shared" si="43"/>
        <v/>
      </c>
      <c r="AB389" s="11" t="str">
        <f t="shared" si="43"/>
        <v/>
      </c>
      <c r="AC389" s="11">
        <f t="shared" si="43"/>
        <v>1</v>
      </c>
      <c r="AD389" s="11" t="str">
        <f t="shared" si="43"/>
        <v/>
      </c>
      <c r="AE389" s="12" t="s">
        <v>982</v>
      </c>
    </row>
    <row r="390" spans="1:31" ht="18" customHeight="1" thickTop="1" thickBot="1" x14ac:dyDescent="0.3">
      <c r="A390" s="4" t="s">
        <v>721</v>
      </c>
      <c r="B390" s="4" t="s">
        <v>946</v>
      </c>
      <c r="C390" s="5" t="s">
        <v>722</v>
      </c>
      <c r="D390" s="5" t="s">
        <v>42</v>
      </c>
      <c r="E390" s="5" t="s">
        <v>27</v>
      </c>
      <c r="F390" s="5" t="s">
        <v>728</v>
      </c>
      <c r="G390" s="5" t="s">
        <v>16</v>
      </c>
      <c r="H390" s="6" t="s">
        <v>724</v>
      </c>
      <c r="I390" s="7" t="s">
        <v>359</v>
      </c>
      <c r="J390" s="8" t="s">
        <v>27</v>
      </c>
      <c r="K390" s="8">
        <v>0.42320213080793134</v>
      </c>
      <c r="L390" s="8"/>
      <c r="M390" s="5"/>
      <c r="N390" s="8">
        <v>0.61398601398601405</v>
      </c>
      <c r="O390" s="9">
        <v>1.4508103085725463</v>
      </c>
      <c r="P390" s="10" t="s">
        <v>31</v>
      </c>
      <c r="Q390" s="10">
        <f t="shared" si="44"/>
        <v>0</v>
      </c>
      <c r="R390" s="10">
        <f t="shared" si="45"/>
        <v>1</v>
      </c>
      <c r="S390" s="10">
        <f t="shared" si="46"/>
        <v>0</v>
      </c>
      <c r="T390" s="10">
        <f t="shared" si="47"/>
        <v>0</v>
      </c>
      <c r="U390" s="11" t="str">
        <f t="shared" ref="U390:U453" si="48">IF(ISNUMBER(SEARCH(U$3,$AE390)), 1,"")</f>
        <v/>
      </c>
      <c r="V390" s="11" t="str">
        <f t="shared" si="43"/>
        <v/>
      </c>
      <c r="W390" s="11" t="str">
        <f t="shared" si="43"/>
        <v/>
      </c>
      <c r="X390" s="11" t="str">
        <f t="shared" si="43"/>
        <v/>
      </c>
      <c r="Y390" s="11" t="str">
        <f t="shared" si="43"/>
        <v/>
      </c>
      <c r="Z390" s="11" t="str">
        <f t="shared" si="43"/>
        <v/>
      </c>
      <c r="AA390" s="11" t="str">
        <f t="shared" si="43"/>
        <v/>
      </c>
      <c r="AB390" s="11" t="str">
        <f t="shared" si="43"/>
        <v/>
      </c>
      <c r="AC390" s="11" t="str">
        <f t="shared" si="43"/>
        <v/>
      </c>
      <c r="AD390" s="11">
        <f t="shared" si="43"/>
        <v>1</v>
      </c>
      <c r="AE390" s="12" t="s">
        <v>988</v>
      </c>
    </row>
    <row r="391" spans="1:31" ht="18" customHeight="1" thickTop="1" thickBot="1" x14ac:dyDescent="0.3">
      <c r="A391" s="4" t="s">
        <v>721</v>
      </c>
      <c r="B391" s="4" t="s">
        <v>946</v>
      </c>
      <c r="C391" s="5" t="s">
        <v>722</v>
      </c>
      <c r="D391" s="5" t="s">
        <v>42</v>
      </c>
      <c r="E391" s="5" t="s">
        <v>36</v>
      </c>
      <c r="F391" s="5" t="s">
        <v>729</v>
      </c>
      <c r="G391" s="5" t="s">
        <v>16</v>
      </c>
      <c r="H391" s="6" t="s">
        <v>724</v>
      </c>
      <c r="I391" s="7" t="s">
        <v>359</v>
      </c>
      <c r="J391" s="8">
        <v>1.25</v>
      </c>
      <c r="K391" s="8">
        <v>0.29358552631578949</v>
      </c>
      <c r="L391" s="8"/>
      <c r="M391" s="5"/>
      <c r="N391" s="8">
        <v>1.4020408163265305</v>
      </c>
      <c r="O391" s="9">
        <v>4.7755788029497497</v>
      </c>
      <c r="P391" s="10" t="s">
        <v>31</v>
      </c>
      <c r="Q391" s="10">
        <f t="shared" si="44"/>
        <v>0</v>
      </c>
      <c r="R391" s="10">
        <f t="shared" si="45"/>
        <v>1</v>
      </c>
      <c r="S391" s="10">
        <f t="shared" si="46"/>
        <v>1</v>
      </c>
      <c r="T391" s="10">
        <f t="shared" si="47"/>
        <v>0</v>
      </c>
      <c r="U391" s="11" t="str">
        <f t="shared" si="48"/>
        <v/>
      </c>
      <c r="V391" s="11" t="str">
        <f t="shared" si="43"/>
        <v/>
      </c>
      <c r="W391" s="11" t="str">
        <f t="shared" si="43"/>
        <v/>
      </c>
      <c r="X391" s="11" t="str">
        <f t="shared" si="43"/>
        <v/>
      </c>
      <c r="Y391" s="11" t="str">
        <f t="shared" si="43"/>
        <v/>
      </c>
      <c r="Z391" s="11" t="str">
        <f t="shared" si="43"/>
        <v/>
      </c>
      <c r="AA391" s="11" t="str">
        <f t="shared" si="43"/>
        <v/>
      </c>
      <c r="AB391" s="11" t="str">
        <f t="shared" si="43"/>
        <v/>
      </c>
      <c r="AC391" s="11">
        <f t="shared" si="43"/>
        <v>1</v>
      </c>
      <c r="AD391" s="11">
        <f t="shared" si="43"/>
        <v>1</v>
      </c>
      <c r="AE391" s="12" t="s">
        <v>984</v>
      </c>
    </row>
    <row r="392" spans="1:31" ht="18" customHeight="1" thickTop="1" thickBot="1" x14ac:dyDescent="0.3">
      <c r="A392" s="4" t="s">
        <v>721</v>
      </c>
      <c r="B392" s="4" t="s">
        <v>946</v>
      </c>
      <c r="C392" s="5" t="s">
        <v>722</v>
      </c>
      <c r="D392" s="5" t="s">
        <v>42</v>
      </c>
      <c r="E392" s="5" t="s">
        <v>40</v>
      </c>
      <c r="F392" s="5" t="s">
        <v>730</v>
      </c>
      <c r="G392" s="5" t="s">
        <v>16</v>
      </c>
      <c r="H392" s="6" t="s">
        <v>724</v>
      </c>
      <c r="I392" s="7" t="s">
        <v>359</v>
      </c>
      <c r="J392" s="8">
        <v>1.0666666666666667</v>
      </c>
      <c r="K392" s="8">
        <v>0.31305114638447973</v>
      </c>
      <c r="L392" s="8"/>
      <c r="M392" s="5"/>
      <c r="N392" s="8">
        <v>1.4738095238095239</v>
      </c>
      <c r="O392" s="9">
        <v>4.7078873239436625</v>
      </c>
      <c r="P392" s="10" t="s">
        <v>31</v>
      </c>
      <c r="Q392" s="10">
        <f t="shared" si="44"/>
        <v>0</v>
      </c>
      <c r="R392" s="10">
        <f t="shared" si="45"/>
        <v>1</v>
      </c>
      <c r="S392" s="10">
        <f t="shared" si="46"/>
        <v>1</v>
      </c>
      <c r="T392" s="10">
        <f t="shared" si="47"/>
        <v>0</v>
      </c>
      <c r="U392" s="11" t="str">
        <f t="shared" si="48"/>
        <v/>
      </c>
      <c r="V392" s="11" t="str">
        <f t="shared" si="43"/>
        <v/>
      </c>
      <c r="W392" s="11" t="str">
        <f t="shared" si="43"/>
        <v/>
      </c>
      <c r="X392" s="11" t="str">
        <f t="shared" si="43"/>
        <v/>
      </c>
      <c r="Y392" s="11" t="str">
        <f t="shared" si="43"/>
        <v/>
      </c>
      <c r="Z392" s="11" t="str">
        <f t="shared" si="43"/>
        <v/>
      </c>
      <c r="AA392" s="11" t="str">
        <f t="shared" si="43"/>
        <v/>
      </c>
      <c r="AB392" s="11" t="str">
        <f t="shared" si="43"/>
        <v/>
      </c>
      <c r="AC392" s="11">
        <f t="shared" si="43"/>
        <v>1</v>
      </c>
      <c r="AD392" s="11">
        <f t="shared" si="43"/>
        <v>1</v>
      </c>
      <c r="AE392" s="12" t="s">
        <v>1059</v>
      </c>
    </row>
    <row r="393" spans="1:31" ht="18" customHeight="1" thickTop="1" thickBot="1" x14ac:dyDescent="0.3">
      <c r="A393" s="4" t="s">
        <v>721</v>
      </c>
      <c r="B393" s="4" t="s">
        <v>946</v>
      </c>
      <c r="C393" s="5" t="s">
        <v>722</v>
      </c>
      <c r="D393" s="5" t="s">
        <v>42</v>
      </c>
      <c r="E393" s="5" t="s">
        <v>69</v>
      </c>
      <c r="F393" s="5" t="s">
        <v>731</v>
      </c>
      <c r="G393" s="5" t="s">
        <v>16</v>
      </c>
      <c r="H393" s="6" t="s">
        <v>724</v>
      </c>
      <c r="I393" s="7" t="s">
        <v>359</v>
      </c>
      <c r="J393" s="8">
        <v>1.8972343522561863</v>
      </c>
      <c r="K393" s="8">
        <v>0.14285714285714285</v>
      </c>
      <c r="L393" s="8"/>
      <c r="M393" s="5"/>
      <c r="N393" s="8">
        <v>0.93142857142857138</v>
      </c>
      <c r="O393" s="9">
        <v>6.5200000000000005</v>
      </c>
      <c r="P393" s="10" t="s">
        <v>31</v>
      </c>
      <c r="Q393" s="10">
        <f t="shared" si="44"/>
        <v>0</v>
      </c>
      <c r="R393" s="10">
        <f t="shared" si="45"/>
        <v>1</v>
      </c>
      <c r="S393" s="10">
        <f t="shared" si="46"/>
        <v>1</v>
      </c>
      <c r="T393" s="10">
        <f t="shared" si="47"/>
        <v>0</v>
      </c>
      <c r="U393" s="11" t="str">
        <f t="shared" si="48"/>
        <v/>
      </c>
      <c r="V393" s="11" t="str">
        <f t="shared" si="43"/>
        <v/>
      </c>
      <c r="W393" s="11" t="str">
        <f t="shared" si="43"/>
        <v/>
      </c>
      <c r="X393" s="11" t="str">
        <f t="shared" si="43"/>
        <v/>
      </c>
      <c r="Y393" s="11" t="str">
        <f t="shared" si="43"/>
        <v/>
      </c>
      <c r="Z393" s="11" t="str">
        <f t="shared" si="43"/>
        <v/>
      </c>
      <c r="AA393" s="11" t="str">
        <f t="shared" si="43"/>
        <v/>
      </c>
      <c r="AB393" s="11" t="str">
        <f t="shared" si="43"/>
        <v/>
      </c>
      <c r="AC393" s="11">
        <f t="shared" si="43"/>
        <v>1</v>
      </c>
      <c r="AD393" s="11">
        <f t="shared" si="43"/>
        <v>1</v>
      </c>
      <c r="AE393" s="12" t="s">
        <v>984</v>
      </c>
    </row>
    <row r="394" spans="1:31" ht="18" customHeight="1" thickTop="1" thickBot="1" x14ac:dyDescent="0.3">
      <c r="A394" s="4" t="s">
        <v>694</v>
      </c>
      <c r="B394" s="4" t="s">
        <v>948</v>
      </c>
      <c r="C394" s="5" t="s">
        <v>732</v>
      </c>
      <c r="D394" s="5" t="s">
        <v>26</v>
      </c>
      <c r="E394" s="5" t="s">
        <v>27</v>
      </c>
      <c r="F394" s="5" t="s">
        <v>733</v>
      </c>
      <c r="G394" s="5" t="s">
        <v>16</v>
      </c>
      <c r="H394" s="6" t="s">
        <v>734</v>
      </c>
      <c r="I394" s="7" t="s">
        <v>359</v>
      </c>
      <c r="J394" s="8" t="s">
        <v>27</v>
      </c>
      <c r="K394" s="8">
        <v>0.75834999999999997</v>
      </c>
      <c r="L394" s="8"/>
      <c r="M394" s="5"/>
      <c r="N394" s="8">
        <v>1.0997076023391812</v>
      </c>
      <c r="O394" s="9">
        <v>1.4501320001835316</v>
      </c>
      <c r="P394" s="10" t="s">
        <v>27</v>
      </c>
      <c r="Q394" s="10">
        <f t="shared" si="44"/>
        <v>0</v>
      </c>
      <c r="R394" s="10">
        <f t="shared" si="45"/>
        <v>0</v>
      </c>
      <c r="S394" s="10">
        <f t="shared" si="46"/>
        <v>0</v>
      </c>
      <c r="T394" s="10">
        <f t="shared" si="47"/>
        <v>0</v>
      </c>
      <c r="U394" s="11" t="str">
        <f t="shared" si="48"/>
        <v/>
      </c>
      <c r="V394" s="11" t="str">
        <f t="shared" si="43"/>
        <v/>
      </c>
      <c r="W394" s="11" t="str">
        <f t="shared" si="43"/>
        <v/>
      </c>
      <c r="X394" s="11" t="str">
        <f t="shared" si="43"/>
        <v/>
      </c>
      <c r="Y394" s="11" t="str">
        <f t="shared" si="43"/>
        <v/>
      </c>
      <c r="Z394" s="11" t="str">
        <f t="shared" si="43"/>
        <v/>
      </c>
      <c r="AA394" s="11" t="str">
        <f t="shared" si="43"/>
        <v/>
      </c>
      <c r="AB394" s="11" t="str">
        <f t="shared" si="43"/>
        <v/>
      </c>
      <c r="AC394" s="11" t="str">
        <f t="shared" si="43"/>
        <v/>
      </c>
      <c r="AD394" s="11" t="str">
        <f t="shared" si="43"/>
        <v/>
      </c>
      <c r="AE394" s="12" t="s">
        <v>27</v>
      </c>
    </row>
    <row r="395" spans="1:31" ht="18" customHeight="1" thickTop="1" thickBot="1" x14ac:dyDescent="0.3">
      <c r="A395" s="4" t="s">
        <v>735</v>
      </c>
      <c r="B395" s="4" t="s">
        <v>950</v>
      </c>
      <c r="C395" s="5" t="s">
        <v>736</v>
      </c>
      <c r="D395" s="5" t="s">
        <v>26</v>
      </c>
      <c r="E395" s="5" t="s">
        <v>36</v>
      </c>
      <c r="F395" s="5" t="s">
        <v>737</v>
      </c>
      <c r="G395" s="5" t="s">
        <v>16</v>
      </c>
      <c r="H395" s="6" t="s">
        <v>120</v>
      </c>
      <c r="I395" s="7" t="s">
        <v>364</v>
      </c>
      <c r="J395" s="8" t="s">
        <v>27</v>
      </c>
      <c r="K395" s="8">
        <v>1</v>
      </c>
      <c r="L395" s="8"/>
      <c r="M395" s="5"/>
      <c r="N395" s="8">
        <v>3.3104152484683462</v>
      </c>
      <c r="O395" s="9">
        <v>3.3104152484683458</v>
      </c>
      <c r="P395" s="10" t="s">
        <v>31</v>
      </c>
      <c r="Q395" s="10">
        <f t="shared" si="44"/>
        <v>0</v>
      </c>
      <c r="R395" s="10">
        <f t="shared" si="45"/>
        <v>0</v>
      </c>
      <c r="S395" s="10">
        <f t="shared" si="46"/>
        <v>1</v>
      </c>
      <c r="T395" s="10">
        <f t="shared" si="47"/>
        <v>0</v>
      </c>
      <c r="U395" s="11">
        <f t="shared" si="48"/>
        <v>1</v>
      </c>
      <c r="V395" s="11">
        <f t="shared" si="43"/>
        <v>1</v>
      </c>
      <c r="W395" s="11">
        <f t="shared" si="43"/>
        <v>1</v>
      </c>
      <c r="X395" s="11" t="str">
        <f t="shared" si="43"/>
        <v/>
      </c>
      <c r="Y395" s="11" t="str">
        <f t="shared" si="43"/>
        <v/>
      </c>
      <c r="Z395" s="11" t="str">
        <f t="shared" si="43"/>
        <v/>
      </c>
      <c r="AA395" s="11" t="str">
        <f t="shared" si="43"/>
        <v/>
      </c>
      <c r="AB395" s="11" t="str">
        <f t="shared" si="43"/>
        <v/>
      </c>
      <c r="AC395" s="11" t="str">
        <f t="shared" si="43"/>
        <v/>
      </c>
      <c r="AD395" s="11" t="str">
        <f t="shared" si="43"/>
        <v/>
      </c>
      <c r="AE395" s="12" t="s">
        <v>1061</v>
      </c>
    </row>
    <row r="396" spans="1:31" ht="18" customHeight="1" thickTop="1" thickBot="1" x14ac:dyDescent="0.3">
      <c r="A396" s="4" t="s">
        <v>735</v>
      </c>
      <c r="B396" s="4" t="s">
        <v>950</v>
      </c>
      <c r="C396" s="5" t="s">
        <v>736</v>
      </c>
      <c r="D396" s="5" t="s">
        <v>26</v>
      </c>
      <c r="E396" s="5" t="s">
        <v>40</v>
      </c>
      <c r="F396" s="5" t="s">
        <v>738</v>
      </c>
      <c r="G396" s="5" t="s">
        <v>16</v>
      </c>
      <c r="H396" s="6" t="s">
        <v>120</v>
      </c>
      <c r="I396" s="7" t="s">
        <v>359</v>
      </c>
      <c r="J396" s="8" t="s">
        <v>27</v>
      </c>
      <c r="K396" s="8">
        <v>0.6</v>
      </c>
      <c r="L396" s="8"/>
      <c r="M396" s="5"/>
      <c r="N396" s="8">
        <v>2.3371551415263347</v>
      </c>
      <c r="O396" s="9">
        <v>3.8952585692105579</v>
      </c>
      <c r="P396" s="10" t="s">
        <v>31</v>
      </c>
      <c r="Q396" s="10">
        <f t="shared" si="44"/>
        <v>0</v>
      </c>
      <c r="R396" s="10">
        <f t="shared" si="45"/>
        <v>0</v>
      </c>
      <c r="S396" s="10">
        <f t="shared" si="46"/>
        <v>1</v>
      </c>
      <c r="T396" s="10">
        <f t="shared" si="47"/>
        <v>0</v>
      </c>
      <c r="U396" s="11">
        <f t="shared" si="48"/>
        <v>1</v>
      </c>
      <c r="V396" s="11">
        <f t="shared" si="43"/>
        <v>1</v>
      </c>
      <c r="W396" s="11">
        <f t="shared" si="43"/>
        <v>1</v>
      </c>
      <c r="X396" s="11" t="str">
        <f t="shared" si="43"/>
        <v/>
      </c>
      <c r="Y396" s="11" t="str">
        <f t="shared" si="43"/>
        <v/>
      </c>
      <c r="Z396" s="11" t="str">
        <f t="shared" si="43"/>
        <v/>
      </c>
      <c r="AA396" s="11" t="str">
        <f t="shared" si="43"/>
        <v/>
      </c>
      <c r="AB396" s="11" t="str">
        <f t="shared" si="43"/>
        <v/>
      </c>
      <c r="AC396" s="11" t="str">
        <f t="shared" si="43"/>
        <v/>
      </c>
      <c r="AD396" s="11" t="str">
        <f t="shared" si="43"/>
        <v/>
      </c>
      <c r="AE396" s="12" t="s">
        <v>1061</v>
      </c>
    </row>
    <row r="397" spans="1:31" ht="18" customHeight="1" thickTop="1" thickBot="1" x14ac:dyDescent="0.3">
      <c r="A397" s="4" t="s">
        <v>735</v>
      </c>
      <c r="B397" s="4" t="s">
        <v>950</v>
      </c>
      <c r="C397" s="5" t="s">
        <v>736</v>
      </c>
      <c r="D397" s="5" t="s">
        <v>26</v>
      </c>
      <c r="E397" s="5" t="s">
        <v>69</v>
      </c>
      <c r="F397" s="5" t="s">
        <v>739</v>
      </c>
      <c r="G397" s="5" t="s">
        <v>16</v>
      </c>
      <c r="H397" s="6" t="s">
        <v>120</v>
      </c>
      <c r="I397" s="7" t="s">
        <v>56</v>
      </c>
      <c r="J397" s="8" t="s">
        <v>27</v>
      </c>
      <c r="K397" s="8">
        <v>1</v>
      </c>
      <c r="L397" s="8"/>
      <c r="M397" s="5"/>
      <c r="N397" s="8">
        <v>3.0033836543466945</v>
      </c>
      <c r="O397" s="9">
        <v>3.0033836543466941</v>
      </c>
      <c r="P397" s="10" t="s">
        <v>31</v>
      </c>
      <c r="Q397" s="10">
        <f t="shared" si="44"/>
        <v>0</v>
      </c>
      <c r="R397" s="10">
        <f t="shared" si="45"/>
        <v>0</v>
      </c>
      <c r="S397" s="10">
        <f t="shared" si="46"/>
        <v>1</v>
      </c>
      <c r="T397" s="10">
        <f t="shared" si="47"/>
        <v>0</v>
      </c>
      <c r="U397" s="11">
        <f t="shared" si="48"/>
        <v>1</v>
      </c>
      <c r="V397" s="11">
        <f t="shared" si="43"/>
        <v>1</v>
      </c>
      <c r="W397" s="11">
        <f t="shared" si="43"/>
        <v>1</v>
      </c>
      <c r="X397" s="11" t="str">
        <f t="shared" si="43"/>
        <v/>
      </c>
      <c r="Y397" s="11" t="str">
        <f t="shared" si="43"/>
        <v/>
      </c>
      <c r="Z397" s="11" t="str">
        <f t="shared" si="43"/>
        <v/>
      </c>
      <c r="AA397" s="11" t="str">
        <f t="shared" si="43"/>
        <v/>
      </c>
      <c r="AB397" s="11" t="str">
        <f t="shared" si="43"/>
        <v/>
      </c>
      <c r="AC397" s="11" t="str">
        <f t="shared" si="43"/>
        <v/>
      </c>
      <c r="AD397" s="11" t="str">
        <f t="shared" si="43"/>
        <v/>
      </c>
      <c r="AE397" s="12" t="s">
        <v>1061</v>
      </c>
    </row>
    <row r="398" spans="1:31" ht="18" customHeight="1" thickTop="1" thickBot="1" x14ac:dyDescent="0.3">
      <c r="A398" s="4" t="s">
        <v>735</v>
      </c>
      <c r="B398" s="4" t="s">
        <v>950</v>
      </c>
      <c r="C398" s="5" t="s">
        <v>736</v>
      </c>
      <c r="D398" s="5" t="s">
        <v>26</v>
      </c>
      <c r="E398" s="5" t="s">
        <v>71</v>
      </c>
      <c r="F398" s="5" t="s">
        <v>740</v>
      </c>
      <c r="G398" s="5" t="s">
        <v>16</v>
      </c>
      <c r="H398" s="6" t="s">
        <v>120</v>
      </c>
      <c r="I398" s="7" t="s">
        <v>359</v>
      </c>
      <c r="J398" s="8" t="s">
        <v>27</v>
      </c>
      <c r="K398" s="8">
        <v>1.0309278350515463</v>
      </c>
      <c r="L398" s="8"/>
      <c r="M398" s="5"/>
      <c r="N398" s="8">
        <v>3.3933136676499505</v>
      </c>
      <c r="O398" s="9">
        <v>3.2915142576204519</v>
      </c>
      <c r="P398" s="10" t="s">
        <v>31</v>
      </c>
      <c r="Q398" s="10">
        <f t="shared" si="44"/>
        <v>0</v>
      </c>
      <c r="R398" s="10">
        <f t="shared" si="45"/>
        <v>0</v>
      </c>
      <c r="S398" s="10">
        <f t="shared" si="46"/>
        <v>1</v>
      </c>
      <c r="T398" s="10">
        <f t="shared" si="47"/>
        <v>0</v>
      </c>
      <c r="U398" s="11">
        <f t="shared" si="48"/>
        <v>1</v>
      </c>
      <c r="V398" s="11">
        <f t="shared" si="43"/>
        <v>1</v>
      </c>
      <c r="W398" s="11">
        <f t="shared" si="43"/>
        <v>1</v>
      </c>
      <c r="X398" s="11" t="str">
        <f t="shared" si="43"/>
        <v/>
      </c>
      <c r="Y398" s="11" t="str">
        <f t="shared" si="43"/>
        <v/>
      </c>
      <c r="Z398" s="11" t="str">
        <f t="shared" si="43"/>
        <v/>
      </c>
      <c r="AA398" s="11" t="str">
        <f t="shared" si="43"/>
        <v/>
      </c>
      <c r="AB398" s="11" t="str">
        <f t="shared" si="43"/>
        <v/>
      </c>
      <c r="AC398" s="11" t="str">
        <f t="shared" si="43"/>
        <v/>
      </c>
      <c r="AD398" s="11" t="str">
        <f t="shared" si="43"/>
        <v/>
      </c>
      <c r="AE398" s="12" t="s">
        <v>1061</v>
      </c>
    </row>
    <row r="399" spans="1:31" ht="18" customHeight="1" thickTop="1" thickBot="1" x14ac:dyDescent="0.3">
      <c r="A399" s="4" t="s">
        <v>735</v>
      </c>
      <c r="B399" s="4" t="s">
        <v>950</v>
      </c>
      <c r="C399" s="5" t="s">
        <v>736</v>
      </c>
      <c r="D399" s="5" t="s">
        <v>26</v>
      </c>
      <c r="E399" s="5" t="s">
        <v>141</v>
      </c>
      <c r="F399" s="5" t="s">
        <v>741</v>
      </c>
      <c r="G399" s="5" t="s">
        <v>16</v>
      </c>
      <c r="H399" s="6" t="s">
        <v>120</v>
      </c>
      <c r="I399" s="7" t="s">
        <v>359</v>
      </c>
      <c r="J399" s="8" t="s">
        <v>27</v>
      </c>
      <c r="K399" s="8">
        <v>0.91724137931034477</v>
      </c>
      <c r="L399" s="8"/>
      <c r="M399" s="5"/>
      <c r="N399" s="8">
        <v>3.7055903302395858</v>
      </c>
      <c r="O399" s="9">
        <v>4.0399293074040594</v>
      </c>
      <c r="P399" s="10" t="s">
        <v>31</v>
      </c>
      <c r="Q399" s="10">
        <f t="shared" si="44"/>
        <v>0</v>
      </c>
      <c r="R399" s="10">
        <f t="shared" si="45"/>
        <v>0</v>
      </c>
      <c r="S399" s="10">
        <f t="shared" si="46"/>
        <v>1</v>
      </c>
      <c r="T399" s="10">
        <f t="shared" si="47"/>
        <v>0</v>
      </c>
      <c r="U399" s="11">
        <f t="shared" si="48"/>
        <v>1</v>
      </c>
      <c r="V399" s="11">
        <f t="shared" si="43"/>
        <v>1</v>
      </c>
      <c r="W399" s="11">
        <f t="shared" si="43"/>
        <v>1</v>
      </c>
      <c r="X399" s="11" t="str">
        <f t="shared" si="43"/>
        <v/>
      </c>
      <c r="Y399" s="11" t="str">
        <f t="shared" si="43"/>
        <v/>
      </c>
      <c r="Z399" s="11" t="str">
        <f t="shared" si="43"/>
        <v/>
      </c>
      <c r="AA399" s="11" t="str">
        <f t="shared" si="43"/>
        <v/>
      </c>
      <c r="AB399" s="11" t="str">
        <f t="shared" si="43"/>
        <v/>
      </c>
      <c r="AC399" s="11" t="str">
        <f t="shared" si="43"/>
        <v/>
      </c>
      <c r="AD399" s="11" t="str">
        <f t="shared" si="43"/>
        <v/>
      </c>
      <c r="AE399" s="12" t="s">
        <v>1061</v>
      </c>
    </row>
    <row r="400" spans="1:31" ht="18" customHeight="1" thickTop="1" thickBot="1" x14ac:dyDescent="0.3">
      <c r="A400" s="4" t="s">
        <v>49</v>
      </c>
      <c r="B400" s="4" t="s">
        <v>947</v>
      </c>
      <c r="C400" s="5" t="s">
        <v>742</v>
      </c>
      <c r="D400" s="5" t="s">
        <v>26</v>
      </c>
      <c r="E400" s="5" t="s">
        <v>27</v>
      </c>
      <c r="F400" s="5" t="s">
        <v>743</v>
      </c>
      <c r="G400" s="5" t="s">
        <v>16</v>
      </c>
      <c r="H400" s="6" t="s">
        <v>303</v>
      </c>
      <c r="I400" s="7" t="s">
        <v>364</v>
      </c>
      <c r="J400" s="8" t="s">
        <v>27</v>
      </c>
      <c r="K400" s="8">
        <v>1.0655737704918034</v>
      </c>
      <c r="L400" s="8"/>
      <c r="M400" s="5"/>
      <c r="N400" s="8">
        <v>1.1477707006369426</v>
      </c>
      <c r="O400" s="9">
        <v>1.0771386575208231</v>
      </c>
      <c r="P400" s="10" t="s">
        <v>27</v>
      </c>
      <c r="Q400" s="10">
        <f t="shared" si="44"/>
        <v>0</v>
      </c>
      <c r="R400" s="10">
        <f t="shared" si="45"/>
        <v>0</v>
      </c>
      <c r="S400" s="10">
        <f t="shared" si="46"/>
        <v>0</v>
      </c>
      <c r="T400" s="10">
        <f t="shared" si="47"/>
        <v>0</v>
      </c>
      <c r="U400" s="11" t="str">
        <f t="shared" si="48"/>
        <v/>
      </c>
      <c r="V400" s="11" t="str">
        <f t="shared" si="43"/>
        <v/>
      </c>
      <c r="W400" s="11" t="str">
        <f t="shared" si="43"/>
        <v/>
      </c>
      <c r="X400" s="11" t="str">
        <f t="shared" si="43"/>
        <v/>
      </c>
      <c r="Y400" s="11" t="str">
        <f t="shared" si="43"/>
        <v/>
      </c>
      <c r="Z400" s="11" t="str">
        <f t="shared" si="43"/>
        <v/>
      </c>
      <c r="AA400" s="11" t="str">
        <f t="shared" si="43"/>
        <v/>
      </c>
      <c r="AB400" s="11" t="str">
        <f t="shared" si="43"/>
        <v/>
      </c>
      <c r="AC400" s="11" t="str">
        <f t="shared" si="43"/>
        <v/>
      </c>
      <c r="AD400" s="11" t="str">
        <f t="shared" si="43"/>
        <v/>
      </c>
      <c r="AE400" s="12" t="s">
        <v>27</v>
      </c>
    </row>
    <row r="401" spans="1:31" ht="18" customHeight="1" thickTop="1" thickBot="1" x14ac:dyDescent="0.3">
      <c r="A401" s="4" t="s">
        <v>470</v>
      </c>
      <c r="B401" s="4" t="s">
        <v>945</v>
      </c>
      <c r="C401" s="5" t="s">
        <v>744</v>
      </c>
      <c r="D401" s="5" t="s">
        <v>26</v>
      </c>
      <c r="E401" s="5" t="s">
        <v>27</v>
      </c>
      <c r="F401" s="5" t="s">
        <v>745</v>
      </c>
      <c r="G401" s="5" t="s">
        <v>16</v>
      </c>
      <c r="H401" s="6" t="s">
        <v>175</v>
      </c>
      <c r="I401" s="7" t="s">
        <v>44</v>
      </c>
      <c r="J401" s="8">
        <v>1.263157894736842</v>
      </c>
      <c r="K401" s="8">
        <v>0.68350538106742809</v>
      </c>
      <c r="L401" s="8"/>
      <c r="M401" s="5"/>
      <c r="N401" s="8">
        <v>1.8259325044404975</v>
      </c>
      <c r="O401" s="9">
        <v>2.6714237444465243</v>
      </c>
      <c r="P401" s="10" t="s">
        <v>31</v>
      </c>
      <c r="Q401" s="10">
        <f t="shared" si="44"/>
        <v>0</v>
      </c>
      <c r="R401" s="10">
        <f t="shared" si="45"/>
        <v>0</v>
      </c>
      <c r="S401" s="10">
        <f t="shared" si="46"/>
        <v>1</v>
      </c>
      <c r="T401" s="10">
        <f t="shared" si="47"/>
        <v>0</v>
      </c>
      <c r="U401" s="11" t="str">
        <f t="shared" si="48"/>
        <v/>
      </c>
      <c r="V401" s="11">
        <f t="shared" si="43"/>
        <v>1</v>
      </c>
      <c r="W401" s="11">
        <f t="shared" si="43"/>
        <v>1</v>
      </c>
      <c r="X401" s="11" t="str">
        <f t="shared" si="43"/>
        <v/>
      </c>
      <c r="Y401" s="11" t="str">
        <f t="shared" si="43"/>
        <v/>
      </c>
      <c r="Z401" s="11" t="str">
        <f t="shared" si="43"/>
        <v/>
      </c>
      <c r="AA401" s="11" t="str">
        <f t="shared" si="43"/>
        <v/>
      </c>
      <c r="AB401" s="11" t="str">
        <f t="shared" si="43"/>
        <v/>
      </c>
      <c r="AC401" s="11" t="str">
        <f t="shared" si="43"/>
        <v/>
      </c>
      <c r="AD401" s="11" t="str">
        <f t="shared" si="43"/>
        <v/>
      </c>
      <c r="AE401" s="12" t="s">
        <v>1063</v>
      </c>
    </row>
    <row r="402" spans="1:31" ht="18" customHeight="1" thickTop="1" thickBot="1" x14ac:dyDescent="0.3">
      <c r="A402" s="4" t="s">
        <v>470</v>
      </c>
      <c r="B402" s="4" t="s">
        <v>945</v>
      </c>
      <c r="C402" s="5" t="s">
        <v>744</v>
      </c>
      <c r="D402" s="5" t="s">
        <v>26</v>
      </c>
      <c r="E402" s="5" t="s">
        <v>36</v>
      </c>
      <c r="F402" s="5" t="s">
        <v>746</v>
      </c>
      <c r="G402" s="5" t="s">
        <v>16</v>
      </c>
      <c r="H402" s="6" t="s">
        <v>232</v>
      </c>
      <c r="I402" s="7" t="s">
        <v>78</v>
      </c>
      <c r="J402" s="8">
        <v>1</v>
      </c>
      <c r="K402" s="8">
        <v>1</v>
      </c>
      <c r="L402" s="8"/>
      <c r="M402" s="5"/>
      <c r="N402" s="8">
        <v>1.0076083333333334</v>
      </c>
      <c r="O402" s="9">
        <v>1.0076083333333334</v>
      </c>
      <c r="P402" s="10" t="s">
        <v>27</v>
      </c>
      <c r="Q402" s="10">
        <f t="shared" si="44"/>
        <v>0</v>
      </c>
      <c r="R402" s="10">
        <f t="shared" si="45"/>
        <v>0</v>
      </c>
      <c r="S402" s="10">
        <f t="shared" si="46"/>
        <v>0</v>
      </c>
      <c r="T402" s="10">
        <f t="shared" si="47"/>
        <v>0</v>
      </c>
      <c r="U402" s="11" t="str">
        <f t="shared" si="48"/>
        <v/>
      </c>
      <c r="V402" s="11" t="str">
        <f t="shared" si="43"/>
        <v/>
      </c>
      <c r="W402" s="11" t="str">
        <f t="shared" si="43"/>
        <v/>
      </c>
      <c r="X402" s="11" t="str">
        <f t="shared" si="43"/>
        <v/>
      </c>
      <c r="Y402" s="11" t="str">
        <f t="shared" si="43"/>
        <v/>
      </c>
      <c r="Z402" s="11" t="str">
        <f t="shared" si="43"/>
        <v/>
      </c>
      <c r="AA402" s="11" t="str">
        <f t="shared" si="43"/>
        <v/>
      </c>
      <c r="AB402" s="11" t="str">
        <f t="shared" si="43"/>
        <v/>
      </c>
      <c r="AC402" s="11" t="str">
        <f t="shared" si="43"/>
        <v/>
      </c>
      <c r="AD402" s="11" t="str">
        <f t="shared" si="43"/>
        <v/>
      </c>
      <c r="AE402" s="12" t="s">
        <v>27</v>
      </c>
    </row>
    <row r="403" spans="1:31" ht="18" customHeight="1" thickTop="1" thickBot="1" x14ac:dyDescent="0.3">
      <c r="A403" s="4" t="s">
        <v>470</v>
      </c>
      <c r="B403" s="4" t="s">
        <v>945</v>
      </c>
      <c r="C403" s="5" t="s">
        <v>744</v>
      </c>
      <c r="D403" s="5" t="s">
        <v>26</v>
      </c>
      <c r="E403" s="5" t="s">
        <v>234</v>
      </c>
      <c r="F403" s="5" t="s">
        <v>747</v>
      </c>
      <c r="G403" s="5" t="s">
        <v>16</v>
      </c>
      <c r="H403" s="6" t="s">
        <v>232</v>
      </c>
      <c r="I403" s="7" t="s">
        <v>68</v>
      </c>
      <c r="J403" s="8">
        <v>1</v>
      </c>
      <c r="K403" s="8">
        <v>1</v>
      </c>
      <c r="L403" s="8"/>
      <c r="M403" s="5"/>
      <c r="N403" s="8">
        <v>1.1642465753424658</v>
      </c>
      <c r="O403" s="9">
        <v>1.1642465753424658</v>
      </c>
      <c r="P403" s="10" t="s">
        <v>27</v>
      </c>
      <c r="Q403" s="10">
        <f t="shared" si="44"/>
        <v>0</v>
      </c>
      <c r="R403" s="10">
        <f t="shared" si="45"/>
        <v>0</v>
      </c>
      <c r="S403" s="10">
        <f t="shared" si="46"/>
        <v>0</v>
      </c>
      <c r="T403" s="10">
        <f t="shared" si="47"/>
        <v>0</v>
      </c>
      <c r="U403" s="11" t="str">
        <f t="shared" si="48"/>
        <v/>
      </c>
      <c r="V403" s="11" t="str">
        <f t="shared" si="43"/>
        <v/>
      </c>
      <c r="W403" s="11" t="str">
        <f t="shared" si="43"/>
        <v/>
      </c>
      <c r="X403" s="11" t="str">
        <f t="shared" si="43"/>
        <v/>
      </c>
      <c r="Y403" s="11" t="str">
        <f t="shared" si="43"/>
        <v/>
      </c>
      <c r="Z403" s="11" t="str">
        <f t="shared" si="43"/>
        <v/>
      </c>
      <c r="AA403" s="11" t="str">
        <f t="shared" si="43"/>
        <v/>
      </c>
      <c r="AB403" s="11" t="str">
        <f t="shared" si="43"/>
        <v/>
      </c>
      <c r="AC403" s="11" t="str">
        <f t="shared" si="43"/>
        <v/>
      </c>
      <c r="AD403" s="11" t="str">
        <f t="shared" si="43"/>
        <v/>
      </c>
      <c r="AE403" s="12" t="s">
        <v>27</v>
      </c>
    </row>
    <row r="404" spans="1:31" ht="18" customHeight="1" thickTop="1" thickBot="1" x14ac:dyDescent="0.3">
      <c r="A404" s="4" t="s">
        <v>470</v>
      </c>
      <c r="B404" s="4" t="s">
        <v>945</v>
      </c>
      <c r="C404" s="5" t="s">
        <v>744</v>
      </c>
      <c r="D404" s="5" t="s">
        <v>26</v>
      </c>
      <c r="E404" s="5" t="s">
        <v>236</v>
      </c>
      <c r="F404" s="5" t="s">
        <v>748</v>
      </c>
      <c r="G404" s="5" t="s">
        <v>16</v>
      </c>
      <c r="H404" s="6" t="s">
        <v>232</v>
      </c>
      <c r="I404" s="7" t="s">
        <v>78</v>
      </c>
      <c r="J404" s="8">
        <v>1</v>
      </c>
      <c r="K404" s="8">
        <v>1</v>
      </c>
      <c r="L404" s="8"/>
      <c r="M404" s="5"/>
      <c r="N404" s="8">
        <v>0.82405555555555554</v>
      </c>
      <c r="O404" s="9">
        <v>0.82405555555555543</v>
      </c>
      <c r="P404" s="10" t="s">
        <v>27</v>
      </c>
      <c r="Q404" s="10">
        <f t="shared" si="44"/>
        <v>0</v>
      </c>
      <c r="R404" s="10">
        <f t="shared" si="45"/>
        <v>0</v>
      </c>
      <c r="S404" s="10">
        <f t="shared" si="46"/>
        <v>0</v>
      </c>
      <c r="T404" s="10">
        <f t="shared" si="47"/>
        <v>0</v>
      </c>
      <c r="U404" s="11" t="str">
        <f t="shared" si="48"/>
        <v/>
      </c>
      <c r="V404" s="11" t="str">
        <f t="shared" si="43"/>
        <v/>
      </c>
      <c r="W404" s="11" t="str">
        <f t="shared" si="43"/>
        <v/>
      </c>
      <c r="X404" s="11" t="str">
        <f t="shared" si="43"/>
        <v/>
      </c>
      <c r="Y404" s="11" t="str">
        <f t="shared" si="43"/>
        <v/>
      </c>
      <c r="Z404" s="11" t="str">
        <f t="shared" si="43"/>
        <v/>
      </c>
      <c r="AA404" s="11" t="str">
        <f t="shared" si="43"/>
        <v/>
      </c>
      <c r="AB404" s="11" t="str">
        <f t="shared" si="43"/>
        <v/>
      </c>
      <c r="AC404" s="11" t="str">
        <f t="shared" si="43"/>
        <v/>
      </c>
      <c r="AD404" s="11" t="str">
        <f t="shared" si="43"/>
        <v/>
      </c>
      <c r="AE404" s="12" t="s">
        <v>27</v>
      </c>
    </row>
    <row r="405" spans="1:31" ht="18" customHeight="1" thickTop="1" thickBot="1" x14ac:dyDescent="0.3">
      <c r="A405" s="4" t="s">
        <v>470</v>
      </c>
      <c r="B405" s="4" t="s">
        <v>945</v>
      </c>
      <c r="C405" s="5" t="s">
        <v>744</v>
      </c>
      <c r="D405" s="5" t="s">
        <v>26</v>
      </c>
      <c r="E405" s="5" t="s">
        <v>238</v>
      </c>
      <c r="F405" s="5" t="s">
        <v>749</v>
      </c>
      <c r="G405" s="5" t="s">
        <v>16</v>
      </c>
      <c r="H405" s="6" t="s">
        <v>232</v>
      </c>
      <c r="I405" s="7" t="s">
        <v>78</v>
      </c>
      <c r="J405" s="8">
        <v>1</v>
      </c>
      <c r="K405" s="8">
        <v>1</v>
      </c>
      <c r="L405" s="8"/>
      <c r="M405" s="5"/>
      <c r="N405" s="8">
        <v>0.68967999999999996</v>
      </c>
      <c r="O405" s="9">
        <v>0.68968000000000007</v>
      </c>
      <c r="P405" s="10" t="s">
        <v>27</v>
      </c>
      <c r="Q405" s="10">
        <f t="shared" si="44"/>
        <v>0</v>
      </c>
      <c r="R405" s="10">
        <f t="shared" si="45"/>
        <v>0</v>
      </c>
      <c r="S405" s="10">
        <f t="shared" si="46"/>
        <v>0</v>
      </c>
      <c r="T405" s="10">
        <f t="shared" si="47"/>
        <v>0</v>
      </c>
      <c r="U405" s="11" t="str">
        <f t="shared" si="48"/>
        <v/>
      </c>
      <c r="V405" s="11" t="str">
        <f t="shared" si="43"/>
        <v/>
      </c>
      <c r="W405" s="11" t="str">
        <f t="shared" si="43"/>
        <v/>
      </c>
      <c r="X405" s="11" t="str">
        <f t="shared" si="43"/>
        <v/>
      </c>
      <c r="Y405" s="11" t="str">
        <f t="shared" si="43"/>
        <v/>
      </c>
      <c r="Z405" s="11" t="str">
        <f t="shared" si="43"/>
        <v/>
      </c>
      <c r="AA405" s="11" t="str">
        <f t="shared" si="43"/>
        <v/>
      </c>
      <c r="AB405" s="11" t="str">
        <f t="shared" si="43"/>
        <v/>
      </c>
      <c r="AC405" s="11" t="str">
        <f t="shared" si="43"/>
        <v/>
      </c>
      <c r="AD405" s="11" t="str">
        <f t="shared" si="43"/>
        <v/>
      </c>
      <c r="AE405" s="12" t="s">
        <v>27</v>
      </c>
    </row>
    <row r="406" spans="1:31" ht="18" customHeight="1" thickTop="1" thickBot="1" x14ac:dyDescent="0.3">
      <c r="A406" s="4" t="s">
        <v>470</v>
      </c>
      <c r="B406" s="4" t="s">
        <v>945</v>
      </c>
      <c r="C406" s="5" t="s">
        <v>744</v>
      </c>
      <c r="D406" s="5" t="s">
        <v>26</v>
      </c>
      <c r="E406" s="5" t="s">
        <v>500</v>
      </c>
      <c r="F406" s="5" t="s">
        <v>750</v>
      </c>
      <c r="G406" s="5" t="s">
        <v>16</v>
      </c>
      <c r="H406" s="6" t="s">
        <v>232</v>
      </c>
      <c r="I406" s="7" t="s">
        <v>68</v>
      </c>
      <c r="J406" s="8">
        <v>1</v>
      </c>
      <c r="K406" s="8">
        <v>1</v>
      </c>
      <c r="L406" s="8"/>
      <c r="M406" s="5"/>
      <c r="N406" s="8">
        <v>0.76888499999999993</v>
      </c>
      <c r="O406" s="9">
        <v>0.76888499999999993</v>
      </c>
      <c r="P406" s="10" t="s">
        <v>27</v>
      </c>
      <c r="Q406" s="10">
        <f t="shared" si="44"/>
        <v>0</v>
      </c>
      <c r="R406" s="10">
        <f t="shared" si="45"/>
        <v>0</v>
      </c>
      <c r="S406" s="10">
        <f t="shared" si="46"/>
        <v>0</v>
      </c>
      <c r="T406" s="10">
        <f t="shared" si="47"/>
        <v>0</v>
      </c>
      <c r="U406" s="11" t="str">
        <f t="shared" si="48"/>
        <v/>
      </c>
      <c r="V406" s="11" t="str">
        <f t="shared" si="43"/>
        <v/>
      </c>
      <c r="W406" s="11" t="str">
        <f t="shared" si="43"/>
        <v/>
      </c>
      <c r="X406" s="11" t="str">
        <f t="shared" si="43"/>
        <v/>
      </c>
      <c r="Y406" s="11" t="str">
        <f t="shared" si="43"/>
        <v/>
      </c>
      <c r="Z406" s="11" t="str">
        <f t="shared" si="43"/>
        <v/>
      </c>
      <c r="AA406" s="11" t="str">
        <f t="shared" si="43"/>
        <v/>
      </c>
      <c r="AB406" s="11" t="str">
        <f t="shared" si="43"/>
        <v/>
      </c>
      <c r="AC406" s="11" t="str">
        <f t="shared" si="43"/>
        <v/>
      </c>
      <c r="AD406" s="11" t="str">
        <f t="shared" si="43"/>
        <v/>
      </c>
      <c r="AE406" s="12" t="s">
        <v>27</v>
      </c>
    </row>
    <row r="407" spans="1:31" ht="18" customHeight="1" thickTop="1" thickBot="1" x14ac:dyDescent="0.3">
      <c r="A407" s="4" t="s">
        <v>470</v>
      </c>
      <c r="B407" s="4" t="s">
        <v>945</v>
      </c>
      <c r="C407" s="5" t="s">
        <v>744</v>
      </c>
      <c r="D407" s="5" t="s">
        <v>26</v>
      </c>
      <c r="E407" s="5" t="s">
        <v>376</v>
      </c>
      <c r="F407" s="5" t="s">
        <v>751</v>
      </c>
      <c r="G407" s="5" t="s">
        <v>16</v>
      </c>
      <c r="H407" s="6" t="s">
        <v>232</v>
      </c>
      <c r="I407" s="7" t="s">
        <v>122</v>
      </c>
      <c r="J407" s="8">
        <v>1</v>
      </c>
      <c r="K407" s="8">
        <v>1</v>
      </c>
      <c r="L407" s="8"/>
      <c r="M407" s="5"/>
      <c r="N407" s="8">
        <v>0.72873529411764693</v>
      </c>
      <c r="O407" s="9">
        <v>0.72873529411764693</v>
      </c>
      <c r="P407" s="10" t="s">
        <v>27</v>
      </c>
      <c r="Q407" s="10">
        <f t="shared" si="44"/>
        <v>0</v>
      </c>
      <c r="R407" s="10">
        <f t="shared" si="45"/>
        <v>0</v>
      </c>
      <c r="S407" s="10">
        <f t="shared" si="46"/>
        <v>0</v>
      </c>
      <c r="T407" s="10">
        <f t="shared" si="47"/>
        <v>0</v>
      </c>
      <c r="U407" s="11" t="str">
        <f t="shared" si="48"/>
        <v/>
      </c>
      <c r="V407" s="11" t="str">
        <f t="shared" si="43"/>
        <v/>
      </c>
      <c r="W407" s="11" t="str">
        <f t="shared" si="43"/>
        <v/>
      </c>
      <c r="X407" s="11" t="str">
        <f t="shared" si="43"/>
        <v/>
      </c>
      <c r="Y407" s="11" t="str">
        <f t="shared" si="43"/>
        <v/>
      </c>
      <c r="Z407" s="11" t="str">
        <f t="shared" si="43"/>
        <v/>
      </c>
      <c r="AA407" s="11" t="str">
        <f t="shared" si="43"/>
        <v/>
      </c>
      <c r="AB407" s="11" t="str">
        <f t="shared" si="43"/>
        <v/>
      </c>
      <c r="AC407" s="11" t="str">
        <f t="shared" si="43"/>
        <v/>
      </c>
      <c r="AD407" s="11" t="str">
        <f t="shared" si="43"/>
        <v/>
      </c>
      <c r="AE407" s="12" t="s">
        <v>27</v>
      </c>
    </row>
    <row r="408" spans="1:31" ht="18" customHeight="1" thickTop="1" thickBot="1" x14ac:dyDescent="0.3">
      <c r="A408" s="4" t="s">
        <v>470</v>
      </c>
      <c r="B408" s="4" t="s">
        <v>945</v>
      </c>
      <c r="C408" s="5" t="s">
        <v>744</v>
      </c>
      <c r="D408" s="5" t="s">
        <v>26</v>
      </c>
      <c r="E408" s="5" t="s">
        <v>378</v>
      </c>
      <c r="F408" s="5" t="s">
        <v>752</v>
      </c>
      <c r="G408" s="5" t="s">
        <v>16</v>
      </c>
      <c r="H408" s="6" t="s">
        <v>232</v>
      </c>
      <c r="I408" s="7" t="s">
        <v>122</v>
      </c>
      <c r="J408" s="8">
        <v>1</v>
      </c>
      <c r="K408" s="8">
        <v>1</v>
      </c>
      <c r="L408" s="8"/>
      <c r="M408" s="5"/>
      <c r="N408" s="8">
        <v>1.1428083333333334</v>
      </c>
      <c r="O408" s="9">
        <v>1.1428083333333334</v>
      </c>
      <c r="P408" s="10" t="s">
        <v>27</v>
      </c>
      <c r="Q408" s="10">
        <f t="shared" si="44"/>
        <v>0</v>
      </c>
      <c r="R408" s="10">
        <f t="shared" si="45"/>
        <v>0</v>
      </c>
      <c r="S408" s="10">
        <f t="shared" si="46"/>
        <v>0</v>
      </c>
      <c r="T408" s="10">
        <f t="shared" si="47"/>
        <v>0</v>
      </c>
      <c r="U408" s="11" t="str">
        <f t="shared" si="48"/>
        <v/>
      </c>
      <c r="V408" s="11" t="str">
        <f t="shared" si="43"/>
        <v/>
      </c>
      <c r="W408" s="11" t="str">
        <f t="shared" si="43"/>
        <v/>
      </c>
      <c r="X408" s="11" t="str">
        <f t="shared" si="43"/>
        <v/>
      </c>
      <c r="Y408" s="11" t="str">
        <f t="shared" si="43"/>
        <v/>
      </c>
      <c r="Z408" s="11" t="str">
        <f t="shared" si="43"/>
        <v/>
      </c>
      <c r="AA408" s="11" t="str">
        <f t="shared" si="43"/>
        <v/>
      </c>
      <c r="AB408" s="11" t="str">
        <f t="shared" si="43"/>
        <v/>
      </c>
      <c r="AC408" s="11" t="str">
        <f t="shared" si="43"/>
        <v/>
      </c>
      <c r="AD408" s="11" t="str">
        <f t="shared" si="43"/>
        <v/>
      </c>
      <c r="AE408" s="12" t="s">
        <v>27</v>
      </c>
    </row>
    <row r="409" spans="1:31" ht="18" customHeight="1" thickTop="1" thickBot="1" x14ac:dyDescent="0.3">
      <c r="A409" s="4" t="s">
        <v>470</v>
      </c>
      <c r="B409" s="4" t="s">
        <v>945</v>
      </c>
      <c r="C409" s="5" t="s">
        <v>744</v>
      </c>
      <c r="D409" s="5" t="s">
        <v>26</v>
      </c>
      <c r="E409" s="5" t="s">
        <v>504</v>
      </c>
      <c r="F409" s="5" t="s">
        <v>753</v>
      </c>
      <c r="G409" s="5" t="s">
        <v>16</v>
      </c>
      <c r="H409" s="6" t="s">
        <v>232</v>
      </c>
      <c r="I409" s="7" t="s">
        <v>122</v>
      </c>
      <c r="J409" s="8">
        <v>1</v>
      </c>
      <c r="K409" s="8">
        <v>1</v>
      </c>
      <c r="L409" s="8"/>
      <c r="M409" s="5"/>
      <c r="N409" s="8">
        <v>1.0186885714285714</v>
      </c>
      <c r="O409" s="9">
        <v>1.0186885714285714</v>
      </c>
      <c r="P409" s="10" t="s">
        <v>27</v>
      </c>
      <c r="Q409" s="10">
        <f t="shared" si="44"/>
        <v>0</v>
      </c>
      <c r="R409" s="10">
        <f t="shared" si="45"/>
        <v>0</v>
      </c>
      <c r="S409" s="10">
        <f t="shared" si="46"/>
        <v>0</v>
      </c>
      <c r="T409" s="10">
        <f t="shared" si="47"/>
        <v>0</v>
      </c>
      <c r="U409" s="11" t="str">
        <f t="shared" si="48"/>
        <v/>
      </c>
      <c r="V409" s="11" t="str">
        <f t="shared" si="43"/>
        <v/>
      </c>
      <c r="W409" s="11" t="str">
        <f t="shared" si="43"/>
        <v/>
      </c>
      <c r="X409" s="11" t="str">
        <f t="shared" si="43"/>
        <v/>
      </c>
      <c r="Y409" s="11" t="str">
        <f t="shared" si="43"/>
        <v/>
      </c>
      <c r="Z409" s="11" t="str">
        <f t="shared" ref="V409:AD437" si="49">IF(ISNUMBER(SEARCH(Z$3,$AE409)), 1,"")</f>
        <v/>
      </c>
      <c r="AA409" s="11" t="str">
        <f t="shared" si="49"/>
        <v/>
      </c>
      <c r="AB409" s="11" t="str">
        <f t="shared" si="49"/>
        <v/>
      </c>
      <c r="AC409" s="11" t="str">
        <f t="shared" si="49"/>
        <v/>
      </c>
      <c r="AD409" s="11" t="str">
        <f t="shared" si="49"/>
        <v/>
      </c>
      <c r="AE409" s="12" t="s">
        <v>27</v>
      </c>
    </row>
    <row r="410" spans="1:31" ht="18" customHeight="1" thickTop="1" thickBot="1" x14ac:dyDescent="0.3">
      <c r="A410" s="4" t="s">
        <v>470</v>
      </c>
      <c r="B410" s="4" t="s">
        <v>945</v>
      </c>
      <c r="C410" s="5" t="s">
        <v>744</v>
      </c>
      <c r="D410" s="5" t="s">
        <v>26</v>
      </c>
      <c r="E410" s="5" t="s">
        <v>506</v>
      </c>
      <c r="F410" s="5" t="s">
        <v>754</v>
      </c>
      <c r="G410" s="5" t="s">
        <v>16</v>
      </c>
      <c r="H410" s="6" t="s">
        <v>232</v>
      </c>
      <c r="I410" s="7" t="s">
        <v>68</v>
      </c>
      <c r="J410" s="8">
        <v>1</v>
      </c>
      <c r="K410" s="8">
        <v>1</v>
      </c>
      <c r="L410" s="8"/>
      <c r="M410" s="5"/>
      <c r="N410" s="8">
        <v>0.83362083333333337</v>
      </c>
      <c r="O410" s="9">
        <v>0.83362083333333326</v>
      </c>
      <c r="P410" s="10" t="s">
        <v>27</v>
      </c>
      <c r="Q410" s="10">
        <f t="shared" si="44"/>
        <v>0</v>
      </c>
      <c r="R410" s="10">
        <f t="shared" si="45"/>
        <v>0</v>
      </c>
      <c r="S410" s="10">
        <f t="shared" si="46"/>
        <v>0</v>
      </c>
      <c r="T410" s="10">
        <f t="shared" si="47"/>
        <v>0</v>
      </c>
      <c r="U410" s="11" t="str">
        <f t="shared" si="48"/>
        <v/>
      </c>
      <c r="V410" s="11" t="str">
        <f t="shared" si="49"/>
        <v/>
      </c>
      <c r="W410" s="11" t="str">
        <f t="shared" si="49"/>
        <v/>
      </c>
      <c r="X410" s="11" t="str">
        <f t="shared" si="49"/>
        <v/>
      </c>
      <c r="Y410" s="11" t="str">
        <f t="shared" si="49"/>
        <v/>
      </c>
      <c r="Z410" s="11" t="str">
        <f t="shared" si="49"/>
        <v/>
      </c>
      <c r="AA410" s="11" t="str">
        <f t="shared" si="49"/>
        <v/>
      </c>
      <c r="AB410" s="11" t="str">
        <f t="shared" si="49"/>
        <v/>
      </c>
      <c r="AC410" s="11" t="str">
        <f t="shared" si="49"/>
        <v/>
      </c>
      <c r="AD410" s="11" t="str">
        <f t="shared" si="49"/>
        <v/>
      </c>
      <c r="AE410" s="12" t="s">
        <v>27</v>
      </c>
    </row>
    <row r="411" spans="1:31" ht="18" customHeight="1" thickTop="1" thickBot="1" x14ac:dyDescent="0.3">
      <c r="A411" s="4" t="s">
        <v>470</v>
      </c>
      <c r="B411" s="4" t="s">
        <v>945</v>
      </c>
      <c r="C411" s="5" t="s">
        <v>744</v>
      </c>
      <c r="D411" s="5" t="s">
        <v>26</v>
      </c>
      <c r="E411" s="5" t="s">
        <v>508</v>
      </c>
      <c r="F411" s="5" t="s">
        <v>755</v>
      </c>
      <c r="G411" s="5" t="s">
        <v>16</v>
      </c>
      <c r="H411" s="6" t="s">
        <v>232</v>
      </c>
      <c r="I411" s="7" t="s">
        <v>78</v>
      </c>
      <c r="J411" s="8">
        <v>1</v>
      </c>
      <c r="K411" s="8">
        <v>1</v>
      </c>
      <c r="L411" s="8"/>
      <c r="M411" s="5"/>
      <c r="N411" s="8">
        <v>0.88611333333333342</v>
      </c>
      <c r="O411" s="9">
        <v>0.88611333333333342</v>
      </c>
      <c r="P411" s="10" t="s">
        <v>27</v>
      </c>
      <c r="Q411" s="10">
        <f t="shared" si="44"/>
        <v>0</v>
      </c>
      <c r="R411" s="10">
        <f t="shared" si="45"/>
        <v>0</v>
      </c>
      <c r="S411" s="10">
        <f t="shared" si="46"/>
        <v>0</v>
      </c>
      <c r="T411" s="10">
        <f t="shared" si="47"/>
        <v>0</v>
      </c>
      <c r="U411" s="11" t="str">
        <f t="shared" si="48"/>
        <v/>
      </c>
      <c r="V411" s="11" t="str">
        <f t="shared" si="49"/>
        <v/>
      </c>
      <c r="W411" s="11" t="str">
        <f t="shared" si="49"/>
        <v/>
      </c>
      <c r="X411" s="11" t="str">
        <f t="shared" si="49"/>
        <v/>
      </c>
      <c r="Y411" s="11" t="str">
        <f t="shared" si="49"/>
        <v/>
      </c>
      <c r="Z411" s="11" t="str">
        <f t="shared" si="49"/>
        <v/>
      </c>
      <c r="AA411" s="11" t="str">
        <f t="shared" si="49"/>
        <v/>
      </c>
      <c r="AB411" s="11" t="str">
        <f t="shared" si="49"/>
        <v/>
      </c>
      <c r="AC411" s="11" t="str">
        <f t="shared" si="49"/>
        <v/>
      </c>
      <c r="AD411" s="11" t="str">
        <f t="shared" si="49"/>
        <v/>
      </c>
      <c r="AE411" s="12" t="s">
        <v>27</v>
      </c>
    </row>
    <row r="412" spans="1:31" ht="18" customHeight="1" thickTop="1" thickBot="1" x14ac:dyDescent="0.3">
      <c r="A412" s="4" t="s">
        <v>470</v>
      </c>
      <c r="B412" s="4" t="s">
        <v>945</v>
      </c>
      <c r="C412" s="5" t="s">
        <v>744</v>
      </c>
      <c r="D412" s="5" t="s">
        <v>26</v>
      </c>
      <c r="E412" s="5" t="s">
        <v>510</v>
      </c>
      <c r="F412" s="5" t="s">
        <v>756</v>
      </c>
      <c r="G412" s="5" t="s">
        <v>16</v>
      </c>
      <c r="H412" s="6" t="s">
        <v>232</v>
      </c>
      <c r="I412" s="7" t="s">
        <v>122</v>
      </c>
      <c r="J412" s="8">
        <v>1</v>
      </c>
      <c r="K412" s="8">
        <v>1</v>
      </c>
      <c r="L412" s="8"/>
      <c r="M412" s="5"/>
      <c r="N412" s="8">
        <v>1.5803119999999999</v>
      </c>
      <c r="O412" s="9">
        <v>1.5803119999999999</v>
      </c>
      <c r="P412" s="10" t="s">
        <v>31</v>
      </c>
      <c r="Q412" s="10">
        <f t="shared" si="44"/>
        <v>0</v>
      </c>
      <c r="R412" s="10">
        <f t="shared" si="45"/>
        <v>0</v>
      </c>
      <c r="S412" s="10">
        <f t="shared" si="46"/>
        <v>1</v>
      </c>
      <c r="T412" s="10">
        <f t="shared" si="47"/>
        <v>0</v>
      </c>
      <c r="U412" s="11" t="str">
        <f t="shared" si="48"/>
        <v/>
      </c>
      <c r="V412" s="11">
        <f t="shared" si="49"/>
        <v>1</v>
      </c>
      <c r="W412" s="11">
        <f t="shared" si="49"/>
        <v>1</v>
      </c>
      <c r="X412" s="11" t="str">
        <f t="shared" si="49"/>
        <v/>
      </c>
      <c r="Y412" s="11" t="str">
        <f t="shared" si="49"/>
        <v/>
      </c>
      <c r="Z412" s="11" t="str">
        <f t="shared" si="49"/>
        <v/>
      </c>
      <c r="AA412" s="11" t="str">
        <f t="shared" si="49"/>
        <v/>
      </c>
      <c r="AB412" s="11" t="str">
        <f t="shared" si="49"/>
        <v/>
      </c>
      <c r="AC412" s="11" t="str">
        <f t="shared" si="49"/>
        <v/>
      </c>
      <c r="AD412" s="11" t="str">
        <f t="shared" si="49"/>
        <v/>
      </c>
      <c r="AE412" s="12" t="s">
        <v>1063</v>
      </c>
    </row>
    <row r="413" spans="1:31" ht="18" customHeight="1" thickTop="1" thickBot="1" x14ac:dyDescent="0.3">
      <c r="A413" s="4" t="s">
        <v>470</v>
      </c>
      <c r="B413" s="4" t="s">
        <v>945</v>
      </c>
      <c r="C413" s="5" t="s">
        <v>744</v>
      </c>
      <c r="D413" s="5" t="s">
        <v>26</v>
      </c>
      <c r="E413" s="5" t="s">
        <v>40</v>
      </c>
      <c r="F413" s="5" t="s">
        <v>757</v>
      </c>
      <c r="G413" s="5" t="s">
        <v>16</v>
      </c>
      <c r="H413" s="6" t="s">
        <v>232</v>
      </c>
      <c r="I413" s="7" t="s">
        <v>68</v>
      </c>
      <c r="J413" s="8">
        <v>1</v>
      </c>
      <c r="K413" s="8">
        <v>1</v>
      </c>
      <c r="L413" s="8"/>
      <c r="M413" s="5"/>
      <c r="N413" s="8">
        <v>1.0940676470588235</v>
      </c>
      <c r="O413" s="9">
        <v>1.0940676470588235</v>
      </c>
      <c r="P413" s="10" t="s">
        <v>27</v>
      </c>
      <c r="Q413" s="10">
        <f t="shared" si="44"/>
        <v>0</v>
      </c>
      <c r="R413" s="10">
        <f t="shared" si="45"/>
        <v>0</v>
      </c>
      <c r="S413" s="10">
        <f t="shared" si="46"/>
        <v>0</v>
      </c>
      <c r="T413" s="10">
        <f t="shared" si="47"/>
        <v>0</v>
      </c>
      <c r="U413" s="11" t="str">
        <f t="shared" si="48"/>
        <v/>
      </c>
      <c r="V413" s="11" t="str">
        <f t="shared" si="49"/>
        <v/>
      </c>
      <c r="W413" s="11" t="str">
        <f t="shared" si="49"/>
        <v/>
      </c>
      <c r="X413" s="11" t="str">
        <f t="shared" si="49"/>
        <v/>
      </c>
      <c r="Y413" s="11" t="str">
        <f t="shared" si="49"/>
        <v/>
      </c>
      <c r="Z413" s="11" t="str">
        <f t="shared" si="49"/>
        <v/>
      </c>
      <c r="AA413" s="11" t="str">
        <f t="shared" si="49"/>
        <v/>
      </c>
      <c r="AB413" s="11" t="str">
        <f t="shared" si="49"/>
        <v/>
      </c>
      <c r="AC413" s="11" t="str">
        <f t="shared" si="49"/>
        <v/>
      </c>
      <c r="AD413" s="11" t="str">
        <f t="shared" si="49"/>
        <v/>
      </c>
      <c r="AE413" s="12" t="s">
        <v>27</v>
      </c>
    </row>
    <row r="414" spans="1:31" ht="18" customHeight="1" thickTop="1" thickBot="1" x14ac:dyDescent="0.3">
      <c r="A414" s="4" t="s">
        <v>470</v>
      </c>
      <c r="B414" s="4" t="s">
        <v>945</v>
      </c>
      <c r="C414" s="5" t="s">
        <v>744</v>
      </c>
      <c r="D414" s="5" t="s">
        <v>26</v>
      </c>
      <c r="E414" s="5" t="s">
        <v>513</v>
      </c>
      <c r="F414" s="5" t="s">
        <v>758</v>
      </c>
      <c r="G414" s="5" t="s">
        <v>16</v>
      </c>
      <c r="H414" s="6" t="s">
        <v>232</v>
      </c>
      <c r="I414" s="7" t="s">
        <v>78</v>
      </c>
      <c r="J414" s="8">
        <v>1</v>
      </c>
      <c r="K414" s="8">
        <v>1</v>
      </c>
      <c r="L414" s="8"/>
      <c r="M414" s="5"/>
      <c r="N414" s="8">
        <v>0.62789259259259256</v>
      </c>
      <c r="O414" s="9">
        <v>0.62789259259259256</v>
      </c>
      <c r="P414" s="10" t="s">
        <v>27</v>
      </c>
      <c r="Q414" s="10">
        <f t="shared" si="44"/>
        <v>0</v>
      </c>
      <c r="R414" s="10">
        <f t="shared" si="45"/>
        <v>0</v>
      </c>
      <c r="S414" s="10">
        <f t="shared" si="46"/>
        <v>0</v>
      </c>
      <c r="T414" s="10">
        <f t="shared" si="47"/>
        <v>0</v>
      </c>
      <c r="U414" s="11" t="str">
        <f t="shared" si="48"/>
        <v/>
      </c>
      <c r="V414" s="11" t="str">
        <f t="shared" si="49"/>
        <v/>
      </c>
      <c r="W414" s="11" t="str">
        <f t="shared" si="49"/>
        <v/>
      </c>
      <c r="X414" s="11" t="str">
        <f t="shared" si="49"/>
        <v/>
      </c>
      <c r="Y414" s="11" t="str">
        <f t="shared" si="49"/>
        <v/>
      </c>
      <c r="Z414" s="11" t="str">
        <f t="shared" si="49"/>
        <v/>
      </c>
      <c r="AA414" s="11" t="str">
        <f t="shared" si="49"/>
        <v/>
      </c>
      <c r="AB414" s="11" t="str">
        <f t="shared" si="49"/>
        <v/>
      </c>
      <c r="AC414" s="11" t="str">
        <f t="shared" si="49"/>
        <v/>
      </c>
      <c r="AD414" s="11" t="str">
        <f t="shared" si="49"/>
        <v/>
      </c>
      <c r="AE414" s="12" t="s">
        <v>27</v>
      </c>
    </row>
    <row r="415" spans="1:31" ht="18" customHeight="1" thickTop="1" thickBot="1" x14ac:dyDescent="0.3">
      <c r="A415" s="4" t="s">
        <v>470</v>
      </c>
      <c r="B415" s="4" t="s">
        <v>945</v>
      </c>
      <c r="C415" s="5" t="s">
        <v>744</v>
      </c>
      <c r="D415" s="5" t="s">
        <v>26</v>
      </c>
      <c r="E415" s="5" t="s">
        <v>515</v>
      </c>
      <c r="F415" s="5" t="s">
        <v>759</v>
      </c>
      <c r="G415" s="5" t="s">
        <v>16</v>
      </c>
      <c r="H415" s="6" t="s">
        <v>232</v>
      </c>
      <c r="I415" s="7" t="s">
        <v>122</v>
      </c>
      <c r="J415" s="8">
        <v>1</v>
      </c>
      <c r="K415" s="8">
        <v>1</v>
      </c>
      <c r="L415" s="8"/>
      <c r="M415" s="5"/>
      <c r="N415" s="8">
        <v>0.59084999999999999</v>
      </c>
      <c r="O415" s="9">
        <v>0.59084999999999999</v>
      </c>
      <c r="P415" s="10" t="s">
        <v>27</v>
      </c>
      <c r="Q415" s="10">
        <f t="shared" si="44"/>
        <v>0</v>
      </c>
      <c r="R415" s="10">
        <f t="shared" si="45"/>
        <v>0</v>
      </c>
      <c r="S415" s="10">
        <f t="shared" si="46"/>
        <v>0</v>
      </c>
      <c r="T415" s="10">
        <f t="shared" si="47"/>
        <v>0</v>
      </c>
      <c r="U415" s="11" t="str">
        <f t="shared" si="48"/>
        <v/>
      </c>
      <c r="V415" s="11" t="str">
        <f t="shared" si="49"/>
        <v/>
      </c>
      <c r="W415" s="11" t="str">
        <f t="shared" si="49"/>
        <v/>
      </c>
      <c r="X415" s="11" t="str">
        <f t="shared" si="49"/>
        <v/>
      </c>
      <c r="Y415" s="11" t="str">
        <f t="shared" si="49"/>
        <v/>
      </c>
      <c r="Z415" s="11" t="str">
        <f t="shared" si="49"/>
        <v/>
      </c>
      <c r="AA415" s="11" t="str">
        <f t="shared" si="49"/>
        <v/>
      </c>
      <c r="AB415" s="11" t="str">
        <f t="shared" si="49"/>
        <v/>
      </c>
      <c r="AC415" s="11" t="str">
        <f t="shared" si="49"/>
        <v/>
      </c>
      <c r="AD415" s="11" t="str">
        <f t="shared" si="49"/>
        <v/>
      </c>
      <c r="AE415" s="12" t="s">
        <v>27</v>
      </c>
    </row>
    <row r="416" spans="1:31" ht="18" customHeight="1" thickTop="1" thickBot="1" x14ac:dyDescent="0.3">
      <c r="A416" s="4" t="s">
        <v>470</v>
      </c>
      <c r="B416" s="4" t="s">
        <v>945</v>
      </c>
      <c r="C416" s="5" t="s">
        <v>744</v>
      </c>
      <c r="D416" s="5" t="s">
        <v>26</v>
      </c>
      <c r="E416" s="5" t="s">
        <v>517</v>
      </c>
      <c r="F416" s="5" t="s">
        <v>760</v>
      </c>
      <c r="G416" s="5" t="s">
        <v>16</v>
      </c>
      <c r="H416" s="6" t="s">
        <v>232</v>
      </c>
      <c r="I416" s="7" t="s">
        <v>68</v>
      </c>
      <c r="J416" s="8">
        <v>1</v>
      </c>
      <c r="K416" s="8">
        <v>1</v>
      </c>
      <c r="L416" s="8"/>
      <c r="M416" s="5"/>
      <c r="N416" s="8">
        <v>0.76255757575757566</v>
      </c>
      <c r="O416" s="9">
        <v>0.76255757575757566</v>
      </c>
      <c r="P416" s="10" t="s">
        <v>27</v>
      </c>
      <c r="Q416" s="10">
        <f t="shared" si="44"/>
        <v>0</v>
      </c>
      <c r="R416" s="10">
        <f t="shared" si="45"/>
        <v>0</v>
      </c>
      <c r="S416" s="10">
        <f t="shared" si="46"/>
        <v>0</v>
      </c>
      <c r="T416" s="10">
        <f t="shared" si="47"/>
        <v>0</v>
      </c>
      <c r="U416" s="11" t="str">
        <f t="shared" si="48"/>
        <v/>
      </c>
      <c r="V416" s="11" t="str">
        <f t="shared" si="49"/>
        <v/>
      </c>
      <c r="W416" s="11" t="str">
        <f t="shared" si="49"/>
        <v/>
      </c>
      <c r="X416" s="11" t="str">
        <f t="shared" si="49"/>
        <v/>
      </c>
      <c r="Y416" s="11" t="str">
        <f t="shared" si="49"/>
        <v/>
      </c>
      <c r="Z416" s="11" t="str">
        <f t="shared" si="49"/>
        <v/>
      </c>
      <c r="AA416" s="11" t="str">
        <f t="shared" si="49"/>
        <v/>
      </c>
      <c r="AB416" s="11" t="str">
        <f t="shared" si="49"/>
        <v/>
      </c>
      <c r="AC416" s="11" t="str">
        <f t="shared" si="49"/>
        <v/>
      </c>
      <c r="AD416" s="11" t="str">
        <f t="shared" si="49"/>
        <v/>
      </c>
      <c r="AE416" s="12" t="s">
        <v>27</v>
      </c>
    </row>
    <row r="417" spans="1:31" ht="18" customHeight="1" thickTop="1" thickBot="1" x14ac:dyDescent="0.3">
      <c r="A417" s="4" t="s">
        <v>470</v>
      </c>
      <c r="B417" s="4" t="s">
        <v>945</v>
      </c>
      <c r="C417" s="5" t="s">
        <v>744</v>
      </c>
      <c r="D417" s="5" t="s">
        <v>26</v>
      </c>
      <c r="E417" s="5" t="s">
        <v>519</v>
      </c>
      <c r="F417" s="5" t="s">
        <v>761</v>
      </c>
      <c r="G417" s="5" t="s">
        <v>16</v>
      </c>
      <c r="H417" s="6" t="s">
        <v>232</v>
      </c>
      <c r="I417" s="7" t="s">
        <v>78</v>
      </c>
      <c r="J417" s="8">
        <v>1</v>
      </c>
      <c r="K417" s="8">
        <v>1</v>
      </c>
      <c r="L417" s="8"/>
      <c r="M417" s="5"/>
      <c r="N417" s="8">
        <v>0.82217999999999991</v>
      </c>
      <c r="O417" s="9">
        <v>0.82217999999999991</v>
      </c>
      <c r="P417" s="10" t="s">
        <v>27</v>
      </c>
      <c r="Q417" s="10">
        <f t="shared" si="44"/>
        <v>0</v>
      </c>
      <c r="R417" s="10">
        <f t="shared" si="45"/>
        <v>0</v>
      </c>
      <c r="S417" s="10">
        <f t="shared" si="46"/>
        <v>0</v>
      </c>
      <c r="T417" s="10">
        <f t="shared" si="47"/>
        <v>0</v>
      </c>
      <c r="U417" s="11" t="str">
        <f t="shared" si="48"/>
        <v/>
      </c>
      <c r="V417" s="11" t="str">
        <f t="shared" si="49"/>
        <v/>
      </c>
      <c r="W417" s="11" t="str">
        <f t="shared" si="49"/>
        <v/>
      </c>
      <c r="X417" s="11" t="str">
        <f t="shared" si="49"/>
        <v/>
      </c>
      <c r="Y417" s="11" t="str">
        <f t="shared" si="49"/>
        <v/>
      </c>
      <c r="Z417" s="11" t="str">
        <f t="shared" si="49"/>
        <v/>
      </c>
      <c r="AA417" s="11" t="str">
        <f t="shared" si="49"/>
        <v/>
      </c>
      <c r="AB417" s="11" t="str">
        <f t="shared" si="49"/>
        <v/>
      </c>
      <c r="AC417" s="11" t="str">
        <f t="shared" si="49"/>
        <v/>
      </c>
      <c r="AD417" s="11" t="str">
        <f t="shared" si="49"/>
        <v/>
      </c>
      <c r="AE417" s="12" t="s">
        <v>27</v>
      </c>
    </row>
    <row r="418" spans="1:31" ht="18" customHeight="1" thickTop="1" thickBot="1" x14ac:dyDescent="0.3">
      <c r="A418" s="4" t="s">
        <v>470</v>
      </c>
      <c r="B418" s="4" t="s">
        <v>945</v>
      </c>
      <c r="C418" s="5" t="s">
        <v>744</v>
      </c>
      <c r="D418" s="5" t="s">
        <v>26</v>
      </c>
      <c r="E418" s="5" t="s">
        <v>521</v>
      </c>
      <c r="F418" s="5" t="s">
        <v>762</v>
      </c>
      <c r="G418" s="5" t="s">
        <v>16</v>
      </c>
      <c r="H418" s="6" t="s">
        <v>232</v>
      </c>
      <c r="I418" s="7" t="s">
        <v>122</v>
      </c>
      <c r="J418" s="8">
        <v>1</v>
      </c>
      <c r="K418" s="8">
        <v>1</v>
      </c>
      <c r="L418" s="8"/>
      <c r="M418" s="5"/>
      <c r="N418" s="8">
        <v>0.81637999999999999</v>
      </c>
      <c r="O418" s="9">
        <v>0.81637999999999999</v>
      </c>
      <c r="P418" s="10" t="s">
        <v>27</v>
      </c>
      <c r="Q418" s="10">
        <f t="shared" si="44"/>
        <v>0</v>
      </c>
      <c r="R418" s="10">
        <f t="shared" si="45"/>
        <v>0</v>
      </c>
      <c r="S418" s="10">
        <f t="shared" si="46"/>
        <v>0</v>
      </c>
      <c r="T418" s="10">
        <f t="shared" si="47"/>
        <v>0</v>
      </c>
      <c r="U418" s="11" t="str">
        <f t="shared" si="48"/>
        <v/>
      </c>
      <c r="V418" s="11" t="str">
        <f t="shared" si="49"/>
        <v/>
      </c>
      <c r="W418" s="11" t="str">
        <f t="shared" si="49"/>
        <v/>
      </c>
      <c r="X418" s="11" t="str">
        <f t="shared" si="49"/>
        <v/>
      </c>
      <c r="Y418" s="11" t="str">
        <f t="shared" si="49"/>
        <v/>
      </c>
      <c r="Z418" s="11" t="str">
        <f t="shared" si="49"/>
        <v/>
      </c>
      <c r="AA418" s="11" t="str">
        <f t="shared" si="49"/>
        <v/>
      </c>
      <c r="AB418" s="11" t="str">
        <f t="shared" si="49"/>
        <v/>
      </c>
      <c r="AC418" s="11" t="str">
        <f t="shared" si="49"/>
        <v/>
      </c>
      <c r="AD418" s="11" t="str">
        <f t="shared" si="49"/>
        <v/>
      </c>
      <c r="AE418" s="12" t="s">
        <v>27</v>
      </c>
    </row>
    <row r="419" spans="1:31" ht="18" customHeight="1" thickTop="1" thickBot="1" x14ac:dyDescent="0.3">
      <c r="A419" s="4" t="s">
        <v>470</v>
      </c>
      <c r="B419" s="4" t="s">
        <v>945</v>
      </c>
      <c r="C419" s="5" t="s">
        <v>744</v>
      </c>
      <c r="D419" s="5" t="s">
        <v>26</v>
      </c>
      <c r="E419" s="5" t="s">
        <v>523</v>
      </c>
      <c r="F419" s="5" t="s">
        <v>763</v>
      </c>
      <c r="G419" s="5" t="s">
        <v>16</v>
      </c>
      <c r="H419" s="6" t="s">
        <v>232</v>
      </c>
      <c r="I419" s="7" t="s">
        <v>122</v>
      </c>
      <c r="J419" s="8">
        <v>1</v>
      </c>
      <c r="K419" s="8">
        <v>1</v>
      </c>
      <c r="L419" s="8"/>
      <c r="M419" s="5"/>
      <c r="N419" s="8">
        <v>0.53620499999999993</v>
      </c>
      <c r="O419" s="9">
        <v>0.53620499999999993</v>
      </c>
      <c r="P419" s="10" t="s">
        <v>27</v>
      </c>
      <c r="Q419" s="10">
        <f t="shared" si="44"/>
        <v>0</v>
      </c>
      <c r="R419" s="10">
        <f t="shared" si="45"/>
        <v>0</v>
      </c>
      <c r="S419" s="10">
        <f t="shared" si="46"/>
        <v>0</v>
      </c>
      <c r="T419" s="10">
        <f t="shared" si="47"/>
        <v>0</v>
      </c>
      <c r="U419" s="11" t="str">
        <f t="shared" si="48"/>
        <v/>
      </c>
      <c r="V419" s="11" t="str">
        <f t="shared" si="49"/>
        <v/>
      </c>
      <c r="W419" s="11" t="str">
        <f t="shared" si="49"/>
        <v/>
      </c>
      <c r="X419" s="11" t="str">
        <f t="shared" si="49"/>
        <v/>
      </c>
      <c r="Y419" s="11" t="str">
        <f t="shared" si="49"/>
        <v/>
      </c>
      <c r="Z419" s="11" t="str">
        <f t="shared" si="49"/>
        <v/>
      </c>
      <c r="AA419" s="11" t="str">
        <f t="shared" si="49"/>
        <v/>
      </c>
      <c r="AB419" s="11" t="str">
        <f t="shared" si="49"/>
        <v/>
      </c>
      <c r="AC419" s="11" t="str">
        <f t="shared" si="49"/>
        <v/>
      </c>
      <c r="AD419" s="11" t="str">
        <f t="shared" si="49"/>
        <v/>
      </c>
      <c r="AE419" s="12" t="s">
        <v>27</v>
      </c>
    </row>
    <row r="420" spans="1:31" ht="18" customHeight="1" thickTop="1" thickBot="1" x14ac:dyDescent="0.3">
      <c r="A420" s="4" t="s">
        <v>470</v>
      </c>
      <c r="B420" s="4" t="s">
        <v>945</v>
      </c>
      <c r="C420" s="5" t="s">
        <v>744</v>
      </c>
      <c r="D420" s="5" t="s">
        <v>26</v>
      </c>
      <c r="E420" s="5" t="s">
        <v>525</v>
      </c>
      <c r="F420" s="5" t="s">
        <v>764</v>
      </c>
      <c r="G420" s="5" t="s">
        <v>16</v>
      </c>
      <c r="H420" s="6" t="s">
        <v>232</v>
      </c>
      <c r="I420" s="7" t="s">
        <v>78</v>
      </c>
      <c r="J420" s="8">
        <v>1</v>
      </c>
      <c r="K420" s="8">
        <v>1</v>
      </c>
      <c r="L420" s="8"/>
      <c r="M420" s="5"/>
      <c r="N420" s="8">
        <v>1.0122142857142857</v>
      </c>
      <c r="O420" s="9">
        <v>1.0122142857142857</v>
      </c>
      <c r="P420" s="10" t="s">
        <v>27</v>
      </c>
      <c r="Q420" s="10">
        <f t="shared" si="44"/>
        <v>0</v>
      </c>
      <c r="R420" s="10">
        <f t="shared" si="45"/>
        <v>0</v>
      </c>
      <c r="S420" s="10">
        <f t="shared" si="46"/>
        <v>0</v>
      </c>
      <c r="T420" s="10">
        <f t="shared" si="47"/>
        <v>0</v>
      </c>
      <c r="U420" s="11" t="str">
        <f t="shared" si="48"/>
        <v/>
      </c>
      <c r="V420" s="11" t="str">
        <f t="shared" si="49"/>
        <v/>
      </c>
      <c r="W420" s="11" t="str">
        <f t="shared" si="49"/>
        <v/>
      </c>
      <c r="X420" s="11" t="str">
        <f t="shared" si="49"/>
        <v/>
      </c>
      <c r="Y420" s="11" t="str">
        <f t="shared" si="49"/>
        <v/>
      </c>
      <c r="Z420" s="11" t="str">
        <f t="shared" si="49"/>
        <v/>
      </c>
      <c r="AA420" s="11" t="str">
        <f t="shared" si="49"/>
        <v/>
      </c>
      <c r="AB420" s="11" t="str">
        <f t="shared" si="49"/>
        <v/>
      </c>
      <c r="AC420" s="11" t="str">
        <f t="shared" si="49"/>
        <v/>
      </c>
      <c r="AD420" s="11" t="str">
        <f t="shared" si="49"/>
        <v/>
      </c>
      <c r="AE420" s="12" t="s">
        <v>27</v>
      </c>
    </row>
    <row r="421" spans="1:31" ht="18" customHeight="1" thickTop="1" thickBot="1" x14ac:dyDescent="0.3">
      <c r="A421" s="4" t="s">
        <v>470</v>
      </c>
      <c r="B421" s="4" t="s">
        <v>945</v>
      </c>
      <c r="C421" s="5" t="s">
        <v>744</v>
      </c>
      <c r="D421" s="5" t="s">
        <v>26</v>
      </c>
      <c r="E421" s="5" t="s">
        <v>527</v>
      </c>
      <c r="F421" s="5" t="s">
        <v>765</v>
      </c>
      <c r="G421" s="5" t="s">
        <v>16</v>
      </c>
      <c r="H421" s="6" t="s">
        <v>232</v>
      </c>
      <c r="I421" s="7" t="s">
        <v>122</v>
      </c>
      <c r="J421" s="8">
        <v>1</v>
      </c>
      <c r="K421" s="8">
        <v>1</v>
      </c>
      <c r="L421" s="8"/>
      <c r="M421" s="5"/>
      <c r="N421" s="8">
        <v>1.1431285714285715</v>
      </c>
      <c r="O421" s="9">
        <v>1.1431285714285715</v>
      </c>
      <c r="P421" s="10" t="s">
        <v>27</v>
      </c>
      <c r="Q421" s="10">
        <f t="shared" si="44"/>
        <v>0</v>
      </c>
      <c r="R421" s="10">
        <f t="shared" si="45"/>
        <v>0</v>
      </c>
      <c r="S421" s="10">
        <f t="shared" si="46"/>
        <v>0</v>
      </c>
      <c r="T421" s="10">
        <f t="shared" si="47"/>
        <v>0</v>
      </c>
      <c r="U421" s="11" t="str">
        <f t="shared" si="48"/>
        <v/>
      </c>
      <c r="V421" s="11" t="str">
        <f t="shared" si="49"/>
        <v/>
      </c>
      <c r="W421" s="11" t="str">
        <f t="shared" si="49"/>
        <v/>
      </c>
      <c r="X421" s="11" t="str">
        <f t="shared" si="49"/>
        <v/>
      </c>
      <c r="Y421" s="11" t="str">
        <f t="shared" si="49"/>
        <v/>
      </c>
      <c r="Z421" s="11" t="str">
        <f t="shared" si="49"/>
        <v/>
      </c>
      <c r="AA421" s="11" t="str">
        <f t="shared" si="49"/>
        <v/>
      </c>
      <c r="AB421" s="11" t="str">
        <f t="shared" si="49"/>
        <v/>
      </c>
      <c r="AC421" s="11" t="str">
        <f t="shared" si="49"/>
        <v/>
      </c>
      <c r="AD421" s="11" t="str">
        <f t="shared" si="49"/>
        <v/>
      </c>
      <c r="AE421" s="12" t="s">
        <v>27</v>
      </c>
    </row>
    <row r="422" spans="1:31" ht="18" customHeight="1" thickTop="1" thickBot="1" x14ac:dyDescent="0.3">
      <c r="A422" s="4" t="s">
        <v>470</v>
      </c>
      <c r="B422" s="4" t="s">
        <v>945</v>
      </c>
      <c r="C422" s="5" t="s">
        <v>744</v>
      </c>
      <c r="D422" s="5" t="s">
        <v>26</v>
      </c>
      <c r="E422" s="5" t="s">
        <v>529</v>
      </c>
      <c r="F422" s="5" t="s">
        <v>766</v>
      </c>
      <c r="G422" s="5" t="s">
        <v>16</v>
      </c>
      <c r="H422" s="6" t="s">
        <v>232</v>
      </c>
      <c r="I422" s="7" t="s">
        <v>122</v>
      </c>
      <c r="J422" s="8">
        <v>1</v>
      </c>
      <c r="K422" s="8">
        <v>1</v>
      </c>
      <c r="L422" s="8"/>
      <c r="M422" s="5"/>
      <c r="N422" s="8">
        <v>2.0662970662970661</v>
      </c>
      <c r="O422" s="9">
        <v>2.0662970662970661</v>
      </c>
      <c r="P422" s="10" t="s">
        <v>31</v>
      </c>
      <c r="Q422" s="10">
        <f t="shared" si="44"/>
        <v>0</v>
      </c>
      <c r="R422" s="10">
        <f t="shared" si="45"/>
        <v>0</v>
      </c>
      <c r="S422" s="10">
        <f t="shared" si="46"/>
        <v>1</v>
      </c>
      <c r="T422" s="10">
        <f t="shared" si="47"/>
        <v>0</v>
      </c>
      <c r="U422" s="11" t="str">
        <f t="shared" si="48"/>
        <v/>
      </c>
      <c r="V422" s="11">
        <f t="shared" si="49"/>
        <v>1</v>
      </c>
      <c r="W422" s="11">
        <f t="shared" si="49"/>
        <v>1</v>
      </c>
      <c r="X422" s="11" t="str">
        <f t="shared" si="49"/>
        <v/>
      </c>
      <c r="Y422" s="11" t="str">
        <f t="shared" si="49"/>
        <v/>
      </c>
      <c r="Z422" s="11" t="str">
        <f t="shared" si="49"/>
        <v/>
      </c>
      <c r="AA422" s="11" t="str">
        <f t="shared" si="49"/>
        <v/>
      </c>
      <c r="AB422" s="11" t="str">
        <f t="shared" si="49"/>
        <v/>
      </c>
      <c r="AC422" s="11" t="str">
        <f t="shared" si="49"/>
        <v/>
      </c>
      <c r="AD422" s="11" t="str">
        <f t="shared" si="49"/>
        <v/>
      </c>
      <c r="AE422" s="12" t="s">
        <v>1063</v>
      </c>
    </row>
    <row r="423" spans="1:31" ht="18" customHeight="1" thickTop="1" thickBot="1" x14ac:dyDescent="0.3">
      <c r="A423" s="4" t="s">
        <v>470</v>
      </c>
      <c r="B423" s="4" t="s">
        <v>945</v>
      </c>
      <c r="C423" s="5" t="s">
        <v>744</v>
      </c>
      <c r="D423" s="5" t="s">
        <v>26</v>
      </c>
      <c r="E423" s="5" t="s">
        <v>531</v>
      </c>
      <c r="F423" s="5" t="s">
        <v>767</v>
      </c>
      <c r="G423" s="5" t="s">
        <v>16</v>
      </c>
      <c r="H423" s="6" t="s">
        <v>232</v>
      </c>
      <c r="I423" s="7" t="s">
        <v>122</v>
      </c>
      <c r="J423" s="8">
        <v>1</v>
      </c>
      <c r="K423" s="8">
        <v>1</v>
      </c>
      <c r="L423" s="8"/>
      <c r="M423" s="5"/>
      <c r="N423" s="8">
        <v>2.3544362292051755</v>
      </c>
      <c r="O423" s="9">
        <v>2.3544362292051755</v>
      </c>
      <c r="P423" s="10" t="s">
        <v>31</v>
      </c>
      <c r="Q423" s="10">
        <f t="shared" si="44"/>
        <v>0</v>
      </c>
      <c r="R423" s="10">
        <f t="shared" si="45"/>
        <v>0</v>
      </c>
      <c r="S423" s="10">
        <f t="shared" si="46"/>
        <v>1</v>
      </c>
      <c r="T423" s="10">
        <f t="shared" si="47"/>
        <v>0</v>
      </c>
      <c r="U423" s="11" t="str">
        <f t="shared" si="48"/>
        <v/>
      </c>
      <c r="V423" s="11">
        <f t="shared" si="49"/>
        <v>1</v>
      </c>
      <c r="W423" s="11">
        <f t="shared" si="49"/>
        <v>1</v>
      </c>
      <c r="X423" s="11" t="str">
        <f t="shared" si="49"/>
        <v/>
      </c>
      <c r="Y423" s="11" t="str">
        <f t="shared" si="49"/>
        <v/>
      </c>
      <c r="Z423" s="11" t="str">
        <f t="shared" si="49"/>
        <v/>
      </c>
      <c r="AA423" s="11" t="str">
        <f t="shared" si="49"/>
        <v/>
      </c>
      <c r="AB423" s="11" t="str">
        <f t="shared" si="49"/>
        <v/>
      </c>
      <c r="AC423" s="11" t="str">
        <f t="shared" si="49"/>
        <v/>
      </c>
      <c r="AD423" s="11" t="str">
        <f t="shared" si="49"/>
        <v/>
      </c>
      <c r="AE423" s="12" t="s">
        <v>1063</v>
      </c>
    </row>
    <row r="424" spans="1:31" ht="18" customHeight="1" thickTop="1" thickBot="1" x14ac:dyDescent="0.3">
      <c r="A424" s="4" t="s">
        <v>470</v>
      </c>
      <c r="B424" s="4" t="s">
        <v>945</v>
      </c>
      <c r="C424" s="5" t="s">
        <v>744</v>
      </c>
      <c r="D424" s="5" t="s">
        <v>26</v>
      </c>
      <c r="E424" s="5" t="s">
        <v>69</v>
      </c>
      <c r="F424" s="5" t="s">
        <v>768</v>
      </c>
      <c r="G424" s="5" t="s">
        <v>16</v>
      </c>
      <c r="H424" s="6" t="s">
        <v>232</v>
      </c>
      <c r="I424" s="7" t="s">
        <v>122</v>
      </c>
      <c r="J424" s="8">
        <v>1</v>
      </c>
      <c r="K424" s="8">
        <v>1</v>
      </c>
      <c r="L424" s="8"/>
      <c r="M424" s="5"/>
      <c r="N424" s="8">
        <v>0.59000714285714273</v>
      </c>
      <c r="O424" s="9">
        <v>0.59000714285714273</v>
      </c>
      <c r="P424" s="10" t="s">
        <v>27</v>
      </c>
      <c r="Q424" s="10">
        <f t="shared" si="44"/>
        <v>0</v>
      </c>
      <c r="R424" s="10">
        <f t="shared" si="45"/>
        <v>0</v>
      </c>
      <c r="S424" s="10">
        <f t="shared" si="46"/>
        <v>0</v>
      </c>
      <c r="T424" s="10">
        <f t="shared" si="47"/>
        <v>0</v>
      </c>
      <c r="U424" s="11" t="str">
        <f t="shared" si="48"/>
        <v/>
      </c>
      <c r="V424" s="11" t="str">
        <f t="shared" si="49"/>
        <v/>
      </c>
      <c r="W424" s="11" t="str">
        <f t="shared" si="49"/>
        <v/>
      </c>
      <c r="X424" s="11" t="str">
        <f t="shared" si="49"/>
        <v/>
      </c>
      <c r="Y424" s="11" t="str">
        <f t="shared" si="49"/>
        <v/>
      </c>
      <c r="Z424" s="11" t="str">
        <f t="shared" si="49"/>
        <v/>
      </c>
      <c r="AA424" s="11" t="str">
        <f t="shared" si="49"/>
        <v/>
      </c>
      <c r="AB424" s="11" t="str">
        <f t="shared" si="49"/>
        <v/>
      </c>
      <c r="AC424" s="11" t="str">
        <f t="shared" si="49"/>
        <v/>
      </c>
      <c r="AD424" s="11" t="str">
        <f t="shared" si="49"/>
        <v/>
      </c>
      <c r="AE424" s="12" t="s">
        <v>27</v>
      </c>
    </row>
    <row r="425" spans="1:31" ht="18" customHeight="1" thickTop="1" thickBot="1" x14ac:dyDescent="0.3">
      <c r="A425" s="4" t="s">
        <v>470</v>
      </c>
      <c r="B425" s="4" t="s">
        <v>945</v>
      </c>
      <c r="C425" s="5" t="s">
        <v>744</v>
      </c>
      <c r="D425" s="5" t="s">
        <v>26</v>
      </c>
      <c r="E425" s="5" t="s">
        <v>534</v>
      </c>
      <c r="F425" s="5" t="s">
        <v>769</v>
      </c>
      <c r="G425" s="5" t="s">
        <v>16</v>
      </c>
      <c r="H425" s="6" t="s">
        <v>232</v>
      </c>
      <c r="I425" s="7" t="s">
        <v>122</v>
      </c>
      <c r="J425" s="8">
        <v>1</v>
      </c>
      <c r="K425" s="8">
        <v>1</v>
      </c>
      <c r="L425" s="8"/>
      <c r="M425" s="5"/>
      <c r="N425" s="8">
        <v>0.81465218396117411</v>
      </c>
      <c r="O425" s="9">
        <v>0.81465218396117411</v>
      </c>
      <c r="P425" s="10" t="s">
        <v>27</v>
      </c>
      <c r="Q425" s="10">
        <f t="shared" si="44"/>
        <v>0</v>
      </c>
      <c r="R425" s="10">
        <f t="shared" si="45"/>
        <v>0</v>
      </c>
      <c r="S425" s="10">
        <f t="shared" si="46"/>
        <v>0</v>
      </c>
      <c r="T425" s="10">
        <f t="shared" si="47"/>
        <v>0</v>
      </c>
      <c r="U425" s="11" t="str">
        <f t="shared" si="48"/>
        <v/>
      </c>
      <c r="V425" s="11" t="str">
        <f t="shared" si="49"/>
        <v/>
      </c>
      <c r="W425" s="11" t="str">
        <f t="shared" si="49"/>
        <v/>
      </c>
      <c r="X425" s="11" t="str">
        <f t="shared" si="49"/>
        <v/>
      </c>
      <c r="Y425" s="11" t="str">
        <f t="shared" si="49"/>
        <v/>
      </c>
      <c r="Z425" s="11" t="str">
        <f t="shared" si="49"/>
        <v/>
      </c>
      <c r="AA425" s="11" t="str">
        <f t="shared" si="49"/>
        <v/>
      </c>
      <c r="AB425" s="11" t="str">
        <f t="shared" si="49"/>
        <v/>
      </c>
      <c r="AC425" s="11" t="str">
        <f t="shared" si="49"/>
        <v/>
      </c>
      <c r="AD425" s="11" t="str">
        <f t="shared" si="49"/>
        <v/>
      </c>
      <c r="AE425" s="12" t="s">
        <v>27</v>
      </c>
    </row>
    <row r="426" spans="1:31" ht="18" customHeight="1" thickTop="1" thickBot="1" x14ac:dyDescent="0.3">
      <c r="A426" s="4" t="s">
        <v>470</v>
      </c>
      <c r="B426" s="4" t="s">
        <v>945</v>
      </c>
      <c r="C426" s="5" t="s">
        <v>744</v>
      </c>
      <c r="D426" s="5" t="s">
        <v>26</v>
      </c>
      <c r="E426" s="5" t="s">
        <v>536</v>
      </c>
      <c r="F426" s="5" t="s">
        <v>770</v>
      </c>
      <c r="G426" s="5" t="s">
        <v>16</v>
      </c>
      <c r="H426" s="6" t="s">
        <v>232</v>
      </c>
      <c r="I426" s="7" t="s">
        <v>122</v>
      </c>
      <c r="J426" s="8">
        <v>1</v>
      </c>
      <c r="K426" s="8">
        <v>1</v>
      </c>
      <c r="L426" s="8"/>
      <c r="M426" s="5"/>
      <c r="N426" s="8">
        <v>0.8345656192236599</v>
      </c>
      <c r="O426" s="9">
        <v>0.8345656192236599</v>
      </c>
      <c r="P426" s="10" t="s">
        <v>27</v>
      </c>
      <c r="Q426" s="10">
        <f t="shared" si="44"/>
        <v>0</v>
      </c>
      <c r="R426" s="10">
        <f t="shared" si="45"/>
        <v>0</v>
      </c>
      <c r="S426" s="10">
        <f t="shared" si="46"/>
        <v>0</v>
      </c>
      <c r="T426" s="10">
        <f t="shared" si="47"/>
        <v>0</v>
      </c>
      <c r="U426" s="11" t="str">
        <f t="shared" si="48"/>
        <v/>
      </c>
      <c r="V426" s="11" t="str">
        <f t="shared" si="49"/>
        <v/>
      </c>
      <c r="W426" s="11" t="str">
        <f t="shared" si="49"/>
        <v/>
      </c>
      <c r="X426" s="11" t="str">
        <f t="shared" si="49"/>
        <v/>
      </c>
      <c r="Y426" s="11" t="str">
        <f t="shared" si="49"/>
        <v/>
      </c>
      <c r="Z426" s="11" t="str">
        <f t="shared" si="49"/>
        <v/>
      </c>
      <c r="AA426" s="11" t="str">
        <f t="shared" si="49"/>
        <v/>
      </c>
      <c r="AB426" s="11" t="str">
        <f t="shared" si="49"/>
        <v/>
      </c>
      <c r="AC426" s="11" t="str">
        <f t="shared" si="49"/>
        <v/>
      </c>
      <c r="AD426" s="11" t="str">
        <f t="shared" si="49"/>
        <v/>
      </c>
      <c r="AE426" s="12" t="s">
        <v>27</v>
      </c>
    </row>
    <row r="427" spans="1:31" ht="18" customHeight="1" thickTop="1" thickBot="1" x14ac:dyDescent="0.3">
      <c r="A427" s="4" t="s">
        <v>470</v>
      </c>
      <c r="B427" s="4" t="s">
        <v>945</v>
      </c>
      <c r="C427" s="5" t="s">
        <v>744</v>
      </c>
      <c r="D427" s="5" t="s">
        <v>26</v>
      </c>
      <c r="E427" s="5" t="s">
        <v>538</v>
      </c>
      <c r="F427" s="5" t="s">
        <v>771</v>
      </c>
      <c r="G427" s="5" t="s">
        <v>16</v>
      </c>
      <c r="H427" s="6" t="s">
        <v>232</v>
      </c>
      <c r="I427" s="7" t="s">
        <v>122</v>
      </c>
      <c r="J427" s="8">
        <v>1</v>
      </c>
      <c r="K427" s="8">
        <v>1</v>
      </c>
      <c r="L427" s="8"/>
      <c r="M427" s="5"/>
      <c r="N427" s="8">
        <v>1.1799907578558224</v>
      </c>
      <c r="O427" s="9">
        <v>1.1799907578558224</v>
      </c>
      <c r="P427" s="10" t="s">
        <v>27</v>
      </c>
      <c r="Q427" s="10">
        <f t="shared" si="44"/>
        <v>0</v>
      </c>
      <c r="R427" s="10">
        <f t="shared" si="45"/>
        <v>0</v>
      </c>
      <c r="S427" s="10">
        <f t="shared" si="46"/>
        <v>0</v>
      </c>
      <c r="T427" s="10">
        <f t="shared" si="47"/>
        <v>0</v>
      </c>
      <c r="U427" s="11" t="str">
        <f t="shared" si="48"/>
        <v/>
      </c>
      <c r="V427" s="11" t="str">
        <f t="shared" si="49"/>
        <v/>
      </c>
      <c r="W427" s="11" t="str">
        <f t="shared" si="49"/>
        <v/>
      </c>
      <c r="X427" s="11" t="str">
        <f t="shared" si="49"/>
        <v/>
      </c>
      <c r="Y427" s="11" t="str">
        <f t="shared" si="49"/>
        <v/>
      </c>
      <c r="Z427" s="11" t="str">
        <f t="shared" si="49"/>
        <v/>
      </c>
      <c r="AA427" s="11" t="str">
        <f t="shared" si="49"/>
        <v/>
      </c>
      <c r="AB427" s="11" t="str">
        <f t="shared" si="49"/>
        <v/>
      </c>
      <c r="AC427" s="11" t="str">
        <f t="shared" si="49"/>
        <v/>
      </c>
      <c r="AD427" s="11" t="str">
        <f t="shared" si="49"/>
        <v/>
      </c>
      <c r="AE427" s="12" t="s">
        <v>27</v>
      </c>
    </row>
    <row r="428" spans="1:31" ht="18" customHeight="1" thickTop="1" thickBot="1" x14ac:dyDescent="0.3">
      <c r="A428" s="4" t="s">
        <v>470</v>
      </c>
      <c r="B428" s="4" t="s">
        <v>945</v>
      </c>
      <c r="C428" s="5" t="s">
        <v>744</v>
      </c>
      <c r="D428" s="5" t="s">
        <v>26</v>
      </c>
      <c r="E428" s="5" t="s">
        <v>540</v>
      </c>
      <c r="F428" s="5" t="s">
        <v>772</v>
      </c>
      <c r="G428" s="5" t="s">
        <v>16</v>
      </c>
      <c r="H428" s="6" t="s">
        <v>232</v>
      </c>
      <c r="I428" s="7" t="s">
        <v>122</v>
      </c>
      <c r="J428" s="8">
        <v>1</v>
      </c>
      <c r="K428" s="8">
        <v>1</v>
      </c>
      <c r="L428" s="8"/>
      <c r="M428" s="5"/>
      <c r="N428" s="8">
        <v>1.09865988909427</v>
      </c>
      <c r="O428" s="9">
        <v>1.0986598890942703</v>
      </c>
      <c r="P428" s="10" t="s">
        <v>27</v>
      </c>
      <c r="Q428" s="10">
        <f t="shared" si="44"/>
        <v>0</v>
      </c>
      <c r="R428" s="10">
        <f t="shared" si="45"/>
        <v>0</v>
      </c>
      <c r="S428" s="10">
        <f t="shared" si="46"/>
        <v>0</v>
      </c>
      <c r="T428" s="10">
        <f t="shared" si="47"/>
        <v>0</v>
      </c>
      <c r="U428" s="11" t="str">
        <f t="shared" si="48"/>
        <v/>
      </c>
      <c r="V428" s="11" t="str">
        <f t="shared" si="49"/>
        <v/>
      </c>
      <c r="W428" s="11" t="str">
        <f t="shared" si="49"/>
        <v/>
      </c>
      <c r="X428" s="11" t="str">
        <f t="shared" si="49"/>
        <v/>
      </c>
      <c r="Y428" s="11" t="str">
        <f t="shared" si="49"/>
        <v/>
      </c>
      <c r="Z428" s="11" t="str">
        <f t="shared" si="49"/>
        <v/>
      </c>
      <c r="AA428" s="11" t="str">
        <f t="shared" si="49"/>
        <v/>
      </c>
      <c r="AB428" s="11" t="str">
        <f t="shared" si="49"/>
        <v/>
      </c>
      <c r="AC428" s="11" t="str">
        <f t="shared" si="49"/>
        <v/>
      </c>
      <c r="AD428" s="11" t="str">
        <f t="shared" si="49"/>
        <v/>
      </c>
      <c r="AE428" s="12" t="s">
        <v>27</v>
      </c>
    </row>
    <row r="429" spans="1:31" ht="18" customHeight="1" thickTop="1" thickBot="1" x14ac:dyDescent="0.3">
      <c r="A429" s="4" t="s">
        <v>470</v>
      </c>
      <c r="B429" s="4" t="s">
        <v>945</v>
      </c>
      <c r="C429" s="5" t="s">
        <v>744</v>
      </c>
      <c r="D429" s="5" t="s">
        <v>26</v>
      </c>
      <c r="E429" s="5" t="s">
        <v>542</v>
      </c>
      <c r="F429" s="5" t="s">
        <v>773</v>
      </c>
      <c r="G429" s="5" t="s">
        <v>16</v>
      </c>
      <c r="H429" s="6" t="s">
        <v>232</v>
      </c>
      <c r="I429" s="7" t="s">
        <v>122</v>
      </c>
      <c r="J429" s="8">
        <v>1</v>
      </c>
      <c r="K429" s="8">
        <v>1</v>
      </c>
      <c r="L429" s="8"/>
      <c r="M429" s="5"/>
      <c r="N429" s="8">
        <v>1.5946383175410215</v>
      </c>
      <c r="O429" s="9">
        <v>1.5946383175410215</v>
      </c>
      <c r="P429" s="10" t="s">
        <v>31</v>
      </c>
      <c r="Q429" s="10">
        <f t="shared" si="44"/>
        <v>0</v>
      </c>
      <c r="R429" s="10">
        <f t="shared" si="45"/>
        <v>0</v>
      </c>
      <c r="S429" s="10">
        <f t="shared" si="46"/>
        <v>1</v>
      </c>
      <c r="T429" s="10">
        <f t="shared" si="47"/>
        <v>0</v>
      </c>
      <c r="U429" s="11" t="str">
        <f t="shared" si="48"/>
        <v/>
      </c>
      <c r="V429" s="11">
        <f t="shared" si="49"/>
        <v>1</v>
      </c>
      <c r="W429" s="11">
        <f t="shared" si="49"/>
        <v>1</v>
      </c>
      <c r="X429" s="11" t="str">
        <f t="shared" si="49"/>
        <v/>
      </c>
      <c r="Y429" s="11" t="str">
        <f t="shared" si="49"/>
        <v/>
      </c>
      <c r="Z429" s="11" t="str">
        <f t="shared" si="49"/>
        <v/>
      </c>
      <c r="AA429" s="11" t="str">
        <f t="shared" si="49"/>
        <v/>
      </c>
      <c r="AB429" s="11" t="str">
        <f t="shared" si="49"/>
        <v/>
      </c>
      <c r="AC429" s="11" t="str">
        <f t="shared" si="49"/>
        <v/>
      </c>
      <c r="AD429" s="11" t="str">
        <f t="shared" si="49"/>
        <v/>
      </c>
      <c r="AE429" s="12" t="s">
        <v>1063</v>
      </c>
    </row>
    <row r="430" spans="1:31" ht="18" customHeight="1" thickTop="1" thickBot="1" x14ac:dyDescent="0.3">
      <c r="A430" s="4" t="s">
        <v>470</v>
      </c>
      <c r="B430" s="4" t="s">
        <v>945</v>
      </c>
      <c r="C430" s="5" t="s">
        <v>744</v>
      </c>
      <c r="D430" s="5" t="s">
        <v>26</v>
      </c>
      <c r="E430" s="5" t="s">
        <v>544</v>
      </c>
      <c r="F430" s="5" t="s">
        <v>774</v>
      </c>
      <c r="G430" s="5" t="s">
        <v>16</v>
      </c>
      <c r="H430" s="6" t="s">
        <v>232</v>
      </c>
      <c r="I430" s="7" t="s">
        <v>122</v>
      </c>
      <c r="J430" s="8">
        <v>1</v>
      </c>
      <c r="K430" s="8">
        <v>1</v>
      </c>
      <c r="L430" s="8"/>
      <c r="M430" s="5"/>
      <c r="N430" s="8">
        <v>1.1494571494571493</v>
      </c>
      <c r="O430" s="9">
        <v>1.1494571494571493</v>
      </c>
      <c r="P430" s="10" t="s">
        <v>27</v>
      </c>
      <c r="Q430" s="10">
        <f t="shared" si="44"/>
        <v>0</v>
      </c>
      <c r="R430" s="10">
        <f t="shared" si="45"/>
        <v>0</v>
      </c>
      <c r="S430" s="10">
        <f t="shared" si="46"/>
        <v>0</v>
      </c>
      <c r="T430" s="10">
        <f t="shared" si="47"/>
        <v>0</v>
      </c>
      <c r="U430" s="11" t="str">
        <f t="shared" si="48"/>
        <v/>
      </c>
      <c r="V430" s="11" t="str">
        <f t="shared" si="49"/>
        <v/>
      </c>
      <c r="W430" s="11" t="str">
        <f t="shared" si="49"/>
        <v/>
      </c>
      <c r="X430" s="11" t="str">
        <f t="shared" si="49"/>
        <v/>
      </c>
      <c r="Y430" s="11" t="str">
        <f t="shared" si="49"/>
        <v/>
      </c>
      <c r="Z430" s="11" t="str">
        <f t="shared" si="49"/>
        <v/>
      </c>
      <c r="AA430" s="11" t="str">
        <f t="shared" si="49"/>
        <v/>
      </c>
      <c r="AB430" s="11" t="str">
        <f t="shared" si="49"/>
        <v/>
      </c>
      <c r="AC430" s="11" t="str">
        <f t="shared" si="49"/>
        <v/>
      </c>
      <c r="AD430" s="11" t="str">
        <f t="shared" si="49"/>
        <v/>
      </c>
      <c r="AE430" s="12" t="s">
        <v>27</v>
      </c>
    </row>
    <row r="431" spans="1:31" ht="18" customHeight="1" thickTop="1" thickBot="1" x14ac:dyDescent="0.3">
      <c r="A431" s="4" t="s">
        <v>470</v>
      </c>
      <c r="B431" s="4" t="s">
        <v>945</v>
      </c>
      <c r="C431" s="5" t="s">
        <v>744</v>
      </c>
      <c r="D431" s="5" t="s">
        <v>26</v>
      </c>
      <c r="E431" s="5" t="s">
        <v>546</v>
      </c>
      <c r="F431" s="5" t="s">
        <v>775</v>
      </c>
      <c r="G431" s="5" t="s">
        <v>16</v>
      </c>
      <c r="H431" s="6" t="s">
        <v>232</v>
      </c>
      <c r="I431" s="7" t="s">
        <v>122</v>
      </c>
      <c r="J431" s="8">
        <v>1</v>
      </c>
      <c r="K431" s="8">
        <v>1</v>
      </c>
      <c r="L431" s="8"/>
      <c r="M431" s="5"/>
      <c r="N431" s="8">
        <v>0.99352900392881893</v>
      </c>
      <c r="O431" s="9">
        <v>0.99352900392881882</v>
      </c>
      <c r="P431" s="10" t="s">
        <v>27</v>
      </c>
      <c r="Q431" s="10">
        <f t="shared" si="44"/>
        <v>0</v>
      </c>
      <c r="R431" s="10">
        <f t="shared" si="45"/>
        <v>0</v>
      </c>
      <c r="S431" s="10">
        <f t="shared" si="46"/>
        <v>0</v>
      </c>
      <c r="T431" s="10">
        <f t="shared" si="47"/>
        <v>0</v>
      </c>
      <c r="U431" s="11" t="str">
        <f t="shared" si="48"/>
        <v/>
      </c>
      <c r="V431" s="11" t="str">
        <f t="shared" si="49"/>
        <v/>
      </c>
      <c r="W431" s="11" t="str">
        <f t="shared" si="49"/>
        <v/>
      </c>
      <c r="X431" s="11" t="str">
        <f t="shared" si="49"/>
        <v/>
      </c>
      <c r="Y431" s="11" t="str">
        <f t="shared" si="49"/>
        <v/>
      </c>
      <c r="Z431" s="11" t="str">
        <f t="shared" si="49"/>
        <v/>
      </c>
      <c r="AA431" s="11" t="str">
        <f t="shared" si="49"/>
        <v/>
      </c>
      <c r="AB431" s="11" t="str">
        <f t="shared" si="49"/>
        <v/>
      </c>
      <c r="AC431" s="11" t="str">
        <f t="shared" si="49"/>
        <v/>
      </c>
      <c r="AD431" s="11" t="str">
        <f t="shared" si="49"/>
        <v/>
      </c>
      <c r="AE431" s="12" t="s">
        <v>27</v>
      </c>
    </row>
    <row r="432" spans="1:31" ht="18" customHeight="1" thickTop="1" thickBot="1" x14ac:dyDescent="0.3">
      <c r="A432" s="4" t="s">
        <v>470</v>
      </c>
      <c r="B432" s="4" t="s">
        <v>945</v>
      </c>
      <c r="C432" s="5" t="s">
        <v>744</v>
      </c>
      <c r="D432" s="5" t="s">
        <v>26</v>
      </c>
      <c r="E432" s="5" t="s">
        <v>548</v>
      </c>
      <c r="F432" s="5" t="s">
        <v>776</v>
      </c>
      <c r="G432" s="5" t="s">
        <v>16</v>
      </c>
      <c r="H432" s="6" t="s">
        <v>232</v>
      </c>
      <c r="I432" s="7" t="s">
        <v>68</v>
      </c>
      <c r="J432" s="8">
        <v>1</v>
      </c>
      <c r="K432" s="8">
        <v>1</v>
      </c>
      <c r="L432" s="8"/>
      <c r="M432" s="5"/>
      <c r="N432" s="8">
        <v>1.0084028382920454</v>
      </c>
      <c r="O432" s="9">
        <v>1.0084028382920454</v>
      </c>
      <c r="P432" s="10" t="s">
        <v>27</v>
      </c>
      <c r="Q432" s="10">
        <f t="shared" si="44"/>
        <v>0</v>
      </c>
      <c r="R432" s="10">
        <f t="shared" si="45"/>
        <v>0</v>
      </c>
      <c r="S432" s="10">
        <f t="shared" si="46"/>
        <v>0</v>
      </c>
      <c r="T432" s="10">
        <f t="shared" si="47"/>
        <v>0</v>
      </c>
      <c r="U432" s="11" t="str">
        <f t="shared" si="48"/>
        <v/>
      </c>
      <c r="V432" s="11" t="str">
        <f t="shared" si="49"/>
        <v/>
      </c>
      <c r="W432" s="11" t="str">
        <f t="shared" si="49"/>
        <v/>
      </c>
      <c r="X432" s="11" t="str">
        <f t="shared" si="49"/>
        <v/>
      </c>
      <c r="Y432" s="11" t="str">
        <f t="shared" si="49"/>
        <v/>
      </c>
      <c r="Z432" s="11" t="str">
        <f t="shared" si="49"/>
        <v/>
      </c>
      <c r="AA432" s="11" t="str">
        <f t="shared" si="49"/>
        <v/>
      </c>
      <c r="AB432" s="11" t="str">
        <f t="shared" si="49"/>
        <v/>
      </c>
      <c r="AC432" s="11" t="str">
        <f t="shared" si="49"/>
        <v/>
      </c>
      <c r="AD432" s="11" t="str">
        <f t="shared" si="49"/>
        <v/>
      </c>
      <c r="AE432" s="12" t="s">
        <v>27</v>
      </c>
    </row>
    <row r="433" spans="1:31" ht="18" customHeight="1" thickTop="1" thickBot="1" x14ac:dyDescent="0.3">
      <c r="A433" s="4" t="s">
        <v>470</v>
      </c>
      <c r="B433" s="4" t="s">
        <v>945</v>
      </c>
      <c r="C433" s="5" t="s">
        <v>744</v>
      </c>
      <c r="D433" s="5" t="s">
        <v>26</v>
      </c>
      <c r="E433" s="5" t="s">
        <v>550</v>
      </c>
      <c r="F433" s="5" t="s">
        <v>777</v>
      </c>
      <c r="G433" s="5" t="s">
        <v>16</v>
      </c>
      <c r="H433" s="6" t="s">
        <v>232</v>
      </c>
      <c r="I433" s="7" t="s">
        <v>122</v>
      </c>
      <c r="J433" s="8">
        <v>1</v>
      </c>
      <c r="K433" s="8">
        <v>1</v>
      </c>
      <c r="L433" s="8"/>
      <c r="M433" s="5"/>
      <c r="N433" s="8">
        <v>1.4136973623322537</v>
      </c>
      <c r="O433" s="9">
        <v>1.4136973623322537</v>
      </c>
      <c r="P433" s="10" t="s">
        <v>27</v>
      </c>
      <c r="Q433" s="10">
        <f t="shared" si="44"/>
        <v>0</v>
      </c>
      <c r="R433" s="10">
        <f t="shared" si="45"/>
        <v>0</v>
      </c>
      <c r="S433" s="10">
        <f t="shared" si="46"/>
        <v>0</v>
      </c>
      <c r="T433" s="10">
        <f t="shared" si="47"/>
        <v>0</v>
      </c>
      <c r="U433" s="11" t="str">
        <f t="shared" si="48"/>
        <v/>
      </c>
      <c r="V433" s="11" t="str">
        <f t="shared" si="49"/>
        <v/>
      </c>
      <c r="W433" s="11" t="str">
        <f t="shared" si="49"/>
        <v/>
      </c>
      <c r="X433" s="11" t="str">
        <f t="shared" si="49"/>
        <v/>
      </c>
      <c r="Y433" s="11" t="str">
        <f t="shared" si="49"/>
        <v/>
      </c>
      <c r="Z433" s="11" t="str">
        <f t="shared" si="49"/>
        <v/>
      </c>
      <c r="AA433" s="11" t="str">
        <f t="shared" si="49"/>
        <v/>
      </c>
      <c r="AB433" s="11" t="str">
        <f t="shared" si="49"/>
        <v/>
      </c>
      <c r="AC433" s="11" t="str">
        <f t="shared" si="49"/>
        <v/>
      </c>
      <c r="AD433" s="11" t="str">
        <f t="shared" si="49"/>
        <v/>
      </c>
      <c r="AE433" s="12" t="s">
        <v>27</v>
      </c>
    </row>
    <row r="434" spans="1:31" ht="18" customHeight="1" thickTop="1" thickBot="1" x14ac:dyDescent="0.3">
      <c r="A434" s="4" t="s">
        <v>470</v>
      </c>
      <c r="B434" s="4" t="s">
        <v>945</v>
      </c>
      <c r="C434" s="5" t="s">
        <v>744</v>
      </c>
      <c r="D434" s="5" t="s">
        <v>26</v>
      </c>
      <c r="E434" s="5" t="s">
        <v>552</v>
      </c>
      <c r="F434" s="5" t="s">
        <v>778</v>
      </c>
      <c r="G434" s="5" t="s">
        <v>16</v>
      </c>
      <c r="H434" s="6" t="s">
        <v>232</v>
      </c>
      <c r="I434" s="7" t="s">
        <v>122</v>
      </c>
      <c r="J434" s="8">
        <v>1</v>
      </c>
      <c r="K434" s="8">
        <v>1</v>
      </c>
      <c r="L434" s="8"/>
      <c r="M434" s="5"/>
      <c r="N434" s="8">
        <v>1.2760055478502081</v>
      </c>
      <c r="O434" s="9">
        <v>1.2760055478502079</v>
      </c>
      <c r="P434" s="10" t="s">
        <v>27</v>
      </c>
      <c r="Q434" s="10">
        <f t="shared" si="44"/>
        <v>0</v>
      </c>
      <c r="R434" s="10">
        <f t="shared" si="45"/>
        <v>0</v>
      </c>
      <c r="S434" s="10">
        <f t="shared" si="46"/>
        <v>0</v>
      </c>
      <c r="T434" s="10">
        <f t="shared" si="47"/>
        <v>0</v>
      </c>
      <c r="U434" s="11" t="str">
        <f t="shared" si="48"/>
        <v/>
      </c>
      <c r="V434" s="11" t="str">
        <f t="shared" si="49"/>
        <v/>
      </c>
      <c r="W434" s="11" t="str">
        <f t="shared" si="49"/>
        <v/>
      </c>
      <c r="X434" s="11" t="str">
        <f t="shared" si="49"/>
        <v/>
      </c>
      <c r="Y434" s="11" t="str">
        <f t="shared" si="49"/>
        <v/>
      </c>
      <c r="Z434" s="11" t="str">
        <f t="shared" si="49"/>
        <v/>
      </c>
      <c r="AA434" s="11" t="str">
        <f t="shared" si="49"/>
        <v/>
      </c>
      <c r="AB434" s="11" t="str">
        <f t="shared" si="49"/>
        <v/>
      </c>
      <c r="AC434" s="11" t="str">
        <f t="shared" si="49"/>
        <v/>
      </c>
      <c r="AD434" s="11" t="str">
        <f t="shared" si="49"/>
        <v/>
      </c>
      <c r="AE434" s="12" t="s">
        <v>27</v>
      </c>
    </row>
    <row r="435" spans="1:31" ht="18" customHeight="1" thickTop="1" thickBot="1" x14ac:dyDescent="0.3">
      <c r="A435" s="4" t="s">
        <v>470</v>
      </c>
      <c r="B435" s="4" t="s">
        <v>945</v>
      </c>
      <c r="C435" s="5" t="s">
        <v>744</v>
      </c>
      <c r="D435" s="5" t="s">
        <v>26</v>
      </c>
      <c r="E435" s="5" t="s">
        <v>71</v>
      </c>
      <c r="F435" s="5" t="s">
        <v>779</v>
      </c>
      <c r="G435" s="5" t="s">
        <v>16</v>
      </c>
      <c r="H435" s="6" t="s">
        <v>232</v>
      </c>
      <c r="I435" s="7" t="s">
        <v>78</v>
      </c>
      <c r="J435" s="8">
        <v>1</v>
      </c>
      <c r="K435" s="8">
        <v>1</v>
      </c>
      <c r="L435" s="8"/>
      <c r="M435" s="5"/>
      <c r="N435" s="8">
        <v>1.449086956521739</v>
      </c>
      <c r="O435" s="9">
        <v>1.449086956521739</v>
      </c>
      <c r="P435" s="10" t="s">
        <v>27</v>
      </c>
      <c r="Q435" s="10">
        <f t="shared" si="44"/>
        <v>0</v>
      </c>
      <c r="R435" s="10">
        <f t="shared" si="45"/>
        <v>0</v>
      </c>
      <c r="S435" s="10">
        <f t="shared" si="46"/>
        <v>0</v>
      </c>
      <c r="T435" s="10">
        <f t="shared" si="47"/>
        <v>0</v>
      </c>
      <c r="U435" s="11" t="str">
        <f t="shared" si="48"/>
        <v/>
      </c>
      <c r="V435" s="11" t="str">
        <f t="shared" si="49"/>
        <v/>
      </c>
      <c r="W435" s="11" t="str">
        <f t="shared" si="49"/>
        <v/>
      </c>
      <c r="X435" s="11" t="str">
        <f t="shared" si="49"/>
        <v/>
      </c>
      <c r="Y435" s="11" t="str">
        <f t="shared" si="49"/>
        <v/>
      </c>
      <c r="Z435" s="11" t="str">
        <f t="shared" si="49"/>
        <v/>
      </c>
      <c r="AA435" s="11" t="str">
        <f t="shared" si="49"/>
        <v/>
      </c>
      <c r="AB435" s="11" t="str">
        <f t="shared" si="49"/>
        <v/>
      </c>
      <c r="AC435" s="11" t="str">
        <f t="shared" si="49"/>
        <v/>
      </c>
      <c r="AD435" s="11" t="str">
        <f t="shared" si="49"/>
        <v/>
      </c>
      <c r="AE435" s="12" t="s">
        <v>27</v>
      </c>
    </row>
    <row r="436" spans="1:31" ht="18" customHeight="1" thickTop="1" thickBot="1" x14ac:dyDescent="0.3">
      <c r="A436" s="4" t="s">
        <v>470</v>
      </c>
      <c r="B436" s="4" t="s">
        <v>945</v>
      </c>
      <c r="C436" s="5" t="s">
        <v>744</v>
      </c>
      <c r="D436" s="5" t="s">
        <v>26</v>
      </c>
      <c r="E436" s="5" t="s">
        <v>555</v>
      </c>
      <c r="F436" s="5" t="s">
        <v>780</v>
      </c>
      <c r="G436" s="5" t="s">
        <v>16</v>
      </c>
      <c r="H436" s="6" t="s">
        <v>232</v>
      </c>
      <c r="I436" s="7" t="s">
        <v>122</v>
      </c>
      <c r="J436" s="8">
        <v>1</v>
      </c>
      <c r="K436" s="8">
        <v>1</v>
      </c>
      <c r="L436" s="8"/>
      <c r="M436" s="5"/>
      <c r="N436" s="8">
        <v>1.30998613037448</v>
      </c>
      <c r="O436" s="9">
        <v>1.30998613037448</v>
      </c>
      <c r="P436" s="10" t="s">
        <v>27</v>
      </c>
      <c r="Q436" s="10">
        <f t="shared" si="44"/>
        <v>0</v>
      </c>
      <c r="R436" s="10">
        <f t="shared" si="45"/>
        <v>0</v>
      </c>
      <c r="S436" s="10">
        <f t="shared" si="46"/>
        <v>0</v>
      </c>
      <c r="T436" s="10">
        <f t="shared" si="47"/>
        <v>0</v>
      </c>
      <c r="U436" s="11" t="str">
        <f t="shared" si="48"/>
        <v/>
      </c>
      <c r="V436" s="11" t="str">
        <f t="shared" si="49"/>
        <v/>
      </c>
      <c r="W436" s="11" t="str">
        <f t="shared" si="49"/>
        <v/>
      </c>
      <c r="X436" s="11" t="str">
        <f t="shared" si="49"/>
        <v/>
      </c>
      <c r="Y436" s="11" t="str">
        <f t="shared" si="49"/>
        <v/>
      </c>
      <c r="Z436" s="11" t="str">
        <f t="shared" si="49"/>
        <v/>
      </c>
      <c r="AA436" s="11" t="str">
        <f t="shared" si="49"/>
        <v/>
      </c>
      <c r="AB436" s="11" t="str">
        <f t="shared" si="49"/>
        <v/>
      </c>
      <c r="AC436" s="11" t="str">
        <f t="shared" si="49"/>
        <v/>
      </c>
      <c r="AD436" s="11" t="str">
        <f t="shared" si="49"/>
        <v/>
      </c>
      <c r="AE436" s="12" t="s">
        <v>27</v>
      </c>
    </row>
    <row r="437" spans="1:31" ht="18" customHeight="1" thickTop="1" thickBot="1" x14ac:dyDescent="0.3">
      <c r="A437" s="4" t="s">
        <v>470</v>
      </c>
      <c r="B437" s="4" t="s">
        <v>945</v>
      </c>
      <c r="C437" s="5" t="s">
        <v>744</v>
      </c>
      <c r="D437" s="5" t="s">
        <v>26</v>
      </c>
      <c r="E437" s="5" t="s">
        <v>141</v>
      </c>
      <c r="F437" s="5" t="s">
        <v>781</v>
      </c>
      <c r="G437" s="5" t="s">
        <v>16</v>
      </c>
      <c r="H437" s="6" t="s">
        <v>232</v>
      </c>
      <c r="I437" s="7" t="s">
        <v>78</v>
      </c>
      <c r="J437" s="8">
        <v>1</v>
      </c>
      <c r="K437" s="8">
        <v>1</v>
      </c>
      <c r="L437" s="8"/>
      <c r="M437" s="5"/>
      <c r="N437" s="8">
        <v>1.0424529411764707</v>
      </c>
      <c r="O437" s="9">
        <v>1.0424529411764707</v>
      </c>
      <c r="P437" s="10" t="s">
        <v>27</v>
      </c>
      <c r="Q437" s="10">
        <f t="shared" si="44"/>
        <v>0</v>
      </c>
      <c r="R437" s="10">
        <f t="shared" si="45"/>
        <v>0</v>
      </c>
      <c r="S437" s="10">
        <f t="shared" si="46"/>
        <v>0</v>
      </c>
      <c r="T437" s="10">
        <f t="shared" si="47"/>
        <v>0</v>
      </c>
      <c r="U437" s="11" t="str">
        <f t="shared" si="48"/>
        <v/>
      </c>
      <c r="V437" s="11" t="str">
        <f t="shared" si="49"/>
        <v/>
      </c>
      <c r="W437" s="11" t="str">
        <f t="shared" si="49"/>
        <v/>
      </c>
      <c r="X437" s="11" t="str">
        <f t="shared" si="49"/>
        <v/>
      </c>
      <c r="Y437" s="11" t="str">
        <f t="shared" si="49"/>
        <v/>
      </c>
      <c r="Z437" s="11" t="str">
        <f t="shared" si="49"/>
        <v/>
      </c>
      <c r="AA437" s="11" t="str">
        <f t="shared" si="49"/>
        <v/>
      </c>
      <c r="AB437" s="11" t="str">
        <f t="shared" si="49"/>
        <v/>
      </c>
      <c r="AC437" s="11" t="str">
        <f t="shared" ref="V437:AD466" si="50">IF(ISNUMBER(SEARCH(AC$3,$AE437)), 1,"")</f>
        <v/>
      </c>
      <c r="AD437" s="11" t="str">
        <f t="shared" si="50"/>
        <v/>
      </c>
      <c r="AE437" s="12" t="s">
        <v>27</v>
      </c>
    </row>
    <row r="438" spans="1:31" ht="18" customHeight="1" thickTop="1" thickBot="1" x14ac:dyDescent="0.3">
      <c r="A438" s="4" t="s">
        <v>470</v>
      </c>
      <c r="B438" s="4" t="s">
        <v>945</v>
      </c>
      <c r="C438" s="5" t="s">
        <v>744</v>
      </c>
      <c r="D438" s="5" t="s">
        <v>26</v>
      </c>
      <c r="E438" s="5" t="s">
        <v>143</v>
      </c>
      <c r="F438" s="5" t="s">
        <v>782</v>
      </c>
      <c r="G438" s="5" t="s">
        <v>16</v>
      </c>
      <c r="H438" s="6" t="s">
        <v>232</v>
      </c>
      <c r="I438" s="7" t="s">
        <v>68</v>
      </c>
      <c r="J438" s="8">
        <v>1</v>
      </c>
      <c r="K438" s="8">
        <v>1</v>
      </c>
      <c r="L438" s="8"/>
      <c r="M438" s="5"/>
      <c r="N438" s="8">
        <v>1.1105878787878787</v>
      </c>
      <c r="O438" s="9">
        <v>1.1105878787878787</v>
      </c>
      <c r="P438" s="10" t="s">
        <v>27</v>
      </c>
      <c r="Q438" s="10">
        <f t="shared" si="44"/>
        <v>0</v>
      </c>
      <c r="R438" s="10">
        <f t="shared" si="45"/>
        <v>0</v>
      </c>
      <c r="S438" s="10">
        <f t="shared" si="46"/>
        <v>0</v>
      </c>
      <c r="T438" s="10">
        <f t="shared" si="47"/>
        <v>0</v>
      </c>
      <c r="U438" s="11" t="str">
        <f t="shared" si="48"/>
        <v/>
      </c>
      <c r="V438" s="11" t="str">
        <f t="shared" si="50"/>
        <v/>
      </c>
      <c r="W438" s="11" t="str">
        <f t="shared" si="50"/>
        <v/>
      </c>
      <c r="X438" s="11" t="str">
        <f t="shared" si="50"/>
        <v/>
      </c>
      <c r="Y438" s="11" t="str">
        <f t="shared" si="50"/>
        <v/>
      </c>
      <c r="Z438" s="11" t="str">
        <f t="shared" si="50"/>
        <v/>
      </c>
      <c r="AA438" s="11" t="str">
        <f t="shared" si="50"/>
        <v/>
      </c>
      <c r="AB438" s="11" t="str">
        <f t="shared" si="50"/>
        <v/>
      </c>
      <c r="AC438" s="11" t="str">
        <f t="shared" si="50"/>
        <v/>
      </c>
      <c r="AD438" s="11" t="str">
        <f t="shared" si="50"/>
        <v/>
      </c>
      <c r="AE438" s="12" t="s">
        <v>27</v>
      </c>
    </row>
    <row r="439" spans="1:31" ht="18" customHeight="1" thickTop="1" thickBot="1" x14ac:dyDescent="0.3">
      <c r="A439" s="4" t="s">
        <v>470</v>
      </c>
      <c r="B439" s="4" t="s">
        <v>945</v>
      </c>
      <c r="C439" s="5" t="s">
        <v>744</v>
      </c>
      <c r="D439" s="5" t="s">
        <v>26</v>
      </c>
      <c r="E439" s="5" t="s">
        <v>245</v>
      </c>
      <c r="F439" s="5" t="s">
        <v>783</v>
      </c>
      <c r="G439" s="5" t="s">
        <v>16</v>
      </c>
      <c r="H439" s="6" t="s">
        <v>232</v>
      </c>
      <c r="I439" s="7" t="s">
        <v>122</v>
      </c>
      <c r="J439" s="8">
        <v>1</v>
      </c>
      <c r="K439" s="8">
        <v>1</v>
      </c>
      <c r="L439" s="8"/>
      <c r="M439" s="5"/>
      <c r="N439" s="8">
        <v>0.75434000000000001</v>
      </c>
      <c r="O439" s="9">
        <v>0.75434000000000001</v>
      </c>
      <c r="P439" s="10" t="s">
        <v>27</v>
      </c>
      <c r="Q439" s="10">
        <f t="shared" si="44"/>
        <v>0</v>
      </c>
      <c r="R439" s="10">
        <f t="shared" si="45"/>
        <v>0</v>
      </c>
      <c r="S439" s="10">
        <f t="shared" si="46"/>
        <v>0</v>
      </c>
      <c r="T439" s="10">
        <f t="shared" si="47"/>
        <v>0</v>
      </c>
      <c r="U439" s="11" t="str">
        <f t="shared" si="48"/>
        <v/>
      </c>
      <c r="V439" s="11" t="str">
        <f t="shared" si="50"/>
        <v/>
      </c>
      <c r="W439" s="11" t="str">
        <f t="shared" si="50"/>
        <v/>
      </c>
      <c r="X439" s="11" t="str">
        <f t="shared" si="50"/>
        <v/>
      </c>
      <c r="Y439" s="11" t="str">
        <f t="shared" si="50"/>
        <v/>
      </c>
      <c r="Z439" s="11" t="str">
        <f t="shared" si="50"/>
        <v/>
      </c>
      <c r="AA439" s="11" t="str">
        <f t="shared" si="50"/>
        <v/>
      </c>
      <c r="AB439" s="11" t="str">
        <f t="shared" si="50"/>
        <v/>
      </c>
      <c r="AC439" s="11" t="str">
        <f t="shared" si="50"/>
        <v/>
      </c>
      <c r="AD439" s="11" t="str">
        <f t="shared" si="50"/>
        <v/>
      </c>
      <c r="AE439" s="12" t="s">
        <v>27</v>
      </c>
    </row>
    <row r="440" spans="1:31" ht="18" customHeight="1" thickTop="1" thickBot="1" x14ac:dyDescent="0.3">
      <c r="A440" s="4" t="s">
        <v>470</v>
      </c>
      <c r="B440" s="4" t="s">
        <v>945</v>
      </c>
      <c r="C440" s="5" t="s">
        <v>744</v>
      </c>
      <c r="D440" s="5" t="s">
        <v>26</v>
      </c>
      <c r="E440" s="5" t="s">
        <v>247</v>
      </c>
      <c r="F440" s="5" t="s">
        <v>784</v>
      </c>
      <c r="G440" s="5" t="s">
        <v>16</v>
      </c>
      <c r="H440" s="6" t="s">
        <v>232</v>
      </c>
      <c r="I440" s="7" t="s">
        <v>122</v>
      </c>
      <c r="J440" s="8">
        <v>1</v>
      </c>
      <c r="K440" s="8">
        <v>1</v>
      </c>
      <c r="L440" s="8"/>
      <c r="M440" s="5"/>
      <c r="N440" s="8">
        <v>0.871888</v>
      </c>
      <c r="O440" s="9">
        <v>0.871888</v>
      </c>
      <c r="P440" s="10" t="s">
        <v>27</v>
      </c>
      <c r="Q440" s="10">
        <f t="shared" si="44"/>
        <v>0</v>
      </c>
      <c r="R440" s="10">
        <f t="shared" si="45"/>
        <v>0</v>
      </c>
      <c r="S440" s="10">
        <f t="shared" si="46"/>
        <v>0</v>
      </c>
      <c r="T440" s="10">
        <f t="shared" si="47"/>
        <v>0</v>
      </c>
      <c r="U440" s="11" t="str">
        <f t="shared" si="48"/>
        <v/>
      </c>
      <c r="V440" s="11" t="str">
        <f t="shared" si="50"/>
        <v/>
      </c>
      <c r="W440" s="11" t="str">
        <f t="shared" si="50"/>
        <v/>
      </c>
      <c r="X440" s="11" t="str">
        <f t="shared" si="50"/>
        <v/>
      </c>
      <c r="Y440" s="11" t="str">
        <f t="shared" si="50"/>
        <v/>
      </c>
      <c r="Z440" s="11" t="str">
        <f t="shared" si="50"/>
        <v/>
      </c>
      <c r="AA440" s="11" t="str">
        <f t="shared" si="50"/>
        <v/>
      </c>
      <c r="AB440" s="11" t="str">
        <f t="shared" si="50"/>
        <v/>
      </c>
      <c r="AC440" s="11" t="str">
        <f t="shared" si="50"/>
        <v/>
      </c>
      <c r="AD440" s="11" t="str">
        <f t="shared" si="50"/>
        <v/>
      </c>
      <c r="AE440" s="12" t="s">
        <v>27</v>
      </c>
    </row>
    <row r="441" spans="1:31" ht="18" customHeight="1" thickTop="1" thickBot="1" x14ac:dyDescent="0.3">
      <c r="A441" s="4" t="s">
        <v>470</v>
      </c>
      <c r="B441" s="4" t="s">
        <v>945</v>
      </c>
      <c r="C441" s="5" t="s">
        <v>744</v>
      </c>
      <c r="D441" s="5" t="s">
        <v>26</v>
      </c>
      <c r="E441" s="5" t="s">
        <v>249</v>
      </c>
      <c r="F441" s="5" t="s">
        <v>785</v>
      </c>
      <c r="G441" s="5" t="s">
        <v>16</v>
      </c>
      <c r="H441" s="6" t="s">
        <v>232</v>
      </c>
      <c r="I441" s="7" t="s">
        <v>122</v>
      </c>
      <c r="J441" s="8">
        <v>1</v>
      </c>
      <c r="K441" s="8">
        <v>1</v>
      </c>
      <c r="L441" s="8"/>
      <c r="M441" s="5"/>
      <c r="N441" s="8">
        <v>1.0147549999999999</v>
      </c>
      <c r="O441" s="9">
        <v>1.0147549999999999</v>
      </c>
      <c r="P441" s="10" t="s">
        <v>27</v>
      </c>
      <c r="Q441" s="10">
        <f t="shared" si="44"/>
        <v>0</v>
      </c>
      <c r="R441" s="10">
        <f t="shared" si="45"/>
        <v>0</v>
      </c>
      <c r="S441" s="10">
        <f t="shared" si="46"/>
        <v>0</v>
      </c>
      <c r="T441" s="10">
        <f t="shared" si="47"/>
        <v>0</v>
      </c>
      <c r="U441" s="11" t="str">
        <f t="shared" si="48"/>
        <v/>
      </c>
      <c r="V441" s="11" t="str">
        <f t="shared" si="50"/>
        <v/>
      </c>
      <c r="W441" s="11" t="str">
        <f t="shared" si="50"/>
        <v/>
      </c>
      <c r="X441" s="11" t="str">
        <f t="shared" si="50"/>
        <v/>
      </c>
      <c r="Y441" s="11" t="str">
        <f t="shared" si="50"/>
        <v/>
      </c>
      <c r="Z441" s="11" t="str">
        <f t="shared" si="50"/>
        <v/>
      </c>
      <c r="AA441" s="11" t="str">
        <f t="shared" si="50"/>
        <v/>
      </c>
      <c r="AB441" s="11" t="str">
        <f t="shared" si="50"/>
        <v/>
      </c>
      <c r="AC441" s="11" t="str">
        <f t="shared" si="50"/>
        <v/>
      </c>
      <c r="AD441" s="11" t="str">
        <f t="shared" si="50"/>
        <v/>
      </c>
      <c r="AE441" s="12" t="s">
        <v>27</v>
      </c>
    </row>
    <row r="442" spans="1:31" ht="18" customHeight="1" thickTop="1" thickBot="1" x14ac:dyDescent="0.3">
      <c r="A442" s="4" t="s">
        <v>49</v>
      </c>
      <c r="B442" s="4" t="s">
        <v>947</v>
      </c>
      <c r="C442" s="5" t="s">
        <v>786</v>
      </c>
      <c r="D442" s="5" t="s">
        <v>26</v>
      </c>
      <c r="E442" s="5" t="s">
        <v>27</v>
      </c>
      <c r="F442" s="5" t="s">
        <v>787</v>
      </c>
      <c r="G442" s="5" t="s">
        <v>16</v>
      </c>
      <c r="H442" s="6" t="s">
        <v>487</v>
      </c>
      <c r="I442" s="7" t="s">
        <v>38</v>
      </c>
      <c r="J442" s="8">
        <v>1.28125</v>
      </c>
      <c r="K442" s="8">
        <v>1.6839999999999999</v>
      </c>
      <c r="L442" s="8"/>
      <c r="M442" s="5"/>
      <c r="N442" s="8">
        <v>6.3261927945472252</v>
      </c>
      <c r="O442" s="9">
        <v>3.7566465525814881</v>
      </c>
      <c r="P442" s="10" t="s">
        <v>31</v>
      </c>
      <c r="Q442" s="10">
        <f t="shared" si="44"/>
        <v>1</v>
      </c>
      <c r="R442" s="10">
        <f t="shared" si="45"/>
        <v>0</v>
      </c>
      <c r="S442" s="10">
        <f t="shared" si="46"/>
        <v>1</v>
      </c>
      <c r="T442" s="10">
        <f t="shared" si="47"/>
        <v>0</v>
      </c>
      <c r="U442" s="11" t="str">
        <f t="shared" si="48"/>
        <v/>
      </c>
      <c r="V442" s="11" t="str">
        <f t="shared" si="50"/>
        <v/>
      </c>
      <c r="W442" s="11" t="str">
        <f t="shared" si="50"/>
        <v/>
      </c>
      <c r="X442" s="11" t="str">
        <f t="shared" si="50"/>
        <v/>
      </c>
      <c r="Y442" s="11" t="str">
        <f t="shared" si="50"/>
        <v/>
      </c>
      <c r="Z442" s="11" t="str">
        <f t="shared" si="50"/>
        <v/>
      </c>
      <c r="AA442" s="11" t="str">
        <f t="shared" si="50"/>
        <v/>
      </c>
      <c r="AB442" s="11" t="str">
        <f t="shared" si="50"/>
        <v/>
      </c>
      <c r="AC442" s="11" t="str">
        <f t="shared" si="50"/>
        <v/>
      </c>
      <c r="AD442" s="11">
        <f t="shared" si="50"/>
        <v>1</v>
      </c>
      <c r="AE442" s="12" t="s">
        <v>1065</v>
      </c>
    </row>
    <row r="443" spans="1:31" ht="18" customHeight="1" thickTop="1" thickBot="1" x14ac:dyDescent="0.3">
      <c r="A443" s="4" t="s">
        <v>788</v>
      </c>
      <c r="B443" s="4" t="s">
        <v>950</v>
      </c>
      <c r="C443" s="5" t="s">
        <v>789</v>
      </c>
      <c r="D443" s="5" t="s">
        <v>26</v>
      </c>
      <c r="E443" s="5" t="s">
        <v>36</v>
      </c>
      <c r="F443" s="5" t="s">
        <v>790</v>
      </c>
      <c r="G443" s="5" t="s">
        <v>16</v>
      </c>
      <c r="H443" s="6" t="s">
        <v>210</v>
      </c>
      <c r="I443" s="7" t="s">
        <v>387</v>
      </c>
      <c r="J443" s="8" t="s">
        <v>27</v>
      </c>
      <c r="K443" s="8">
        <v>1</v>
      </c>
      <c r="L443" s="8"/>
      <c r="M443" s="5"/>
      <c r="N443" s="8">
        <v>1.2096774193548387</v>
      </c>
      <c r="O443" s="9">
        <v>1.2096774193548387</v>
      </c>
      <c r="P443" s="10" t="s">
        <v>27</v>
      </c>
      <c r="Q443" s="10">
        <f t="shared" si="44"/>
        <v>0</v>
      </c>
      <c r="R443" s="10">
        <f t="shared" si="45"/>
        <v>0</v>
      </c>
      <c r="S443" s="10">
        <f t="shared" si="46"/>
        <v>0</v>
      </c>
      <c r="T443" s="10">
        <f t="shared" si="47"/>
        <v>0</v>
      </c>
      <c r="U443" s="11" t="str">
        <f t="shared" si="48"/>
        <v/>
      </c>
      <c r="V443" s="11" t="str">
        <f t="shared" si="50"/>
        <v/>
      </c>
      <c r="W443" s="11" t="str">
        <f t="shared" si="50"/>
        <v/>
      </c>
      <c r="X443" s="11" t="str">
        <f t="shared" si="50"/>
        <v/>
      </c>
      <c r="Y443" s="11" t="str">
        <f t="shared" si="50"/>
        <v/>
      </c>
      <c r="Z443" s="11" t="str">
        <f t="shared" si="50"/>
        <v/>
      </c>
      <c r="AA443" s="11" t="str">
        <f t="shared" si="50"/>
        <v/>
      </c>
      <c r="AB443" s="11" t="str">
        <f t="shared" si="50"/>
        <v/>
      </c>
      <c r="AC443" s="11" t="str">
        <f t="shared" si="50"/>
        <v/>
      </c>
      <c r="AD443" s="11" t="str">
        <f t="shared" si="50"/>
        <v/>
      </c>
      <c r="AE443" s="12" t="s">
        <v>27</v>
      </c>
    </row>
    <row r="444" spans="1:31" ht="18" customHeight="1" thickTop="1" thickBot="1" x14ac:dyDescent="0.3">
      <c r="A444" s="4" t="s">
        <v>788</v>
      </c>
      <c r="B444" s="4" t="s">
        <v>950</v>
      </c>
      <c r="C444" s="5" t="s">
        <v>789</v>
      </c>
      <c r="D444" s="5" t="s">
        <v>26</v>
      </c>
      <c r="E444" s="5" t="s">
        <v>40</v>
      </c>
      <c r="F444" s="5" t="s">
        <v>791</v>
      </c>
      <c r="G444" s="5" t="s">
        <v>16</v>
      </c>
      <c r="H444" s="6" t="s">
        <v>210</v>
      </c>
      <c r="I444" s="7" t="s">
        <v>387</v>
      </c>
      <c r="J444" s="8" t="s">
        <v>27</v>
      </c>
      <c r="K444" s="8">
        <v>1</v>
      </c>
      <c r="L444" s="8"/>
      <c r="M444" s="5"/>
      <c r="N444" s="8">
        <v>1.1546961325966849</v>
      </c>
      <c r="O444" s="9">
        <v>1.1546961325966849</v>
      </c>
      <c r="P444" s="10" t="s">
        <v>27</v>
      </c>
      <c r="Q444" s="10">
        <f t="shared" si="44"/>
        <v>0</v>
      </c>
      <c r="R444" s="10">
        <f t="shared" si="45"/>
        <v>0</v>
      </c>
      <c r="S444" s="10">
        <f t="shared" si="46"/>
        <v>0</v>
      </c>
      <c r="T444" s="10">
        <f t="shared" si="47"/>
        <v>0</v>
      </c>
      <c r="U444" s="11" t="str">
        <f t="shared" si="48"/>
        <v/>
      </c>
      <c r="V444" s="11" t="str">
        <f t="shared" si="50"/>
        <v/>
      </c>
      <c r="W444" s="11" t="str">
        <f t="shared" si="50"/>
        <v/>
      </c>
      <c r="X444" s="11" t="str">
        <f t="shared" si="50"/>
        <v/>
      </c>
      <c r="Y444" s="11" t="str">
        <f t="shared" si="50"/>
        <v/>
      </c>
      <c r="Z444" s="11" t="str">
        <f t="shared" si="50"/>
        <v/>
      </c>
      <c r="AA444" s="11" t="str">
        <f t="shared" si="50"/>
        <v/>
      </c>
      <c r="AB444" s="11" t="str">
        <f t="shared" si="50"/>
        <v/>
      </c>
      <c r="AC444" s="11" t="str">
        <f t="shared" si="50"/>
        <v/>
      </c>
      <c r="AD444" s="11" t="str">
        <f t="shared" si="50"/>
        <v/>
      </c>
      <c r="AE444" s="12" t="s">
        <v>27</v>
      </c>
    </row>
    <row r="445" spans="1:31" ht="18" customHeight="1" thickTop="1" thickBot="1" x14ac:dyDescent="0.3">
      <c r="A445" s="4" t="s">
        <v>788</v>
      </c>
      <c r="B445" s="4" t="s">
        <v>950</v>
      </c>
      <c r="C445" s="5" t="s">
        <v>789</v>
      </c>
      <c r="D445" s="5" t="s">
        <v>26</v>
      </c>
      <c r="E445" s="5" t="s">
        <v>69</v>
      </c>
      <c r="F445" s="5" t="s">
        <v>792</v>
      </c>
      <c r="G445" s="5" t="s">
        <v>16</v>
      </c>
      <c r="H445" s="6" t="s">
        <v>210</v>
      </c>
      <c r="I445" s="7" t="s">
        <v>387</v>
      </c>
      <c r="J445" s="8" t="s">
        <v>27</v>
      </c>
      <c r="K445" s="8">
        <v>1</v>
      </c>
      <c r="L445" s="8"/>
      <c r="M445" s="5"/>
      <c r="N445" s="8">
        <v>1.4833948339483394</v>
      </c>
      <c r="O445" s="9">
        <v>1.4833948339483394</v>
      </c>
      <c r="P445" s="10" t="s">
        <v>27</v>
      </c>
      <c r="Q445" s="10">
        <f t="shared" si="44"/>
        <v>0</v>
      </c>
      <c r="R445" s="10">
        <f t="shared" si="45"/>
        <v>0</v>
      </c>
      <c r="S445" s="10">
        <f t="shared" si="46"/>
        <v>0</v>
      </c>
      <c r="T445" s="10">
        <f t="shared" si="47"/>
        <v>0</v>
      </c>
      <c r="U445" s="11" t="str">
        <f t="shared" si="48"/>
        <v/>
      </c>
      <c r="V445" s="11" t="str">
        <f t="shared" si="50"/>
        <v/>
      </c>
      <c r="W445" s="11" t="str">
        <f t="shared" si="50"/>
        <v/>
      </c>
      <c r="X445" s="11" t="str">
        <f t="shared" si="50"/>
        <v/>
      </c>
      <c r="Y445" s="11" t="str">
        <f t="shared" si="50"/>
        <v/>
      </c>
      <c r="Z445" s="11" t="str">
        <f t="shared" si="50"/>
        <v/>
      </c>
      <c r="AA445" s="11" t="str">
        <f t="shared" si="50"/>
        <v/>
      </c>
      <c r="AB445" s="11" t="str">
        <f t="shared" si="50"/>
        <v/>
      </c>
      <c r="AC445" s="11" t="str">
        <f t="shared" si="50"/>
        <v/>
      </c>
      <c r="AD445" s="11" t="str">
        <f t="shared" si="50"/>
        <v/>
      </c>
      <c r="AE445" s="12" t="s">
        <v>27</v>
      </c>
    </row>
    <row r="446" spans="1:31" ht="18" customHeight="1" thickTop="1" thickBot="1" x14ac:dyDescent="0.3">
      <c r="A446" s="4" t="s">
        <v>793</v>
      </c>
      <c r="B446" s="4" t="s">
        <v>949</v>
      </c>
      <c r="C446" s="5" t="s">
        <v>794</v>
      </c>
      <c r="D446" s="5" t="s">
        <v>26</v>
      </c>
      <c r="E446" s="5" t="s">
        <v>27</v>
      </c>
      <c r="F446" s="5" t="s">
        <v>795</v>
      </c>
      <c r="G446" s="5" t="s">
        <v>16</v>
      </c>
      <c r="H446" s="6" t="s">
        <v>796</v>
      </c>
      <c r="I446" s="7" t="s">
        <v>38</v>
      </c>
      <c r="J446" s="8" t="s">
        <v>27</v>
      </c>
      <c r="K446" s="8">
        <v>0.43</v>
      </c>
      <c r="L446" s="8"/>
      <c r="M446" s="5"/>
      <c r="N446" s="8">
        <v>0.81307494173923711</v>
      </c>
      <c r="O446" s="9">
        <v>1.8908719575331099</v>
      </c>
      <c r="P446" s="10" t="s">
        <v>31</v>
      </c>
      <c r="Q446" s="10">
        <f t="shared" si="44"/>
        <v>0</v>
      </c>
      <c r="R446" s="10">
        <f t="shared" si="45"/>
        <v>1</v>
      </c>
      <c r="S446" s="10">
        <f t="shared" si="46"/>
        <v>1</v>
      </c>
      <c r="T446" s="10">
        <f t="shared" si="47"/>
        <v>0</v>
      </c>
      <c r="U446" s="11" t="str">
        <f t="shared" si="48"/>
        <v/>
      </c>
      <c r="V446" s="11">
        <f t="shared" si="50"/>
        <v>1</v>
      </c>
      <c r="W446" s="11" t="str">
        <f t="shared" si="50"/>
        <v/>
      </c>
      <c r="X446" s="11" t="str">
        <f t="shared" si="50"/>
        <v/>
      </c>
      <c r="Y446" s="11" t="str">
        <f t="shared" si="50"/>
        <v/>
      </c>
      <c r="Z446" s="11">
        <f t="shared" si="50"/>
        <v>1</v>
      </c>
      <c r="AA446" s="11" t="str">
        <f t="shared" si="50"/>
        <v/>
      </c>
      <c r="AB446" s="11" t="str">
        <f t="shared" si="50"/>
        <v/>
      </c>
      <c r="AC446" s="11" t="str">
        <f t="shared" si="50"/>
        <v/>
      </c>
      <c r="AD446" s="11">
        <f t="shared" si="50"/>
        <v>1</v>
      </c>
      <c r="AE446" s="12" t="s">
        <v>1067</v>
      </c>
    </row>
    <row r="447" spans="1:31" ht="18" customHeight="1" thickTop="1" thickBot="1" x14ac:dyDescent="0.3">
      <c r="A447" s="4" t="s">
        <v>793</v>
      </c>
      <c r="B447" s="4" t="s">
        <v>949</v>
      </c>
      <c r="C447" s="5" t="s">
        <v>794</v>
      </c>
      <c r="D447" s="5" t="s">
        <v>26</v>
      </c>
      <c r="E447" s="5" t="s">
        <v>36</v>
      </c>
      <c r="F447" s="5" t="s">
        <v>797</v>
      </c>
      <c r="G447" s="5" t="s">
        <v>16</v>
      </c>
      <c r="H447" s="6" t="s">
        <v>796</v>
      </c>
      <c r="I447" s="7" t="s">
        <v>38</v>
      </c>
      <c r="J447" s="8">
        <v>1.3333333333333333</v>
      </c>
      <c r="K447" s="8">
        <v>1</v>
      </c>
      <c r="L447" s="8"/>
      <c r="M447" s="5"/>
      <c r="N447" s="8">
        <v>0.96</v>
      </c>
      <c r="O447" s="9">
        <v>0.96</v>
      </c>
      <c r="P447" s="10" t="s">
        <v>27</v>
      </c>
      <c r="Q447" s="10">
        <f t="shared" si="44"/>
        <v>0</v>
      </c>
      <c r="R447" s="10">
        <f t="shared" si="45"/>
        <v>0</v>
      </c>
      <c r="S447" s="10">
        <f t="shared" si="46"/>
        <v>0</v>
      </c>
      <c r="T447" s="10">
        <f t="shared" si="47"/>
        <v>0</v>
      </c>
      <c r="U447" s="11" t="str">
        <f t="shared" si="48"/>
        <v/>
      </c>
      <c r="V447" s="11" t="str">
        <f t="shared" si="50"/>
        <v/>
      </c>
      <c r="W447" s="11" t="str">
        <f t="shared" si="50"/>
        <v/>
      </c>
      <c r="X447" s="11" t="str">
        <f t="shared" si="50"/>
        <v/>
      </c>
      <c r="Y447" s="11" t="str">
        <f t="shared" si="50"/>
        <v/>
      </c>
      <c r="Z447" s="11" t="str">
        <f t="shared" si="50"/>
        <v/>
      </c>
      <c r="AA447" s="11" t="str">
        <f t="shared" si="50"/>
        <v/>
      </c>
      <c r="AB447" s="11" t="str">
        <f t="shared" si="50"/>
        <v/>
      </c>
      <c r="AC447" s="11" t="str">
        <f t="shared" si="50"/>
        <v/>
      </c>
      <c r="AD447" s="11" t="str">
        <f t="shared" si="50"/>
        <v/>
      </c>
      <c r="AE447" s="12" t="s">
        <v>27</v>
      </c>
    </row>
    <row r="448" spans="1:31" ht="18" customHeight="1" thickTop="1" thickBot="1" x14ac:dyDescent="0.3">
      <c r="A448" s="4" t="s">
        <v>793</v>
      </c>
      <c r="B448" s="4" t="s">
        <v>949</v>
      </c>
      <c r="C448" s="5" t="s">
        <v>794</v>
      </c>
      <c r="D448" s="5" t="s">
        <v>26</v>
      </c>
      <c r="E448" s="5" t="s">
        <v>234</v>
      </c>
      <c r="F448" s="5" t="s">
        <v>798</v>
      </c>
      <c r="G448" s="5" t="s">
        <v>16</v>
      </c>
      <c r="H448" s="6" t="s">
        <v>796</v>
      </c>
      <c r="I448" s="7" t="s">
        <v>359</v>
      </c>
      <c r="J448" s="8" t="s">
        <v>27</v>
      </c>
      <c r="K448" s="8">
        <v>1</v>
      </c>
      <c r="L448" s="8"/>
      <c r="M448" s="5"/>
      <c r="N448" s="8">
        <v>0.99456521739130443</v>
      </c>
      <c r="O448" s="9">
        <v>0.99456521739130443</v>
      </c>
      <c r="P448" s="10" t="s">
        <v>27</v>
      </c>
      <c r="Q448" s="10">
        <f t="shared" si="44"/>
        <v>0</v>
      </c>
      <c r="R448" s="10">
        <f t="shared" si="45"/>
        <v>0</v>
      </c>
      <c r="S448" s="10">
        <f t="shared" si="46"/>
        <v>0</v>
      </c>
      <c r="T448" s="10">
        <f t="shared" si="47"/>
        <v>0</v>
      </c>
      <c r="U448" s="11" t="str">
        <f t="shared" si="48"/>
        <v/>
      </c>
      <c r="V448" s="11" t="str">
        <f t="shared" si="50"/>
        <v/>
      </c>
      <c r="W448" s="11" t="str">
        <f t="shared" si="50"/>
        <v/>
      </c>
      <c r="X448" s="11" t="str">
        <f t="shared" si="50"/>
        <v/>
      </c>
      <c r="Y448" s="11" t="str">
        <f t="shared" si="50"/>
        <v/>
      </c>
      <c r="Z448" s="11" t="str">
        <f t="shared" si="50"/>
        <v/>
      </c>
      <c r="AA448" s="11" t="str">
        <f t="shared" si="50"/>
        <v/>
      </c>
      <c r="AB448" s="11" t="str">
        <f t="shared" si="50"/>
        <v/>
      </c>
      <c r="AC448" s="11" t="str">
        <f t="shared" si="50"/>
        <v/>
      </c>
      <c r="AD448" s="11" t="str">
        <f t="shared" si="50"/>
        <v/>
      </c>
      <c r="AE448" s="12" t="s">
        <v>27</v>
      </c>
    </row>
    <row r="449" spans="1:31" ht="18" customHeight="1" thickTop="1" thickBot="1" x14ac:dyDescent="0.3">
      <c r="A449" s="4" t="s">
        <v>793</v>
      </c>
      <c r="B449" s="4" t="s">
        <v>949</v>
      </c>
      <c r="C449" s="5" t="s">
        <v>794</v>
      </c>
      <c r="D449" s="5" t="s">
        <v>26</v>
      </c>
      <c r="E449" s="5" t="s">
        <v>236</v>
      </c>
      <c r="F449" s="5" t="s">
        <v>799</v>
      </c>
      <c r="G449" s="5" t="s">
        <v>16</v>
      </c>
      <c r="H449" s="6" t="s">
        <v>796</v>
      </c>
      <c r="I449" s="7" t="s">
        <v>38</v>
      </c>
      <c r="J449" s="8" t="s">
        <v>27</v>
      </c>
      <c r="K449" s="8">
        <v>1</v>
      </c>
      <c r="L449" s="8"/>
      <c r="M449" s="5"/>
      <c r="N449" s="8">
        <v>0.86956521739130443</v>
      </c>
      <c r="O449" s="9">
        <v>0.86956521739130443</v>
      </c>
      <c r="P449" s="10" t="s">
        <v>27</v>
      </c>
      <c r="Q449" s="10">
        <f t="shared" si="44"/>
        <v>0</v>
      </c>
      <c r="R449" s="10">
        <f t="shared" si="45"/>
        <v>0</v>
      </c>
      <c r="S449" s="10">
        <f t="shared" si="46"/>
        <v>0</v>
      </c>
      <c r="T449" s="10">
        <f t="shared" si="47"/>
        <v>0</v>
      </c>
      <c r="U449" s="11" t="str">
        <f t="shared" si="48"/>
        <v/>
      </c>
      <c r="V449" s="11" t="str">
        <f t="shared" si="50"/>
        <v/>
      </c>
      <c r="W449" s="11" t="str">
        <f t="shared" si="50"/>
        <v/>
      </c>
      <c r="X449" s="11" t="str">
        <f t="shared" si="50"/>
        <v/>
      </c>
      <c r="Y449" s="11" t="str">
        <f t="shared" si="50"/>
        <v/>
      </c>
      <c r="Z449" s="11" t="str">
        <f t="shared" si="50"/>
        <v/>
      </c>
      <c r="AA449" s="11" t="str">
        <f t="shared" si="50"/>
        <v/>
      </c>
      <c r="AB449" s="11" t="str">
        <f t="shared" si="50"/>
        <v/>
      </c>
      <c r="AC449" s="11" t="str">
        <f t="shared" si="50"/>
        <v/>
      </c>
      <c r="AD449" s="11" t="str">
        <f t="shared" si="50"/>
        <v/>
      </c>
      <c r="AE449" s="12" t="s">
        <v>27</v>
      </c>
    </row>
    <row r="450" spans="1:31" ht="18" customHeight="1" thickTop="1" thickBot="1" x14ac:dyDescent="0.3">
      <c r="A450" s="4" t="s">
        <v>793</v>
      </c>
      <c r="B450" s="4" t="s">
        <v>949</v>
      </c>
      <c r="C450" s="5" t="s">
        <v>794</v>
      </c>
      <c r="D450" s="5" t="s">
        <v>26</v>
      </c>
      <c r="E450" s="5" t="s">
        <v>238</v>
      </c>
      <c r="F450" s="5" t="s">
        <v>800</v>
      </c>
      <c r="G450" s="5" t="s">
        <v>16</v>
      </c>
      <c r="H450" s="6" t="s">
        <v>796</v>
      </c>
      <c r="I450" s="7" t="s">
        <v>38</v>
      </c>
      <c r="J450" s="8" t="s">
        <v>27</v>
      </c>
      <c r="K450" s="8">
        <v>1</v>
      </c>
      <c r="L450" s="8"/>
      <c r="M450" s="5"/>
      <c r="N450" s="8">
        <v>0.95</v>
      </c>
      <c r="O450" s="9">
        <v>0.95000000000000007</v>
      </c>
      <c r="P450" s="10" t="s">
        <v>27</v>
      </c>
      <c r="Q450" s="10">
        <f t="shared" si="44"/>
        <v>0</v>
      </c>
      <c r="R450" s="10">
        <f t="shared" si="45"/>
        <v>0</v>
      </c>
      <c r="S450" s="10">
        <f t="shared" si="46"/>
        <v>0</v>
      </c>
      <c r="T450" s="10">
        <f t="shared" si="47"/>
        <v>0</v>
      </c>
      <c r="U450" s="11" t="str">
        <f t="shared" si="48"/>
        <v/>
      </c>
      <c r="V450" s="11" t="str">
        <f t="shared" si="50"/>
        <v/>
      </c>
      <c r="W450" s="11" t="str">
        <f t="shared" si="50"/>
        <v/>
      </c>
      <c r="X450" s="11" t="str">
        <f t="shared" si="50"/>
        <v/>
      </c>
      <c r="Y450" s="11" t="str">
        <f t="shared" si="50"/>
        <v/>
      </c>
      <c r="Z450" s="11" t="str">
        <f t="shared" si="50"/>
        <v/>
      </c>
      <c r="AA450" s="11" t="str">
        <f t="shared" si="50"/>
        <v/>
      </c>
      <c r="AB450" s="11" t="str">
        <f t="shared" si="50"/>
        <v/>
      </c>
      <c r="AC450" s="11" t="str">
        <f t="shared" si="50"/>
        <v/>
      </c>
      <c r="AD450" s="11" t="str">
        <f t="shared" si="50"/>
        <v/>
      </c>
      <c r="AE450" s="12" t="s">
        <v>27</v>
      </c>
    </row>
    <row r="451" spans="1:31" ht="18" customHeight="1" thickTop="1" thickBot="1" x14ac:dyDescent="0.3">
      <c r="A451" s="4" t="s">
        <v>793</v>
      </c>
      <c r="B451" s="4" t="s">
        <v>949</v>
      </c>
      <c r="C451" s="5" t="s">
        <v>794</v>
      </c>
      <c r="D451" s="5" t="s">
        <v>26</v>
      </c>
      <c r="E451" s="5" t="s">
        <v>500</v>
      </c>
      <c r="F451" s="5" t="s">
        <v>801</v>
      </c>
      <c r="G451" s="5" t="s">
        <v>16</v>
      </c>
      <c r="H451" s="6" t="s">
        <v>796</v>
      </c>
      <c r="I451" s="7" t="s">
        <v>38</v>
      </c>
      <c r="J451" s="8">
        <v>1.4</v>
      </c>
      <c r="K451" s="8">
        <v>1</v>
      </c>
      <c r="L451" s="8"/>
      <c r="M451" s="5"/>
      <c r="N451" s="8">
        <v>1.1355932203389829</v>
      </c>
      <c r="O451" s="9">
        <v>1.1355932203389831</v>
      </c>
      <c r="P451" s="10" t="s">
        <v>27</v>
      </c>
      <c r="Q451" s="10">
        <f t="shared" si="44"/>
        <v>0</v>
      </c>
      <c r="R451" s="10">
        <f t="shared" si="45"/>
        <v>0</v>
      </c>
      <c r="S451" s="10">
        <f t="shared" si="46"/>
        <v>0</v>
      </c>
      <c r="T451" s="10">
        <f t="shared" si="47"/>
        <v>0</v>
      </c>
      <c r="U451" s="11" t="str">
        <f t="shared" si="48"/>
        <v/>
      </c>
      <c r="V451" s="11" t="str">
        <f t="shared" si="50"/>
        <v/>
      </c>
      <c r="W451" s="11" t="str">
        <f t="shared" si="50"/>
        <v/>
      </c>
      <c r="X451" s="11" t="str">
        <f t="shared" si="50"/>
        <v/>
      </c>
      <c r="Y451" s="11" t="str">
        <f t="shared" si="50"/>
        <v/>
      </c>
      <c r="Z451" s="11" t="str">
        <f t="shared" si="50"/>
        <v/>
      </c>
      <c r="AA451" s="11" t="str">
        <f t="shared" si="50"/>
        <v/>
      </c>
      <c r="AB451" s="11" t="str">
        <f t="shared" si="50"/>
        <v/>
      </c>
      <c r="AC451" s="11" t="str">
        <f t="shared" si="50"/>
        <v/>
      </c>
      <c r="AD451" s="11" t="str">
        <f t="shared" si="50"/>
        <v/>
      </c>
      <c r="AE451" s="12" t="s">
        <v>27</v>
      </c>
    </row>
    <row r="452" spans="1:31" ht="18" customHeight="1" thickTop="1" thickBot="1" x14ac:dyDescent="0.3">
      <c r="A452" s="4" t="s">
        <v>793</v>
      </c>
      <c r="B452" s="4" t="s">
        <v>949</v>
      </c>
      <c r="C452" s="5" t="s">
        <v>794</v>
      </c>
      <c r="D452" s="5" t="s">
        <v>26</v>
      </c>
      <c r="E452" s="5" t="s">
        <v>40</v>
      </c>
      <c r="F452" s="5" t="s">
        <v>802</v>
      </c>
      <c r="G452" s="5" t="s">
        <v>16</v>
      </c>
      <c r="H452" s="6" t="s">
        <v>796</v>
      </c>
      <c r="I452" s="7" t="s">
        <v>38</v>
      </c>
      <c r="J452" s="8">
        <v>1.0833333333333333</v>
      </c>
      <c r="K452" s="8">
        <v>1</v>
      </c>
      <c r="L452" s="8"/>
      <c r="M452" s="5"/>
      <c r="N452" s="8">
        <v>1</v>
      </c>
      <c r="O452" s="9">
        <v>1</v>
      </c>
      <c r="P452" s="10" t="s">
        <v>27</v>
      </c>
      <c r="Q452" s="10">
        <f t="shared" si="44"/>
        <v>0</v>
      </c>
      <c r="R452" s="10">
        <f t="shared" si="45"/>
        <v>0</v>
      </c>
      <c r="S452" s="10">
        <f t="shared" si="46"/>
        <v>0</v>
      </c>
      <c r="T452" s="10">
        <f t="shared" si="47"/>
        <v>0</v>
      </c>
      <c r="U452" s="11" t="str">
        <f t="shared" si="48"/>
        <v/>
      </c>
      <c r="V452" s="11" t="str">
        <f t="shared" si="50"/>
        <v/>
      </c>
      <c r="W452" s="11" t="str">
        <f t="shared" si="50"/>
        <v/>
      </c>
      <c r="X452" s="11" t="str">
        <f t="shared" si="50"/>
        <v/>
      </c>
      <c r="Y452" s="11" t="str">
        <f t="shared" si="50"/>
        <v/>
      </c>
      <c r="Z452" s="11" t="str">
        <f t="shared" si="50"/>
        <v/>
      </c>
      <c r="AA452" s="11" t="str">
        <f t="shared" si="50"/>
        <v/>
      </c>
      <c r="AB452" s="11" t="str">
        <f t="shared" si="50"/>
        <v/>
      </c>
      <c r="AC452" s="11" t="str">
        <f t="shared" si="50"/>
        <v/>
      </c>
      <c r="AD452" s="11" t="str">
        <f t="shared" si="50"/>
        <v/>
      </c>
      <c r="AE452" s="12" t="s">
        <v>27</v>
      </c>
    </row>
    <row r="453" spans="1:31" ht="18" customHeight="1" thickTop="1" thickBot="1" x14ac:dyDescent="0.3">
      <c r="A453" s="4" t="s">
        <v>793</v>
      </c>
      <c r="B453" s="4" t="s">
        <v>949</v>
      </c>
      <c r="C453" s="5" t="s">
        <v>794</v>
      </c>
      <c r="D453" s="5" t="s">
        <v>26</v>
      </c>
      <c r="E453" s="5" t="s">
        <v>69</v>
      </c>
      <c r="F453" s="5" t="s">
        <v>803</v>
      </c>
      <c r="G453" s="5" t="s">
        <v>16</v>
      </c>
      <c r="H453" s="6" t="s">
        <v>796</v>
      </c>
      <c r="I453" s="7" t="s">
        <v>38</v>
      </c>
      <c r="J453" s="8">
        <v>1.3076923076923077</v>
      </c>
      <c r="K453" s="8">
        <v>1</v>
      </c>
      <c r="L453" s="8"/>
      <c r="M453" s="5"/>
      <c r="N453" s="8">
        <v>1.064516129032258</v>
      </c>
      <c r="O453" s="9">
        <v>1.064516129032258</v>
      </c>
      <c r="P453" s="10" t="s">
        <v>27</v>
      </c>
      <c r="Q453" s="10">
        <f t="shared" ref="Q453:Q516" si="51">IF(K453&gt;1.5,1,0)</f>
        <v>0</v>
      </c>
      <c r="R453" s="10">
        <f t="shared" ref="R453:R516" si="52">IF(K453&lt;0.5,1,0)</f>
        <v>0</v>
      </c>
      <c r="S453" s="10">
        <f t="shared" ref="S453:S516" si="53">IF(O453&gt;1.5,1,0)</f>
        <v>0</v>
      </c>
      <c r="T453" s="10">
        <f t="shared" ref="T453:T516" si="54">IF(O453&lt;0.5,1,0)</f>
        <v>0</v>
      </c>
      <c r="U453" s="11" t="str">
        <f t="shared" si="48"/>
        <v/>
      </c>
      <c r="V453" s="11" t="str">
        <f t="shared" si="50"/>
        <v/>
      </c>
      <c r="W453" s="11" t="str">
        <f t="shared" si="50"/>
        <v/>
      </c>
      <c r="X453" s="11" t="str">
        <f t="shared" si="50"/>
        <v/>
      </c>
      <c r="Y453" s="11" t="str">
        <f t="shared" si="50"/>
        <v/>
      </c>
      <c r="Z453" s="11" t="str">
        <f t="shared" si="50"/>
        <v/>
      </c>
      <c r="AA453" s="11" t="str">
        <f t="shared" si="50"/>
        <v/>
      </c>
      <c r="AB453" s="11" t="str">
        <f t="shared" si="50"/>
        <v/>
      </c>
      <c r="AC453" s="11" t="str">
        <f t="shared" si="50"/>
        <v/>
      </c>
      <c r="AD453" s="11" t="str">
        <f t="shared" si="50"/>
        <v/>
      </c>
      <c r="AE453" s="12" t="s">
        <v>27</v>
      </c>
    </row>
    <row r="454" spans="1:31" ht="18" customHeight="1" thickTop="1" thickBot="1" x14ac:dyDescent="0.3">
      <c r="A454" s="4" t="s">
        <v>793</v>
      </c>
      <c r="B454" s="4" t="s">
        <v>949</v>
      </c>
      <c r="C454" s="5" t="s">
        <v>794</v>
      </c>
      <c r="D454" s="5" t="s">
        <v>26</v>
      </c>
      <c r="E454" s="5" t="s">
        <v>71</v>
      </c>
      <c r="F454" s="5" t="s">
        <v>804</v>
      </c>
      <c r="G454" s="5" t="s">
        <v>16</v>
      </c>
      <c r="H454" s="6" t="s">
        <v>796</v>
      </c>
      <c r="I454" s="7" t="s">
        <v>38</v>
      </c>
      <c r="J454" s="8">
        <v>1</v>
      </c>
      <c r="K454" s="8">
        <v>1</v>
      </c>
      <c r="L454" s="8"/>
      <c r="M454" s="5"/>
      <c r="N454" s="8">
        <v>0.92307692307692302</v>
      </c>
      <c r="O454" s="9">
        <v>0.92307692307692302</v>
      </c>
      <c r="P454" s="10" t="s">
        <v>27</v>
      </c>
      <c r="Q454" s="10">
        <f t="shared" si="51"/>
        <v>0</v>
      </c>
      <c r="R454" s="10">
        <f t="shared" si="52"/>
        <v>0</v>
      </c>
      <c r="S454" s="10">
        <f t="shared" si="53"/>
        <v>0</v>
      </c>
      <c r="T454" s="10">
        <f t="shared" si="54"/>
        <v>0</v>
      </c>
      <c r="U454" s="11" t="str">
        <f t="shared" ref="U454:U517" si="55">IF(ISNUMBER(SEARCH(U$3,$AE454)), 1,"")</f>
        <v/>
      </c>
      <c r="V454" s="11" t="str">
        <f t="shared" si="50"/>
        <v/>
      </c>
      <c r="W454" s="11" t="str">
        <f t="shared" si="50"/>
        <v/>
      </c>
      <c r="X454" s="11" t="str">
        <f t="shared" si="50"/>
        <v/>
      </c>
      <c r="Y454" s="11" t="str">
        <f t="shared" si="50"/>
        <v/>
      </c>
      <c r="Z454" s="11" t="str">
        <f t="shared" si="50"/>
        <v/>
      </c>
      <c r="AA454" s="11" t="str">
        <f t="shared" si="50"/>
        <v/>
      </c>
      <c r="AB454" s="11" t="str">
        <f t="shared" si="50"/>
        <v/>
      </c>
      <c r="AC454" s="11" t="str">
        <f t="shared" si="50"/>
        <v/>
      </c>
      <c r="AD454" s="11" t="str">
        <f t="shared" si="50"/>
        <v/>
      </c>
      <c r="AE454" s="12" t="s">
        <v>27</v>
      </c>
    </row>
    <row r="455" spans="1:31" ht="18" customHeight="1" thickTop="1" thickBot="1" x14ac:dyDescent="0.3">
      <c r="A455" s="4" t="s">
        <v>793</v>
      </c>
      <c r="B455" s="4" t="s">
        <v>949</v>
      </c>
      <c r="C455" s="5" t="s">
        <v>794</v>
      </c>
      <c r="D455" s="5" t="s">
        <v>26</v>
      </c>
      <c r="E455" s="5" t="s">
        <v>141</v>
      </c>
      <c r="F455" s="5" t="s">
        <v>805</v>
      </c>
      <c r="G455" s="5" t="s">
        <v>16</v>
      </c>
      <c r="H455" s="6" t="s">
        <v>796</v>
      </c>
      <c r="I455" s="7" t="s">
        <v>38</v>
      </c>
      <c r="J455" s="8">
        <v>1</v>
      </c>
      <c r="K455" s="8">
        <v>1</v>
      </c>
      <c r="L455" s="8"/>
      <c r="M455" s="5"/>
      <c r="N455" s="8">
        <v>1</v>
      </c>
      <c r="O455" s="9">
        <v>1</v>
      </c>
      <c r="P455" s="10" t="s">
        <v>27</v>
      </c>
      <c r="Q455" s="10">
        <f t="shared" si="51"/>
        <v>0</v>
      </c>
      <c r="R455" s="10">
        <f t="shared" si="52"/>
        <v>0</v>
      </c>
      <c r="S455" s="10">
        <f t="shared" si="53"/>
        <v>0</v>
      </c>
      <c r="T455" s="10">
        <f t="shared" si="54"/>
        <v>0</v>
      </c>
      <c r="U455" s="11" t="str">
        <f t="shared" si="55"/>
        <v/>
      </c>
      <c r="V455" s="11" t="str">
        <f t="shared" si="50"/>
        <v/>
      </c>
      <c r="W455" s="11" t="str">
        <f t="shared" si="50"/>
        <v/>
      </c>
      <c r="X455" s="11" t="str">
        <f t="shared" si="50"/>
        <v/>
      </c>
      <c r="Y455" s="11" t="str">
        <f t="shared" si="50"/>
        <v/>
      </c>
      <c r="Z455" s="11" t="str">
        <f t="shared" si="50"/>
        <v/>
      </c>
      <c r="AA455" s="11" t="str">
        <f t="shared" si="50"/>
        <v/>
      </c>
      <c r="AB455" s="11" t="str">
        <f t="shared" si="50"/>
        <v/>
      </c>
      <c r="AC455" s="11" t="str">
        <f t="shared" si="50"/>
        <v/>
      </c>
      <c r="AD455" s="11" t="str">
        <f t="shared" si="50"/>
        <v/>
      </c>
      <c r="AE455" s="12" t="s">
        <v>27</v>
      </c>
    </row>
    <row r="456" spans="1:31" ht="18" customHeight="1" thickTop="1" thickBot="1" x14ac:dyDescent="0.3">
      <c r="A456" s="4" t="s">
        <v>793</v>
      </c>
      <c r="B456" s="4" t="s">
        <v>949</v>
      </c>
      <c r="C456" s="5" t="s">
        <v>794</v>
      </c>
      <c r="D456" s="5" t="s">
        <v>26</v>
      </c>
      <c r="E456" s="5" t="s">
        <v>143</v>
      </c>
      <c r="F456" s="5" t="s">
        <v>806</v>
      </c>
      <c r="G456" s="5" t="s">
        <v>16</v>
      </c>
      <c r="H456" s="6" t="s">
        <v>796</v>
      </c>
      <c r="I456" s="7" t="s">
        <v>38</v>
      </c>
      <c r="J456" s="8" t="s">
        <v>27</v>
      </c>
      <c r="K456" s="8">
        <v>1</v>
      </c>
      <c r="L456" s="8"/>
      <c r="M456" s="5"/>
      <c r="N456" s="8">
        <v>0.8928571428571429</v>
      </c>
      <c r="O456" s="9">
        <v>0.8928571428571429</v>
      </c>
      <c r="P456" s="10" t="s">
        <v>27</v>
      </c>
      <c r="Q456" s="10">
        <f t="shared" si="51"/>
        <v>0</v>
      </c>
      <c r="R456" s="10">
        <f t="shared" si="52"/>
        <v>0</v>
      </c>
      <c r="S456" s="10">
        <f t="shared" si="53"/>
        <v>0</v>
      </c>
      <c r="T456" s="10">
        <f t="shared" si="54"/>
        <v>0</v>
      </c>
      <c r="U456" s="11" t="str">
        <f t="shared" si="55"/>
        <v/>
      </c>
      <c r="V456" s="11" t="str">
        <f t="shared" si="50"/>
        <v/>
      </c>
      <c r="W456" s="11" t="str">
        <f t="shared" si="50"/>
        <v/>
      </c>
      <c r="X456" s="11" t="str">
        <f t="shared" si="50"/>
        <v/>
      </c>
      <c r="Y456" s="11" t="str">
        <f t="shared" si="50"/>
        <v/>
      </c>
      <c r="Z456" s="11" t="str">
        <f t="shared" si="50"/>
        <v/>
      </c>
      <c r="AA456" s="11" t="str">
        <f t="shared" si="50"/>
        <v/>
      </c>
      <c r="AB456" s="11" t="str">
        <f t="shared" si="50"/>
        <v/>
      </c>
      <c r="AC456" s="11" t="str">
        <f t="shared" si="50"/>
        <v/>
      </c>
      <c r="AD456" s="11" t="str">
        <f t="shared" si="50"/>
        <v/>
      </c>
      <c r="AE456" s="12" t="s">
        <v>27</v>
      </c>
    </row>
    <row r="457" spans="1:31" ht="18" customHeight="1" thickTop="1" thickBot="1" x14ac:dyDescent="0.3">
      <c r="A457" s="4" t="s">
        <v>793</v>
      </c>
      <c r="B457" s="4" t="s">
        <v>949</v>
      </c>
      <c r="C457" s="5" t="s">
        <v>794</v>
      </c>
      <c r="D457" s="5" t="s">
        <v>26</v>
      </c>
      <c r="E457" s="5" t="s">
        <v>245</v>
      </c>
      <c r="F457" s="5" t="s">
        <v>807</v>
      </c>
      <c r="G457" s="5" t="s">
        <v>16</v>
      </c>
      <c r="H457" s="6" t="s">
        <v>796</v>
      </c>
      <c r="I457" s="7" t="s">
        <v>38</v>
      </c>
      <c r="J457" s="8">
        <v>0.9</v>
      </c>
      <c r="K457" s="8">
        <v>1</v>
      </c>
      <c r="L457" s="8"/>
      <c r="M457" s="5"/>
      <c r="N457" s="8">
        <v>0.97142857142857142</v>
      </c>
      <c r="O457" s="9">
        <v>0.97142857142857131</v>
      </c>
      <c r="P457" s="10" t="s">
        <v>27</v>
      </c>
      <c r="Q457" s="10">
        <f t="shared" si="51"/>
        <v>0</v>
      </c>
      <c r="R457" s="10">
        <f t="shared" si="52"/>
        <v>0</v>
      </c>
      <c r="S457" s="10">
        <f t="shared" si="53"/>
        <v>0</v>
      </c>
      <c r="T457" s="10">
        <f t="shared" si="54"/>
        <v>0</v>
      </c>
      <c r="U457" s="11" t="str">
        <f t="shared" si="55"/>
        <v/>
      </c>
      <c r="V457" s="11" t="str">
        <f t="shared" si="50"/>
        <v/>
      </c>
      <c r="W457" s="11" t="str">
        <f t="shared" si="50"/>
        <v/>
      </c>
      <c r="X457" s="11" t="str">
        <f t="shared" si="50"/>
        <v/>
      </c>
      <c r="Y457" s="11" t="str">
        <f t="shared" si="50"/>
        <v/>
      </c>
      <c r="Z457" s="11" t="str">
        <f t="shared" si="50"/>
        <v/>
      </c>
      <c r="AA457" s="11" t="str">
        <f t="shared" si="50"/>
        <v/>
      </c>
      <c r="AB457" s="11" t="str">
        <f t="shared" si="50"/>
        <v/>
      </c>
      <c r="AC457" s="11" t="str">
        <f t="shared" si="50"/>
        <v/>
      </c>
      <c r="AD457" s="11" t="str">
        <f t="shared" si="50"/>
        <v/>
      </c>
      <c r="AE457" s="12" t="s">
        <v>27</v>
      </c>
    </row>
    <row r="458" spans="1:31" ht="18" customHeight="1" thickTop="1" thickBot="1" x14ac:dyDescent="0.3">
      <c r="A458" s="4" t="s">
        <v>793</v>
      </c>
      <c r="B458" s="4" t="s">
        <v>949</v>
      </c>
      <c r="C458" s="5" t="s">
        <v>794</v>
      </c>
      <c r="D458" s="5" t="s">
        <v>26</v>
      </c>
      <c r="E458" s="5" t="s">
        <v>247</v>
      </c>
      <c r="F458" s="5" t="s">
        <v>808</v>
      </c>
      <c r="G458" s="5" t="s">
        <v>16</v>
      </c>
      <c r="H458" s="6" t="s">
        <v>796</v>
      </c>
      <c r="I458" s="7" t="s">
        <v>38</v>
      </c>
      <c r="J458" s="8" t="s">
        <v>27</v>
      </c>
      <c r="K458" s="8">
        <v>1</v>
      </c>
      <c r="L458" s="8"/>
      <c r="M458" s="5"/>
      <c r="N458" s="8">
        <v>1.1428571428571428</v>
      </c>
      <c r="O458" s="9">
        <v>1.1428571428571428</v>
      </c>
      <c r="P458" s="10" t="s">
        <v>27</v>
      </c>
      <c r="Q458" s="10">
        <f t="shared" si="51"/>
        <v>0</v>
      </c>
      <c r="R458" s="10">
        <f t="shared" si="52"/>
        <v>0</v>
      </c>
      <c r="S458" s="10">
        <f t="shared" si="53"/>
        <v>0</v>
      </c>
      <c r="T458" s="10">
        <f t="shared" si="54"/>
        <v>0</v>
      </c>
      <c r="U458" s="11" t="str">
        <f t="shared" si="55"/>
        <v/>
      </c>
      <c r="V458" s="11" t="str">
        <f t="shared" si="50"/>
        <v/>
      </c>
      <c r="W458" s="11" t="str">
        <f t="shared" si="50"/>
        <v/>
      </c>
      <c r="X458" s="11" t="str">
        <f t="shared" si="50"/>
        <v/>
      </c>
      <c r="Y458" s="11" t="str">
        <f t="shared" si="50"/>
        <v/>
      </c>
      <c r="Z458" s="11" t="str">
        <f t="shared" si="50"/>
        <v/>
      </c>
      <c r="AA458" s="11" t="str">
        <f t="shared" si="50"/>
        <v/>
      </c>
      <c r="AB458" s="11" t="str">
        <f t="shared" si="50"/>
        <v/>
      </c>
      <c r="AC458" s="11" t="str">
        <f t="shared" si="50"/>
        <v/>
      </c>
      <c r="AD458" s="11" t="str">
        <f t="shared" si="50"/>
        <v/>
      </c>
      <c r="AE458" s="12" t="s">
        <v>27</v>
      </c>
    </row>
    <row r="459" spans="1:31" ht="18" customHeight="1" thickTop="1" thickBot="1" x14ac:dyDescent="0.3">
      <c r="A459" s="4" t="s">
        <v>793</v>
      </c>
      <c r="B459" s="4" t="s">
        <v>949</v>
      </c>
      <c r="C459" s="5" t="s">
        <v>794</v>
      </c>
      <c r="D459" s="5" t="s">
        <v>26</v>
      </c>
      <c r="E459" s="5" t="s">
        <v>249</v>
      </c>
      <c r="F459" s="5" t="s">
        <v>809</v>
      </c>
      <c r="G459" s="5" t="s">
        <v>16</v>
      </c>
      <c r="H459" s="6" t="s">
        <v>796</v>
      </c>
      <c r="I459" s="7" t="s">
        <v>359</v>
      </c>
      <c r="J459" s="8" t="s">
        <v>27</v>
      </c>
      <c r="K459" s="8">
        <v>1</v>
      </c>
      <c r="L459" s="8"/>
      <c r="M459" s="5"/>
      <c r="N459" s="8">
        <v>0.99456521739130443</v>
      </c>
      <c r="O459" s="9">
        <v>0.99456521739130443</v>
      </c>
      <c r="P459" s="10" t="s">
        <v>27</v>
      </c>
      <c r="Q459" s="10">
        <f t="shared" si="51"/>
        <v>0</v>
      </c>
      <c r="R459" s="10">
        <f t="shared" si="52"/>
        <v>0</v>
      </c>
      <c r="S459" s="10">
        <f t="shared" si="53"/>
        <v>0</v>
      </c>
      <c r="T459" s="10">
        <f t="shared" si="54"/>
        <v>0</v>
      </c>
      <c r="U459" s="11" t="str">
        <f t="shared" si="55"/>
        <v/>
      </c>
      <c r="V459" s="11" t="str">
        <f t="shared" si="50"/>
        <v/>
      </c>
      <c r="W459" s="11" t="str">
        <f t="shared" si="50"/>
        <v/>
      </c>
      <c r="X459" s="11" t="str">
        <f t="shared" si="50"/>
        <v/>
      </c>
      <c r="Y459" s="11" t="str">
        <f t="shared" si="50"/>
        <v/>
      </c>
      <c r="Z459" s="11" t="str">
        <f t="shared" si="50"/>
        <v/>
      </c>
      <c r="AA459" s="11" t="str">
        <f t="shared" si="50"/>
        <v/>
      </c>
      <c r="AB459" s="11" t="str">
        <f t="shared" si="50"/>
        <v/>
      </c>
      <c r="AC459" s="11" t="str">
        <f t="shared" si="50"/>
        <v/>
      </c>
      <c r="AD459" s="11" t="str">
        <f t="shared" si="50"/>
        <v/>
      </c>
      <c r="AE459" s="12" t="s">
        <v>27</v>
      </c>
    </row>
    <row r="460" spans="1:31" ht="18" customHeight="1" thickTop="1" thickBot="1" x14ac:dyDescent="0.3">
      <c r="A460" s="4" t="s">
        <v>793</v>
      </c>
      <c r="B460" s="4" t="s">
        <v>949</v>
      </c>
      <c r="C460" s="5" t="s">
        <v>794</v>
      </c>
      <c r="D460" s="5" t="s">
        <v>42</v>
      </c>
      <c r="E460" s="5" t="s">
        <v>27</v>
      </c>
      <c r="F460" s="5" t="s">
        <v>810</v>
      </c>
      <c r="G460" s="5" t="s">
        <v>16</v>
      </c>
      <c r="H460" s="6" t="s">
        <v>796</v>
      </c>
      <c r="I460" s="7" t="s">
        <v>56</v>
      </c>
      <c r="J460" s="8" t="s">
        <v>27</v>
      </c>
      <c r="K460" s="8">
        <v>1.0581497797356827</v>
      </c>
      <c r="L460" s="8"/>
      <c r="M460" s="5"/>
      <c r="N460" s="8">
        <v>1.173571953910272</v>
      </c>
      <c r="O460" s="9">
        <v>1.1090792403731546</v>
      </c>
      <c r="P460" s="10" t="s">
        <v>27</v>
      </c>
      <c r="Q460" s="10">
        <f t="shared" si="51"/>
        <v>0</v>
      </c>
      <c r="R460" s="10">
        <f t="shared" si="52"/>
        <v>0</v>
      </c>
      <c r="S460" s="10">
        <f t="shared" si="53"/>
        <v>0</v>
      </c>
      <c r="T460" s="10">
        <f t="shared" si="54"/>
        <v>0</v>
      </c>
      <c r="U460" s="11" t="str">
        <f t="shared" si="55"/>
        <v/>
      </c>
      <c r="V460" s="11" t="str">
        <f t="shared" si="50"/>
        <v/>
      </c>
      <c r="W460" s="11" t="str">
        <f t="shared" si="50"/>
        <v/>
      </c>
      <c r="X460" s="11" t="str">
        <f t="shared" si="50"/>
        <v/>
      </c>
      <c r="Y460" s="11" t="str">
        <f t="shared" si="50"/>
        <v/>
      </c>
      <c r="Z460" s="11" t="str">
        <f t="shared" si="50"/>
        <v/>
      </c>
      <c r="AA460" s="11" t="str">
        <f t="shared" si="50"/>
        <v/>
      </c>
      <c r="AB460" s="11" t="str">
        <f t="shared" si="50"/>
        <v/>
      </c>
      <c r="AC460" s="11" t="str">
        <f t="shared" si="50"/>
        <v/>
      </c>
      <c r="AD460" s="11" t="str">
        <f t="shared" si="50"/>
        <v/>
      </c>
      <c r="AE460" s="12" t="s">
        <v>27</v>
      </c>
    </row>
    <row r="461" spans="1:31" ht="18" customHeight="1" thickTop="1" thickBot="1" x14ac:dyDescent="0.3">
      <c r="A461" s="4" t="s">
        <v>793</v>
      </c>
      <c r="B461" s="4" t="s">
        <v>949</v>
      </c>
      <c r="C461" s="5" t="s">
        <v>794</v>
      </c>
      <c r="D461" s="5" t="s">
        <v>42</v>
      </c>
      <c r="E461" s="5" t="s">
        <v>36</v>
      </c>
      <c r="F461" s="5" t="s">
        <v>811</v>
      </c>
      <c r="G461" s="5" t="s">
        <v>16</v>
      </c>
      <c r="H461" s="6" t="s">
        <v>796</v>
      </c>
      <c r="I461" s="7" t="s">
        <v>56</v>
      </c>
      <c r="J461" s="8" t="s">
        <v>27</v>
      </c>
      <c r="K461" s="8">
        <v>1</v>
      </c>
      <c r="L461" s="8"/>
      <c r="M461" s="5"/>
      <c r="N461" s="8">
        <v>1.1661891117478511</v>
      </c>
      <c r="O461" s="9">
        <v>1.1661891117478511</v>
      </c>
      <c r="P461" s="10" t="s">
        <v>27</v>
      </c>
      <c r="Q461" s="10">
        <f t="shared" si="51"/>
        <v>0</v>
      </c>
      <c r="R461" s="10">
        <f t="shared" si="52"/>
        <v>0</v>
      </c>
      <c r="S461" s="10">
        <f t="shared" si="53"/>
        <v>0</v>
      </c>
      <c r="T461" s="10">
        <f t="shared" si="54"/>
        <v>0</v>
      </c>
      <c r="U461" s="11" t="str">
        <f t="shared" si="55"/>
        <v/>
      </c>
      <c r="V461" s="11" t="str">
        <f t="shared" si="50"/>
        <v/>
      </c>
      <c r="W461" s="11" t="str">
        <f t="shared" si="50"/>
        <v/>
      </c>
      <c r="X461" s="11" t="str">
        <f t="shared" si="50"/>
        <v/>
      </c>
      <c r="Y461" s="11" t="str">
        <f t="shared" si="50"/>
        <v/>
      </c>
      <c r="Z461" s="11" t="str">
        <f t="shared" si="50"/>
        <v/>
      </c>
      <c r="AA461" s="11" t="str">
        <f t="shared" si="50"/>
        <v/>
      </c>
      <c r="AB461" s="11" t="str">
        <f t="shared" si="50"/>
        <v/>
      </c>
      <c r="AC461" s="11" t="str">
        <f t="shared" si="50"/>
        <v/>
      </c>
      <c r="AD461" s="11" t="str">
        <f t="shared" si="50"/>
        <v/>
      </c>
      <c r="AE461" s="12" t="s">
        <v>27</v>
      </c>
    </row>
    <row r="462" spans="1:31" ht="18" customHeight="1" thickTop="1" thickBot="1" x14ac:dyDescent="0.3">
      <c r="A462" s="4" t="s">
        <v>793</v>
      </c>
      <c r="B462" s="4" t="s">
        <v>949</v>
      </c>
      <c r="C462" s="5" t="s">
        <v>794</v>
      </c>
      <c r="D462" s="5" t="s">
        <v>42</v>
      </c>
      <c r="E462" s="5" t="s">
        <v>40</v>
      </c>
      <c r="F462" s="5" t="s">
        <v>812</v>
      </c>
      <c r="G462" s="5" t="s">
        <v>16</v>
      </c>
      <c r="H462" s="6" t="s">
        <v>796</v>
      </c>
      <c r="I462" s="7" t="s">
        <v>359</v>
      </c>
      <c r="J462" s="8" t="s">
        <v>27</v>
      </c>
      <c r="K462" s="8">
        <v>1</v>
      </c>
      <c r="L462" s="8"/>
      <c r="M462" s="5"/>
      <c r="N462" s="8">
        <v>1</v>
      </c>
      <c r="O462" s="9">
        <v>1</v>
      </c>
      <c r="P462" s="10" t="s">
        <v>27</v>
      </c>
      <c r="Q462" s="10">
        <f t="shared" si="51"/>
        <v>0</v>
      </c>
      <c r="R462" s="10">
        <f t="shared" si="52"/>
        <v>0</v>
      </c>
      <c r="S462" s="10">
        <f t="shared" si="53"/>
        <v>0</v>
      </c>
      <c r="T462" s="10">
        <f t="shared" si="54"/>
        <v>0</v>
      </c>
      <c r="U462" s="11" t="str">
        <f t="shared" si="55"/>
        <v/>
      </c>
      <c r="V462" s="11" t="str">
        <f t="shared" si="50"/>
        <v/>
      </c>
      <c r="W462" s="11" t="str">
        <f t="shared" si="50"/>
        <v/>
      </c>
      <c r="X462" s="11" t="str">
        <f t="shared" si="50"/>
        <v/>
      </c>
      <c r="Y462" s="11" t="str">
        <f t="shared" si="50"/>
        <v/>
      </c>
      <c r="Z462" s="11" t="str">
        <f t="shared" si="50"/>
        <v/>
      </c>
      <c r="AA462" s="11" t="str">
        <f t="shared" si="50"/>
        <v/>
      </c>
      <c r="AB462" s="11" t="str">
        <f t="shared" si="50"/>
        <v/>
      </c>
      <c r="AC462" s="11" t="str">
        <f t="shared" si="50"/>
        <v/>
      </c>
      <c r="AD462" s="11" t="str">
        <f t="shared" si="50"/>
        <v/>
      </c>
      <c r="AE462" s="12" t="s">
        <v>27</v>
      </c>
    </row>
    <row r="463" spans="1:31" ht="18" customHeight="1" thickTop="1" thickBot="1" x14ac:dyDescent="0.3">
      <c r="A463" s="4" t="s">
        <v>793</v>
      </c>
      <c r="B463" s="4" t="s">
        <v>949</v>
      </c>
      <c r="C463" s="5" t="s">
        <v>794</v>
      </c>
      <c r="D463" s="5" t="s">
        <v>42</v>
      </c>
      <c r="E463" s="5" t="s">
        <v>69</v>
      </c>
      <c r="F463" s="5" t="s">
        <v>813</v>
      </c>
      <c r="G463" s="5" t="s">
        <v>16</v>
      </c>
      <c r="H463" s="6" t="s">
        <v>796</v>
      </c>
      <c r="I463" s="7" t="s">
        <v>78</v>
      </c>
      <c r="J463" s="8" t="s">
        <v>27</v>
      </c>
      <c r="K463" s="8">
        <v>1</v>
      </c>
      <c r="L463" s="8"/>
      <c r="M463" s="5"/>
      <c r="N463" s="8">
        <v>1</v>
      </c>
      <c r="O463" s="9">
        <v>1</v>
      </c>
      <c r="P463" s="10" t="s">
        <v>27</v>
      </c>
      <c r="Q463" s="10">
        <f t="shared" si="51"/>
        <v>0</v>
      </c>
      <c r="R463" s="10">
        <f t="shared" si="52"/>
        <v>0</v>
      </c>
      <c r="S463" s="10">
        <f t="shared" si="53"/>
        <v>0</v>
      </c>
      <c r="T463" s="10">
        <f t="shared" si="54"/>
        <v>0</v>
      </c>
      <c r="U463" s="11" t="str">
        <f t="shared" si="55"/>
        <v/>
      </c>
      <c r="V463" s="11" t="str">
        <f t="shared" si="50"/>
        <v/>
      </c>
      <c r="W463" s="11" t="str">
        <f t="shared" si="50"/>
        <v/>
      </c>
      <c r="X463" s="11" t="str">
        <f t="shared" si="50"/>
        <v/>
      </c>
      <c r="Y463" s="11" t="str">
        <f t="shared" si="50"/>
        <v/>
      </c>
      <c r="Z463" s="11" t="str">
        <f t="shared" si="50"/>
        <v/>
      </c>
      <c r="AA463" s="11" t="str">
        <f t="shared" si="50"/>
        <v/>
      </c>
      <c r="AB463" s="11" t="str">
        <f t="shared" si="50"/>
        <v/>
      </c>
      <c r="AC463" s="11" t="str">
        <f t="shared" si="50"/>
        <v/>
      </c>
      <c r="AD463" s="11" t="str">
        <f t="shared" si="50"/>
        <v/>
      </c>
      <c r="AE463" s="12" t="s">
        <v>27</v>
      </c>
    </row>
    <row r="464" spans="1:31" ht="18" customHeight="1" thickTop="1" thickBot="1" x14ac:dyDescent="0.3">
      <c r="A464" s="4" t="s">
        <v>793</v>
      </c>
      <c r="B464" s="4" t="s">
        <v>949</v>
      </c>
      <c r="C464" s="5" t="s">
        <v>794</v>
      </c>
      <c r="D464" s="5" t="s">
        <v>42</v>
      </c>
      <c r="E464" s="5" t="s">
        <v>71</v>
      </c>
      <c r="F464" s="5" t="s">
        <v>814</v>
      </c>
      <c r="G464" s="5" t="s">
        <v>16</v>
      </c>
      <c r="H464" s="6" t="s">
        <v>796</v>
      </c>
      <c r="I464" s="7" t="s">
        <v>78</v>
      </c>
      <c r="J464" s="8" t="s">
        <v>27</v>
      </c>
      <c r="K464" s="8">
        <v>1</v>
      </c>
      <c r="L464" s="8"/>
      <c r="M464" s="5"/>
      <c r="N464" s="8">
        <v>0.95652173913043492</v>
      </c>
      <c r="O464" s="9">
        <v>0.95652173913043492</v>
      </c>
      <c r="P464" s="10" t="s">
        <v>27</v>
      </c>
      <c r="Q464" s="10">
        <f t="shared" si="51"/>
        <v>0</v>
      </c>
      <c r="R464" s="10">
        <f t="shared" si="52"/>
        <v>0</v>
      </c>
      <c r="S464" s="10">
        <f t="shared" si="53"/>
        <v>0</v>
      </c>
      <c r="T464" s="10">
        <f t="shared" si="54"/>
        <v>0</v>
      </c>
      <c r="U464" s="11" t="str">
        <f t="shared" si="55"/>
        <v/>
      </c>
      <c r="V464" s="11" t="str">
        <f t="shared" si="50"/>
        <v/>
      </c>
      <c r="W464" s="11" t="str">
        <f t="shared" si="50"/>
        <v/>
      </c>
      <c r="X464" s="11" t="str">
        <f t="shared" si="50"/>
        <v/>
      </c>
      <c r="Y464" s="11" t="str">
        <f t="shared" si="50"/>
        <v/>
      </c>
      <c r="Z464" s="11" t="str">
        <f t="shared" si="50"/>
        <v/>
      </c>
      <c r="AA464" s="11" t="str">
        <f t="shared" si="50"/>
        <v/>
      </c>
      <c r="AB464" s="11" t="str">
        <f t="shared" si="50"/>
        <v/>
      </c>
      <c r="AC464" s="11" t="str">
        <f t="shared" si="50"/>
        <v/>
      </c>
      <c r="AD464" s="11" t="str">
        <f t="shared" si="50"/>
        <v/>
      </c>
      <c r="AE464" s="12" t="s">
        <v>27</v>
      </c>
    </row>
    <row r="465" spans="1:31" ht="18" customHeight="1" thickTop="1" thickBot="1" x14ac:dyDescent="0.3">
      <c r="A465" s="4" t="s">
        <v>316</v>
      </c>
      <c r="B465" s="4" t="s">
        <v>946</v>
      </c>
      <c r="C465" s="5" t="s">
        <v>815</v>
      </c>
      <c r="D465" s="5" t="s">
        <v>26</v>
      </c>
      <c r="E465" s="5" t="s">
        <v>27</v>
      </c>
      <c r="F465" s="5" t="s">
        <v>816</v>
      </c>
      <c r="G465" s="5" t="s">
        <v>16</v>
      </c>
      <c r="H465" s="6" t="s">
        <v>232</v>
      </c>
      <c r="I465" s="7" t="s">
        <v>38</v>
      </c>
      <c r="J465" s="8" t="s">
        <v>27</v>
      </c>
      <c r="K465" s="8">
        <v>0.60184393118524859</v>
      </c>
      <c r="L465" s="8"/>
      <c r="M465" s="5"/>
      <c r="N465" s="8">
        <v>2.6362582141476616</v>
      </c>
      <c r="O465" s="9">
        <v>4.3803020642841988</v>
      </c>
      <c r="P465" s="10" t="s">
        <v>31</v>
      </c>
      <c r="Q465" s="10">
        <f t="shared" si="51"/>
        <v>0</v>
      </c>
      <c r="R465" s="10">
        <f t="shared" si="52"/>
        <v>0</v>
      </c>
      <c r="S465" s="10">
        <f t="shared" si="53"/>
        <v>1</v>
      </c>
      <c r="T465" s="10">
        <f t="shared" si="54"/>
        <v>0</v>
      </c>
      <c r="U465" s="11">
        <f t="shared" si="55"/>
        <v>1</v>
      </c>
      <c r="V465" s="11" t="str">
        <f t="shared" si="50"/>
        <v/>
      </c>
      <c r="W465" s="11" t="str">
        <f t="shared" si="50"/>
        <v/>
      </c>
      <c r="X465" s="11" t="str">
        <f t="shared" si="50"/>
        <v/>
      </c>
      <c r="Y465" s="11" t="str">
        <f t="shared" si="50"/>
        <v/>
      </c>
      <c r="Z465" s="11" t="str">
        <f t="shared" si="50"/>
        <v/>
      </c>
      <c r="AA465" s="11" t="str">
        <f t="shared" si="50"/>
        <v/>
      </c>
      <c r="AB465" s="11">
        <f t="shared" si="50"/>
        <v>1</v>
      </c>
      <c r="AC465" s="11">
        <f t="shared" si="50"/>
        <v>1</v>
      </c>
      <c r="AD465" s="11" t="str">
        <f t="shared" si="50"/>
        <v/>
      </c>
      <c r="AE465" s="12" t="s">
        <v>1069</v>
      </c>
    </row>
    <row r="466" spans="1:31" ht="18" customHeight="1" thickTop="1" thickBot="1" x14ac:dyDescent="0.3">
      <c r="A466" s="4" t="s">
        <v>63</v>
      </c>
      <c r="B466" s="4" t="s">
        <v>950</v>
      </c>
      <c r="C466" s="5" t="s">
        <v>817</v>
      </c>
      <c r="D466" s="5" t="s">
        <v>26</v>
      </c>
      <c r="E466" s="5" t="s">
        <v>27</v>
      </c>
      <c r="F466" s="5" t="s">
        <v>818</v>
      </c>
      <c r="G466" s="5" t="s">
        <v>16</v>
      </c>
      <c r="H466" s="6" t="s">
        <v>219</v>
      </c>
      <c r="I466" s="7" t="s">
        <v>387</v>
      </c>
      <c r="J466" s="8" t="s">
        <v>27</v>
      </c>
      <c r="K466" s="8">
        <v>0.98159135559921418</v>
      </c>
      <c r="L466" s="8"/>
      <c r="M466" s="5"/>
      <c r="N466" s="8">
        <v>1.4986962676003874</v>
      </c>
      <c r="O466" s="9">
        <v>1.5268026343666257</v>
      </c>
      <c r="P466" s="10" t="s">
        <v>31</v>
      </c>
      <c r="Q466" s="10">
        <f t="shared" si="51"/>
        <v>0</v>
      </c>
      <c r="R466" s="10">
        <f t="shared" si="52"/>
        <v>0</v>
      </c>
      <c r="S466" s="10">
        <f t="shared" si="53"/>
        <v>1</v>
      </c>
      <c r="T466" s="10">
        <f t="shared" si="54"/>
        <v>0</v>
      </c>
      <c r="U466" s="11" t="str">
        <f t="shared" si="55"/>
        <v/>
      </c>
      <c r="V466" s="11" t="str">
        <f t="shared" si="50"/>
        <v/>
      </c>
      <c r="W466" s="11" t="str">
        <f t="shared" ref="V466:AD494" si="56">IF(ISNUMBER(SEARCH(W$3,$AE466)), 1,"")</f>
        <v/>
      </c>
      <c r="X466" s="11">
        <f t="shared" si="56"/>
        <v>1</v>
      </c>
      <c r="Y466" s="11" t="str">
        <f t="shared" si="56"/>
        <v/>
      </c>
      <c r="Z466" s="11" t="str">
        <f t="shared" si="56"/>
        <v/>
      </c>
      <c r="AA466" s="11" t="str">
        <f t="shared" si="56"/>
        <v/>
      </c>
      <c r="AB466" s="11">
        <f t="shared" si="56"/>
        <v>1</v>
      </c>
      <c r="AC466" s="11" t="str">
        <f t="shared" si="56"/>
        <v/>
      </c>
      <c r="AD466" s="11" t="str">
        <f t="shared" si="56"/>
        <v/>
      </c>
      <c r="AE466" s="12" t="s">
        <v>1071</v>
      </c>
    </row>
    <row r="467" spans="1:31" ht="18" customHeight="1" thickTop="1" thickBot="1" x14ac:dyDescent="0.3">
      <c r="A467" s="4" t="s">
        <v>63</v>
      </c>
      <c r="B467" s="4" t="s">
        <v>950</v>
      </c>
      <c r="C467" s="5" t="s">
        <v>817</v>
      </c>
      <c r="D467" s="5" t="s">
        <v>26</v>
      </c>
      <c r="E467" s="5" t="s">
        <v>36</v>
      </c>
      <c r="F467" s="5" t="s">
        <v>819</v>
      </c>
      <c r="G467" s="5" t="s">
        <v>16</v>
      </c>
      <c r="H467" s="6" t="s">
        <v>219</v>
      </c>
      <c r="I467" s="7" t="s">
        <v>387</v>
      </c>
      <c r="J467" s="8">
        <v>1.7242009132420091</v>
      </c>
      <c r="K467" s="8">
        <v>1</v>
      </c>
      <c r="L467" s="8"/>
      <c r="M467" s="5"/>
      <c r="N467" s="8">
        <v>1.615072463768116</v>
      </c>
      <c r="O467" s="9">
        <v>1.615072463768116</v>
      </c>
      <c r="P467" s="10" t="s">
        <v>31</v>
      </c>
      <c r="Q467" s="10">
        <f t="shared" si="51"/>
        <v>0</v>
      </c>
      <c r="R467" s="10">
        <f t="shared" si="52"/>
        <v>0</v>
      </c>
      <c r="S467" s="10">
        <f t="shared" si="53"/>
        <v>1</v>
      </c>
      <c r="T467" s="10">
        <f t="shared" si="54"/>
        <v>0</v>
      </c>
      <c r="U467" s="11" t="str">
        <f t="shared" si="55"/>
        <v/>
      </c>
      <c r="V467" s="11" t="str">
        <f t="shared" si="56"/>
        <v/>
      </c>
      <c r="W467" s="11" t="str">
        <f t="shared" si="56"/>
        <v/>
      </c>
      <c r="X467" s="11">
        <f t="shared" si="56"/>
        <v>1</v>
      </c>
      <c r="Y467" s="11" t="str">
        <f t="shared" si="56"/>
        <v/>
      </c>
      <c r="Z467" s="11" t="str">
        <f t="shared" si="56"/>
        <v/>
      </c>
      <c r="AA467" s="11" t="str">
        <f t="shared" si="56"/>
        <v/>
      </c>
      <c r="AB467" s="11">
        <f t="shared" si="56"/>
        <v>1</v>
      </c>
      <c r="AC467" s="11" t="str">
        <f t="shared" si="56"/>
        <v/>
      </c>
      <c r="AD467" s="11" t="str">
        <f t="shared" si="56"/>
        <v/>
      </c>
      <c r="AE467" s="12" t="s">
        <v>1071</v>
      </c>
    </row>
    <row r="468" spans="1:31" ht="18" customHeight="1" thickTop="1" thickBot="1" x14ac:dyDescent="0.3">
      <c r="A468" s="4" t="s">
        <v>63</v>
      </c>
      <c r="B468" s="4" t="s">
        <v>950</v>
      </c>
      <c r="C468" s="5" t="s">
        <v>817</v>
      </c>
      <c r="D468" s="5" t="s">
        <v>26</v>
      </c>
      <c r="E468" s="5" t="s">
        <v>40</v>
      </c>
      <c r="F468" s="5" t="s">
        <v>820</v>
      </c>
      <c r="G468" s="5" t="s">
        <v>16</v>
      </c>
      <c r="H468" s="6" t="s">
        <v>219</v>
      </c>
      <c r="I468" s="7" t="s">
        <v>359</v>
      </c>
      <c r="J468" s="8">
        <v>2.0328587075575029</v>
      </c>
      <c r="K468" s="8">
        <v>1</v>
      </c>
      <c r="L468" s="8"/>
      <c r="M468" s="5"/>
      <c r="N468" s="8">
        <v>1.4831251660908848</v>
      </c>
      <c r="O468" s="9">
        <v>1.4831251660908851</v>
      </c>
      <c r="P468" s="10" t="s">
        <v>27</v>
      </c>
      <c r="Q468" s="10">
        <f t="shared" si="51"/>
        <v>0</v>
      </c>
      <c r="R468" s="10">
        <f t="shared" si="52"/>
        <v>0</v>
      </c>
      <c r="S468" s="10">
        <f t="shared" si="53"/>
        <v>0</v>
      </c>
      <c r="T468" s="10">
        <f t="shared" si="54"/>
        <v>0</v>
      </c>
      <c r="U468" s="11" t="str">
        <f t="shared" si="55"/>
        <v/>
      </c>
      <c r="V468" s="11" t="str">
        <f t="shared" si="56"/>
        <v/>
      </c>
      <c r="W468" s="11" t="str">
        <f t="shared" si="56"/>
        <v/>
      </c>
      <c r="X468" s="11" t="str">
        <f t="shared" si="56"/>
        <v/>
      </c>
      <c r="Y468" s="11" t="str">
        <f t="shared" si="56"/>
        <v/>
      </c>
      <c r="Z468" s="11" t="str">
        <f t="shared" si="56"/>
        <v/>
      </c>
      <c r="AA468" s="11" t="str">
        <f t="shared" si="56"/>
        <v/>
      </c>
      <c r="AB468" s="11" t="str">
        <f t="shared" si="56"/>
        <v/>
      </c>
      <c r="AC468" s="11" t="str">
        <f t="shared" si="56"/>
        <v/>
      </c>
      <c r="AD468" s="11" t="str">
        <f t="shared" si="56"/>
        <v/>
      </c>
      <c r="AE468" s="12" t="s">
        <v>27</v>
      </c>
    </row>
    <row r="469" spans="1:31" ht="18" customHeight="1" thickTop="1" thickBot="1" x14ac:dyDescent="0.3">
      <c r="A469" s="4" t="s">
        <v>63</v>
      </c>
      <c r="B469" s="4" t="s">
        <v>950</v>
      </c>
      <c r="C469" s="5" t="s">
        <v>817</v>
      </c>
      <c r="D469" s="5" t="s">
        <v>26</v>
      </c>
      <c r="E469" s="5" t="s">
        <v>69</v>
      </c>
      <c r="F469" s="5" t="s">
        <v>821</v>
      </c>
      <c r="G469" s="5" t="s">
        <v>16</v>
      </c>
      <c r="H469" s="6" t="s">
        <v>219</v>
      </c>
      <c r="I469" s="7" t="s">
        <v>359</v>
      </c>
      <c r="J469" s="8">
        <v>1.1846994535519126</v>
      </c>
      <c r="K469" s="8">
        <v>1</v>
      </c>
      <c r="L469" s="8"/>
      <c r="M469" s="5"/>
      <c r="N469" s="8">
        <v>1.233502538071066</v>
      </c>
      <c r="O469" s="9">
        <v>1.233502538071066</v>
      </c>
      <c r="P469" s="10" t="s">
        <v>27</v>
      </c>
      <c r="Q469" s="10">
        <f t="shared" si="51"/>
        <v>0</v>
      </c>
      <c r="R469" s="10">
        <f t="shared" si="52"/>
        <v>0</v>
      </c>
      <c r="S469" s="10">
        <f t="shared" si="53"/>
        <v>0</v>
      </c>
      <c r="T469" s="10">
        <f t="shared" si="54"/>
        <v>0</v>
      </c>
      <c r="U469" s="11" t="str">
        <f t="shared" si="55"/>
        <v/>
      </c>
      <c r="V469" s="11" t="str">
        <f t="shared" si="56"/>
        <v/>
      </c>
      <c r="W469" s="11" t="str">
        <f t="shared" si="56"/>
        <v/>
      </c>
      <c r="X469" s="11" t="str">
        <f t="shared" si="56"/>
        <v/>
      </c>
      <c r="Y469" s="11" t="str">
        <f t="shared" si="56"/>
        <v/>
      </c>
      <c r="Z469" s="11" t="str">
        <f t="shared" si="56"/>
        <v/>
      </c>
      <c r="AA469" s="11" t="str">
        <f t="shared" si="56"/>
        <v/>
      </c>
      <c r="AB469" s="11" t="str">
        <f t="shared" si="56"/>
        <v/>
      </c>
      <c r="AC469" s="11" t="str">
        <f t="shared" si="56"/>
        <v/>
      </c>
      <c r="AD469" s="11" t="str">
        <f t="shared" si="56"/>
        <v/>
      </c>
      <c r="AE469" s="12" t="s">
        <v>27</v>
      </c>
    </row>
    <row r="470" spans="1:31" ht="18" customHeight="1" thickTop="1" thickBot="1" x14ac:dyDescent="0.3">
      <c r="A470" s="4" t="s">
        <v>63</v>
      </c>
      <c r="B470" s="4" t="s">
        <v>950</v>
      </c>
      <c r="C470" s="5" t="s">
        <v>817</v>
      </c>
      <c r="D470" s="5" t="s">
        <v>26</v>
      </c>
      <c r="E470" s="5" t="s">
        <v>71</v>
      </c>
      <c r="F470" s="5" t="s">
        <v>822</v>
      </c>
      <c r="G470" s="5" t="s">
        <v>16</v>
      </c>
      <c r="H470" s="6" t="s">
        <v>219</v>
      </c>
      <c r="I470" s="7" t="s">
        <v>387</v>
      </c>
      <c r="J470" s="8">
        <v>0.9214611872146119</v>
      </c>
      <c r="K470" s="8">
        <v>1</v>
      </c>
      <c r="L470" s="8"/>
      <c r="M470" s="5"/>
      <c r="N470" s="8">
        <v>1.6840785624738821</v>
      </c>
      <c r="O470" s="9">
        <v>1.6840785624738823</v>
      </c>
      <c r="P470" s="10" t="s">
        <v>31</v>
      </c>
      <c r="Q470" s="10">
        <f t="shared" si="51"/>
        <v>0</v>
      </c>
      <c r="R470" s="10">
        <f t="shared" si="52"/>
        <v>0</v>
      </c>
      <c r="S470" s="10">
        <f t="shared" si="53"/>
        <v>1</v>
      </c>
      <c r="T470" s="10">
        <f t="shared" si="54"/>
        <v>0</v>
      </c>
      <c r="U470" s="11" t="str">
        <f t="shared" si="55"/>
        <v/>
      </c>
      <c r="V470" s="11" t="str">
        <f t="shared" si="56"/>
        <v/>
      </c>
      <c r="W470" s="11" t="str">
        <f t="shared" si="56"/>
        <v/>
      </c>
      <c r="X470" s="11">
        <f t="shared" si="56"/>
        <v>1</v>
      </c>
      <c r="Y470" s="11" t="str">
        <f t="shared" si="56"/>
        <v/>
      </c>
      <c r="Z470" s="11" t="str">
        <f t="shared" si="56"/>
        <v/>
      </c>
      <c r="AA470" s="11" t="str">
        <f t="shared" si="56"/>
        <v/>
      </c>
      <c r="AB470" s="11">
        <f t="shared" si="56"/>
        <v>1</v>
      </c>
      <c r="AC470" s="11" t="str">
        <f t="shared" si="56"/>
        <v/>
      </c>
      <c r="AD470" s="11" t="str">
        <f t="shared" si="56"/>
        <v/>
      </c>
      <c r="AE470" s="12" t="s">
        <v>1071</v>
      </c>
    </row>
    <row r="471" spans="1:31" ht="18" customHeight="1" thickTop="1" thickBot="1" x14ac:dyDescent="0.3">
      <c r="A471" s="4" t="s">
        <v>63</v>
      </c>
      <c r="B471" s="4" t="s">
        <v>950</v>
      </c>
      <c r="C471" s="5" t="s">
        <v>817</v>
      </c>
      <c r="D471" s="5" t="s">
        <v>26</v>
      </c>
      <c r="E471" s="5" t="s">
        <v>141</v>
      </c>
      <c r="F471" s="5" t="s">
        <v>823</v>
      </c>
      <c r="G471" s="5" t="s">
        <v>16</v>
      </c>
      <c r="H471" s="6" t="s">
        <v>219</v>
      </c>
      <c r="I471" s="7" t="s">
        <v>387</v>
      </c>
      <c r="J471" s="8">
        <v>1.5525114155251141</v>
      </c>
      <c r="K471" s="8">
        <v>1</v>
      </c>
      <c r="L471" s="8"/>
      <c r="M471" s="5"/>
      <c r="N471" s="8">
        <v>1.5177656303382301</v>
      </c>
      <c r="O471" s="9">
        <v>1.5177656303382303</v>
      </c>
      <c r="P471" s="10" t="s">
        <v>31</v>
      </c>
      <c r="Q471" s="10">
        <f t="shared" si="51"/>
        <v>0</v>
      </c>
      <c r="R471" s="10">
        <f t="shared" si="52"/>
        <v>0</v>
      </c>
      <c r="S471" s="10">
        <f t="shared" si="53"/>
        <v>1</v>
      </c>
      <c r="T471" s="10">
        <f t="shared" si="54"/>
        <v>0</v>
      </c>
      <c r="U471" s="11" t="str">
        <f t="shared" si="55"/>
        <v/>
      </c>
      <c r="V471" s="11" t="str">
        <f t="shared" si="56"/>
        <v/>
      </c>
      <c r="W471" s="11" t="str">
        <f t="shared" si="56"/>
        <v/>
      </c>
      <c r="X471" s="11">
        <f t="shared" si="56"/>
        <v>1</v>
      </c>
      <c r="Y471" s="11" t="str">
        <f t="shared" si="56"/>
        <v/>
      </c>
      <c r="Z471" s="11" t="str">
        <f t="shared" si="56"/>
        <v/>
      </c>
      <c r="AA471" s="11" t="str">
        <f t="shared" si="56"/>
        <v/>
      </c>
      <c r="AB471" s="11">
        <f t="shared" si="56"/>
        <v>1</v>
      </c>
      <c r="AC471" s="11" t="str">
        <f t="shared" si="56"/>
        <v/>
      </c>
      <c r="AD471" s="11" t="str">
        <f t="shared" si="56"/>
        <v/>
      </c>
      <c r="AE471" s="12" t="s">
        <v>1071</v>
      </c>
    </row>
    <row r="472" spans="1:31" ht="18" customHeight="1" thickTop="1" thickBot="1" x14ac:dyDescent="0.3">
      <c r="A472" s="4" t="s">
        <v>63</v>
      </c>
      <c r="B472" s="4" t="s">
        <v>950</v>
      </c>
      <c r="C472" s="5" t="s">
        <v>817</v>
      </c>
      <c r="D472" s="5" t="s">
        <v>26</v>
      </c>
      <c r="E472" s="5" t="s">
        <v>143</v>
      </c>
      <c r="F472" s="5" t="s">
        <v>824</v>
      </c>
      <c r="G472" s="5" t="s">
        <v>16</v>
      </c>
      <c r="H472" s="6" t="s">
        <v>219</v>
      </c>
      <c r="I472" s="7" t="s">
        <v>387</v>
      </c>
      <c r="J472" s="8">
        <v>1.6703296703296704</v>
      </c>
      <c r="K472" s="8">
        <v>1</v>
      </c>
      <c r="L472" s="8"/>
      <c r="M472" s="5"/>
      <c r="N472" s="8">
        <v>0.99041342121030551</v>
      </c>
      <c r="O472" s="9">
        <v>0.99041342121030562</v>
      </c>
      <c r="P472" s="10" t="s">
        <v>27</v>
      </c>
      <c r="Q472" s="10">
        <f t="shared" si="51"/>
        <v>0</v>
      </c>
      <c r="R472" s="10">
        <f t="shared" si="52"/>
        <v>0</v>
      </c>
      <c r="S472" s="10">
        <f t="shared" si="53"/>
        <v>0</v>
      </c>
      <c r="T472" s="10">
        <f t="shared" si="54"/>
        <v>0</v>
      </c>
      <c r="U472" s="11" t="str">
        <f t="shared" si="55"/>
        <v/>
      </c>
      <c r="V472" s="11" t="str">
        <f t="shared" si="56"/>
        <v/>
      </c>
      <c r="W472" s="11" t="str">
        <f t="shared" si="56"/>
        <v/>
      </c>
      <c r="X472" s="11" t="str">
        <f t="shared" si="56"/>
        <v/>
      </c>
      <c r="Y472" s="11" t="str">
        <f t="shared" si="56"/>
        <v/>
      </c>
      <c r="Z472" s="11" t="str">
        <f t="shared" si="56"/>
        <v/>
      </c>
      <c r="AA472" s="11" t="str">
        <f t="shared" si="56"/>
        <v/>
      </c>
      <c r="AB472" s="11" t="str">
        <f t="shared" si="56"/>
        <v/>
      </c>
      <c r="AC472" s="11" t="str">
        <f t="shared" si="56"/>
        <v/>
      </c>
      <c r="AD472" s="11" t="str">
        <f t="shared" si="56"/>
        <v/>
      </c>
      <c r="AE472" s="12" t="s">
        <v>27</v>
      </c>
    </row>
    <row r="473" spans="1:31" ht="18" customHeight="1" thickTop="1" thickBot="1" x14ac:dyDescent="0.3">
      <c r="A473" s="4" t="s">
        <v>825</v>
      </c>
      <c r="B473" s="4" t="s">
        <v>950</v>
      </c>
      <c r="C473" s="5" t="s">
        <v>826</v>
      </c>
      <c r="D473" s="5" t="s">
        <v>26</v>
      </c>
      <c r="E473" s="5" t="s">
        <v>36</v>
      </c>
      <c r="F473" s="5" t="s">
        <v>827</v>
      </c>
      <c r="G473" s="5" t="s">
        <v>16</v>
      </c>
      <c r="H473" s="6" t="s">
        <v>326</v>
      </c>
      <c r="I473" s="7" t="s">
        <v>131</v>
      </c>
      <c r="J473" s="8" t="s">
        <v>27</v>
      </c>
      <c r="K473" s="8">
        <v>1</v>
      </c>
      <c r="L473" s="8"/>
      <c r="M473" s="5"/>
      <c r="N473" s="8">
        <v>1.5685185185185184</v>
      </c>
      <c r="O473" s="9">
        <v>1.5685185185185184</v>
      </c>
      <c r="P473" s="10" t="s">
        <v>31</v>
      </c>
      <c r="Q473" s="10">
        <f t="shared" si="51"/>
        <v>0</v>
      </c>
      <c r="R473" s="10">
        <f t="shared" si="52"/>
        <v>0</v>
      </c>
      <c r="S473" s="10">
        <f t="shared" si="53"/>
        <v>1</v>
      </c>
      <c r="T473" s="10">
        <f t="shared" si="54"/>
        <v>0</v>
      </c>
      <c r="U473" s="11">
        <f t="shared" si="55"/>
        <v>1</v>
      </c>
      <c r="V473" s="11" t="str">
        <f t="shared" si="56"/>
        <v/>
      </c>
      <c r="W473" s="11" t="str">
        <f t="shared" si="56"/>
        <v/>
      </c>
      <c r="X473" s="11" t="str">
        <f t="shared" si="56"/>
        <v/>
      </c>
      <c r="Y473" s="11" t="str">
        <f t="shared" si="56"/>
        <v/>
      </c>
      <c r="Z473" s="11" t="str">
        <f t="shared" si="56"/>
        <v/>
      </c>
      <c r="AA473" s="11" t="str">
        <f t="shared" si="56"/>
        <v/>
      </c>
      <c r="AB473" s="11" t="str">
        <f t="shared" si="56"/>
        <v/>
      </c>
      <c r="AC473" s="11">
        <f t="shared" si="56"/>
        <v>1</v>
      </c>
      <c r="AD473" s="11" t="str">
        <f t="shared" si="56"/>
        <v/>
      </c>
      <c r="AE473" s="12" t="s">
        <v>986</v>
      </c>
    </row>
    <row r="474" spans="1:31" ht="18" customHeight="1" thickTop="1" thickBot="1" x14ac:dyDescent="0.3">
      <c r="A474" s="4" t="s">
        <v>825</v>
      </c>
      <c r="B474" s="4" t="s">
        <v>950</v>
      </c>
      <c r="C474" s="5" t="s">
        <v>826</v>
      </c>
      <c r="D474" s="5" t="s">
        <v>26</v>
      </c>
      <c r="E474" s="5" t="s">
        <v>40</v>
      </c>
      <c r="F474" s="5" t="s">
        <v>828</v>
      </c>
      <c r="G474" s="5" t="s">
        <v>16</v>
      </c>
      <c r="H474" s="6" t="s">
        <v>326</v>
      </c>
      <c r="I474" s="7" t="s">
        <v>359</v>
      </c>
      <c r="J474" s="8" t="s">
        <v>27</v>
      </c>
      <c r="K474" s="8">
        <v>1</v>
      </c>
      <c r="L474" s="8"/>
      <c r="M474" s="5"/>
      <c r="N474" s="8">
        <v>0.80862920370621794</v>
      </c>
      <c r="O474" s="9">
        <v>0.80862920370621794</v>
      </c>
      <c r="P474" s="10" t="s">
        <v>27</v>
      </c>
      <c r="Q474" s="10">
        <f t="shared" si="51"/>
        <v>0</v>
      </c>
      <c r="R474" s="10">
        <f t="shared" si="52"/>
        <v>0</v>
      </c>
      <c r="S474" s="10">
        <f t="shared" si="53"/>
        <v>0</v>
      </c>
      <c r="T474" s="10">
        <f t="shared" si="54"/>
        <v>0</v>
      </c>
      <c r="U474" s="11" t="str">
        <f t="shared" si="55"/>
        <v/>
      </c>
      <c r="V474" s="11" t="str">
        <f t="shared" si="56"/>
        <v/>
      </c>
      <c r="W474" s="11" t="str">
        <f t="shared" si="56"/>
        <v/>
      </c>
      <c r="X474" s="11" t="str">
        <f t="shared" si="56"/>
        <v/>
      </c>
      <c r="Y474" s="11" t="str">
        <f t="shared" si="56"/>
        <v/>
      </c>
      <c r="Z474" s="11" t="str">
        <f t="shared" si="56"/>
        <v/>
      </c>
      <c r="AA474" s="11" t="str">
        <f t="shared" si="56"/>
        <v/>
      </c>
      <c r="AB474" s="11" t="str">
        <f t="shared" si="56"/>
        <v/>
      </c>
      <c r="AC474" s="11" t="str">
        <f t="shared" si="56"/>
        <v/>
      </c>
      <c r="AD474" s="11" t="str">
        <f t="shared" si="56"/>
        <v/>
      </c>
      <c r="AE474" s="12" t="s">
        <v>27</v>
      </c>
    </row>
    <row r="475" spans="1:31" ht="18" customHeight="1" thickTop="1" thickBot="1" x14ac:dyDescent="0.3">
      <c r="A475" s="4" t="s">
        <v>825</v>
      </c>
      <c r="B475" s="4" t="s">
        <v>950</v>
      </c>
      <c r="C475" s="5" t="s">
        <v>826</v>
      </c>
      <c r="D475" s="5" t="s">
        <v>26</v>
      </c>
      <c r="E475" s="5" t="s">
        <v>69</v>
      </c>
      <c r="F475" s="5" t="s">
        <v>829</v>
      </c>
      <c r="G475" s="5" t="s">
        <v>16</v>
      </c>
      <c r="H475" s="6" t="s">
        <v>326</v>
      </c>
      <c r="I475" s="7" t="s">
        <v>359</v>
      </c>
      <c r="J475" s="8" t="s">
        <v>27</v>
      </c>
      <c r="K475" s="8">
        <v>1</v>
      </c>
      <c r="L475" s="8"/>
      <c r="M475" s="5"/>
      <c r="N475" s="8">
        <v>1.917416478588825</v>
      </c>
      <c r="O475" s="9">
        <v>1.917416478588825</v>
      </c>
      <c r="P475" s="10" t="s">
        <v>31</v>
      </c>
      <c r="Q475" s="10">
        <f t="shared" si="51"/>
        <v>0</v>
      </c>
      <c r="R475" s="10">
        <f t="shared" si="52"/>
        <v>0</v>
      </c>
      <c r="S475" s="10">
        <f t="shared" si="53"/>
        <v>1</v>
      </c>
      <c r="T475" s="10">
        <f t="shared" si="54"/>
        <v>0</v>
      </c>
      <c r="U475" s="11">
        <f t="shared" si="55"/>
        <v>1</v>
      </c>
      <c r="V475" s="11" t="str">
        <f t="shared" si="56"/>
        <v/>
      </c>
      <c r="W475" s="11" t="str">
        <f t="shared" si="56"/>
        <v/>
      </c>
      <c r="X475" s="11" t="str">
        <f t="shared" si="56"/>
        <v/>
      </c>
      <c r="Y475" s="11" t="str">
        <f t="shared" si="56"/>
        <v/>
      </c>
      <c r="Z475" s="11" t="str">
        <f t="shared" si="56"/>
        <v/>
      </c>
      <c r="AA475" s="11" t="str">
        <f t="shared" si="56"/>
        <v/>
      </c>
      <c r="AB475" s="11" t="str">
        <f t="shared" si="56"/>
        <v/>
      </c>
      <c r="AC475" s="11" t="str">
        <f t="shared" si="56"/>
        <v/>
      </c>
      <c r="AD475" s="11">
        <f t="shared" si="56"/>
        <v>1</v>
      </c>
      <c r="AE475" s="12" t="s">
        <v>1074</v>
      </c>
    </row>
    <row r="476" spans="1:31" ht="18" customHeight="1" thickTop="1" thickBot="1" x14ac:dyDescent="0.3">
      <c r="A476" s="4" t="s">
        <v>825</v>
      </c>
      <c r="B476" s="4" t="s">
        <v>950</v>
      </c>
      <c r="C476" s="5" t="s">
        <v>826</v>
      </c>
      <c r="D476" s="5" t="s">
        <v>26</v>
      </c>
      <c r="E476" s="5" t="s">
        <v>71</v>
      </c>
      <c r="F476" s="5" t="s">
        <v>830</v>
      </c>
      <c r="G476" s="5" t="s">
        <v>16</v>
      </c>
      <c r="H476" s="6" t="s">
        <v>326</v>
      </c>
      <c r="I476" s="7" t="s">
        <v>359</v>
      </c>
      <c r="J476" s="8" t="s">
        <v>27</v>
      </c>
      <c r="K476" s="8">
        <v>1</v>
      </c>
      <c r="L476" s="8"/>
      <c r="M476" s="5"/>
      <c r="N476" s="8">
        <v>0.91823932691746857</v>
      </c>
      <c r="O476" s="9">
        <v>0.91823932691746857</v>
      </c>
      <c r="P476" s="10" t="s">
        <v>27</v>
      </c>
      <c r="Q476" s="10">
        <f t="shared" si="51"/>
        <v>0</v>
      </c>
      <c r="R476" s="10">
        <f t="shared" si="52"/>
        <v>0</v>
      </c>
      <c r="S476" s="10">
        <f t="shared" si="53"/>
        <v>0</v>
      </c>
      <c r="T476" s="10">
        <f t="shared" si="54"/>
        <v>0</v>
      </c>
      <c r="U476" s="11" t="str">
        <f t="shared" si="55"/>
        <v/>
      </c>
      <c r="V476" s="11" t="str">
        <f t="shared" si="56"/>
        <v/>
      </c>
      <c r="W476" s="11" t="str">
        <f t="shared" si="56"/>
        <v/>
      </c>
      <c r="X476" s="11" t="str">
        <f t="shared" si="56"/>
        <v/>
      </c>
      <c r="Y476" s="11" t="str">
        <f t="shared" si="56"/>
        <v/>
      </c>
      <c r="Z476" s="11" t="str">
        <f t="shared" si="56"/>
        <v/>
      </c>
      <c r="AA476" s="11" t="str">
        <f t="shared" si="56"/>
        <v/>
      </c>
      <c r="AB476" s="11" t="str">
        <f t="shared" si="56"/>
        <v/>
      </c>
      <c r="AC476" s="11" t="str">
        <f t="shared" si="56"/>
        <v/>
      </c>
      <c r="AD476" s="11" t="str">
        <f t="shared" si="56"/>
        <v/>
      </c>
      <c r="AE476" s="12" t="s">
        <v>27</v>
      </c>
    </row>
    <row r="477" spans="1:31" ht="18" customHeight="1" thickTop="1" thickBot="1" x14ac:dyDescent="0.3">
      <c r="A477" s="4" t="s">
        <v>831</v>
      </c>
      <c r="B477" s="4" t="s">
        <v>947</v>
      </c>
      <c r="C477" s="5" t="s">
        <v>832</v>
      </c>
      <c r="D477" s="5" t="s">
        <v>26</v>
      </c>
      <c r="E477" s="5" t="s">
        <v>27</v>
      </c>
      <c r="F477" s="5" t="s">
        <v>833</v>
      </c>
      <c r="G477" s="5" t="s">
        <v>16</v>
      </c>
      <c r="H477" s="6" t="s">
        <v>834</v>
      </c>
      <c r="I477" s="7" t="s">
        <v>78</v>
      </c>
      <c r="J477" s="8" t="s">
        <v>27</v>
      </c>
      <c r="K477" s="8">
        <v>0.75524235132347883</v>
      </c>
      <c r="L477" s="8"/>
      <c r="M477" s="5"/>
      <c r="N477" s="8">
        <v>1.1146666666666667</v>
      </c>
      <c r="O477" s="9">
        <v>1.4759059323319681</v>
      </c>
      <c r="P477" s="10" t="s">
        <v>27</v>
      </c>
      <c r="Q477" s="10">
        <f t="shared" si="51"/>
        <v>0</v>
      </c>
      <c r="R477" s="10">
        <f t="shared" si="52"/>
        <v>0</v>
      </c>
      <c r="S477" s="10">
        <f t="shared" si="53"/>
        <v>0</v>
      </c>
      <c r="T477" s="10">
        <f t="shared" si="54"/>
        <v>0</v>
      </c>
      <c r="U477" s="11" t="str">
        <f t="shared" si="55"/>
        <v/>
      </c>
      <c r="V477" s="11" t="str">
        <f t="shared" si="56"/>
        <v/>
      </c>
      <c r="W477" s="11" t="str">
        <f t="shared" si="56"/>
        <v/>
      </c>
      <c r="X477" s="11" t="str">
        <f t="shared" si="56"/>
        <v/>
      </c>
      <c r="Y477" s="11" t="str">
        <f t="shared" si="56"/>
        <v/>
      </c>
      <c r="Z477" s="11" t="str">
        <f t="shared" si="56"/>
        <v/>
      </c>
      <c r="AA477" s="11" t="str">
        <f t="shared" si="56"/>
        <v/>
      </c>
      <c r="AB477" s="11" t="str">
        <f t="shared" si="56"/>
        <v/>
      </c>
      <c r="AC477" s="11" t="str">
        <f t="shared" si="56"/>
        <v/>
      </c>
      <c r="AD477" s="11" t="str">
        <f t="shared" si="56"/>
        <v/>
      </c>
      <c r="AE477" s="12" t="s">
        <v>27</v>
      </c>
    </row>
    <row r="478" spans="1:31" ht="18" customHeight="1" thickTop="1" thickBot="1" x14ac:dyDescent="0.3">
      <c r="A478" s="4" t="s">
        <v>81</v>
      </c>
      <c r="B478" s="4" t="s">
        <v>945</v>
      </c>
      <c r="C478" s="5" t="s">
        <v>835</v>
      </c>
      <c r="D478" s="5" t="s">
        <v>26</v>
      </c>
      <c r="E478" s="5" t="s">
        <v>27</v>
      </c>
      <c r="F478" s="5" t="s">
        <v>836</v>
      </c>
      <c r="G478" s="5" t="s">
        <v>16</v>
      </c>
      <c r="H478" s="6" t="s">
        <v>837</v>
      </c>
      <c r="I478" s="7" t="s">
        <v>111</v>
      </c>
      <c r="J478" s="8" t="s">
        <v>27</v>
      </c>
      <c r="K478" s="8">
        <v>1</v>
      </c>
      <c r="L478" s="8"/>
      <c r="M478" s="5"/>
      <c r="N478" s="8">
        <v>1.1404465709728866</v>
      </c>
      <c r="O478" s="9">
        <v>1.1404465709728868</v>
      </c>
      <c r="P478" s="10" t="s">
        <v>27</v>
      </c>
      <c r="Q478" s="10">
        <f t="shared" si="51"/>
        <v>0</v>
      </c>
      <c r="R478" s="10">
        <f t="shared" si="52"/>
        <v>0</v>
      </c>
      <c r="S478" s="10">
        <f t="shared" si="53"/>
        <v>0</v>
      </c>
      <c r="T478" s="10">
        <f t="shared" si="54"/>
        <v>0</v>
      </c>
      <c r="U478" s="11" t="str">
        <f t="shared" si="55"/>
        <v/>
      </c>
      <c r="V478" s="11" t="str">
        <f t="shared" si="56"/>
        <v/>
      </c>
      <c r="W478" s="11" t="str">
        <f t="shared" si="56"/>
        <v/>
      </c>
      <c r="X478" s="11" t="str">
        <f t="shared" si="56"/>
        <v/>
      </c>
      <c r="Y478" s="11" t="str">
        <f t="shared" si="56"/>
        <v/>
      </c>
      <c r="Z478" s="11" t="str">
        <f t="shared" si="56"/>
        <v/>
      </c>
      <c r="AA478" s="11" t="str">
        <f t="shared" si="56"/>
        <v/>
      </c>
      <c r="AB478" s="11" t="str">
        <f t="shared" si="56"/>
        <v/>
      </c>
      <c r="AC478" s="11" t="str">
        <f t="shared" si="56"/>
        <v/>
      </c>
      <c r="AD478" s="11" t="str">
        <f t="shared" si="56"/>
        <v/>
      </c>
      <c r="AE478" s="12" t="s">
        <v>27</v>
      </c>
    </row>
    <row r="479" spans="1:31" ht="18" customHeight="1" thickTop="1" thickBot="1" x14ac:dyDescent="0.3">
      <c r="A479" s="4" t="s">
        <v>81</v>
      </c>
      <c r="B479" s="4" t="s">
        <v>945</v>
      </c>
      <c r="C479" s="5" t="s">
        <v>835</v>
      </c>
      <c r="D479" s="5" t="s">
        <v>42</v>
      </c>
      <c r="E479" s="5" t="s">
        <v>27</v>
      </c>
      <c r="F479" s="5" t="s">
        <v>838</v>
      </c>
      <c r="G479" s="5" t="s">
        <v>16</v>
      </c>
      <c r="H479" s="6" t="s">
        <v>837</v>
      </c>
      <c r="I479" s="7" t="s">
        <v>387</v>
      </c>
      <c r="J479" s="8" t="s">
        <v>27</v>
      </c>
      <c r="K479" s="8">
        <v>0.46818727490996398</v>
      </c>
      <c r="L479" s="8"/>
      <c r="M479" s="5"/>
      <c r="N479" s="8">
        <v>0.22567567567567567</v>
      </c>
      <c r="O479" s="9">
        <v>0.48202009702009702</v>
      </c>
      <c r="P479" s="10" t="s">
        <v>31</v>
      </c>
      <c r="Q479" s="10">
        <f t="shared" si="51"/>
        <v>0</v>
      </c>
      <c r="R479" s="10">
        <f t="shared" si="52"/>
        <v>1</v>
      </c>
      <c r="S479" s="10">
        <f t="shared" si="53"/>
        <v>0</v>
      </c>
      <c r="T479" s="10">
        <f t="shared" si="54"/>
        <v>1</v>
      </c>
      <c r="U479" s="11" t="str">
        <f t="shared" si="55"/>
        <v/>
      </c>
      <c r="V479" s="11">
        <f t="shared" si="56"/>
        <v>1</v>
      </c>
      <c r="W479" s="11" t="str">
        <f t="shared" si="56"/>
        <v/>
      </c>
      <c r="X479" s="11">
        <f t="shared" si="56"/>
        <v>1</v>
      </c>
      <c r="Y479" s="11" t="str">
        <f t="shared" si="56"/>
        <v/>
      </c>
      <c r="Z479" s="11" t="str">
        <f t="shared" si="56"/>
        <v/>
      </c>
      <c r="AA479" s="11" t="str">
        <f t="shared" si="56"/>
        <v/>
      </c>
      <c r="AB479" s="11" t="str">
        <f t="shared" si="56"/>
        <v/>
      </c>
      <c r="AC479" s="11" t="str">
        <f t="shared" si="56"/>
        <v/>
      </c>
      <c r="AD479" s="11">
        <f t="shared" si="56"/>
        <v>1</v>
      </c>
      <c r="AE479" s="12" t="s">
        <v>1076</v>
      </c>
    </row>
    <row r="480" spans="1:31" ht="18" customHeight="1" thickTop="1" thickBot="1" x14ac:dyDescent="0.3">
      <c r="A480" s="4" t="s">
        <v>49</v>
      </c>
      <c r="B480" s="4" t="s">
        <v>947</v>
      </c>
      <c r="C480" s="5" t="s">
        <v>839</v>
      </c>
      <c r="D480" s="5" t="s">
        <v>26</v>
      </c>
      <c r="E480" s="5" t="s">
        <v>36</v>
      </c>
      <c r="F480" s="5" t="s">
        <v>840</v>
      </c>
      <c r="G480" s="5" t="s">
        <v>16</v>
      </c>
      <c r="H480" s="6" t="s">
        <v>295</v>
      </c>
      <c r="I480" s="7" t="s">
        <v>56</v>
      </c>
      <c r="J480" s="8">
        <v>1.4</v>
      </c>
      <c r="K480" s="8">
        <v>1</v>
      </c>
      <c r="L480" s="8"/>
      <c r="M480" s="5"/>
      <c r="N480" s="8">
        <v>1.6495828367103695</v>
      </c>
      <c r="O480" s="9">
        <v>1.6495828367103693</v>
      </c>
      <c r="P480" s="10" t="s">
        <v>31</v>
      </c>
      <c r="Q480" s="10">
        <f t="shared" si="51"/>
        <v>0</v>
      </c>
      <c r="R480" s="10">
        <f t="shared" si="52"/>
        <v>0</v>
      </c>
      <c r="S480" s="10">
        <f t="shared" si="53"/>
        <v>1</v>
      </c>
      <c r="T480" s="10">
        <f t="shared" si="54"/>
        <v>0</v>
      </c>
      <c r="U480" s="11" t="str">
        <f t="shared" si="55"/>
        <v/>
      </c>
      <c r="V480" s="11">
        <f t="shared" si="56"/>
        <v>1</v>
      </c>
      <c r="W480" s="11">
        <f t="shared" si="56"/>
        <v>1</v>
      </c>
      <c r="X480" s="11" t="str">
        <f t="shared" si="56"/>
        <v/>
      </c>
      <c r="Y480" s="11" t="str">
        <f t="shared" si="56"/>
        <v/>
      </c>
      <c r="Z480" s="11" t="str">
        <f t="shared" si="56"/>
        <v/>
      </c>
      <c r="AA480" s="11" t="str">
        <f t="shared" si="56"/>
        <v/>
      </c>
      <c r="AB480" s="11" t="str">
        <f t="shared" si="56"/>
        <v/>
      </c>
      <c r="AC480" s="11">
        <f t="shared" si="56"/>
        <v>1</v>
      </c>
      <c r="AD480" s="11" t="str">
        <f t="shared" si="56"/>
        <v/>
      </c>
      <c r="AE480" s="12" t="s">
        <v>1078</v>
      </c>
    </row>
    <row r="481" spans="1:31" ht="18" customHeight="1" thickTop="1" thickBot="1" x14ac:dyDescent="0.3">
      <c r="A481" s="4" t="s">
        <v>404</v>
      </c>
      <c r="B481" s="4" t="s">
        <v>947</v>
      </c>
      <c r="C481" s="5" t="s">
        <v>841</v>
      </c>
      <c r="D481" s="5" t="s">
        <v>26</v>
      </c>
      <c r="E481" s="5" t="s">
        <v>36</v>
      </c>
      <c r="F481" s="5" t="s">
        <v>842</v>
      </c>
      <c r="G481" s="5" t="s">
        <v>16</v>
      </c>
      <c r="H481" s="6" t="s">
        <v>844</v>
      </c>
      <c r="I481" s="7" t="s">
        <v>56</v>
      </c>
      <c r="J481" s="8" t="s">
        <v>27</v>
      </c>
      <c r="K481" s="8">
        <v>0.38750000000000001</v>
      </c>
      <c r="L481" s="8"/>
      <c r="M481" s="5"/>
      <c r="N481" s="8">
        <v>0.69519152404237972</v>
      </c>
      <c r="O481" s="9">
        <v>1.7940426426900122</v>
      </c>
      <c r="P481" s="10" t="s">
        <v>31</v>
      </c>
      <c r="Q481" s="10">
        <f t="shared" si="51"/>
        <v>0</v>
      </c>
      <c r="R481" s="10">
        <f t="shared" si="52"/>
        <v>1</v>
      </c>
      <c r="S481" s="10">
        <f t="shared" si="53"/>
        <v>1</v>
      </c>
      <c r="T481" s="10">
        <f t="shared" si="54"/>
        <v>0</v>
      </c>
      <c r="U481" s="11">
        <f t="shared" si="55"/>
        <v>1</v>
      </c>
      <c r="V481" s="11" t="str">
        <f t="shared" si="56"/>
        <v/>
      </c>
      <c r="W481" s="11" t="str">
        <f t="shared" si="56"/>
        <v/>
      </c>
      <c r="X481" s="11" t="str">
        <f t="shared" si="56"/>
        <v/>
      </c>
      <c r="Y481" s="11">
        <f t="shared" si="56"/>
        <v>1</v>
      </c>
      <c r="Z481" s="11" t="str">
        <f t="shared" si="56"/>
        <v/>
      </c>
      <c r="AA481" s="11" t="str">
        <f t="shared" si="56"/>
        <v/>
      </c>
      <c r="AB481" s="11">
        <f t="shared" si="56"/>
        <v>1</v>
      </c>
      <c r="AC481" s="11" t="str">
        <f t="shared" si="56"/>
        <v/>
      </c>
      <c r="AD481" s="11" t="str">
        <f t="shared" si="56"/>
        <v/>
      </c>
      <c r="AE481" s="12" t="s">
        <v>1080</v>
      </c>
    </row>
    <row r="482" spans="1:31" ht="18" customHeight="1" thickTop="1" thickBot="1" x14ac:dyDescent="0.3">
      <c r="A482" s="4" t="s">
        <v>404</v>
      </c>
      <c r="B482" s="4" t="s">
        <v>947</v>
      </c>
      <c r="C482" s="5" t="s">
        <v>841</v>
      </c>
      <c r="D482" s="5" t="s">
        <v>26</v>
      </c>
      <c r="E482" s="5" t="s">
        <v>40</v>
      </c>
      <c r="F482" s="5" t="s">
        <v>845</v>
      </c>
      <c r="G482" s="5" t="s">
        <v>16</v>
      </c>
      <c r="H482" s="6" t="s">
        <v>844</v>
      </c>
      <c r="I482" s="7" t="s">
        <v>359</v>
      </c>
      <c r="J482" s="8" t="s">
        <v>27</v>
      </c>
      <c r="K482" s="8">
        <v>1</v>
      </c>
      <c r="L482" s="8"/>
      <c r="M482" s="5"/>
      <c r="N482" s="8">
        <v>1.78125</v>
      </c>
      <c r="O482" s="9">
        <v>1.78125</v>
      </c>
      <c r="P482" s="10" t="s">
        <v>31</v>
      </c>
      <c r="Q482" s="10">
        <f t="shared" si="51"/>
        <v>0</v>
      </c>
      <c r="R482" s="10">
        <f t="shared" si="52"/>
        <v>0</v>
      </c>
      <c r="S482" s="10">
        <f t="shared" si="53"/>
        <v>1</v>
      </c>
      <c r="T482" s="10">
        <f t="shared" si="54"/>
        <v>0</v>
      </c>
      <c r="U482" s="11">
        <f t="shared" si="55"/>
        <v>1</v>
      </c>
      <c r="V482" s="11" t="str">
        <f t="shared" si="56"/>
        <v/>
      </c>
      <c r="W482" s="11" t="str">
        <f t="shared" si="56"/>
        <v/>
      </c>
      <c r="X482" s="11" t="str">
        <f t="shared" si="56"/>
        <v/>
      </c>
      <c r="Y482" s="11">
        <f t="shared" si="56"/>
        <v>1</v>
      </c>
      <c r="Z482" s="11" t="str">
        <f t="shared" si="56"/>
        <v/>
      </c>
      <c r="AA482" s="11" t="str">
        <f t="shared" si="56"/>
        <v/>
      </c>
      <c r="AB482" s="11">
        <f t="shared" si="56"/>
        <v>1</v>
      </c>
      <c r="AC482" s="11" t="str">
        <f t="shared" si="56"/>
        <v/>
      </c>
      <c r="AD482" s="11" t="str">
        <f t="shared" si="56"/>
        <v/>
      </c>
      <c r="AE482" s="12" t="s">
        <v>1080</v>
      </c>
    </row>
    <row r="483" spans="1:31" ht="18" customHeight="1" thickTop="1" thickBot="1" x14ac:dyDescent="0.3">
      <c r="A483" s="4" t="s">
        <v>846</v>
      </c>
      <c r="B483" s="4" t="s">
        <v>950</v>
      </c>
      <c r="C483" s="5" t="s">
        <v>847</v>
      </c>
      <c r="D483" s="5" t="s">
        <v>26</v>
      </c>
      <c r="E483" s="5" t="s">
        <v>36</v>
      </c>
      <c r="F483" s="5" t="s">
        <v>848</v>
      </c>
      <c r="G483" s="5" t="s">
        <v>16</v>
      </c>
      <c r="H483" s="6" t="s">
        <v>796</v>
      </c>
      <c r="I483" s="7" t="s">
        <v>359</v>
      </c>
      <c r="J483" s="8" t="s">
        <v>27</v>
      </c>
      <c r="K483" s="8">
        <v>0.33333333333333331</v>
      </c>
      <c r="L483" s="8"/>
      <c r="M483" s="5"/>
      <c r="N483" s="8">
        <v>1.5384615384615385</v>
      </c>
      <c r="O483" s="9">
        <v>4.6153846153846159</v>
      </c>
      <c r="P483" s="10" t="s">
        <v>31</v>
      </c>
      <c r="Q483" s="10">
        <f t="shared" si="51"/>
        <v>0</v>
      </c>
      <c r="R483" s="10">
        <f t="shared" si="52"/>
        <v>1</v>
      </c>
      <c r="S483" s="10">
        <f t="shared" si="53"/>
        <v>1</v>
      </c>
      <c r="T483" s="10">
        <f t="shared" si="54"/>
        <v>0</v>
      </c>
      <c r="U483" s="11" t="str">
        <f t="shared" si="55"/>
        <v/>
      </c>
      <c r="V483" s="11">
        <f t="shared" si="56"/>
        <v>1</v>
      </c>
      <c r="W483" s="11" t="str">
        <f t="shared" si="56"/>
        <v/>
      </c>
      <c r="X483" s="11" t="str">
        <f t="shared" si="56"/>
        <v/>
      </c>
      <c r="Y483" s="11">
        <f t="shared" si="56"/>
        <v>1</v>
      </c>
      <c r="Z483" s="11" t="str">
        <f t="shared" si="56"/>
        <v/>
      </c>
      <c r="AA483" s="11" t="str">
        <f t="shared" si="56"/>
        <v/>
      </c>
      <c r="AB483" s="11" t="str">
        <f t="shared" si="56"/>
        <v/>
      </c>
      <c r="AC483" s="11" t="str">
        <f t="shared" si="56"/>
        <v/>
      </c>
      <c r="AD483" s="11" t="str">
        <f t="shared" si="56"/>
        <v/>
      </c>
      <c r="AE483" s="12" t="s">
        <v>1082</v>
      </c>
    </row>
    <row r="484" spans="1:31" ht="18" customHeight="1" thickTop="1" thickBot="1" x14ac:dyDescent="0.3">
      <c r="A484" s="4" t="s">
        <v>849</v>
      </c>
      <c r="B484" s="4" t="s">
        <v>946</v>
      </c>
      <c r="C484" s="5" t="s">
        <v>850</v>
      </c>
      <c r="D484" s="5" t="s">
        <v>26</v>
      </c>
      <c r="E484" s="5" t="s">
        <v>36</v>
      </c>
      <c r="F484" s="5" t="s">
        <v>851</v>
      </c>
      <c r="G484" s="5" t="s">
        <v>16</v>
      </c>
      <c r="H484" s="6" t="s">
        <v>186</v>
      </c>
      <c r="I484" s="7" t="s">
        <v>387</v>
      </c>
      <c r="J484" s="8" t="s">
        <v>27</v>
      </c>
      <c r="K484" s="8">
        <v>0.2061855670103093</v>
      </c>
      <c r="L484" s="8"/>
      <c r="M484" s="5"/>
      <c r="N484" s="8">
        <v>1.1882352941176471</v>
      </c>
      <c r="O484" s="9">
        <v>5.762941176470588</v>
      </c>
      <c r="P484" s="10" t="s">
        <v>31</v>
      </c>
      <c r="Q484" s="10">
        <f t="shared" si="51"/>
        <v>0</v>
      </c>
      <c r="R484" s="10">
        <f t="shared" si="52"/>
        <v>1</v>
      </c>
      <c r="S484" s="10">
        <f t="shared" si="53"/>
        <v>1</v>
      </c>
      <c r="T484" s="10">
        <f t="shared" si="54"/>
        <v>0</v>
      </c>
      <c r="U484" s="11" t="str">
        <f t="shared" si="55"/>
        <v/>
      </c>
      <c r="V484" s="11" t="str">
        <f t="shared" si="56"/>
        <v/>
      </c>
      <c r="W484" s="11">
        <f t="shared" si="56"/>
        <v>1</v>
      </c>
      <c r="X484" s="11" t="str">
        <f t="shared" si="56"/>
        <v/>
      </c>
      <c r="Y484" s="11" t="str">
        <f t="shared" si="56"/>
        <v/>
      </c>
      <c r="Z484" s="11">
        <f t="shared" si="56"/>
        <v>1</v>
      </c>
      <c r="AA484" s="11" t="str">
        <f t="shared" si="56"/>
        <v/>
      </c>
      <c r="AB484" s="11" t="str">
        <f t="shared" si="56"/>
        <v/>
      </c>
      <c r="AC484" s="11" t="str">
        <f t="shared" si="56"/>
        <v/>
      </c>
      <c r="AD484" s="11" t="str">
        <f t="shared" si="56"/>
        <v/>
      </c>
      <c r="AE484" s="12" t="s">
        <v>1084</v>
      </c>
    </row>
    <row r="485" spans="1:31" ht="18" customHeight="1" thickTop="1" thickBot="1" x14ac:dyDescent="0.3">
      <c r="A485" s="4" t="s">
        <v>849</v>
      </c>
      <c r="B485" s="4" t="s">
        <v>946</v>
      </c>
      <c r="C485" s="5" t="s">
        <v>850</v>
      </c>
      <c r="D485" s="5" t="s">
        <v>26</v>
      </c>
      <c r="E485" s="5" t="s">
        <v>40</v>
      </c>
      <c r="F485" s="5" t="s">
        <v>852</v>
      </c>
      <c r="G485" s="5" t="s">
        <v>16</v>
      </c>
      <c r="H485" s="6" t="s">
        <v>186</v>
      </c>
      <c r="I485" s="7" t="s">
        <v>387</v>
      </c>
      <c r="J485" s="8" t="s">
        <v>27</v>
      </c>
      <c r="K485" s="8">
        <v>0.63492063492063489</v>
      </c>
      <c r="L485" s="8"/>
      <c r="M485" s="5"/>
      <c r="N485" s="8">
        <v>3.4041666666666668</v>
      </c>
      <c r="O485" s="9">
        <v>5.3615624999999998</v>
      </c>
      <c r="P485" s="10" t="s">
        <v>31</v>
      </c>
      <c r="Q485" s="10">
        <f t="shared" si="51"/>
        <v>0</v>
      </c>
      <c r="R485" s="10">
        <f t="shared" si="52"/>
        <v>0</v>
      </c>
      <c r="S485" s="10">
        <f t="shared" si="53"/>
        <v>1</v>
      </c>
      <c r="T485" s="10">
        <f t="shared" si="54"/>
        <v>0</v>
      </c>
      <c r="U485" s="11" t="str">
        <f t="shared" si="55"/>
        <v/>
      </c>
      <c r="V485" s="11" t="str">
        <f t="shared" si="56"/>
        <v/>
      </c>
      <c r="W485" s="11">
        <f t="shared" si="56"/>
        <v>1</v>
      </c>
      <c r="X485" s="11" t="str">
        <f t="shared" si="56"/>
        <v/>
      </c>
      <c r="Y485" s="11" t="str">
        <f t="shared" si="56"/>
        <v/>
      </c>
      <c r="Z485" s="11">
        <f t="shared" si="56"/>
        <v>1</v>
      </c>
      <c r="AA485" s="11" t="str">
        <f t="shared" si="56"/>
        <v/>
      </c>
      <c r="AB485" s="11" t="str">
        <f t="shared" si="56"/>
        <v/>
      </c>
      <c r="AC485" s="11" t="str">
        <f t="shared" si="56"/>
        <v/>
      </c>
      <c r="AD485" s="11" t="str">
        <f t="shared" si="56"/>
        <v/>
      </c>
      <c r="AE485" s="12" t="s">
        <v>1084</v>
      </c>
    </row>
    <row r="486" spans="1:31" ht="18" customHeight="1" thickTop="1" thickBot="1" x14ac:dyDescent="0.3">
      <c r="A486" s="4" t="s">
        <v>316</v>
      </c>
      <c r="B486" s="4" t="s">
        <v>946</v>
      </c>
      <c r="C486" s="5" t="s">
        <v>853</v>
      </c>
      <c r="D486" s="5" t="s">
        <v>26</v>
      </c>
      <c r="E486" s="5" t="s">
        <v>27</v>
      </c>
      <c r="F486" s="5" t="s">
        <v>854</v>
      </c>
      <c r="G486" s="5" t="s">
        <v>16</v>
      </c>
      <c r="H486" s="6" t="s">
        <v>299</v>
      </c>
      <c r="I486" s="7" t="s">
        <v>68</v>
      </c>
      <c r="J486" s="8" t="s">
        <v>27</v>
      </c>
      <c r="K486" s="8">
        <v>1.0112462006079028</v>
      </c>
      <c r="L486" s="8"/>
      <c r="M486" s="5"/>
      <c r="N486" s="8">
        <v>1.0140478668054111</v>
      </c>
      <c r="O486" s="9">
        <v>1.0027705085030967</v>
      </c>
      <c r="P486" s="10" t="s">
        <v>27</v>
      </c>
      <c r="Q486" s="10">
        <f t="shared" si="51"/>
        <v>0</v>
      </c>
      <c r="R486" s="10">
        <f t="shared" si="52"/>
        <v>0</v>
      </c>
      <c r="S486" s="10">
        <f t="shared" si="53"/>
        <v>0</v>
      </c>
      <c r="T486" s="10">
        <f t="shared" si="54"/>
        <v>0</v>
      </c>
      <c r="U486" s="11" t="str">
        <f t="shared" si="55"/>
        <v/>
      </c>
      <c r="V486" s="11" t="str">
        <f t="shared" si="56"/>
        <v/>
      </c>
      <c r="W486" s="11" t="str">
        <f t="shared" si="56"/>
        <v/>
      </c>
      <c r="X486" s="11" t="str">
        <f t="shared" si="56"/>
        <v/>
      </c>
      <c r="Y486" s="11" t="str">
        <f t="shared" si="56"/>
        <v/>
      </c>
      <c r="Z486" s="11" t="str">
        <f t="shared" si="56"/>
        <v/>
      </c>
      <c r="AA486" s="11" t="str">
        <f t="shared" si="56"/>
        <v/>
      </c>
      <c r="AB486" s="11" t="str">
        <f t="shared" si="56"/>
        <v/>
      </c>
      <c r="AC486" s="11" t="str">
        <f t="shared" si="56"/>
        <v/>
      </c>
      <c r="AD486" s="11" t="str">
        <f t="shared" si="56"/>
        <v/>
      </c>
      <c r="AE486" s="12" t="s">
        <v>27</v>
      </c>
    </row>
    <row r="487" spans="1:31" ht="18" customHeight="1" thickTop="1" thickBot="1" x14ac:dyDescent="0.3">
      <c r="A487" s="4" t="s">
        <v>408</v>
      </c>
      <c r="B487" s="4" t="s">
        <v>946</v>
      </c>
      <c r="C487" s="5" t="s">
        <v>855</v>
      </c>
      <c r="D487" s="5" t="s">
        <v>26</v>
      </c>
      <c r="E487" s="5" t="s">
        <v>27</v>
      </c>
      <c r="F487" s="5" t="s">
        <v>856</v>
      </c>
      <c r="G487" s="5" t="s">
        <v>16</v>
      </c>
      <c r="H487" s="6" t="s">
        <v>186</v>
      </c>
      <c r="I487" s="7" t="s">
        <v>122</v>
      </c>
      <c r="J487" s="8" t="s">
        <v>27</v>
      </c>
      <c r="K487" s="8">
        <v>0.79756676557863504</v>
      </c>
      <c r="L487" s="8"/>
      <c r="M487" s="5"/>
      <c r="N487" s="8">
        <v>1.3032128514056227</v>
      </c>
      <c r="O487" s="9">
        <v>1.6339859026850763</v>
      </c>
      <c r="P487" s="10" t="s">
        <v>31</v>
      </c>
      <c r="Q487" s="10">
        <f t="shared" si="51"/>
        <v>0</v>
      </c>
      <c r="R487" s="10">
        <f t="shared" si="52"/>
        <v>0</v>
      </c>
      <c r="S487" s="10">
        <f t="shared" si="53"/>
        <v>1</v>
      </c>
      <c r="T487" s="10">
        <f t="shared" si="54"/>
        <v>0</v>
      </c>
      <c r="U487" s="11">
        <f t="shared" si="55"/>
        <v>1</v>
      </c>
      <c r="V487" s="11" t="str">
        <f t="shared" si="56"/>
        <v/>
      </c>
      <c r="W487" s="11" t="str">
        <f t="shared" si="56"/>
        <v/>
      </c>
      <c r="X487" s="11" t="str">
        <f t="shared" si="56"/>
        <v/>
      </c>
      <c r="Y487" s="11" t="str">
        <f t="shared" si="56"/>
        <v/>
      </c>
      <c r="Z487" s="11" t="str">
        <f t="shared" si="56"/>
        <v/>
      </c>
      <c r="AA487" s="11" t="str">
        <f t="shared" si="56"/>
        <v/>
      </c>
      <c r="AB487" s="11" t="str">
        <f t="shared" si="56"/>
        <v/>
      </c>
      <c r="AC487" s="11" t="str">
        <f t="shared" si="56"/>
        <v/>
      </c>
      <c r="AD487" s="11" t="str">
        <f t="shared" si="56"/>
        <v/>
      </c>
      <c r="AE487" s="12" t="s">
        <v>1041</v>
      </c>
    </row>
    <row r="488" spans="1:31" ht="18" customHeight="1" thickTop="1" thickBot="1" x14ac:dyDescent="0.3">
      <c r="A488" s="4" t="s">
        <v>408</v>
      </c>
      <c r="B488" s="4" t="s">
        <v>946</v>
      </c>
      <c r="C488" s="5" t="s">
        <v>855</v>
      </c>
      <c r="D488" s="5" t="s">
        <v>26</v>
      </c>
      <c r="E488" s="5" t="s">
        <v>36</v>
      </c>
      <c r="F488" s="5" t="s">
        <v>857</v>
      </c>
      <c r="G488" s="5" t="s">
        <v>16</v>
      </c>
      <c r="H488" s="6" t="s">
        <v>186</v>
      </c>
      <c r="I488" s="7" t="s">
        <v>359</v>
      </c>
      <c r="J488" s="8" t="s">
        <v>27</v>
      </c>
      <c r="K488" s="8">
        <v>1.0923333333333334</v>
      </c>
      <c r="L488" s="8"/>
      <c r="M488" s="5"/>
      <c r="N488" s="8">
        <v>1.7059548427672957</v>
      </c>
      <c r="O488" s="9">
        <v>1.5617529839187936</v>
      </c>
      <c r="P488" s="10" t="s">
        <v>31</v>
      </c>
      <c r="Q488" s="10">
        <f t="shared" si="51"/>
        <v>0</v>
      </c>
      <c r="R488" s="10">
        <f t="shared" si="52"/>
        <v>0</v>
      </c>
      <c r="S488" s="10">
        <f t="shared" si="53"/>
        <v>1</v>
      </c>
      <c r="T488" s="10">
        <f t="shared" si="54"/>
        <v>0</v>
      </c>
      <c r="U488" s="11">
        <f t="shared" si="55"/>
        <v>1</v>
      </c>
      <c r="V488" s="11" t="str">
        <f t="shared" si="56"/>
        <v/>
      </c>
      <c r="W488" s="11" t="str">
        <f t="shared" si="56"/>
        <v/>
      </c>
      <c r="X488" s="11" t="str">
        <f t="shared" si="56"/>
        <v/>
      </c>
      <c r="Y488" s="11" t="str">
        <f t="shared" si="56"/>
        <v/>
      </c>
      <c r="Z488" s="11" t="str">
        <f t="shared" si="56"/>
        <v/>
      </c>
      <c r="AA488" s="11" t="str">
        <f t="shared" si="56"/>
        <v/>
      </c>
      <c r="AB488" s="11" t="str">
        <f t="shared" si="56"/>
        <v/>
      </c>
      <c r="AC488" s="11" t="str">
        <f t="shared" si="56"/>
        <v/>
      </c>
      <c r="AD488" s="11" t="str">
        <f t="shared" si="56"/>
        <v/>
      </c>
      <c r="AE488" s="12" t="s">
        <v>1041</v>
      </c>
    </row>
    <row r="489" spans="1:31" ht="18" customHeight="1" thickTop="1" thickBot="1" x14ac:dyDescent="0.3">
      <c r="A489" s="4" t="s">
        <v>408</v>
      </c>
      <c r="B489" s="4" t="s">
        <v>946</v>
      </c>
      <c r="C489" s="5" t="s">
        <v>855</v>
      </c>
      <c r="D489" s="5" t="s">
        <v>26</v>
      </c>
      <c r="E489" s="5" t="s">
        <v>40</v>
      </c>
      <c r="F489" s="5" t="s">
        <v>858</v>
      </c>
      <c r="G489" s="5" t="s">
        <v>16</v>
      </c>
      <c r="H489" s="6" t="s">
        <v>186</v>
      </c>
      <c r="I489" s="7" t="s">
        <v>122</v>
      </c>
      <c r="J489" s="8" t="s">
        <v>27</v>
      </c>
      <c r="K489" s="8">
        <v>0.6969642857142857</v>
      </c>
      <c r="L489" s="8"/>
      <c r="M489" s="5"/>
      <c r="N489" s="8">
        <v>1.2739611464968155</v>
      </c>
      <c r="O489" s="9">
        <v>1.82787148869643</v>
      </c>
      <c r="P489" s="10" t="s">
        <v>31</v>
      </c>
      <c r="Q489" s="10">
        <f t="shared" si="51"/>
        <v>0</v>
      </c>
      <c r="R489" s="10">
        <f t="shared" si="52"/>
        <v>0</v>
      </c>
      <c r="S489" s="10">
        <f t="shared" si="53"/>
        <v>1</v>
      </c>
      <c r="T489" s="10">
        <f t="shared" si="54"/>
        <v>0</v>
      </c>
      <c r="U489" s="11">
        <f t="shared" si="55"/>
        <v>1</v>
      </c>
      <c r="V489" s="11" t="str">
        <f t="shared" si="56"/>
        <v/>
      </c>
      <c r="W489" s="11" t="str">
        <f t="shared" si="56"/>
        <v/>
      </c>
      <c r="X489" s="11" t="str">
        <f t="shared" si="56"/>
        <v/>
      </c>
      <c r="Y489" s="11" t="str">
        <f t="shared" si="56"/>
        <v/>
      </c>
      <c r="Z489" s="11" t="str">
        <f t="shared" si="56"/>
        <v/>
      </c>
      <c r="AA489" s="11" t="str">
        <f t="shared" si="56"/>
        <v/>
      </c>
      <c r="AB489" s="11" t="str">
        <f t="shared" si="56"/>
        <v/>
      </c>
      <c r="AC489" s="11" t="str">
        <f t="shared" si="56"/>
        <v/>
      </c>
      <c r="AD489" s="11" t="str">
        <f t="shared" si="56"/>
        <v/>
      </c>
      <c r="AE489" s="12" t="s">
        <v>1041</v>
      </c>
    </row>
    <row r="490" spans="1:31" ht="18" customHeight="1" thickTop="1" thickBot="1" x14ac:dyDescent="0.3">
      <c r="A490" s="4" t="s">
        <v>408</v>
      </c>
      <c r="B490" s="4" t="s">
        <v>946</v>
      </c>
      <c r="C490" s="5" t="s">
        <v>855</v>
      </c>
      <c r="D490" s="5" t="s">
        <v>26</v>
      </c>
      <c r="E490" s="5" t="s">
        <v>69</v>
      </c>
      <c r="F490" s="5" t="s">
        <v>859</v>
      </c>
      <c r="G490" s="5" t="s">
        <v>16</v>
      </c>
      <c r="H490" s="6" t="s">
        <v>186</v>
      </c>
      <c r="I490" s="7" t="s">
        <v>359</v>
      </c>
      <c r="J490" s="8" t="s">
        <v>27</v>
      </c>
      <c r="K490" s="8">
        <v>0.88905660377358486</v>
      </c>
      <c r="L490" s="8"/>
      <c r="M490" s="5"/>
      <c r="N490" s="8">
        <v>1.2798240000000001</v>
      </c>
      <c r="O490" s="9">
        <v>1.43953039049236</v>
      </c>
      <c r="P490" s="10" t="s">
        <v>27</v>
      </c>
      <c r="Q490" s="10">
        <f t="shared" si="51"/>
        <v>0</v>
      </c>
      <c r="R490" s="10">
        <f t="shared" si="52"/>
        <v>0</v>
      </c>
      <c r="S490" s="10">
        <f t="shared" si="53"/>
        <v>0</v>
      </c>
      <c r="T490" s="10">
        <f t="shared" si="54"/>
        <v>0</v>
      </c>
      <c r="U490" s="11" t="str">
        <f t="shared" si="55"/>
        <v/>
      </c>
      <c r="V490" s="11" t="str">
        <f t="shared" si="56"/>
        <v/>
      </c>
      <c r="W490" s="11" t="str">
        <f t="shared" si="56"/>
        <v/>
      </c>
      <c r="X490" s="11" t="str">
        <f t="shared" si="56"/>
        <v/>
      </c>
      <c r="Y490" s="11" t="str">
        <f t="shared" si="56"/>
        <v/>
      </c>
      <c r="Z490" s="11" t="str">
        <f t="shared" si="56"/>
        <v/>
      </c>
      <c r="AA490" s="11" t="str">
        <f t="shared" si="56"/>
        <v/>
      </c>
      <c r="AB490" s="11" t="str">
        <f t="shared" si="56"/>
        <v/>
      </c>
      <c r="AC490" s="11" t="str">
        <f t="shared" si="56"/>
        <v/>
      </c>
      <c r="AD490" s="11" t="str">
        <f t="shared" si="56"/>
        <v/>
      </c>
      <c r="AE490" s="12" t="s">
        <v>27</v>
      </c>
    </row>
    <row r="491" spans="1:31" ht="18" customHeight="1" thickTop="1" thickBot="1" x14ac:dyDescent="0.3">
      <c r="A491" s="4" t="s">
        <v>123</v>
      </c>
      <c r="B491" s="4" t="s">
        <v>948</v>
      </c>
      <c r="C491" s="5" t="s">
        <v>860</v>
      </c>
      <c r="D491" s="5" t="s">
        <v>26</v>
      </c>
      <c r="E491" s="5" t="s">
        <v>36</v>
      </c>
      <c r="F491" s="5" t="s">
        <v>861</v>
      </c>
      <c r="G491" s="5" t="s">
        <v>16</v>
      </c>
      <c r="H491" s="6" t="s">
        <v>862</v>
      </c>
      <c r="I491" s="7" t="s">
        <v>131</v>
      </c>
      <c r="J491" s="8" t="s">
        <v>27</v>
      </c>
      <c r="K491" s="8">
        <v>1</v>
      </c>
      <c r="L491" s="8"/>
      <c r="M491" s="5"/>
      <c r="N491" s="8">
        <v>0.85423565514273192</v>
      </c>
      <c r="O491" s="9">
        <v>0.85423565514273192</v>
      </c>
      <c r="P491" s="10" t="s">
        <v>27</v>
      </c>
      <c r="Q491" s="10">
        <f t="shared" si="51"/>
        <v>0</v>
      </c>
      <c r="R491" s="10">
        <f t="shared" si="52"/>
        <v>0</v>
      </c>
      <c r="S491" s="10">
        <f t="shared" si="53"/>
        <v>0</v>
      </c>
      <c r="T491" s="10">
        <f t="shared" si="54"/>
        <v>0</v>
      </c>
      <c r="U491" s="11" t="str">
        <f t="shared" si="55"/>
        <v/>
      </c>
      <c r="V491" s="11" t="str">
        <f t="shared" si="56"/>
        <v/>
      </c>
      <c r="W491" s="11" t="str">
        <f t="shared" si="56"/>
        <v/>
      </c>
      <c r="X491" s="11" t="str">
        <f t="shared" si="56"/>
        <v/>
      </c>
      <c r="Y491" s="11" t="str">
        <f t="shared" si="56"/>
        <v/>
      </c>
      <c r="Z491" s="11" t="str">
        <f t="shared" si="56"/>
        <v/>
      </c>
      <c r="AA491" s="11" t="str">
        <f t="shared" si="56"/>
        <v/>
      </c>
      <c r="AB491" s="11" t="str">
        <f t="shared" si="56"/>
        <v/>
      </c>
      <c r="AC491" s="11" t="str">
        <f t="shared" si="56"/>
        <v/>
      </c>
      <c r="AD491" s="11" t="str">
        <f t="shared" si="56"/>
        <v/>
      </c>
      <c r="AE491" s="12" t="s">
        <v>27</v>
      </c>
    </row>
    <row r="492" spans="1:31" ht="18" customHeight="1" thickTop="1" thickBot="1" x14ac:dyDescent="0.3">
      <c r="A492" s="4" t="s">
        <v>123</v>
      </c>
      <c r="B492" s="4" t="s">
        <v>948</v>
      </c>
      <c r="C492" s="5" t="s">
        <v>860</v>
      </c>
      <c r="D492" s="5" t="s">
        <v>26</v>
      </c>
      <c r="E492" s="5" t="s">
        <v>40</v>
      </c>
      <c r="F492" s="5" t="s">
        <v>863</v>
      </c>
      <c r="G492" s="5" t="s">
        <v>16</v>
      </c>
      <c r="H492" s="6" t="s">
        <v>862</v>
      </c>
      <c r="I492" s="7" t="s">
        <v>131</v>
      </c>
      <c r="J492" s="8" t="s">
        <v>27</v>
      </c>
      <c r="K492" s="8">
        <v>0.95121951219512191</v>
      </c>
      <c r="L492" s="8"/>
      <c r="M492" s="5"/>
      <c r="N492" s="8">
        <v>1.0446415151059671</v>
      </c>
      <c r="O492" s="9">
        <v>1.0982128748549911</v>
      </c>
      <c r="P492" s="10" t="s">
        <v>27</v>
      </c>
      <c r="Q492" s="10">
        <f t="shared" si="51"/>
        <v>0</v>
      </c>
      <c r="R492" s="10">
        <f t="shared" si="52"/>
        <v>0</v>
      </c>
      <c r="S492" s="10">
        <f t="shared" si="53"/>
        <v>0</v>
      </c>
      <c r="T492" s="10">
        <f t="shared" si="54"/>
        <v>0</v>
      </c>
      <c r="U492" s="11" t="str">
        <f t="shared" si="55"/>
        <v/>
      </c>
      <c r="V492" s="11" t="str">
        <f t="shared" si="56"/>
        <v/>
      </c>
      <c r="W492" s="11" t="str">
        <f t="shared" si="56"/>
        <v/>
      </c>
      <c r="X492" s="11" t="str">
        <f t="shared" si="56"/>
        <v/>
      </c>
      <c r="Y492" s="11" t="str">
        <f t="shared" si="56"/>
        <v/>
      </c>
      <c r="Z492" s="11" t="str">
        <f t="shared" si="56"/>
        <v/>
      </c>
      <c r="AA492" s="11" t="str">
        <f t="shared" si="56"/>
        <v/>
      </c>
      <c r="AB492" s="11" t="str">
        <f t="shared" si="56"/>
        <v/>
      </c>
      <c r="AC492" s="11" t="str">
        <f t="shared" si="56"/>
        <v/>
      </c>
      <c r="AD492" s="11" t="str">
        <f t="shared" si="56"/>
        <v/>
      </c>
      <c r="AE492" s="12" t="s">
        <v>27</v>
      </c>
    </row>
    <row r="493" spans="1:31" ht="18" customHeight="1" thickTop="1" thickBot="1" x14ac:dyDescent="0.3">
      <c r="A493" s="4" t="s">
        <v>300</v>
      </c>
      <c r="B493" s="4" t="s">
        <v>950</v>
      </c>
      <c r="C493" s="5" t="s">
        <v>864</v>
      </c>
      <c r="D493" s="5" t="s">
        <v>26</v>
      </c>
      <c r="E493" s="5" t="s">
        <v>27</v>
      </c>
      <c r="F493" s="5" t="s">
        <v>865</v>
      </c>
      <c r="G493" s="5" t="s">
        <v>16</v>
      </c>
      <c r="H493" s="6" t="s">
        <v>866</v>
      </c>
      <c r="I493" s="7" t="s">
        <v>387</v>
      </c>
      <c r="J493" s="8" t="s">
        <v>27</v>
      </c>
      <c r="K493" s="8">
        <v>0.43959731543624159</v>
      </c>
      <c r="L493" s="8"/>
      <c r="M493" s="5"/>
      <c r="N493" s="8">
        <v>1.1415929203539823</v>
      </c>
      <c r="O493" s="9">
        <v>2.596906032560967</v>
      </c>
      <c r="P493" s="10" t="s">
        <v>31</v>
      </c>
      <c r="Q493" s="10">
        <f t="shared" si="51"/>
        <v>0</v>
      </c>
      <c r="R493" s="10">
        <f t="shared" si="52"/>
        <v>1</v>
      </c>
      <c r="S493" s="10">
        <f t="shared" si="53"/>
        <v>1</v>
      </c>
      <c r="T493" s="10">
        <f t="shared" si="54"/>
        <v>0</v>
      </c>
      <c r="U493" s="11" t="str">
        <f t="shared" si="55"/>
        <v/>
      </c>
      <c r="V493" s="11">
        <f t="shared" si="56"/>
        <v>1</v>
      </c>
      <c r="W493" s="11" t="str">
        <f t="shared" si="56"/>
        <v/>
      </c>
      <c r="X493" s="11" t="str">
        <f t="shared" si="56"/>
        <v/>
      </c>
      <c r="Y493" s="11" t="str">
        <f t="shared" si="56"/>
        <v/>
      </c>
      <c r="Z493" s="11">
        <f t="shared" si="56"/>
        <v>1</v>
      </c>
      <c r="AA493" s="11" t="str">
        <f t="shared" si="56"/>
        <v/>
      </c>
      <c r="AB493" s="11" t="str">
        <f t="shared" si="56"/>
        <v/>
      </c>
      <c r="AC493" s="11" t="str">
        <f t="shared" si="56"/>
        <v/>
      </c>
      <c r="AD493" s="11">
        <f t="shared" si="56"/>
        <v>1</v>
      </c>
      <c r="AE493" s="12" t="s">
        <v>1087</v>
      </c>
    </row>
    <row r="494" spans="1:31" ht="18" customHeight="1" thickTop="1" thickBot="1" x14ac:dyDescent="0.3">
      <c r="A494" s="4" t="s">
        <v>296</v>
      </c>
      <c r="B494" s="4" t="s">
        <v>947</v>
      </c>
      <c r="C494" s="5" t="s">
        <v>867</v>
      </c>
      <c r="D494" s="5" t="s">
        <v>26</v>
      </c>
      <c r="E494" s="5" t="s">
        <v>27</v>
      </c>
      <c r="F494" s="5" t="s">
        <v>868</v>
      </c>
      <c r="G494" s="5" t="s">
        <v>16</v>
      </c>
      <c r="H494" s="6" t="s">
        <v>683</v>
      </c>
      <c r="I494" s="7" t="s">
        <v>38</v>
      </c>
      <c r="J494" s="8" t="s">
        <v>27</v>
      </c>
      <c r="K494" s="8">
        <v>0.68222222222222217</v>
      </c>
      <c r="L494" s="8"/>
      <c r="M494" s="5"/>
      <c r="N494" s="8">
        <v>0.67988626207157454</v>
      </c>
      <c r="O494" s="9">
        <v>0.99657595417657496</v>
      </c>
      <c r="P494" s="10" t="s">
        <v>27</v>
      </c>
      <c r="Q494" s="10">
        <f t="shared" si="51"/>
        <v>0</v>
      </c>
      <c r="R494" s="10">
        <f t="shared" si="52"/>
        <v>0</v>
      </c>
      <c r="S494" s="10">
        <f t="shared" si="53"/>
        <v>0</v>
      </c>
      <c r="T494" s="10">
        <f t="shared" si="54"/>
        <v>0</v>
      </c>
      <c r="U494" s="11" t="str">
        <f t="shared" si="55"/>
        <v/>
      </c>
      <c r="V494" s="11" t="str">
        <f t="shared" si="56"/>
        <v/>
      </c>
      <c r="W494" s="11" t="str">
        <f t="shared" si="56"/>
        <v/>
      </c>
      <c r="X494" s="11" t="str">
        <f t="shared" si="56"/>
        <v/>
      </c>
      <c r="Y494" s="11" t="str">
        <f t="shared" si="56"/>
        <v/>
      </c>
      <c r="Z494" s="11" t="str">
        <f t="shared" ref="V494:AD522" si="57">IF(ISNUMBER(SEARCH(Z$3,$AE494)), 1,"")</f>
        <v/>
      </c>
      <c r="AA494" s="11" t="str">
        <f t="shared" si="57"/>
        <v/>
      </c>
      <c r="AB494" s="11" t="str">
        <f t="shared" si="57"/>
        <v/>
      </c>
      <c r="AC494" s="11" t="str">
        <f t="shared" si="57"/>
        <v/>
      </c>
      <c r="AD494" s="11" t="str">
        <f t="shared" si="57"/>
        <v/>
      </c>
      <c r="AE494" s="12" t="s">
        <v>27</v>
      </c>
    </row>
    <row r="495" spans="1:31" ht="18" customHeight="1" thickTop="1" thickBot="1" x14ac:dyDescent="0.3">
      <c r="A495" s="4" t="s">
        <v>296</v>
      </c>
      <c r="B495" s="4" t="s">
        <v>947</v>
      </c>
      <c r="C495" s="5" t="s">
        <v>867</v>
      </c>
      <c r="D495" s="5" t="s">
        <v>26</v>
      </c>
      <c r="E495" s="5" t="s">
        <v>36</v>
      </c>
      <c r="F495" s="5" t="s">
        <v>870</v>
      </c>
      <c r="G495" s="5" t="s">
        <v>16</v>
      </c>
      <c r="H495" s="6" t="s">
        <v>683</v>
      </c>
      <c r="I495" s="7" t="s">
        <v>38</v>
      </c>
      <c r="J495" s="8" t="s">
        <v>27</v>
      </c>
      <c r="K495" s="8">
        <v>0.98546042003231016</v>
      </c>
      <c r="L495" s="8"/>
      <c r="M495" s="5"/>
      <c r="N495" s="8">
        <v>1.1824324324324322</v>
      </c>
      <c r="O495" s="9">
        <v>1.1998781568453698</v>
      </c>
      <c r="P495" s="10" t="s">
        <v>27</v>
      </c>
      <c r="Q495" s="10">
        <f t="shared" si="51"/>
        <v>0</v>
      </c>
      <c r="R495" s="10">
        <f t="shared" si="52"/>
        <v>0</v>
      </c>
      <c r="S495" s="10">
        <f t="shared" si="53"/>
        <v>0</v>
      </c>
      <c r="T495" s="10">
        <f t="shared" si="54"/>
        <v>0</v>
      </c>
      <c r="U495" s="11" t="str">
        <f t="shared" si="55"/>
        <v/>
      </c>
      <c r="V495" s="11" t="str">
        <f t="shared" si="57"/>
        <v/>
      </c>
      <c r="W495" s="11" t="str">
        <f t="shared" si="57"/>
        <v/>
      </c>
      <c r="X495" s="11" t="str">
        <f t="shared" si="57"/>
        <v/>
      </c>
      <c r="Y495" s="11" t="str">
        <f t="shared" si="57"/>
        <v/>
      </c>
      <c r="Z495" s="11" t="str">
        <f t="shared" si="57"/>
        <v/>
      </c>
      <c r="AA495" s="11" t="str">
        <f t="shared" si="57"/>
        <v/>
      </c>
      <c r="AB495" s="11" t="str">
        <f t="shared" si="57"/>
        <v/>
      </c>
      <c r="AC495" s="11" t="str">
        <f t="shared" si="57"/>
        <v/>
      </c>
      <c r="AD495" s="11" t="str">
        <f t="shared" si="57"/>
        <v/>
      </c>
      <c r="AE495" s="12" t="s">
        <v>27</v>
      </c>
    </row>
    <row r="496" spans="1:31" ht="18" customHeight="1" thickTop="1" thickBot="1" x14ac:dyDescent="0.3">
      <c r="A496" s="4" t="s">
        <v>296</v>
      </c>
      <c r="B496" s="4" t="s">
        <v>947</v>
      </c>
      <c r="C496" s="5" t="s">
        <v>867</v>
      </c>
      <c r="D496" s="5" t="s">
        <v>26</v>
      </c>
      <c r="E496" s="5" t="s">
        <v>40</v>
      </c>
      <c r="F496" s="5" t="s">
        <v>871</v>
      </c>
      <c r="G496" s="5" t="s">
        <v>16</v>
      </c>
      <c r="H496" s="6" t="s">
        <v>683</v>
      </c>
      <c r="I496" s="7" t="s">
        <v>38</v>
      </c>
      <c r="J496" s="8" t="s">
        <v>27</v>
      </c>
      <c r="K496" s="8">
        <v>1.0629213483146067</v>
      </c>
      <c r="L496" s="8"/>
      <c r="M496" s="5"/>
      <c r="N496" s="8">
        <v>0.88955162484574235</v>
      </c>
      <c r="O496" s="9">
        <v>0.83689317770899652</v>
      </c>
      <c r="P496" s="10" t="s">
        <v>27</v>
      </c>
      <c r="Q496" s="10">
        <f t="shared" si="51"/>
        <v>0</v>
      </c>
      <c r="R496" s="10">
        <f t="shared" si="52"/>
        <v>0</v>
      </c>
      <c r="S496" s="10">
        <f t="shared" si="53"/>
        <v>0</v>
      </c>
      <c r="T496" s="10">
        <f t="shared" si="54"/>
        <v>0</v>
      </c>
      <c r="U496" s="11" t="str">
        <f t="shared" si="55"/>
        <v/>
      </c>
      <c r="V496" s="11" t="str">
        <f t="shared" si="57"/>
        <v/>
      </c>
      <c r="W496" s="11" t="str">
        <f t="shared" si="57"/>
        <v/>
      </c>
      <c r="X496" s="11" t="str">
        <f t="shared" si="57"/>
        <v/>
      </c>
      <c r="Y496" s="11" t="str">
        <f t="shared" si="57"/>
        <v/>
      </c>
      <c r="Z496" s="11" t="str">
        <f t="shared" si="57"/>
        <v/>
      </c>
      <c r="AA496" s="11" t="str">
        <f t="shared" si="57"/>
        <v/>
      </c>
      <c r="AB496" s="11" t="str">
        <f t="shared" si="57"/>
        <v/>
      </c>
      <c r="AC496" s="11" t="str">
        <f t="shared" si="57"/>
        <v/>
      </c>
      <c r="AD496" s="11" t="str">
        <f t="shared" si="57"/>
        <v/>
      </c>
      <c r="AE496" s="12" t="s">
        <v>27</v>
      </c>
    </row>
    <row r="497" spans="1:31" ht="18" customHeight="1" thickTop="1" thickBot="1" x14ac:dyDescent="0.3">
      <c r="A497" s="4" t="s">
        <v>296</v>
      </c>
      <c r="B497" s="4" t="s">
        <v>947</v>
      </c>
      <c r="C497" s="5" t="s">
        <v>867</v>
      </c>
      <c r="D497" s="5" t="s">
        <v>26</v>
      </c>
      <c r="E497" s="5" t="s">
        <v>69</v>
      </c>
      <c r="F497" s="5" t="s">
        <v>872</v>
      </c>
      <c r="G497" s="5" t="s">
        <v>16</v>
      </c>
      <c r="H497" s="6" t="s">
        <v>683</v>
      </c>
      <c r="I497" s="7" t="s">
        <v>38</v>
      </c>
      <c r="J497" s="8" t="s">
        <v>27</v>
      </c>
      <c r="K497" s="8">
        <v>0.75573770491803283</v>
      </c>
      <c r="L497" s="8"/>
      <c r="M497" s="5"/>
      <c r="N497" s="8">
        <v>0.70315011250401793</v>
      </c>
      <c r="O497" s="9">
        <v>0.93041555016800637</v>
      </c>
      <c r="P497" s="10" t="s">
        <v>27</v>
      </c>
      <c r="Q497" s="10">
        <f t="shared" si="51"/>
        <v>0</v>
      </c>
      <c r="R497" s="10">
        <f t="shared" si="52"/>
        <v>0</v>
      </c>
      <c r="S497" s="10">
        <f t="shared" si="53"/>
        <v>0</v>
      </c>
      <c r="T497" s="10">
        <f t="shared" si="54"/>
        <v>0</v>
      </c>
      <c r="U497" s="11" t="str">
        <f t="shared" si="55"/>
        <v/>
      </c>
      <c r="V497" s="11" t="str">
        <f t="shared" si="57"/>
        <v/>
      </c>
      <c r="W497" s="11" t="str">
        <f t="shared" si="57"/>
        <v/>
      </c>
      <c r="X497" s="11" t="str">
        <f t="shared" si="57"/>
        <v/>
      </c>
      <c r="Y497" s="11" t="str">
        <f t="shared" si="57"/>
        <v/>
      </c>
      <c r="Z497" s="11" t="str">
        <f t="shared" si="57"/>
        <v/>
      </c>
      <c r="AA497" s="11" t="str">
        <f t="shared" si="57"/>
        <v/>
      </c>
      <c r="AB497" s="11" t="str">
        <f t="shared" si="57"/>
        <v/>
      </c>
      <c r="AC497" s="11" t="str">
        <f t="shared" si="57"/>
        <v/>
      </c>
      <c r="AD497" s="11" t="str">
        <f t="shared" si="57"/>
        <v/>
      </c>
      <c r="AE497" s="12" t="s">
        <v>27</v>
      </c>
    </row>
    <row r="498" spans="1:31" ht="18" customHeight="1" thickTop="1" thickBot="1" x14ac:dyDescent="0.3">
      <c r="A498" s="4" t="s">
        <v>296</v>
      </c>
      <c r="B498" s="4" t="s">
        <v>947</v>
      </c>
      <c r="C498" s="5" t="s">
        <v>867</v>
      </c>
      <c r="D498" s="5" t="s">
        <v>26</v>
      </c>
      <c r="E498" s="5" t="s">
        <v>71</v>
      </c>
      <c r="F498" s="5" t="s">
        <v>873</v>
      </c>
      <c r="G498" s="5" t="s">
        <v>16</v>
      </c>
      <c r="H498" s="6" t="s">
        <v>683</v>
      </c>
      <c r="I498" s="7" t="s">
        <v>38</v>
      </c>
      <c r="J498" s="8" t="s">
        <v>27</v>
      </c>
      <c r="K498" s="8">
        <v>0.99105545617173529</v>
      </c>
      <c r="L498" s="8"/>
      <c r="M498" s="5"/>
      <c r="N498" s="8">
        <v>0.58760683760683752</v>
      </c>
      <c r="O498" s="9">
        <v>0.59291014841556355</v>
      </c>
      <c r="P498" s="10" t="s">
        <v>27</v>
      </c>
      <c r="Q498" s="10">
        <f t="shared" si="51"/>
        <v>0</v>
      </c>
      <c r="R498" s="10">
        <f t="shared" si="52"/>
        <v>0</v>
      </c>
      <c r="S498" s="10">
        <f t="shared" si="53"/>
        <v>0</v>
      </c>
      <c r="T498" s="10">
        <f t="shared" si="54"/>
        <v>0</v>
      </c>
      <c r="U498" s="11" t="str">
        <f t="shared" si="55"/>
        <v/>
      </c>
      <c r="V498" s="11" t="str">
        <f t="shared" si="57"/>
        <v/>
      </c>
      <c r="W498" s="11" t="str">
        <f t="shared" si="57"/>
        <v/>
      </c>
      <c r="X498" s="11" t="str">
        <f t="shared" si="57"/>
        <v/>
      </c>
      <c r="Y498" s="11" t="str">
        <f t="shared" si="57"/>
        <v/>
      </c>
      <c r="Z498" s="11" t="str">
        <f t="shared" si="57"/>
        <v/>
      </c>
      <c r="AA498" s="11" t="str">
        <f t="shared" si="57"/>
        <v/>
      </c>
      <c r="AB498" s="11" t="str">
        <f t="shared" si="57"/>
        <v/>
      </c>
      <c r="AC498" s="11" t="str">
        <f t="shared" si="57"/>
        <v/>
      </c>
      <c r="AD498" s="11" t="str">
        <f t="shared" si="57"/>
        <v/>
      </c>
      <c r="AE498" s="12" t="s">
        <v>27</v>
      </c>
    </row>
    <row r="499" spans="1:31" ht="18" customHeight="1" thickTop="1" thickBot="1" x14ac:dyDescent="0.3">
      <c r="A499" s="4" t="s">
        <v>296</v>
      </c>
      <c r="B499" s="4" t="s">
        <v>947</v>
      </c>
      <c r="C499" s="5" t="s">
        <v>867</v>
      </c>
      <c r="D499" s="5" t="s">
        <v>26</v>
      </c>
      <c r="E499" s="5" t="s">
        <v>141</v>
      </c>
      <c r="F499" s="5" t="s">
        <v>874</v>
      </c>
      <c r="G499" s="5" t="s">
        <v>16</v>
      </c>
      <c r="H499" s="6" t="s">
        <v>683</v>
      </c>
      <c r="I499" s="7" t="s">
        <v>38</v>
      </c>
      <c r="J499" s="8" t="s">
        <v>27</v>
      </c>
      <c r="K499" s="8">
        <v>0.96769230769230763</v>
      </c>
      <c r="L499" s="8"/>
      <c r="M499" s="5"/>
      <c r="N499" s="8">
        <v>0.90729274165806661</v>
      </c>
      <c r="O499" s="9">
        <v>0.937583914273042</v>
      </c>
      <c r="P499" s="10" t="s">
        <v>27</v>
      </c>
      <c r="Q499" s="10">
        <f t="shared" si="51"/>
        <v>0</v>
      </c>
      <c r="R499" s="10">
        <f t="shared" si="52"/>
        <v>0</v>
      </c>
      <c r="S499" s="10">
        <f t="shared" si="53"/>
        <v>0</v>
      </c>
      <c r="T499" s="10">
        <f t="shared" si="54"/>
        <v>0</v>
      </c>
      <c r="U499" s="11" t="str">
        <f t="shared" si="55"/>
        <v/>
      </c>
      <c r="V499" s="11" t="str">
        <f t="shared" si="57"/>
        <v/>
      </c>
      <c r="W499" s="11" t="str">
        <f t="shared" si="57"/>
        <v/>
      </c>
      <c r="X499" s="11" t="str">
        <f t="shared" si="57"/>
        <v/>
      </c>
      <c r="Y499" s="11" t="str">
        <f t="shared" si="57"/>
        <v/>
      </c>
      <c r="Z499" s="11" t="str">
        <f t="shared" si="57"/>
        <v/>
      </c>
      <c r="AA499" s="11" t="str">
        <f t="shared" si="57"/>
        <v/>
      </c>
      <c r="AB499" s="11" t="str">
        <f t="shared" si="57"/>
        <v/>
      </c>
      <c r="AC499" s="11" t="str">
        <f t="shared" si="57"/>
        <v/>
      </c>
      <c r="AD499" s="11" t="str">
        <f t="shared" si="57"/>
        <v/>
      </c>
      <c r="AE499" s="12" t="s">
        <v>27</v>
      </c>
    </row>
    <row r="500" spans="1:31" ht="18" customHeight="1" thickTop="1" thickBot="1" x14ac:dyDescent="0.3">
      <c r="A500" s="4" t="s">
        <v>296</v>
      </c>
      <c r="B500" s="4" t="s">
        <v>947</v>
      </c>
      <c r="C500" s="5" t="s">
        <v>867</v>
      </c>
      <c r="D500" s="5" t="s">
        <v>26</v>
      </c>
      <c r="E500" s="5" t="s">
        <v>143</v>
      </c>
      <c r="F500" s="5" t="s">
        <v>875</v>
      </c>
      <c r="G500" s="5" t="s">
        <v>16</v>
      </c>
      <c r="H500" s="6" t="s">
        <v>683</v>
      </c>
      <c r="I500" s="7" t="s">
        <v>38</v>
      </c>
      <c r="J500" s="8" t="s">
        <v>27</v>
      </c>
      <c r="K500" s="8">
        <v>0.9507692307692307</v>
      </c>
      <c r="L500" s="8"/>
      <c r="M500" s="5"/>
      <c r="N500" s="8">
        <v>0.65261044176706828</v>
      </c>
      <c r="O500" s="9">
        <v>0.68640256820160894</v>
      </c>
      <c r="P500" s="10" t="s">
        <v>27</v>
      </c>
      <c r="Q500" s="10">
        <f t="shared" si="51"/>
        <v>0</v>
      </c>
      <c r="R500" s="10">
        <f t="shared" si="52"/>
        <v>0</v>
      </c>
      <c r="S500" s="10">
        <f t="shared" si="53"/>
        <v>0</v>
      </c>
      <c r="T500" s="10">
        <f t="shared" si="54"/>
        <v>0</v>
      </c>
      <c r="U500" s="11" t="str">
        <f t="shared" si="55"/>
        <v/>
      </c>
      <c r="V500" s="11" t="str">
        <f t="shared" si="57"/>
        <v/>
      </c>
      <c r="W500" s="11" t="str">
        <f t="shared" si="57"/>
        <v/>
      </c>
      <c r="X500" s="11" t="str">
        <f t="shared" si="57"/>
        <v/>
      </c>
      <c r="Y500" s="11" t="str">
        <f t="shared" si="57"/>
        <v/>
      </c>
      <c r="Z500" s="11" t="str">
        <f t="shared" si="57"/>
        <v/>
      </c>
      <c r="AA500" s="11" t="str">
        <f t="shared" si="57"/>
        <v/>
      </c>
      <c r="AB500" s="11" t="str">
        <f t="shared" si="57"/>
        <v/>
      </c>
      <c r="AC500" s="11" t="str">
        <f t="shared" si="57"/>
        <v/>
      </c>
      <c r="AD500" s="11" t="str">
        <f t="shared" si="57"/>
        <v/>
      </c>
      <c r="AE500" s="12" t="s">
        <v>27</v>
      </c>
    </row>
    <row r="501" spans="1:31" ht="18" customHeight="1" thickTop="1" thickBot="1" x14ac:dyDescent="0.3">
      <c r="A501" s="4" t="s">
        <v>113</v>
      </c>
      <c r="B501" s="4" t="s">
        <v>948</v>
      </c>
      <c r="C501" s="5" t="s">
        <v>876</v>
      </c>
      <c r="D501" s="5" t="s">
        <v>26</v>
      </c>
      <c r="E501" s="5" t="s">
        <v>27</v>
      </c>
      <c r="F501" s="5" t="s">
        <v>877</v>
      </c>
      <c r="G501" s="5" t="s">
        <v>16</v>
      </c>
      <c r="H501" s="6" t="s">
        <v>683</v>
      </c>
      <c r="I501" s="7" t="s">
        <v>74</v>
      </c>
      <c r="J501" s="8" t="s">
        <v>27</v>
      </c>
      <c r="K501" s="8">
        <v>1.0112359550561798</v>
      </c>
      <c r="L501" s="8"/>
      <c r="M501" s="5"/>
      <c r="N501" s="8">
        <v>1.245977011494253</v>
      </c>
      <c r="O501" s="9">
        <v>1.23213282247765</v>
      </c>
      <c r="P501" s="10" t="s">
        <v>27</v>
      </c>
      <c r="Q501" s="10">
        <f t="shared" si="51"/>
        <v>0</v>
      </c>
      <c r="R501" s="10">
        <f t="shared" si="52"/>
        <v>0</v>
      </c>
      <c r="S501" s="10">
        <f t="shared" si="53"/>
        <v>0</v>
      </c>
      <c r="T501" s="10">
        <f t="shared" si="54"/>
        <v>0</v>
      </c>
      <c r="U501" s="11" t="str">
        <f t="shared" si="55"/>
        <v/>
      </c>
      <c r="V501" s="11" t="str">
        <f t="shared" si="57"/>
        <v/>
      </c>
      <c r="W501" s="11" t="str">
        <f t="shared" si="57"/>
        <v/>
      </c>
      <c r="X501" s="11" t="str">
        <f t="shared" si="57"/>
        <v/>
      </c>
      <c r="Y501" s="11" t="str">
        <f t="shared" si="57"/>
        <v/>
      </c>
      <c r="Z501" s="11" t="str">
        <f t="shared" si="57"/>
        <v/>
      </c>
      <c r="AA501" s="11" t="str">
        <f t="shared" si="57"/>
        <v/>
      </c>
      <c r="AB501" s="11" t="str">
        <f t="shared" si="57"/>
        <v/>
      </c>
      <c r="AC501" s="11" t="str">
        <f t="shared" si="57"/>
        <v/>
      </c>
      <c r="AD501" s="11" t="str">
        <f t="shared" si="57"/>
        <v/>
      </c>
      <c r="AE501" s="12" t="s">
        <v>27</v>
      </c>
    </row>
    <row r="502" spans="1:31" ht="18" customHeight="1" thickTop="1" thickBot="1" x14ac:dyDescent="0.3">
      <c r="A502" s="4" t="s">
        <v>113</v>
      </c>
      <c r="B502" s="4" t="s">
        <v>948</v>
      </c>
      <c r="C502" s="5" t="s">
        <v>876</v>
      </c>
      <c r="D502" s="5" t="s">
        <v>26</v>
      </c>
      <c r="E502" s="5" t="s">
        <v>36</v>
      </c>
      <c r="F502" s="5" t="s">
        <v>878</v>
      </c>
      <c r="G502" s="5" t="s">
        <v>16</v>
      </c>
      <c r="H502" s="6" t="s">
        <v>683</v>
      </c>
      <c r="I502" s="7" t="s">
        <v>74</v>
      </c>
      <c r="J502" s="8" t="s">
        <v>27</v>
      </c>
      <c r="K502" s="8">
        <v>0.86350364963503656</v>
      </c>
      <c r="L502" s="8"/>
      <c r="M502" s="5"/>
      <c r="N502" s="8">
        <v>0.83</v>
      </c>
      <c r="O502" s="9">
        <v>0.96120033812341499</v>
      </c>
      <c r="P502" s="10" t="s">
        <v>27</v>
      </c>
      <c r="Q502" s="10">
        <f t="shared" si="51"/>
        <v>0</v>
      </c>
      <c r="R502" s="10">
        <f t="shared" si="52"/>
        <v>0</v>
      </c>
      <c r="S502" s="10">
        <f t="shared" si="53"/>
        <v>0</v>
      </c>
      <c r="T502" s="10">
        <f t="shared" si="54"/>
        <v>0</v>
      </c>
      <c r="U502" s="11" t="str">
        <f t="shared" si="55"/>
        <v/>
      </c>
      <c r="V502" s="11" t="str">
        <f t="shared" si="57"/>
        <v/>
      </c>
      <c r="W502" s="11" t="str">
        <f t="shared" si="57"/>
        <v/>
      </c>
      <c r="X502" s="11" t="str">
        <f t="shared" si="57"/>
        <v/>
      </c>
      <c r="Y502" s="11" t="str">
        <f t="shared" si="57"/>
        <v/>
      </c>
      <c r="Z502" s="11" t="str">
        <f t="shared" si="57"/>
        <v/>
      </c>
      <c r="AA502" s="11" t="str">
        <f t="shared" si="57"/>
        <v/>
      </c>
      <c r="AB502" s="11" t="str">
        <f t="shared" si="57"/>
        <v/>
      </c>
      <c r="AC502" s="11" t="str">
        <f t="shared" si="57"/>
        <v/>
      </c>
      <c r="AD502" s="11" t="str">
        <f t="shared" si="57"/>
        <v/>
      </c>
      <c r="AE502" s="12" t="s">
        <v>27</v>
      </c>
    </row>
    <row r="503" spans="1:31" ht="18" customHeight="1" thickTop="1" thickBot="1" x14ac:dyDescent="0.3">
      <c r="A503" s="4" t="s">
        <v>113</v>
      </c>
      <c r="B503" s="4" t="s">
        <v>948</v>
      </c>
      <c r="C503" s="5" t="s">
        <v>876</v>
      </c>
      <c r="D503" s="5" t="s">
        <v>26</v>
      </c>
      <c r="E503" s="5" t="s">
        <v>40</v>
      </c>
      <c r="F503" s="5" t="s">
        <v>879</v>
      </c>
      <c r="G503" s="5" t="s">
        <v>16</v>
      </c>
      <c r="H503" s="6" t="s">
        <v>683</v>
      </c>
      <c r="I503" s="7" t="s">
        <v>74</v>
      </c>
      <c r="J503" s="8" t="s">
        <v>27</v>
      </c>
      <c r="K503" s="8">
        <v>1.1863636363636365</v>
      </c>
      <c r="L503" s="8"/>
      <c r="M503" s="5"/>
      <c r="N503" s="8">
        <v>1.276</v>
      </c>
      <c r="O503" s="9">
        <v>1.0755555555555556</v>
      </c>
      <c r="P503" s="10" t="s">
        <v>27</v>
      </c>
      <c r="Q503" s="10">
        <f t="shared" si="51"/>
        <v>0</v>
      </c>
      <c r="R503" s="10">
        <f t="shared" si="52"/>
        <v>0</v>
      </c>
      <c r="S503" s="10">
        <f t="shared" si="53"/>
        <v>0</v>
      </c>
      <c r="T503" s="10">
        <f t="shared" si="54"/>
        <v>0</v>
      </c>
      <c r="U503" s="11" t="str">
        <f t="shared" si="55"/>
        <v/>
      </c>
      <c r="V503" s="11" t="str">
        <f t="shared" si="57"/>
        <v/>
      </c>
      <c r="W503" s="11" t="str">
        <f t="shared" si="57"/>
        <v/>
      </c>
      <c r="X503" s="11" t="str">
        <f t="shared" si="57"/>
        <v/>
      </c>
      <c r="Y503" s="11" t="str">
        <f t="shared" si="57"/>
        <v/>
      </c>
      <c r="Z503" s="11" t="str">
        <f t="shared" si="57"/>
        <v/>
      </c>
      <c r="AA503" s="11" t="str">
        <f t="shared" si="57"/>
        <v/>
      </c>
      <c r="AB503" s="11" t="str">
        <f t="shared" si="57"/>
        <v/>
      </c>
      <c r="AC503" s="11" t="str">
        <f t="shared" si="57"/>
        <v/>
      </c>
      <c r="AD503" s="11" t="str">
        <f t="shared" si="57"/>
        <v/>
      </c>
      <c r="AE503" s="12" t="s">
        <v>27</v>
      </c>
    </row>
    <row r="504" spans="1:31" ht="18" customHeight="1" thickTop="1" thickBot="1" x14ac:dyDescent="0.3">
      <c r="A504" s="4" t="s">
        <v>113</v>
      </c>
      <c r="B504" s="4" t="s">
        <v>948</v>
      </c>
      <c r="C504" s="5" t="s">
        <v>876</v>
      </c>
      <c r="D504" s="5" t="s">
        <v>26</v>
      </c>
      <c r="E504" s="5" t="s">
        <v>69</v>
      </c>
      <c r="F504" s="5" t="s">
        <v>880</v>
      </c>
      <c r="G504" s="5" t="s">
        <v>16</v>
      </c>
      <c r="H504" s="6" t="s">
        <v>683</v>
      </c>
      <c r="I504" s="7" t="s">
        <v>74</v>
      </c>
      <c r="J504" s="8" t="s">
        <v>27</v>
      </c>
      <c r="K504" s="8">
        <v>1</v>
      </c>
      <c r="L504" s="8"/>
      <c r="M504" s="5"/>
      <c r="N504" s="8">
        <v>1.2242424242424244</v>
      </c>
      <c r="O504" s="9">
        <v>1.2242424242424244</v>
      </c>
      <c r="P504" s="10" t="s">
        <v>27</v>
      </c>
      <c r="Q504" s="10">
        <f t="shared" si="51"/>
        <v>0</v>
      </c>
      <c r="R504" s="10">
        <f t="shared" si="52"/>
        <v>0</v>
      </c>
      <c r="S504" s="10">
        <f t="shared" si="53"/>
        <v>0</v>
      </c>
      <c r="T504" s="10">
        <f t="shared" si="54"/>
        <v>0</v>
      </c>
      <c r="U504" s="11" t="str">
        <f t="shared" si="55"/>
        <v/>
      </c>
      <c r="V504" s="11" t="str">
        <f t="shared" si="57"/>
        <v/>
      </c>
      <c r="W504" s="11" t="str">
        <f t="shared" si="57"/>
        <v/>
      </c>
      <c r="X504" s="11" t="str">
        <f t="shared" si="57"/>
        <v/>
      </c>
      <c r="Y504" s="11" t="str">
        <f t="shared" si="57"/>
        <v/>
      </c>
      <c r="Z504" s="11" t="str">
        <f t="shared" si="57"/>
        <v/>
      </c>
      <c r="AA504" s="11" t="str">
        <f t="shared" si="57"/>
        <v/>
      </c>
      <c r="AB504" s="11" t="str">
        <f t="shared" si="57"/>
        <v/>
      </c>
      <c r="AC504" s="11" t="str">
        <f t="shared" si="57"/>
        <v/>
      </c>
      <c r="AD504" s="11" t="str">
        <f t="shared" si="57"/>
        <v/>
      </c>
      <c r="AE504" s="12" t="s">
        <v>27</v>
      </c>
    </row>
    <row r="505" spans="1:31" ht="18" customHeight="1" thickTop="1" thickBot="1" x14ac:dyDescent="0.3">
      <c r="A505" s="4" t="s">
        <v>81</v>
      </c>
      <c r="B505" s="4" t="s">
        <v>945</v>
      </c>
      <c r="C505" s="5" t="s">
        <v>881</v>
      </c>
      <c r="D505" s="5" t="s">
        <v>26</v>
      </c>
      <c r="E505" s="5" t="s">
        <v>27</v>
      </c>
      <c r="F505" s="5" t="s">
        <v>882</v>
      </c>
      <c r="G505" s="5" t="s">
        <v>16</v>
      </c>
      <c r="H505" s="6" t="s">
        <v>883</v>
      </c>
      <c r="I505" s="7" t="s">
        <v>111</v>
      </c>
      <c r="J505" s="8" t="s">
        <v>27</v>
      </c>
      <c r="K505" s="8">
        <v>1</v>
      </c>
      <c r="L505" s="8"/>
      <c r="M505" s="5"/>
      <c r="N505" s="8">
        <v>1.1853444955949355</v>
      </c>
      <c r="O505" s="9">
        <v>1.1853444955949353</v>
      </c>
      <c r="P505" s="10" t="s">
        <v>27</v>
      </c>
      <c r="Q505" s="10">
        <f t="shared" si="51"/>
        <v>0</v>
      </c>
      <c r="R505" s="10">
        <f t="shared" si="52"/>
        <v>0</v>
      </c>
      <c r="S505" s="10">
        <f t="shared" si="53"/>
        <v>0</v>
      </c>
      <c r="T505" s="10">
        <f t="shared" si="54"/>
        <v>0</v>
      </c>
      <c r="U505" s="11" t="str">
        <f t="shared" si="55"/>
        <v/>
      </c>
      <c r="V505" s="11" t="str">
        <f t="shared" si="57"/>
        <v/>
      </c>
      <c r="W505" s="11" t="str">
        <f t="shared" si="57"/>
        <v/>
      </c>
      <c r="X505" s="11" t="str">
        <f t="shared" si="57"/>
        <v/>
      </c>
      <c r="Y505" s="11" t="str">
        <f t="shared" si="57"/>
        <v/>
      </c>
      <c r="Z505" s="11" t="str">
        <f t="shared" si="57"/>
        <v/>
      </c>
      <c r="AA505" s="11" t="str">
        <f t="shared" si="57"/>
        <v/>
      </c>
      <c r="AB505" s="11" t="str">
        <f t="shared" si="57"/>
        <v/>
      </c>
      <c r="AC505" s="11" t="str">
        <f t="shared" si="57"/>
        <v/>
      </c>
      <c r="AD505" s="11" t="str">
        <f t="shared" si="57"/>
        <v/>
      </c>
      <c r="AE505" s="12" t="s">
        <v>27</v>
      </c>
    </row>
    <row r="506" spans="1:31" ht="18" customHeight="1" thickTop="1" thickBot="1" x14ac:dyDescent="0.3">
      <c r="A506" s="4" t="s">
        <v>694</v>
      </c>
      <c r="B506" s="4" t="s">
        <v>948</v>
      </c>
      <c r="C506" s="5" t="s">
        <v>884</v>
      </c>
      <c r="D506" s="5" t="s">
        <v>26</v>
      </c>
      <c r="E506" s="5" t="s">
        <v>36</v>
      </c>
      <c r="F506" s="5" t="s">
        <v>885</v>
      </c>
      <c r="G506" s="5" t="s">
        <v>16</v>
      </c>
      <c r="H506" s="6" t="s">
        <v>886</v>
      </c>
      <c r="I506" s="7" t="s">
        <v>38</v>
      </c>
      <c r="J506" s="8">
        <v>8.25</v>
      </c>
      <c r="K506" s="8">
        <v>1</v>
      </c>
      <c r="L506" s="8"/>
      <c r="M506" s="5"/>
      <c r="N506" s="8">
        <v>0.99789156626506037</v>
      </c>
      <c r="O506" s="9">
        <v>0.99789156626506026</v>
      </c>
      <c r="P506" s="10" t="s">
        <v>27</v>
      </c>
      <c r="Q506" s="10">
        <f t="shared" si="51"/>
        <v>0</v>
      </c>
      <c r="R506" s="10">
        <f t="shared" si="52"/>
        <v>0</v>
      </c>
      <c r="S506" s="10">
        <f t="shared" si="53"/>
        <v>0</v>
      </c>
      <c r="T506" s="10">
        <f t="shared" si="54"/>
        <v>0</v>
      </c>
      <c r="U506" s="11" t="str">
        <f t="shared" si="55"/>
        <v/>
      </c>
      <c r="V506" s="11" t="str">
        <f t="shared" si="57"/>
        <v/>
      </c>
      <c r="W506" s="11" t="str">
        <f t="shared" si="57"/>
        <v/>
      </c>
      <c r="X506" s="11" t="str">
        <f t="shared" si="57"/>
        <v/>
      </c>
      <c r="Y506" s="11" t="str">
        <f t="shared" si="57"/>
        <v/>
      </c>
      <c r="Z506" s="11" t="str">
        <f t="shared" si="57"/>
        <v/>
      </c>
      <c r="AA506" s="11" t="str">
        <f t="shared" si="57"/>
        <v/>
      </c>
      <c r="AB506" s="11" t="str">
        <f t="shared" si="57"/>
        <v/>
      </c>
      <c r="AC506" s="11" t="str">
        <f t="shared" si="57"/>
        <v/>
      </c>
      <c r="AD506" s="11" t="str">
        <f t="shared" si="57"/>
        <v/>
      </c>
      <c r="AE506" s="12" t="s">
        <v>27</v>
      </c>
    </row>
    <row r="507" spans="1:31" ht="18" customHeight="1" thickTop="1" thickBot="1" x14ac:dyDescent="0.3">
      <c r="A507" s="4" t="s">
        <v>694</v>
      </c>
      <c r="B507" s="4" t="s">
        <v>948</v>
      </c>
      <c r="C507" s="5" t="s">
        <v>884</v>
      </c>
      <c r="D507" s="5" t="s">
        <v>26</v>
      </c>
      <c r="E507" s="5" t="s">
        <v>40</v>
      </c>
      <c r="F507" s="5" t="s">
        <v>887</v>
      </c>
      <c r="G507" s="5" t="s">
        <v>16</v>
      </c>
      <c r="H507" s="6" t="s">
        <v>886</v>
      </c>
      <c r="I507" s="7" t="s">
        <v>38</v>
      </c>
      <c r="J507" s="8">
        <v>8.25</v>
      </c>
      <c r="K507" s="8">
        <v>1</v>
      </c>
      <c r="L507" s="8"/>
      <c r="M507" s="5"/>
      <c r="N507" s="8">
        <v>0.98597402597402595</v>
      </c>
      <c r="O507" s="9">
        <v>0.98597402597402584</v>
      </c>
      <c r="P507" s="10" t="s">
        <v>27</v>
      </c>
      <c r="Q507" s="10">
        <f t="shared" si="51"/>
        <v>0</v>
      </c>
      <c r="R507" s="10">
        <f t="shared" si="52"/>
        <v>0</v>
      </c>
      <c r="S507" s="10">
        <f t="shared" si="53"/>
        <v>0</v>
      </c>
      <c r="T507" s="10">
        <f t="shared" si="54"/>
        <v>0</v>
      </c>
      <c r="U507" s="11" t="str">
        <f t="shared" si="55"/>
        <v/>
      </c>
      <c r="V507" s="11" t="str">
        <f t="shared" si="57"/>
        <v/>
      </c>
      <c r="W507" s="11" t="str">
        <f t="shared" si="57"/>
        <v/>
      </c>
      <c r="X507" s="11" t="str">
        <f t="shared" si="57"/>
        <v/>
      </c>
      <c r="Y507" s="11" t="str">
        <f t="shared" si="57"/>
        <v/>
      </c>
      <c r="Z507" s="11" t="str">
        <f t="shared" si="57"/>
        <v/>
      </c>
      <c r="AA507" s="11" t="str">
        <f t="shared" si="57"/>
        <v/>
      </c>
      <c r="AB507" s="11" t="str">
        <f t="shared" si="57"/>
        <v/>
      </c>
      <c r="AC507" s="11" t="str">
        <f t="shared" si="57"/>
        <v/>
      </c>
      <c r="AD507" s="11" t="str">
        <f t="shared" si="57"/>
        <v/>
      </c>
      <c r="AE507" s="12" t="s">
        <v>27</v>
      </c>
    </row>
    <row r="508" spans="1:31" ht="18" customHeight="1" thickTop="1" thickBot="1" x14ac:dyDescent="0.3">
      <c r="A508" s="4" t="s">
        <v>694</v>
      </c>
      <c r="B508" s="4" t="s">
        <v>948</v>
      </c>
      <c r="C508" s="5" t="s">
        <v>884</v>
      </c>
      <c r="D508" s="5" t="s">
        <v>26</v>
      </c>
      <c r="E508" s="5" t="s">
        <v>69</v>
      </c>
      <c r="F508" s="5" t="s">
        <v>888</v>
      </c>
      <c r="G508" s="5" t="s">
        <v>16</v>
      </c>
      <c r="H508" s="6" t="s">
        <v>886</v>
      </c>
      <c r="I508" s="7" t="s">
        <v>38</v>
      </c>
      <c r="J508" s="8">
        <v>7.5</v>
      </c>
      <c r="K508" s="8">
        <v>1</v>
      </c>
      <c r="L508" s="8"/>
      <c r="M508" s="5"/>
      <c r="N508" s="8">
        <v>0.74125874125874136</v>
      </c>
      <c r="O508" s="9">
        <v>0.74125874125874147</v>
      </c>
      <c r="P508" s="10" t="s">
        <v>27</v>
      </c>
      <c r="Q508" s="10">
        <f t="shared" si="51"/>
        <v>0</v>
      </c>
      <c r="R508" s="10">
        <f t="shared" si="52"/>
        <v>0</v>
      </c>
      <c r="S508" s="10">
        <f t="shared" si="53"/>
        <v>0</v>
      </c>
      <c r="T508" s="10">
        <f t="shared" si="54"/>
        <v>0</v>
      </c>
      <c r="U508" s="11" t="str">
        <f t="shared" si="55"/>
        <v/>
      </c>
      <c r="V508" s="11" t="str">
        <f t="shared" si="57"/>
        <v/>
      </c>
      <c r="W508" s="11" t="str">
        <f t="shared" si="57"/>
        <v/>
      </c>
      <c r="X508" s="11" t="str">
        <f t="shared" si="57"/>
        <v/>
      </c>
      <c r="Y508" s="11" t="str">
        <f t="shared" si="57"/>
        <v/>
      </c>
      <c r="Z508" s="11" t="str">
        <f t="shared" si="57"/>
        <v/>
      </c>
      <c r="AA508" s="11" t="str">
        <f t="shared" si="57"/>
        <v/>
      </c>
      <c r="AB508" s="11" t="str">
        <f t="shared" si="57"/>
        <v/>
      </c>
      <c r="AC508" s="11" t="str">
        <f t="shared" si="57"/>
        <v/>
      </c>
      <c r="AD508" s="11" t="str">
        <f t="shared" si="57"/>
        <v/>
      </c>
      <c r="AE508" s="12" t="s">
        <v>27</v>
      </c>
    </row>
    <row r="509" spans="1:31" ht="18" customHeight="1" thickTop="1" thickBot="1" x14ac:dyDescent="0.3">
      <c r="A509" s="4" t="s">
        <v>694</v>
      </c>
      <c r="B509" s="4" t="s">
        <v>948</v>
      </c>
      <c r="C509" s="5" t="s">
        <v>884</v>
      </c>
      <c r="D509" s="5" t="s">
        <v>26</v>
      </c>
      <c r="E509" s="5" t="s">
        <v>71</v>
      </c>
      <c r="F509" s="5" t="s">
        <v>889</v>
      </c>
      <c r="G509" s="5" t="s">
        <v>16</v>
      </c>
      <c r="H509" s="6" t="s">
        <v>886</v>
      </c>
      <c r="I509" s="7" t="s">
        <v>38</v>
      </c>
      <c r="J509" s="8">
        <v>7.5</v>
      </c>
      <c r="K509" s="8">
        <v>1</v>
      </c>
      <c r="L509" s="8"/>
      <c r="M509" s="5"/>
      <c r="N509" s="8">
        <v>0.66279069767441867</v>
      </c>
      <c r="O509" s="9">
        <v>0.66279069767441856</v>
      </c>
      <c r="P509" s="10" t="s">
        <v>27</v>
      </c>
      <c r="Q509" s="10">
        <f t="shared" si="51"/>
        <v>0</v>
      </c>
      <c r="R509" s="10">
        <f t="shared" si="52"/>
        <v>0</v>
      </c>
      <c r="S509" s="10">
        <f t="shared" si="53"/>
        <v>0</v>
      </c>
      <c r="T509" s="10">
        <f t="shared" si="54"/>
        <v>0</v>
      </c>
      <c r="U509" s="11" t="str">
        <f t="shared" si="55"/>
        <v/>
      </c>
      <c r="V509" s="11" t="str">
        <f t="shared" si="57"/>
        <v/>
      </c>
      <c r="W509" s="11" t="str">
        <f t="shared" si="57"/>
        <v/>
      </c>
      <c r="X509" s="11" t="str">
        <f t="shared" si="57"/>
        <v/>
      </c>
      <c r="Y509" s="11" t="str">
        <f t="shared" si="57"/>
        <v/>
      </c>
      <c r="Z509" s="11" t="str">
        <f t="shared" si="57"/>
        <v/>
      </c>
      <c r="AA509" s="11" t="str">
        <f t="shared" si="57"/>
        <v/>
      </c>
      <c r="AB509" s="11" t="str">
        <f t="shared" si="57"/>
        <v/>
      </c>
      <c r="AC509" s="11" t="str">
        <f t="shared" si="57"/>
        <v/>
      </c>
      <c r="AD509" s="11" t="str">
        <f t="shared" si="57"/>
        <v/>
      </c>
      <c r="AE509" s="12" t="s">
        <v>27</v>
      </c>
    </row>
    <row r="510" spans="1:31" ht="18" customHeight="1" thickTop="1" thickBot="1" x14ac:dyDescent="0.3">
      <c r="A510" s="4" t="s">
        <v>292</v>
      </c>
      <c r="B510" s="4" t="s">
        <v>947</v>
      </c>
      <c r="C510" s="5" t="s">
        <v>890</v>
      </c>
      <c r="D510" s="5" t="s">
        <v>26</v>
      </c>
      <c r="E510" s="5" t="s">
        <v>36</v>
      </c>
      <c r="F510" s="5" t="s">
        <v>891</v>
      </c>
      <c r="G510" s="5" t="s">
        <v>16</v>
      </c>
      <c r="H510" s="6" t="s">
        <v>892</v>
      </c>
      <c r="I510" s="7" t="s">
        <v>359</v>
      </c>
      <c r="J510" s="8" t="s">
        <v>27</v>
      </c>
      <c r="K510" s="8">
        <v>1.2565789473684212</v>
      </c>
      <c r="L510" s="8"/>
      <c r="M510" s="5"/>
      <c r="N510" s="8">
        <v>1.2003254658385092</v>
      </c>
      <c r="O510" s="9">
        <v>0.95523283145263549</v>
      </c>
      <c r="P510" s="10" t="s">
        <v>27</v>
      </c>
      <c r="Q510" s="10">
        <f t="shared" si="51"/>
        <v>0</v>
      </c>
      <c r="R510" s="10">
        <f t="shared" si="52"/>
        <v>0</v>
      </c>
      <c r="S510" s="10">
        <f t="shared" si="53"/>
        <v>0</v>
      </c>
      <c r="T510" s="10">
        <f t="shared" si="54"/>
        <v>0</v>
      </c>
      <c r="U510" s="11" t="str">
        <f t="shared" si="55"/>
        <v/>
      </c>
      <c r="V510" s="11" t="str">
        <f t="shared" si="57"/>
        <v/>
      </c>
      <c r="W510" s="11" t="str">
        <f t="shared" si="57"/>
        <v/>
      </c>
      <c r="X510" s="11" t="str">
        <f t="shared" si="57"/>
        <v/>
      </c>
      <c r="Y510" s="11" t="str">
        <f t="shared" si="57"/>
        <v/>
      </c>
      <c r="Z510" s="11">
        <f t="shared" si="57"/>
        <v>1</v>
      </c>
      <c r="AA510" s="11" t="str">
        <f t="shared" si="57"/>
        <v/>
      </c>
      <c r="AB510" s="11" t="str">
        <f t="shared" si="57"/>
        <v/>
      </c>
      <c r="AC510" s="11" t="str">
        <f t="shared" si="57"/>
        <v/>
      </c>
      <c r="AD510" s="11" t="str">
        <f t="shared" si="57"/>
        <v/>
      </c>
      <c r="AE510" s="12" t="s">
        <v>1089</v>
      </c>
    </row>
    <row r="511" spans="1:31" ht="18" customHeight="1" thickTop="1" thickBot="1" x14ac:dyDescent="0.3">
      <c r="A511" s="4" t="s">
        <v>292</v>
      </c>
      <c r="B511" s="4" t="s">
        <v>947</v>
      </c>
      <c r="C511" s="5" t="s">
        <v>890</v>
      </c>
      <c r="D511" s="5" t="s">
        <v>26</v>
      </c>
      <c r="E511" s="5" t="s">
        <v>234</v>
      </c>
      <c r="F511" s="5" t="s">
        <v>893</v>
      </c>
      <c r="G511" s="5" t="s">
        <v>16</v>
      </c>
      <c r="H511" s="6" t="s">
        <v>892</v>
      </c>
      <c r="I511" s="7" t="s">
        <v>359</v>
      </c>
      <c r="J511" s="8" t="s">
        <v>27</v>
      </c>
      <c r="K511" s="8">
        <v>0.72928176795580102</v>
      </c>
      <c r="L511" s="8"/>
      <c r="M511" s="5"/>
      <c r="N511" s="8">
        <v>0.88368000000000013</v>
      </c>
      <c r="O511" s="9">
        <v>1.2117127272727277</v>
      </c>
      <c r="P511" s="10" t="s">
        <v>27</v>
      </c>
      <c r="Q511" s="10">
        <f t="shared" si="51"/>
        <v>0</v>
      </c>
      <c r="R511" s="10">
        <f t="shared" si="52"/>
        <v>0</v>
      </c>
      <c r="S511" s="10">
        <f t="shared" si="53"/>
        <v>0</v>
      </c>
      <c r="T511" s="10">
        <f t="shared" si="54"/>
        <v>0</v>
      </c>
      <c r="U511" s="11" t="str">
        <f t="shared" si="55"/>
        <v/>
      </c>
      <c r="V511" s="11" t="str">
        <f t="shared" si="57"/>
        <v/>
      </c>
      <c r="W511" s="11" t="str">
        <f t="shared" si="57"/>
        <v/>
      </c>
      <c r="X511" s="11" t="str">
        <f t="shared" si="57"/>
        <v/>
      </c>
      <c r="Y511" s="11" t="str">
        <f t="shared" si="57"/>
        <v/>
      </c>
      <c r="Z511" s="11" t="str">
        <f t="shared" si="57"/>
        <v/>
      </c>
      <c r="AA511" s="11" t="str">
        <f t="shared" si="57"/>
        <v/>
      </c>
      <c r="AB511" s="11" t="str">
        <f t="shared" si="57"/>
        <v/>
      </c>
      <c r="AC511" s="11">
        <f t="shared" si="57"/>
        <v>1</v>
      </c>
      <c r="AD511" s="11" t="str">
        <f t="shared" si="57"/>
        <v/>
      </c>
      <c r="AE511" s="12" t="s">
        <v>1091</v>
      </c>
    </row>
    <row r="512" spans="1:31" ht="18" customHeight="1" thickTop="1" thickBot="1" x14ac:dyDescent="0.3">
      <c r="A512" s="4" t="s">
        <v>292</v>
      </c>
      <c r="B512" s="4" t="s">
        <v>947</v>
      </c>
      <c r="C512" s="5" t="s">
        <v>890</v>
      </c>
      <c r="D512" s="5" t="s">
        <v>26</v>
      </c>
      <c r="E512" s="5" t="s">
        <v>236</v>
      </c>
      <c r="F512" s="5" t="s">
        <v>894</v>
      </c>
      <c r="G512" s="5" t="s">
        <v>16</v>
      </c>
      <c r="H512" s="6" t="s">
        <v>892</v>
      </c>
      <c r="I512" s="7" t="s">
        <v>359</v>
      </c>
      <c r="J512" s="8" t="s">
        <v>27</v>
      </c>
      <c r="K512" s="8">
        <v>0.86832740213523119</v>
      </c>
      <c r="L512" s="8"/>
      <c r="M512" s="5"/>
      <c r="N512" s="8">
        <v>0.78554452554744525</v>
      </c>
      <c r="O512" s="9">
        <v>0.90466398229029565</v>
      </c>
      <c r="P512" s="10" t="s">
        <v>27</v>
      </c>
      <c r="Q512" s="10">
        <f t="shared" si="51"/>
        <v>0</v>
      </c>
      <c r="R512" s="10">
        <f t="shared" si="52"/>
        <v>0</v>
      </c>
      <c r="S512" s="10">
        <f t="shared" si="53"/>
        <v>0</v>
      </c>
      <c r="T512" s="10">
        <f t="shared" si="54"/>
        <v>0</v>
      </c>
      <c r="U512" s="11" t="str">
        <f t="shared" si="55"/>
        <v/>
      </c>
      <c r="V512" s="11" t="str">
        <f t="shared" si="57"/>
        <v/>
      </c>
      <c r="W512" s="11" t="str">
        <f t="shared" si="57"/>
        <v/>
      </c>
      <c r="X512" s="11" t="str">
        <f t="shared" si="57"/>
        <v/>
      </c>
      <c r="Y512" s="11" t="str">
        <f t="shared" si="57"/>
        <v/>
      </c>
      <c r="Z512" s="11">
        <f t="shared" si="57"/>
        <v>1</v>
      </c>
      <c r="AA512" s="11" t="str">
        <f t="shared" si="57"/>
        <v/>
      </c>
      <c r="AB512" s="11" t="str">
        <f t="shared" si="57"/>
        <v/>
      </c>
      <c r="AC512" s="11">
        <f t="shared" si="57"/>
        <v>1</v>
      </c>
      <c r="AD512" s="11" t="str">
        <f t="shared" si="57"/>
        <v/>
      </c>
      <c r="AE512" s="12" t="s">
        <v>1093</v>
      </c>
    </row>
    <row r="513" spans="1:31" ht="18" customHeight="1" thickTop="1" thickBot="1" x14ac:dyDescent="0.3">
      <c r="A513" s="4" t="s">
        <v>292</v>
      </c>
      <c r="B513" s="4" t="s">
        <v>947</v>
      </c>
      <c r="C513" s="5" t="s">
        <v>890</v>
      </c>
      <c r="D513" s="5" t="s">
        <v>26</v>
      </c>
      <c r="E513" s="5" t="s">
        <v>40</v>
      </c>
      <c r="F513" s="5" t="s">
        <v>895</v>
      </c>
      <c r="G513" s="5" t="s">
        <v>16</v>
      </c>
      <c r="H513" s="6" t="s">
        <v>892</v>
      </c>
      <c r="I513" s="7" t="s">
        <v>359</v>
      </c>
      <c r="J513" s="8" t="s">
        <v>27</v>
      </c>
      <c r="K513" s="8">
        <v>0.93157894736842106</v>
      </c>
      <c r="L513" s="8"/>
      <c r="M513" s="5"/>
      <c r="N513" s="8">
        <v>0.7023468208092486</v>
      </c>
      <c r="O513" s="9">
        <v>0.75393161555795041</v>
      </c>
      <c r="P513" s="10" t="s">
        <v>27</v>
      </c>
      <c r="Q513" s="10">
        <f t="shared" si="51"/>
        <v>0</v>
      </c>
      <c r="R513" s="10">
        <f t="shared" si="52"/>
        <v>0</v>
      </c>
      <c r="S513" s="10">
        <f t="shared" si="53"/>
        <v>0</v>
      </c>
      <c r="T513" s="10">
        <f t="shared" si="54"/>
        <v>0</v>
      </c>
      <c r="U513" s="11" t="str">
        <f t="shared" si="55"/>
        <v/>
      </c>
      <c r="V513" s="11" t="str">
        <f t="shared" si="57"/>
        <v/>
      </c>
      <c r="W513" s="11" t="str">
        <f t="shared" si="57"/>
        <v/>
      </c>
      <c r="X513" s="11" t="str">
        <f t="shared" si="57"/>
        <v/>
      </c>
      <c r="Y513" s="11" t="str">
        <f t="shared" si="57"/>
        <v/>
      </c>
      <c r="Z513" s="11">
        <f t="shared" si="57"/>
        <v>1</v>
      </c>
      <c r="AA513" s="11" t="str">
        <f t="shared" si="57"/>
        <v/>
      </c>
      <c r="AB513" s="11" t="str">
        <f t="shared" si="57"/>
        <v/>
      </c>
      <c r="AC513" s="11" t="str">
        <f t="shared" si="57"/>
        <v/>
      </c>
      <c r="AD513" s="11" t="str">
        <f t="shared" si="57"/>
        <v/>
      </c>
      <c r="AE513" s="12" t="s">
        <v>1089</v>
      </c>
    </row>
    <row r="514" spans="1:31" ht="18" customHeight="1" thickTop="1" thickBot="1" x14ac:dyDescent="0.3">
      <c r="A514" s="4" t="s">
        <v>292</v>
      </c>
      <c r="B514" s="4" t="s">
        <v>947</v>
      </c>
      <c r="C514" s="5" t="s">
        <v>890</v>
      </c>
      <c r="D514" s="5" t="s">
        <v>26</v>
      </c>
      <c r="E514" s="5" t="s">
        <v>69</v>
      </c>
      <c r="F514" s="5" t="s">
        <v>896</v>
      </c>
      <c r="G514" s="5" t="s">
        <v>16</v>
      </c>
      <c r="H514" s="6" t="s">
        <v>892</v>
      </c>
      <c r="I514" s="7" t="s">
        <v>359</v>
      </c>
      <c r="J514" s="8" t="s">
        <v>27</v>
      </c>
      <c r="K514" s="8">
        <v>1.2324723247232472</v>
      </c>
      <c r="L514" s="8"/>
      <c r="M514" s="5"/>
      <c r="N514" s="8">
        <v>1.2288138808559859</v>
      </c>
      <c r="O514" s="9">
        <v>0.99703162189213235</v>
      </c>
      <c r="P514" s="10" t="s">
        <v>27</v>
      </c>
      <c r="Q514" s="10">
        <f t="shared" si="51"/>
        <v>0</v>
      </c>
      <c r="R514" s="10">
        <f t="shared" si="52"/>
        <v>0</v>
      </c>
      <c r="S514" s="10">
        <f t="shared" si="53"/>
        <v>0</v>
      </c>
      <c r="T514" s="10">
        <f t="shared" si="54"/>
        <v>0</v>
      </c>
      <c r="U514" s="11" t="str">
        <f t="shared" si="55"/>
        <v/>
      </c>
      <c r="V514" s="11" t="str">
        <f t="shared" si="57"/>
        <v/>
      </c>
      <c r="W514" s="11" t="str">
        <f t="shared" si="57"/>
        <v/>
      </c>
      <c r="X514" s="11" t="str">
        <f t="shared" si="57"/>
        <v/>
      </c>
      <c r="Y514" s="11" t="str">
        <f t="shared" si="57"/>
        <v/>
      </c>
      <c r="Z514" s="11" t="str">
        <f t="shared" si="57"/>
        <v/>
      </c>
      <c r="AA514" s="11" t="str">
        <f t="shared" si="57"/>
        <v/>
      </c>
      <c r="AB514" s="11" t="str">
        <f t="shared" si="57"/>
        <v/>
      </c>
      <c r="AC514" s="11">
        <f t="shared" si="57"/>
        <v>1</v>
      </c>
      <c r="AD514" s="11" t="str">
        <f t="shared" si="57"/>
        <v/>
      </c>
      <c r="AE514" s="12" t="s">
        <v>1091</v>
      </c>
    </row>
    <row r="515" spans="1:31" ht="18" customHeight="1" thickTop="1" thickBot="1" x14ac:dyDescent="0.3">
      <c r="A515" s="4" t="s">
        <v>292</v>
      </c>
      <c r="B515" s="4" t="s">
        <v>947</v>
      </c>
      <c r="C515" s="5" t="s">
        <v>890</v>
      </c>
      <c r="D515" s="5" t="s">
        <v>26</v>
      </c>
      <c r="E515" s="5" t="s">
        <v>71</v>
      </c>
      <c r="F515" s="5" t="s">
        <v>897</v>
      </c>
      <c r="G515" s="5" t="s">
        <v>16</v>
      </c>
      <c r="H515" s="6" t="s">
        <v>892</v>
      </c>
      <c r="I515" s="7" t="s">
        <v>359</v>
      </c>
      <c r="J515" s="8" t="s">
        <v>27</v>
      </c>
      <c r="K515" s="8">
        <v>1.2434782608695654</v>
      </c>
      <c r="L515" s="8"/>
      <c r="M515" s="5"/>
      <c r="N515" s="8">
        <v>0.72738285714285711</v>
      </c>
      <c r="O515" s="9">
        <v>0.58495824175824163</v>
      </c>
      <c r="P515" s="10" t="s">
        <v>27</v>
      </c>
      <c r="Q515" s="10">
        <f t="shared" si="51"/>
        <v>0</v>
      </c>
      <c r="R515" s="10">
        <f t="shared" si="52"/>
        <v>0</v>
      </c>
      <c r="S515" s="10">
        <f t="shared" si="53"/>
        <v>0</v>
      </c>
      <c r="T515" s="10">
        <f t="shared" si="54"/>
        <v>0</v>
      </c>
      <c r="U515" s="11" t="str">
        <f t="shared" si="55"/>
        <v/>
      </c>
      <c r="V515" s="11" t="str">
        <f t="shared" si="57"/>
        <v/>
      </c>
      <c r="W515" s="11" t="str">
        <f t="shared" si="57"/>
        <v/>
      </c>
      <c r="X515" s="11" t="str">
        <f t="shared" si="57"/>
        <v/>
      </c>
      <c r="Y515" s="11" t="str">
        <f t="shared" si="57"/>
        <v/>
      </c>
      <c r="Z515" s="11">
        <f t="shared" si="57"/>
        <v>1</v>
      </c>
      <c r="AA515" s="11" t="str">
        <f t="shared" si="57"/>
        <v/>
      </c>
      <c r="AB515" s="11" t="str">
        <f t="shared" si="57"/>
        <v/>
      </c>
      <c r="AC515" s="11">
        <f t="shared" si="57"/>
        <v>1</v>
      </c>
      <c r="AD515" s="11" t="str">
        <f t="shared" si="57"/>
        <v/>
      </c>
      <c r="AE515" s="12" t="s">
        <v>1093</v>
      </c>
    </row>
    <row r="516" spans="1:31" ht="18" customHeight="1" thickTop="1" thickBot="1" x14ac:dyDescent="0.3">
      <c r="A516" s="4" t="s">
        <v>292</v>
      </c>
      <c r="B516" s="4" t="s">
        <v>947</v>
      </c>
      <c r="C516" s="5" t="s">
        <v>890</v>
      </c>
      <c r="D516" s="5" t="s">
        <v>26</v>
      </c>
      <c r="E516" s="5" t="s">
        <v>141</v>
      </c>
      <c r="F516" s="5" t="s">
        <v>898</v>
      </c>
      <c r="G516" s="5" t="s">
        <v>16</v>
      </c>
      <c r="H516" s="6" t="s">
        <v>892</v>
      </c>
      <c r="I516" s="7" t="s">
        <v>359</v>
      </c>
      <c r="J516" s="8" t="s">
        <v>27</v>
      </c>
      <c r="K516" s="8">
        <v>1.0079051383399209</v>
      </c>
      <c r="L516" s="8"/>
      <c r="M516" s="5"/>
      <c r="N516" s="8">
        <v>1.2851388819875778</v>
      </c>
      <c r="O516" s="9">
        <v>1.275059361344538</v>
      </c>
      <c r="P516" s="10" t="s">
        <v>27</v>
      </c>
      <c r="Q516" s="10">
        <f t="shared" si="51"/>
        <v>0</v>
      </c>
      <c r="R516" s="10">
        <f t="shared" si="52"/>
        <v>0</v>
      </c>
      <c r="S516" s="10">
        <f t="shared" si="53"/>
        <v>0</v>
      </c>
      <c r="T516" s="10">
        <f t="shared" si="54"/>
        <v>0</v>
      </c>
      <c r="U516" s="11" t="str">
        <f t="shared" si="55"/>
        <v/>
      </c>
      <c r="V516" s="11" t="str">
        <f t="shared" si="57"/>
        <v/>
      </c>
      <c r="W516" s="11" t="str">
        <f t="shared" si="57"/>
        <v/>
      </c>
      <c r="X516" s="11" t="str">
        <f t="shared" si="57"/>
        <v/>
      </c>
      <c r="Y516" s="11" t="str">
        <f t="shared" si="57"/>
        <v/>
      </c>
      <c r="Z516" s="11">
        <f t="shared" si="57"/>
        <v>1</v>
      </c>
      <c r="AA516" s="11" t="str">
        <f t="shared" si="57"/>
        <v/>
      </c>
      <c r="AB516" s="11" t="str">
        <f t="shared" si="57"/>
        <v/>
      </c>
      <c r="AC516" s="11" t="str">
        <f t="shared" si="57"/>
        <v/>
      </c>
      <c r="AD516" s="11" t="str">
        <f t="shared" si="57"/>
        <v/>
      </c>
      <c r="AE516" s="12" t="s">
        <v>1089</v>
      </c>
    </row>
    <row r="517" spans="1:31" ht="18" customHeight="1" thickTop="1" thickBot="1" x14ac:dyDescent="0.3">
      <c r="A517" s="4" t="s">
        <v>292</v>
      </c>
      <c r="B517" s="4" t="s">
        <v>947</v>
      </c>
      <c r="C517" s="5" t="s">
        <v>890</v>
      </c>
      <c r="D517" s="5" t="s">
        <v>26</v>
      </c>
      <c r="E517" s="5" t="s">
        <v>143</v>
      </c>
      <c r="F517" s="5" t="s">
        <v>899</v>
      </c>
      <c r="G517" s="5" t="s">
        <v>16</v>
      </c>
      <c r="H517" s="6" t="s">
        <v>892</v>
      </c>
      <c r="I517" s="7" t="s">
        <v>359</v>
      </c>
      <c r="J517" s="8" t="s">
        <v>27</v>
      </c>
      <c r="K517" s="8">
        <v>1.0999999999999999</v>
      </c>
      <c r="L517" s="8"/>
      <c r="M517" s="5"/>
      <c r="N517" s="8">
        <v>2.2069457142857143</v>
      </c>
      <c r="O517" s="9">
        <v>2.0063142857142857</v>
      </c>
      <c r="P517" s="10" t="s">
        <v>31</v>
      </c>
      <c r="Q517" s="10">
        <f t="shared" ref="Q517:Q540" si="58">IF(K517&gt;1.5,1,0)</f>
        <v>0</v>
      </c>
      <c r="R517" s="10">
        <f t="shared" ref="R517:R540" si="59">IF(K517&lt;0.5,1,0)</f>
        <v>0</v>
      </c>
      <c r="S517" s="10">
        <f t="shared" ref="S517:S540" si="60">IF(O517&gt;1.5,1,0)</f>
        <v>1</v>
      </c>
      <c r="T517" s="10">
        <f t="shared" ref="T517:T540" si="61">IF(O517&lt;0.5,1,0)</f>
        <v>0</v>
      </c>
      <c r="U517" s="11" t="str">
        <f t="shared" si="55"/>
        <v/>
      </c>
      <c r="V517" s="11" t="str">
        <f t="shared" si="57"/>
        <v/>
      </c>
      <c r="W517" s="11">
        <f t="shared" si="57"/>
        <v>1</v>
      </c>
      <c r="X517" s="11" t="str">
        <f t="shared" si="57"/>
        <v/>
      </c>
      <c r="Y517" s="11" t="str">
        <f t="shared" si="57"/>
        <v/>
      </c>
      <c r="Z517" s="11">
        <f t="shared" si="57"/>
        <v>1</v>
      </c>
      <c r="AA517" s="11" t="str">
        <f t="shared" si="57"/>
        <v/>
      </c>
      <c r="AB517" s="11" t="str">
        <f t="shared" si="57"/>
        <v/>
      </c>
      <c r="AC517" s="11">
        <f t="shared" si="57"/>
        <v>1</v>
      </c>
      <c r="AD517" s="11" t="str">
        <f t="shared" si="57"/>
        <v/>
      </c>
      <c r="AE517" s="12" t="s">
        <v>1095</v>
      </c>
    </row>
    <row r="518" spans="1:31" ht="18" customHeight="1" thickTop="1" thickBot="1" x14ac:dyDescent="0.3">
      <c r="A518" s="4" t="s">
        <v>292</v>
      </c>
      <c r="B518" s="4" t="s">
        <v>947</v>
      </c>
      <c r="C518" s="5" t="s">
        <v>890</v>
      </c>
      <c r="D518" s="5" t="s">
        <v>26</v>
      </c>
      <c r="E518" s="5" t="s">
        <v>245</v>
      </c>
      <c r="F518" s="5" t="s">
        <v>900</v>
      </c>
      <c r="G518" s="5" t="s">
        <v>16</v>
      </c>
      <c r="H518" s="6" t="s">
        <v>892</v>
      </c>
      <c r="I518" s="7" t="s">
        <v>359</v>
      </c>
      <c r="J518" s="8" t="s">
        <v>27</v>
      </c>
      <c r="K518" s="8">
        <v>1.3741007194244605</v>
      </c>
      <c r="L518" s="8"/>
      <c r="M518" s="5"/>
      <c r="N518" s="8">
        <v>1.0935471309853582</v>
      </c>
      <c r="O518" s="9">
        <v>0.79582749323018209</v>
      </c>
      <c r="P518" s="10" t="s">
        <v>27</v>
      </c>
      <c r="Q518" s="10">
        <f t="shared" si="58"/>
        <v>0</v>
      </c>
      <c r="R518" s="10">
        <f t="shared" si="59"/>
        <v>0</v>
      </c>
      <c r="S518" s="10">
        <f t="shared" si="60"/>
        <v>0</v>
      </c>
      <c r="T518" s="10">
        <f t="shared" si="61"/>
        <v>0</v>
      </c>
      <c r="U518" s="11" t="str">
        <f t="shared" ref="U518:AD542" si="62">IF(ISNUMBER(SEARCH(U$3,$AE518)), 1,"")</f>
        <v/>
      </c>
      <c r="V518" s="11" t="str">
        <f t="shared" si="57"/>
        <v/>
      </c>
      <c r="W518" s="11" t="str">
        <f t="shared" si="57"/>
        <v/>
      </c>
      <c r="X518" s="11" t="str">
        <f t="shared" si="57"/>
        <v/>
      </c>
      <c r="Y518" s="11" t="str">
        <f t="shared" si="57"/>
        <v/>
      </c>
      <c r="Z518" s="11" t="str">
        <f t="shared" si="57"/>
        <v/>
      </c>
      <c r="AA518" s="11" t="str">
        <f t="shared" si="57"/>
        <v/>
      </c>
      <c r="AB518" s="11" t="str">
        <f t="shared" si="57"/>
        <v/>
      </c>
      <c r="AC518" s="11" t="str">
        <f t="shared" si="57"/>
        <v/>
      </c>
      <c r="AD518" s="11" t="str">
        <f t="shared" si="57"/>
        <v/>
      </c>
      <c r="AE518" s="12" t="s">
        <v>27</v>
      </c>
    </row>
    <row r="519" spans="1:31" ht="18" customHeight="1" thickTop="1" thickBot="1" x14ac:dyDescent="0.3">
      <c r="A519" s="4" t="s">
        <v>292</v>
      </c>
      <c r="B519" s="4" t="s">
        <v>947</v>
      </c>
      <c r="C519" s="5" t="s">
        <v>890</v>
      </c>
      <c r="D519" s="5" t="s">
        <v>26</v>
      </c>
      <c r="E519" s="5" t="s">
        <v>247</v>
      </c>
      <c r="F519" s="5" t="s">
        <v>901</v>
      </c>
      <c r="G519" s="5" t="s">
        <v>16</v>
      </c>
      <c r="H519" s="6" t="s">
        <v>892</v>
      </c>
      <c r="I519" s="7" t="s">
        <v>359</v>
      </c>
      <c r="J519" s="8" t="s">
        <v>27</v>
      </c>
      <c r="K519" s="8">
        <v>1.0277777777777777</v>
      </c>
      <c r="L519" s="8"/>
      <c r="M519" s="5"/>
      <c r="N519" s="8">
        <v>1.1672801393728223</v>
      </c>
      <c r="O519" s="9">
        <v>1.135732027497881</v>
      </c>
      <c r="P519" s="10" t="s">
        <v>27</v>
      </c>
      <c r="Q519" s="10">
        <f t="shared" si="58"/>
        <v>0</v>
      </c>
      <c r="R519" s="10">
        <f t="shared" si="59"/>
        <v>0</v>
      </c>
      <c r="S519" s="10">
        <f t="shared" si="60"/>
        <v>0</v>
      </c>
      <c r="T519" s="10">
        <f t="shared" si="61"/>
        <v>0</v>
      </c>
      <c r="U519" s="11" t="str">
        <f t="shared" si="62"/>
        <v/>
      </c>
      <c r="V519" s="11" t="str">
        <f t="shared" si="57"/>
        <v/>
      </c>
      <c r="W519" s="11" t="str">
        <f t="shared" si="57"/>
        <v/>
      </c>
      <c r="X519" s="11" t="str">
        <f t="shared" si="57"/>
        <v/>
      </c>
      <c r="Y519" s="11" t="str">
        <f t="shared" si="57"/>
        <v/>
      </c>
      <c r="Z519" s="11" t="str">
        <f t="shared" si="57"/>
        <v/>
      </c>
      <c r="AA519" s="11" t="str">
        <f t="shared" si="57"/>
        <v/>
      </c>
      <c r="AB519" s="11" t="str">
        <f t="shared" si="57"/>
        <v/>
      </c>
      <c r="AC519" s="11" t="str">
        <f t="shared" si="57"/>
        <v/>
      </c>
      <c r="AD519" s="11" t="str">
        <f t="shared" si="57"/>
        <v/>
      </c>
      <c r="AE519" s="12" t="s">
        <v>27</v>
      </c>
    </row>
    <row r="520" spans="1:31" ht="18" customHeight="1" thickTop="1" thickBot="1" x14ac:dyDescent="0.3">
      <c r="A520" s="4" t="s">
        <v>292</v>
      </c>
      <c r="B520" s="4" t="s">
        <v>947</v>
      </c>
      <c r="C520" s="5" t="s">
        <v>890</v>
      </c>
      <c r="D520" s="5" t="s">
        <v>26</v>
      </c>
      <c r="E520" s="5" t="s">
        <v>249</v>
      </c>
      <c r="F520" s="5" t="s">
        <v>902</v>
      </c>
      <c r="G520" s="5" t="s">
        <v>16</v>
      </c>
      <c r="H520" s="6" t="s">
        <v>892</v>
      </c>
      <c r="I520" s="7" t="s">
        <v>359</v>
      </c>
      <c r="J520" s="8" t="s">
        <v>27</v>
      </c>
      <c r="K520" s="8">
        <v>0.72868217054263562</v>
      </c>
      <c r="L520" s="8"/>
      <c r="M520" s="5"/>
      <c r="N520" s="8">
        <v>0.4500496375266525</v>
      </c>
      <c r="O520" s="9">
        <v>0.61762131107381035</v>
      </c>
      <c r="P520" s="10" t="s">
        <v>27</v>
      </c>
      <c r="Q520" s="10">
        <f t="shared" si="58"/>
        <v>0</v>
      </c>
      <c r="R520" s="10">
        <f t="shared" si="59"/>
        <v>0</v>
      </c>
      <c r="S520" s="10">
        <f t="shared" si="60"/>
        <v>0</v>
      </c>
      <c r="T520" s="10">
        <f t="shared" si="61"/>
        <v>0</v>
      </c>
      <c r="U520" s="11" t="str">
        <f t="shared" si="62"/>
        <v/>
      </c>
      <c r="V520" s="11" t="str">
        <f t="shared" si="57"/>
        <v/>
      </c>
      <c r="W520" s="11" t="str">
        <f t="shared" si="57"/>
        <v/>
      </c>
      <c r="X520" s="11" t="str">
        <f t="shared" si="57"/>
        <v/>
      </c>
      <c r="Y520" s="11" t="str">
        <f t="shared" si="57"/>
        <v/>
      </c>
      <c r="Z520" s="11" t="str">
        <f t="shared" si="57"/>
        <v/>
      </c>
      <c r="AA520" s="11" t="str">
        <f t="shared" si="57"/>
        <v/>
      </c>
      <c r="AB520" s="11" t="str">
        <f t="shared" si="57"/>
        <v/>
      </c>
      <c r="AC520" s="11" t="str">
        <f t="shared" si="57"/>
        <v/>
      </c>
      <c r="AD520" s="11" t="str">
        <f t="shared" si="57"/>
        <v/>
      </c>
      <c r="AE520" s="12" t="s">
        <v>27</v>
      </c>
    </row>
    <row r="521" spans="1:31" ht="18" customHeight="1" thickTop="1" thickBot="1" x14ac:dyDescent="0.3">
      <c r="A521" s="4" t="s">
        <v>274</v>
      </c>
      <c r="B521" s="4" t="s">
        <v>948</v>
      </c>
      <c r="C521" s="5" t="s">
        <v>903</v>
      </c>
      <c r="D521" s="5" t="s">
        <v>26</v>
      </c>
      <c r="E521" s="5" t="s">
        <v>36</v>
      </c>
      <c r="F521" s="5" t="s">
        <v>904</v>
      </c>
      <c r="G521" s="5" t="s">
        <v>16</v>
      </c>
      <c r="H521" s="6" t="s">
        <v>326</v>
      </c>
      <c r="I521" s="7" t="s">
        <v>131</v>
      </c>
      <c r="J521" s="8">
        <v>0.98333333333333328</v>
      </c>
      <c r="K521" s="8">
        <v>0.78193333333333337</v>
      </c>
      <c r="L521" s="8"/>
      <c r="M521" s="5"/>
      <c r="N521" s="8">
        <v>1.41643059490085</v>
      </c>
      <c r="O521" s="9">
        <v>1.8114467493829609</v>
      </c>
      <c r="P521" s="10" t="s">
        <v>31</v>
      </c>
      <c r="Q521" s="10">
        <f t="shared" si="58"/>
        <v>0</v>
      </c>
      <c r="R521" s="10">
        <f t="shared" si="59"/>
        <v>0</v>
      </c>
      <c r="S521" s="10">
        <f t="shared" si="60"/>
        <v>1</v>
      </c>
      <c r="T521" s="10">
        <f t="shared" si="61"/>
        <v>0</v>
      </c>
      <c r="U521" s="11">
        <f t="shared" si="62"/>
        <v>1</v>
      </c>
      <c r="V521" s="11" t="str">
        <f t="shared" si="57"/>
        <v/>
      </c>
      <c r="W521" s="11">
        <f t="shared" si="57"/>
        <v>1</v>
      </c>
      <c r="X521" s="11" t="str">
        <f t="shared" si="57"/>
        <v/>
      </c>
      <c r="Y521" s="11" t="str">
        <f t="shared" si="57"/>
        <v/>
      </c>
      <c r="Z521" s="11" t="str">
        <f t="shared" si="57"/>
        <v/>
      </c>
      <c r="AA521" s="11" t="str">
        <f t="shared" si="57"/>
        <v/>
      </c>
      <c r="AB521" s="11" t="str">
        <f t="shared" si="57"/>
        <v/>
      </c>
      <c r="AC521" s="11">
        <f t="shared" si="57"/>
        <v>1</v>
      </c>
      <c r="AD521" s="11" t="str">
        <f t="shared" si="57"/>
        <v/>
      </c>
      <c r="AE521" s="12" t="s">
        <v>1097</v>
      </c>
    </row>
    <row r="522" spans="1:31" ht="18" customHeight="1" thickTop="1" thickBot="1" x14ac:dyDescent="0.3">
      <c r="A522" s="4" t="s">
        <v>274</v>
      </c>
      <c r="B522" s="4" t="s">
        <v>948</v>
      </c>
      <c r="C522" s="5" t="s">
        <v>903</v>
      </c>
      <c r="D522" s="5" t="s">
        <v>26</v>
      </c>
      <c r="E522" s="5" t="s">
        <v>40</v>
      </c>
      <c r="F522" s="5" t="s">
        <v>905</v>
      </c>
      <c r="G522" s="5" t="s">
        <v>16</v>
      </c>
      <c r="H522" s="6" t="s">
        <v>326</v>
      </c>
      <c r="I522" s="7" t="s">
        <v>131</v>
      </c>
      <c r="J522" s="8">
        <v>0.98333333333333328</v>
      </c>
      <c r="K522" s="8">
        <v>0.59150000000000003</v>
      </c>
      <c r="L522" s="8"/>
      <c r="M522" s="5"/>
      <c r="N522" s="8">
        <v>1.4285714285714286</v>
      </c>
      <c r="O522" s="9">
        <v>2.4151672503320851</v>
      </c>
      <c r="P522" s="10" t="s">
        <v>31</v>
      </c>
      <c r="Q522" s="10">
        <f t="shared" si="58"/>
        <v>0</v>
      </c>
      <c r="R522" s="10">
        <f t="shared" si="59"/>
        <v>0</v>
      </c>
      <c r="S522" s="10">
        <f t="shared" si="60"/>
        <v>1</v>
      </c>
      <c r="T522" s="10">
        <f t="shared" si="61"/>
        <v>0</v>
      </c>
      <c r="U522" s="11">
        <f t="shared" si="62"/>
        <v>1</v>
      </c>
      <c r="V522" s="11" t="str">
        <f t="shared" si="57"/>
        <v/>
      </c>
      <c r="W522" s="11" t="str">
        <f t="shared" si="57"/>
        <v/>
      </c>
      <c r="X522" s="11" t="str">
        <f t="shared" si="57"/>
        <v/>
      </c>
      <c r="Y522" s="11" t="str">
        <f t="shared" si="57"/>
        <v/>
      </c>
      <c r="Z522" s="11">
        <f t="shared" si="57"/>
        <v>1</v>
      </c>
      <c r="AA522" s="11" t="str">
        <f t="shared" si="57"/>
        <v/>
      </c>
      <c r="AB522" s="11" t="str">
        <f t="shared" si="57"/>
        <v/>
      </c>
      <c r="AC522" s="11" t="str">
        <f t="shared" ref="V522:AD541" si="63">IF(ISNUMBER(SEARCH(AC$3,$AE522)), 1,"")</f>
        <v/>
      </c>
      <c r="AD522" s="11" t="str">
        <f t="shared" si="63"/>
        <v/>
      </c>
      <c r="AE522" s="12" t="s">
        <v>1099</v>
      </c>
    </row>
    <row r="523" spans="1:31" ht="18" customHeight="1" thickTop="1" thickBot="1" x14ac:dyDescent="0.3">
      <c r="A523" s="4" t="s">
        <v>274</v>
      </c>
      <c r="B523" s="4" t="s">
        <v>948</v>
      </c>
      <c r="C523" s="5" t="s">
        <v>903</v>
      </c>
      <c r="D523" s="5" t="s">
        <v>26</v>
      </c>
      <c r="E523" s="5" t="s">
        <v>69</v>
      </c>
      <c r="F523" s="5" t="s">
        <v>906</v>
      </c>
      <c r="G523" s="5" t="s">
        <v>16</v>
      </c>
      <c r="H523" s="6" t="s">
        <v>326</v>
      </c>
      <c r="I523" s="7" t="s">
        <v>131</v>
      </c>
      <c r="J523" s="8">
        <v>0.98333333333333328</v>
      </c>
      <c r="K523" s="8">
        <v>0.55720000000000003</v>
      </c>
      <c r="L523" s="8"/>
      <c r="M523" s="5"/>
      <c r="N523" s="8">
        <v>1.4285714285714286</v>
      </c>
      <c r="O523" s="9">
        <v>2.5638396061942363</v>
      </c>
      <c r="P523" s="10" t="s">
        <v>31</v>
      </c>
      <c r="Q523" s="10">
        <f t="shared" si="58"/>
        <v>0</v>
      </c>
      <c r="R523" s="10">
        <f t="shared" si="59"/>
        <v>0</v>
      </c>
      <c r="S523" s="10">
        <f t="shared" si="60"/>
        <v>1</v>
      </c>
      <c r="T523" s="10">
        <f t="shared" si="61"/>
        <v>0</v>
      </c>
      <c r="U523" s="11">
        <f t="shared" si="62"/>
        <v>1</v>
      </c>
      <c r="V523" s="11" t="str">
        <f t="shared" si="63"/>
        <v/>
      </c>
      <c r="W523" s="11" t="str">
        <f t="shared" si="63"/>
        <v/>
      </c>
      <c r="X523" s="11" t="str">
        <f t="shared" si="63"/>
        <v/>
      </c>
      <c r="Y523" s="11" t="str">
        <f t="shared" si="63"/>
        <v/>
      </c>
      <c r="Z523" s="11" t="str">
        <f t="shared" si="63"/>
        <v/>
      </c>
      <c r="AA523" s="11">
        <f t="shared" si="63"/>
        <v>1</v>
      </c>
      <c r="AB523" s="11" t="str">
        <f t="shared" si="63"/>
        <v/>
      </c>
      <c r="AC523" s="11" t="str">
        <f t="shared" si="63"/>
        <v/>
      </c>
      <c r="AD523" s="11" t="str">
        <f t="shared" si="63"/>
        <v/>
      </c>
      <c r="AE523" s="12" t="s">
        <v>1101</v>
      </c>
    </row>
    <row r="524" spans="1:31" ht="18" customHeight="1" thickTop="1" thickBot="1" x14ac:dyDescent="0.3">
      <c r="A524" s="4" t="s">
        <v>444</v>
      </c>
      <c r="B524" s="4" t="s">
        <v>946</v>
      </c>
      <c r="C524" s="5" t="s">
        <v>907</v>
      </c>
      <c r="D524" s="5" t="s">
        <v>26</v>
      </c>
      <c r="E524" s="5" t="s">
        <v>36</v>
      </c>
      <c r="F524" s="5" t="s">
        <v>908</v>
      </c>
      <c r="G524" s="5" t="s">
        <v>16</v>
      </c>
      <c r="H524" s="6" t="s">
        <v>223</v>
      </c>
      <c r="I524" s="7" t="s">
        <v>387</v>
      </c>
      <c r="J524" s="8" t="s">
        <v>27</v>
      </c>
      <c r="K524" s="8">
        <v>1</v>
      </c>
      <c r="L524" s="8"/>
      <c r="M524" s="5"/>
      <c r="N524" s="8">
        <v>1.0847658565500888</v>
      </c>
      <c r="O524" s="9">
        <v>1.0847658565500891</v>
      </c>
      <c r="P524" s="10" t="s">
        <v>27</v>
      </c>
      <c r="Q524" s="10">
        <f t="shared" si="58"/>
        <v>0</v>
      </c>
      <c r="R524" s="10">
        <f t="shared" si="59"/>
        <v>0</v>
      </c>
      <c r="S524" s="10">
        <f t="shared" si="60"/>
        <v>0</v>
      </c>
      <c r="T524" s="10">
        <f t="shared" si="61"/>
        <v>0</v>
      </c>
      <c r="U524" s="11" t="str">
        <f t="shared" si="62"/>
        <v/>
      </c>
      <c r="V524" s="11" t="str">
        <f t="shared" si="63"/>
        <v/>
      </c>
      <c r="W524" s="11" t="str">
        <f t="shared" si="63"/>
        <v/>
      </c>
      <c r="X524" s="11" t="str">
        <f t="shared" si="63"/>
        <v/>
      </c>
      <c r="Y524" s="11" t="str">
        <f t="shared" si="63"/>
        <v/>
      </c>
      <c r="Z524" s="11" t="str">
        <f t="shared" si="63"/>
        <v/>
      </c>
      <c r="AA524" s="11" t="str">
        <f t="shared" si="63"/>
        <v/>
      </c>
      <c r="AB524" s="11" t="str">
        <f t="shared" si="63"/>
        <v/>
      </c>
      <c r="AC524" s="11" t="str">
        <f t="shared" si="63"/>
        <v/>
      </c>
      <c r="AD524" s="11" t="str">
        <f t="shared" si="63"/>
        <v/>
      </c>
      <c r="AE524" s="12" t="s">
        <v>27</v>
      </c>
    </row>
    <row r="525" spans="1:31" ht="18" customHeight="1" thickTop="1" thickBot="1" x14ac:dyDescent="0.3">
      <c r="A525" s="4" t="s">
        <v>444</v>
      </c>
      <c r="B525" s="4" t="s">
        <v>946</v>
      </c>
      <c r="C525" s="5" t="s">
        <v>907</v>
      </c>
      <c r="D525" s="5" t="s">
        <v>26</v>
      </c>
      <c r="E525" s="5" t="s">
        <v>40</v>
      </c>
      <c r="F525" s="5" t="s">
        <v>909</v>
      </c>
      <c r="G525" s="5" t="s">
        <v>16</v>
      </c>
      <c r="H525" s="6" t="s">
        <v>223</v>
      </c>
      <c r="I525" s="7" t="s">
        <v>387</v>
      </c>
      <c r="J525" s="8" t="s">
        <v>27</v>
      </c>
      <c r="K525" s="8">
        <v>1</v>
      </c>
      <c r="L525" s="8"/>
      <c r="M525" s="5"/>
      <c r="N525" s="8">
        <v>1.2946690099589924</v>
      </c>
      <c r="O525" s="9">
        <v>1.2946690099589926</v>
      </c>
      <c r="P525" s="10" t="s">
        <v>27</v>
      </c>
      <c r="Q525" s="10">
        <f t="shared" si="58"/>
        <v>0</v>
      </c>
      <c r="R525" s="10">
        <f t="shared" si="59"/>
        <v>0</v>
      </c>
      <c r="S525" s="10">
        <f t="shared" si="60"/>
        <v>0</v>
      </c>
      <c r="T525" s="10">
        <f t="shared" si="61"/>
        <v>0</v>
      </c>
      <c r="U525" s="11" t="str">
        <f t="shared" si="62"/>
        <v/>
      </c>
      <c r="V525" s="11" t="str">
        <f t="shared" si="63"/>
        <v/>
      </c>
      <c r="W525" s="11" t="str">
        <f t="shared" si="63"/>
        <v/>
      </c>
      <c r="X525" s="11" t="str">
        <f t="shared" si="63"/>
        <v/>
      </c>
      <c r="Y525" s="11" t="str">
        <f t="shared" si="63"/>
        <v/>
      </c>
      <c r="Z525" s="11" t="str">
        <f t="shared" si="63"/>
        <v/>
      </c>
      <c r="AA525" s="11" t="str">
        <f t="shared" si="63"/>
        <v/>
      </c>
      <c r="AB525" s="11" t="str">
        <f t="shared" si="63"/>
        <v/>
      </c>
      <c r="AC525" s="11" t="str">
        <f t="shared" si="63"/>
        <v/>
      </c>
      <c r="AD525" s="11" t="str">
        <f t="shared" si="63"/>
        <v/>
      </c>
      <c r="AE525" s="12" t="s">
        <v>27</v>
      </c>
    </row>
    <row r="526" spans="1:31" ht="18" customHeight="1" thickTop="1" thickBot="1" x14ac:dyDescent="0.3">
      <c r="A526" s="4" t="s">
        <v>444</v>
      </c>
      <c r="B526" s="4" t="s">
        <v>946</v>
      </c>
      <c r="C526" s="5" t="s">
        <v>907</v>
      </c>
      <c r="D526" s="5" t="s">
        <v>26</v>
      </c>
      <c r="E526" s="5" t="s">
        <v>69</v>
      </c>
      <c r="F526" s="5" t="s">
        <v>910</v>
      </c>
      <c r="G526" s="5" t="s">
        <v>16</v>
      </c>
      <c r="H526" s="6" t="s">
        <v>223</v>
      </c>
      <c r="I526" s="7" t="s">
        <v>387</v>
      </c>
      <c r="J526" s="8" t="s">
        <v>27</v>
      </c>
      <c r="K526" s="8">
        <v>0.36363636363636365</v>
      </c>
      <c r="L526" s="8"/>
      <c r="M526" s="5"/>
      <c r="N526" s="8">
        <v>1.1426959954878737</v>
      </c>
      <c r="O526" s="9">
        <v>3.1424139875916528</v>
      </c>
      <c r="P526" s="10" t="s">
        <v>31</v>
      </c>
      <c r="Q526" s="10">
        <f t="shared" si="58"/>
        <v>0</v>
      </c>
      <c r="R526" s="10">
        <f t="shared" si="59"/>
        <v>1</v>
      </c>
      <c r="S526" s="10">
        <f t="shared" si="60"/>
        <v>1</v>
      </c>
      <c r="T526" s="10">
        <f t="shared" si="61"/>
        <v>0</v>
      </c>
      <c r="U526" s="11" t="str">
        <f t="shared" si="62"/>
        <v/>
      </c>
      <c r="V526" s="11">
        <f t="shared" si="63"/>
        <v>1</v>
      </c>
      <c r="W526" s="11">
        <f t="shared" si="63"/>
        <v>1</v>
      </c>
      <c r="X526" s="11" t="str">
        <f t="shared" si="63"/>
        <v/>
      </c>
      <c r="Y526" s="11" t="str">
        <f t="shared" si="63"/>
        <v/>
      </c>
      <c r="Z526" s="11" t="str">
        <f t="shared" si="63"/>
        <v/>
      </c>
      <c r="AA526" s="11" t="str">
        <f t="shared" si="63"/>
        <v/>
      </c>
      <c r="AB526" s="11" t="str">
        <f t="shared" si="63"/>
        <v/>
      </c>
      <c r="AC526" s="11" t="str">
        <f t="shared" si="63"/>
        <v/>
      </c>
      <c r="AD526" s="11" t="str">
        <f t="shared" si="63"/>
        <v/>
      </c>
      <c r="AE526" s="12" t="s">
        <v>1063</v>
      </c>
    </row>
    <row r="527" spans="1:31" ht="18" customHeight="1" thickTop="1" thickBot="1" x14ac:dyDescent="0.3">
      <c r="A527" s="4" t="s">
        <v>911</v>
      </c>
      <c r="B527" s="4" t="s">
        <v>947</v>
      </c>
      <c r="C527" s="5" t="s">
        <v>912</v>
      </c>
      <c r="D527" s="5" t="s">
        <v>26</v>
      </c>
      <c r="E527" s="5" t="s">
        <v>36</v>
      </c>
      <c r="F527" s="5" t="s">
        <v>913</v>
      </c>
      <c r="G527" s="5" t="s">
        <v>16</v>
      </c>
      <c r="H527" s="6" t="s">
        <v>914</v>
      </c>
      <c r="I527" s="7" t="s">
        <v>364</v>
      </c>
      <c r="J527" s="8">
        <v>0.77419354838709675</v>
      </c>
      <c r="K527" s="8">
        <v>1</v>
      </c>
      <c r="L527" s="8"/>
      <c r="M527" s="5"/>
      <c r="N527" s="8">
        <v>0.83851508120649654</v>
      </c>
      <c r="O527" s="9">
        <v>0.83851508120649654</v>
      </c>
      <c r="P527" s="10" t="s">
        <v>27</v>
      </c>
      <c r="Q527" s="10">
        <f t="shared" si="58"/>
        <v>0</v>
      </c>
      <c r="R527" s="10">
        <f t="shared" si="59"/>
        <v>0</v>
      </c>
      <c r="S527" s="10">
        <f t="shared" si="60"/>
        <v>0</v>
      </c>
      <c r="T527" s="10">
        <f t="shared" si="61"/>
        <v>0</v>
      </c>
      <c r="U527" s="11" t="str">
        <f t="shared" si="62"/>
        <v/>
      </c>
      <c r="V527" s="11" t="str">
        <f t="shared" si="63"/>
        <v/>
      </c>
      <c r="W527" s="11" t="str">
        <f t="shared" si="63"/>
        <v/>
      </c>
      <c r="X527" s="11" t="str">
        <f t="shared" si="63"/>
        <v/>
      </c>
      <c r="Y527" s="11" t="str">
        <f t="shared" si="63"/>
        <v/>
      </c>
      <c r="Z527" s="11" t="str">
        <f t="shared" si="63"/>
        <v/>
      </c>
      <c r="AA527" s="11" t="str">
        <f t="shared" si="63"/>
        <v/>
      </c>
      <c r="AB527" s="11" t="str">
        <f t="shared" si="63"/>
        <v/>
      </c>
      <c r="AC527" s="11" t="str">
        <f t="shared" si="63"/>
        <v/>
      </c>
      <c r="AD527" s="11" t="str">
        <f t="shared" si="63"/>
        <v/>
      </c>
      <c r="AE527" s="12" t="s">
        <v>27</v>
      </c>
    </row>
    <row r="528" spans="1:31" ht="18" customHeight="1" thickTop="1" thickBot="1" x14ac:dyDescent="0.3">
      <c r="A528" s="4" t="s">
        <v>911</v>
      </c>
      <c r="B528" s="4" t="s">
        <v>947</v>
      </c>
      <c r="C528" s="5" t="s">
        <v>912</v>
      </c>
      <c r="D528" s="5" t="s">
        <v>26</v>
      </c>
      <c r="E528" s="5" t="s">
        <v>40</v>
      </c>
      <c r="F528" s="5" t="s">
        <v>915</v>
      </c>
      <c r="G528" s="5" t="s">
        <v>16</v>
      </c>
      <c r="H528" s="6" t="s">
        <v>914</v>
      </c>
      <c r="I528" s="7" t="s">
        <v>364</v>
      </c>
      <c r="J528" s="8">
        <v>0.77419354838709675</v>
      </c>
      <c r="K528" s="8">
        <v>1</v>
      </c>
      <c r="L528" s="8"/>
      <c r="M528" s="5"/>
      <c r="N528" s="8">
        <v>1.3287937743190661</v>
      </c>
      <c r="O528" s="9">
        <v>1.3287937743190661</v>
      </c>
      <c r="P528" s="10" t="s">
        <v>27</v>
      </c>
      <c r="Q528" s="10">
        <f t="shared" si="58"/>
        <v>0</v>
      </c>
      <c r="R528" s="10">
        <f t="shared" si="59"/>
        <v>0</v>
      </c>
      <c r="S528" s="10">
        <f t="shared" si="60"/>
        <v>0</v>
      </c>
      <c r="T528" s="10">
        <f t="shared" si="61"/>
        <v>0</v>
      </c>
      <c r="U528" s="11" t="str">
        <f t="shared" si="62"/>
        <v/>
      </c>
      <c r="V528" s="11" t="str">
        <f t="shared" si="63"/>
        <v/>
      </c>
      <c r="W528" s="11" t="str">
        <f t="shared" si="63"/>
        <v/>
      </c>
      <c r="X528" s="11" t="str">
        <f t="shared" si="63"/>
        <v/>
      </c>
      <c r="Y528" s="11" t="str">
        <f t="shared" si="63"/>
        <v/>
      </c>
      <c r="Z528" s="11" t="str">
        <f t="shared" si="63"/>
        <v/>
      </c>
      <c r="AA528" s="11" t="str">
        <f t="shared" si="63"/>
        <v/>
      </c>
      <c r="AB528" s="11" t="str">
        <f t="shared" si="63"/>
        <v/>
      </c>
      <c r="AC528" s="11" t="str">
        <f t="shared" si="63"/>
        <v/>
      </c>
      <c r="AD528" s="11" t="str">
        <f t="shared" si="63"/>
        <v/>
      </c>
      <c r="AE528" s="12" t="s">
        <v>27</v>
      </c>
    </row>
    <row r="529" spans="1:31" ht="18" customHeight="1" thickTop="1" thickBot="1" x14ac:dyDescent="0.3">
      <c r="A529" s="4" t="s">
        <v>911</v>
      </c>
      <c r="B529" s="4" t="s">
        <v>947</v>
      </c>
      <c r="C529" s="5" t="s">
        <v>912</v>
      </c>
      <c r="D529" s="5" t="s">
        <v>26</v>
      </c>
      <c r="E529" s="5" t="s">
        <v>69</v>
      </c>
      <c r="F529" s="5" t="s">
        <v>916</v>
      </c>
      <c r="G529" s="5" t="s">
        <v>16</v>
      </c>
      <c r="H529" s="6" t="s">
        <v>914</v>
      </c>
      <c r="I529" s="7" t="s">
        <v>364</v>
      </c>
      <c r="J529" s="8">
        <v>0.77419354838709675</v>
      </c>
      <c r="K529" s="8">
        <v>1</v>
      </c>
      <c r="L529" s="8"/>
      <c r="M529" s="5"/>
      <c r="N529" s="8">
        <v>0.81219512195121946</v>
      </c>
      <c r="O529" s="9">
        <v>0.81219512195121946</v>
      </c>
      <c r="P529" s="10" t="s">
        <v>27</v>
      </c>
      <c r="Q529" s="10">
        <f t="shared" si="58"/>
        <v>0</v>
      </c>
      <c r="R529" s="10">
        <f t="shared" si="59"/>
        <v>0</v>
      </c>
      <c r="S529" s="10">
        <f t="shared" si="60"/>
        <v>0</v>
      </c>
      <c r="T529" s="10">
        <f t="shared" si="61"/>
        <v>0</v>
      </c>
      <c r="U529" s="11" t="str">
        <f>IF(ISNUMBER(SEARCH(U$3,$AE529)), 1,"")</f>
        <v/>
      </c>
      <c r="V529" s="11" t="str">
        <f t="shared" si="63"/>
        <v/>
      </c>
      <c r="W529" s="11" t="str">
        <f t="shared" si="63"/>
        <v/>
      </c>
      <c r="X529" s="11" t="str">
        <f t="shared" si="63"/>
        <v/>
      </c>
      <c r="Y529" s="11" t="str">
        <f t="shared" si="63"/>
        <v/>
      </c>
      <c r="Z529" s="11" t="str">
        <f t="shared" si="63"/>
        <v/>
      </c>
      <c r="AA529" s="11" t="str">
        <f t="shared" si="63"/>
        <v/>
      </c>
      <c r="AB529" s="11" t="str">
        <f t="shared" si="63"/>
        <v/>
      </c>
      <c r="AC529" s="11" t="str">
        <f t="shared" si="63"/>
        <v/>
      </c>
      <c r="AD529" s="11" t="str">
        <f t="shared" si="63"/>
        <v/>
      </c>
      <c r="AE529" s="12" t="s">
        <v>27</v>
      </c>
    </row>
    <row r="530" spans="1:31" ht="18" customHeight="1" thickTop="1" thickBot="1" x14ac:dyDescent="0.3">
      <c r="A530" s="4" t="s">
        <v>911</v>
      </c>
      <c r="B530" s="4" t="s">
        <v>947</v>
      </c>
      <c r="C530" s="5" t="s">
        <v>912</v>
      </c>
      <c r="D530" s="5" t="s">
        <v>26</v>
      </c>
      <c r="E530" s="5" t="s">
        <v>71</v>
      </c>
      <c r="F530" s="5" t="s">
        <v>917</v>
      </c>
      <c r="G530" s="5" t="s">
        <v>16</v>
      </c>
      <c r="H530" s="6" t="s">
        <v>914</v>
      </c>
      <c r="I530" s="7" t="s">
        <v>364</v>
      </c>
      <c r="J530" s="8">
        <v>0.77419354838709675</v>
      </c>
      <c r="K530" s="8">
        <v>1</v>
      </c>
      <c r="L530" s="8"/>
      <c r="M530" s="5"/>
      <c r="N530" s="8">
        <v>1.4740384615384614</v>
      </c>
      <c r="O530" s="9">
        <v>1.4740384615384614</v>
      </c>
      <c r="P530" s="10" t="s">
        <v>27</v>
      </c>
      <c r="Q530" s="10">
        <f t="shared" si="58"/>
        <v>0</v>
      </c>
      <c r="R530" s="10">
        <f t="shared" si="59"/>
        <v>0</v>
      </c>
      <c r="S530" s="10">
        <f t="shared" si="60"/>
        <v>0</v>
      </c>
      <c r="T530" s="10">
        <f t="shared" si="61"/>
        <v>0</v>
      </c>
      <c r="U530" s="11" t="str">
        <f t="shared" si="62"/>
        <v/>
      </c>
      <c r="V530" s="11" t="str">
        <f t="shared" si="63"/>
        <v/>
      </c>
      <c r="W530" s="11" t="str">
        <f t="shared" si="63"/>
        <v/>
      </c>
      <c r="X530" s="11" t="str">
        <f t="shared" si="63"/>
        <v/>
      </c>
      <c r="Y530" s="11" t="str">
        <f t="shared" si="63"/>
        <v/>
      </c>
      <c r="Z530" s="11" t="str">
        <f t="shared" si="63"/>
        <v/>
      </c>
      <c r="AA530" s="11" t="str">
        <f t="shared" si="63"/>
        <v/>
      </c>
      <c r="AB530" s="11" t="str">
        <f t="shared" si="63"/>
        <v/>
      </c>
      <c r="AC530" s="11" t="str">
        <f t="shared" si="63"/>
        <v/>
      </c>
      <c r="AD530" s="11" t="str">
        <f t="shared" si="63"/>
        <v/>
      </c>
      <c r="AE530" s="12" t="s">
        <v>27</v>
      </c>
    </row>
    <row r="531" spans="1:31" ht="18" customHeight="1" thickTop="1" thickBot="1" x14ac:dyDescent="0.3">
      <c r="A531" s="4" t="s">
        <v>918</v>
      </c>
      <c r="B531" s="4" t="s">
        <v>950</v>
      </c>
      <c r="C531" s="5" t="s">
        <v>919</v>
      </c>
      <c r="D531" s="5" t="s">
        <v>26</v>
      </c>
      <c r="E531" s="5" t="s">
        <v>36</v>
      </c>
      <c r="F531" s="5" t="s">
        <v>920</v>
      </c>
      <c r="G531" s="5" t="s">
        <v>16</v>
      </c>
      <c r="H531" s="6" t="s">
        <v>921</v>
      </c>
      <c r="I531" s="7" t="s">
        <v>44</v>
      </c>
      <c r="J531" s="8" t="s">
        <v>27</v>
      </c>
      <c r="K531" s="8">
        <v>0.84848484848484851</v>
      </c>
      <c r="L531" s="8"/>
      <c r="M531" s="5"/>
      <c r="N531" s="8">
        <v>0.98406244458762893</v>
      </c>
      <c r="O531" s="9">
        <v>1.1597878811211342</v>
      </c>
      <c r="P531" s="10" t="s">
        <v>27</v>
      </c>
      <c r="Q531" s="10">
        <f t="shared" si="58"/>
        <v>0</v>
      </c>
      <c r="R531" s="10">
        <f t="shared" si="59"/>
        <v>0</v>
      </c>
      <c r="S531" s="10">
        <f t="shared" si="60"/>
        <v>0</v>
      </c>
      <c r="T531" s="10">
        <f t="shared" si="61"/>
        <v>0</v>
      </c>
      <c r="U531" s="11" t="str">
        <f t="shared" si="62"/>
        <v/>
      </c>
      <c r="V531" s="11" t="str">
        <f t="shared" si="63"/>
        <v/>
      </c>
      <c r="W531" s="11" t="str">
        <f t="shared" si="63"/>
        <v/>
      </c>
      <c r="X531" s="11" t="str">
        <f t="shared" si="63"/>
        <v/>
      </c>
      <c r="Y531" s="11" t="str">
        <f t="shared" si="63"/>
        <v/>
      </c>
      <c r="Z531" s="11" t="str">
        <f t="shared" si="63"/>
        <v/>
      </c>
      <c r="AA531" s="11" t="str">
        <f t="shared" si="63"/>
        <v/>
      </c>
      <c r="AB531" s="11" t="str">
        <f t="shared" si="63"/>
        <v/>
      </c>
      <c r="AC531" s="11" t="str">
        <f t="shared" si="63"/>
        <v/>
      </c>
      <c r="AD531" s="11" t="str">
        <f t="shared" si="63"/>
        <v/>
      </c>
      <c r="AE531" s="12" t="s">
        <v>27</v>
      </c>
    </row>
    <row r="532" spans="1:31" ht="18" customHeight="1" thickTop="1" thickBot="1" x14ac:dyDescent="0.3">
      <c r="A532" s="4" t="s">
        <v>918</v>
      </c>
      <c r="B532" s="4" t="s">
        <v>950</v>
      </c>
      <c r="C532" s="5" t="s">
        <v>919</v>
      </c>
      <c r="D532" s="5" t="s">
        <v>26</v>
      </c>
      <c r="E532" s="5" t="s">
        <v>40</v>
      </c>
      <c r="F532" s="5" t="s">
        <v>922</v>
      </c>
      <c r="G532" s="5" t="s">
        <v>16</v>
      </c>
      <c r="H532" s="6" t="s">
        <v>921</v>
      </c>
      <c r="I532" s="7" t="s">
        <v>44</v>
      </c>
      <c r="J532" s="8" t="s">
        <v>27</v>
      </c>
      <c r="K532" s="8">
        <v>0.70625000000000004</v>
      </c>
      <c r="L532" s="8"/>
      <c r="M532" s="5"/>
      <c r="N532" s="8">
        <v>1.0144039270588237</v>
      </c>
      <c r="O532" s="9">
        <v>1.4363241445080688</v>
      </c>
      <c r="P532" s="10" t="s">
        <v>27</v>
      </c>
      <c r="Q532" s="10">
        <f t="shared" si="58"/>
        <v>0</v>
      </c>
      <c r="R532" s="10">
        <f t="shared" si="59"/>
        <v>0</v>
      </c>
      <c r="S532" s="10">
        <f t="shared" si="60"/>
        <v>0</v>
      </c>
      <c r="T532" s="10">
        <f t="shared" si="61"/>
        <v>0</v>
      </c>
      <c r="U532" s="11" t="str">
        <f t="shared" si="62"/>
        <v/>
      </c>
      <c r="V532" s="11" t="str">
        <f t="shared" si="63"/>
        <v/>
      </c>
      <c r="W532" s="11" t="str">
        <f t="shared" si="63"/>
        <v/>
      </c>
      <c r="X532" s="11" t="str">
        <f t="shared" si="63"/>
        <v/>
      </c>
      <c r="Y532" s="11" t="str">
        <f t="shared" si="63"/>
        <v/>
      </c>
      <c r="Z532" s="11" t="str">
        <f t="shared" si="63"/>
        <v/>
      </c>
      <c r="AA532" s="11" t="str">
        <f t="shared" si="63"/>
        <v/>
      </c>
      <c r="AB532" s="11" t="str">
        <f t="shared" si="63"/>
        <v/>
      </c>
      <c r="AC532" s="11" t="str">
        <f t="shared" si="63"/>
        <v/>
      </c>
      <c r="AD532" s="11" t="str">
        <f t="shared" si="63"/>
        <v/>
      </c>
      <c r="AE532" s="12" t="s">
        <v>27</v>
      </c>
    </row>
    <row r="533" spans="1:31" ht="18" customHeight="1" thickTop="1" thickBot="1" x14ac:dyDescent="0.3">
      <c r="A533" s="4" t="s">
        <v>918</v>
      </c>
      <c r="B533" s="4" t="s">
        <v>950</v>
      </c>
      <c r="C533" s="5" t="s">
        <v>919</v>
      </c>
      <c r="D533" s="5" t="s">
        <v>26</v>
      </c>
      <c r="E533" s="5" t="s">
        <v>69</v>
      </c>
      <c r="F533" s="5" t="s">
        <v>923</v>
      </c>
      <c r="G533" s="5" t="s">
        <v>16</v>
      </c>
      <c r="H533" s="6" t="s">
        <v>921</v>
      </c>
      <c r="I533" s="7" t="s">
        <v>44</v>
      </c>
      <c r="J533" s="8" t="s">
        <v>27</v>
      </c>
      <c r="K533" s="8">
        <v>0.79473684210526319</v>
      </c>
      <c r="L533" s="8"/>
      <c r="M533" s="5"/>
      <c r="N533" s="8">
        <v>1.1176118740740741</v>
      </c>
      <c r="O533" s="9">
        <v>1.4062665965170469</v>
      </c>
      <c r="P533" s="10" t="s">
        <v>27</v>
      </c>
      <c r="Q533" s="10">
        <f t="shared" si="58"/>
        <v>0</v>
      </c>
      <c r="R533" s="10">
        <f t="shared" si="59"/>
        <v>0</v>
      </c>
      <c r="S533" s="10">
        <f t="shared" si="60"/>
        <v>0</v>
      </c>
      <c r="T533" s="10">
        <f t="shared" si="61"/>
        <v>0</v>
      </c>
      <c r="U533" s="11" t="str">
        <f t="shared" si="62"/>
        <v/>
      </c>
      <c r="V533" s="11" t="str">
        <f t="shared" si="63"/>
        <v/>
      </c>
      <c r="W533" s="11" t="str">
        <f t="shared" si="63"/>
        <v/>
      </c>
      <c r="X533" s="11" t="str">
        <f t="shared" si="63"/>
        <v/>
      </c>
      <c r="Y533" s="11" t="str">
        <f t="shared" si="63"/>
        <v/>
      </c>
      <c r="Z533" s="11" t="str">
        <f t="shared" si="63"/>
        <v/>
      </c>
      <c r="AA533" s="11" t="str">
        <f t="shared" si="63"/>
        <v/>
      </c>
      <c r="AB533" s="11" t="str">
        <f t="shared" si="63"/>
        <v/>
      </c>
      <c r="AC533" s="11" t="str">
        <f t="shared" si="63"/>
        <v/>
      </c>
      <c r="AD533" s="11" t="str">
        <f t="shared" si="63"/>
        <v/>
      </c>
      <c r="AE533" s="12" t="s">
        <v>27</v>
      </c>
    </row>
    <row r="534" spans="1:31" ht="18" customHeight="1" thickTop="1" thickBot="1" x14ac:dyDescent="0.3">
      <c r="A534" s="4" t="s">
        <v>918</v>
      </c>
      <c r="B534" s="4" t="s">
        <v>950</v>
      </c>
      <c r="C534" s="5" t="s">
        <v>919</v>
      </c>
      <c r="D534" s="5" t="s">
        <v>26</v>
      </c>
      <c r="E534" s="5" t="s">
        <v>71</v>
      </c>
      <c r="F534" s="5" t="s">
        <v>924</v>
      </c>
      <c r="G534" s="5" t="s">
        <v>16</v>
      </c>
      <c r="H534" s="6" t="s">
        <v>921</v>
      </c>
      <c r="I534" s="7" t="s">
        <v>44</v>
      </c>
      <c r="J534" s="8" t="s">
        <v>27</v>
      </c>
      <c r="K534" s="8">
        <v>0.95102040816326527</v>
      </c>
      <c r="L534" s="8"/>
      <c r="M534" s="5"/>
      <c r="N534" s="8">
        <v>0.95798102592592582</v>
      </c>
      <c r="O534" s="9">
        <v>1.0073191045143857</v>
      </c>
      <c r="P534" s="10" t="s">
        <v>27</v>
      </c>
      <c r="Q534" s="10">
        <f t="shared" si="58"/>
        <v>0</v>
      </c>
      <c r="R534" s="10">
        <f t="shared" si="59"/>
        <v>0</v>
      </c>
      <c r="S534" s="10">
        <f t="shared" si="60"/>
        <v>0</v>
      </c>
      <c r="T534" s="10">
        <f t="shared" si="61"/>
        <v>0</v>
      </c>
      <c r="U534" s="11" t="str">
        <f t="shared" si="62"/>
        <v/>
      </c>
      <c r="V534" s="11" t="str">
        <f t="shared" si="63"/>
        <v/>
      </c>
      <c r="W534" s="11" t="str">
        <f t="shared" si="63"/>
        <v/>
      </c>
      <c r="X534" s="11" t="str">
        <f t="shared" si="63"/>
        <v/>
      </c>
      <c r="Y534" s="11" t="str">
        <f t="shared" si="63"/>
        <v/>
      </c>
      <c r="Z534" s="11" t="str">
        <f t="shared" si="63"/>
        <v/>
      </c>
      <c r="AA534" s="11" t="str">
        <f t="shared" si="63"/>
        <v/>
      </c>
      <c r="AB534" s="11" t="str">
        <f t="shared" si="63"/>
        <v/>
      </c>
      <c r="AC534" s="11" t="str">
        <f t="shared" si="63"/>
        <v/>
      </c>
      <c r="AD534" s="11" t="str">
        <f t="shared" si="63"/>
        <v/>
      </c>
      <c r="AE534" s="12" t="s">
        <v>27</v>
      </c>
    </row>
    <row r="535" spans="1:31" ht="18" customHeight="1" thickTop="1" thickBot="1" x14ac:dyDescent="0.3">
      <c r="A535" s="4" t="s">
        <v>918</v>
      </c>
      <c r="B535" s="4" t="s">
        <v>950</v>
      </c>
      <c r="C535" s="5" t="s">
        <v>919</v>
      </c>
      <c r="D535" s="5" t="s">
        <v>26</v>
      </c>
      <c r="E535" s="5" t="s">
        <v>141</v>
      </c>
      <c r="F535" s="5" t="s">
        <v>925</v>
      </c>
      <c r="G535" s="5" t="s">
        <v>16</v>
      </c>
      <c r="H535" s="6" t="s">
        <v>921</v>
      </c>
      <c r="I535" s="7" t="s">
        <v>44</v>
      </c>
      <c r="J535" s="8" t="s">
        <v>27</v>
      </c>
      <c r="K535" s="8">
        <v>0.44791666666666669</v>
      </c>
      <c r="L535" s="8"/>
      <c r="M535" s="5"/>
      <c r="N535" s="8">
        <v>0.76475004608294939</v>
      </c>
      <c r="O535" s="9">
        <v>1.7073489400921662</v>
      </c>
      <c r="P535" s="10" t="s">
        <v>31</v>
      </c>
      <c r="Q535" s="10">
        <f t="shared" si="58"/>
        <v>0</v>
      </c>
      <c r="R535" s="10">
        <f t="shared" si="59"/>
        <v>1</v>
      </c>
      <c r="S535" s="10">
        <f t="shared" si="60"/>
        <v>1</v>
      </c>
      <c r="T535" s="10">
        <f t="shared" si="61"/>
        <v>0</v>
      </c>
      <c r="U535" s="11" t="str">
        <f t="shared" si="62"/>
        <v/>
      </c>
      <c r="V535" s="11">
        <f t="shared" si="63"/>
        <v>1</v>
      </c>
      <c r="W535" s="11" t="str">
        <f t="shared" si="63"/>
        <v/>
      </c>
      <c r="X535" s="11" t="str">
        <f t="shared" si="63"/>
        <v/>
      </c>
      <c r="Y535" s="11" t="str">
        <f t="shared" si="63"/>
        <v/>
      </c>
      <c r="Z535" s="11">
        <f t="shared" si="63"/>
        <v>1</v>
      </c>
      <c r="AA535" s="11" t="str">
        <f t="shared" si="63"/>
        <v/>
      </c>
      <c r="AB535" s="11" t="str">
        <f t="shared" si="63"/>
        <v/>
      </c>
      <c r="AC535" s="11" t="str">
        <f t="shared" si="63"/>
        <v/>
      </c>
      <c r="AD535" s="11" t="str">
        <f t="shared" si="63"/>
        <v/>
      </c>
      <c r="AE535" s="12" t="s">
        <v>1104</v>
      </c>
    </row>
    <row r="536" spans="1:31" ht="18" customHeight="1" thickTop="1" thickBot="1" x14ac:dyDescent="0.3">
      <c r="A536" s="4" t="s">
        <v>918</v>
      </c>
      <c r="B536" s="4" t="s">
        <v>950</v>
      </c>
      <c r="C536" s="5" t="s">
        <v>919</v>
      </c>
      <c r="D536" s="5" t="s">
        <v>26</v>
      </c>
      <c r="E536" s="5" t="s">
        <v>143</v>
      </c>
      <c r="F536" s="5" t="s">
        <v>926</v>
      </c>
      <c r="G536" s="5" t="s">
        <v>16</v>
      </c>
      <c r="H536" s="6" t="s">
        <v>921</v>
      </c>
      <c r="I536" s="7" t="s">
        <v>44</v>
      </c>
      <c r="J536" s="8" t="s">
        <v>27</v>
      </c>
      <c r="K536" s="8">
        <v>1</v>
      </c>
      <c r="L536" s="8"/>
      <c r="M536" s="5"/>
      <c r="N536" s="8">
        <v>0.95409011727416804</v>
      </c>
      <c r="O536" s="9">
        <v>0.95409011727416804</v>
      </c>
      <c r="P536" s="10" t="s">
        <v>27</v>
      </c>
      <c r="Q536" s="10">
        <f t="shared" si="58"/>
        <v>0</v>
      </c>
      <c r="R536" s="10">
        <f t="shared" si="59"/>
        <v>0</v>
      </c>
      <c r="S536" s="10">
        <f t="shared" si="60"/>
        <v>0</v>
      </c>
      <c r="T536" s="10">
        <f t="shared" si="61"/>
        <v>0</v>
      </c>
      <c r="U536" s="11" t="str">
        <f t="shared" si="62"/>
        <v/>
      </c>
      <c r="V536" s="11" t="str">
        <f t="shared" si="63"/>
        <v/>
      </c>
      <c r="W536" s="11" t="str">
        <f t="shared" si="63"/>
        <v/>
      </c>
      <c r="X536" s="11" t="str">
        <f t="shared" si="63"/>
        <v/>
      </c>
      <c r="Y536" s="11" t="str">
        <f t="shared" si="63"/>
        <v/>
      </c>
      <c r="Z536" s="11" t="str">
        <f t="shared" si="63"/>
        <v/>
      </c>
      <c r="AA536" s="11" t="str">
        <f t="shared" si="63"/>
        <v/>
      </c>
      <c r="AB536" s="11" t="str">
        <f t="shared" si="63"/>
        <v/>
      </c>
      <c r="AC536" s="11" t="str">
        <f t="shared" si="63"/>
        <v/>
      </c>
      <c r="AD536" s="11" t="str">
        <f t="shared" si="63"/>
        <v/>
      </c>
      <c r="AE536" s="12" t="s">
        <v>27</v>
      </c>
    </row>
    <row r="537" spans="1:31" ht="18" customHeight="1" thickTop="1" thickBot="1" x14ac:dyDescent="0.3">
      <c r="A537" s="4" t="s">
        <v>918</v>
      </c>
      <c r="B537" s="4" t="s">
        <v>950</v>
      </c>
      <c r="C537" s="5" t="s">
        <v>919</v>
      </c>
      <c r="D537" s="5" t="s">
        <v>26</v>
      </c>
      <c r="E537" s="5" t="s">
        <v>245</v>
      </c>
      <c r="F537" s="5" t="s">
        <v>927</v>
      </c>
      <c r="G537" s="5" t="s">
        <v>16</v>
      </c>
      <c r="H537" s="6" t="s">
        <v>921</v>
      </c>
      <c r="I537" s="7" t="s">
        <v>44</v>
      </c>
      <c r="J537" s="8" t="s">
        <v>27</v>
      </c>
      <c r="K537" s="8">
        <v>0.93333333333333335</v>
      </c>
      <c r="L537" s="8"/>
      <c r="M537" s="5"/>
      <c r="N537" s="8">
        <v>1.1493094748427672</v>
      </c>
      <c r="O537" s="9">
        <v>1.2314030087601078</v>
      </c>
      <c r="P537" s="10" t="s">
        <v>27</v>
      </c>
      <c r="Q537" s="10">
        <f t="shared" si="58"/>
        <v>0</v>
      </c>
      <c r="R537" s="10">
        <f t="shared" si="59"/>
        <v>0</v>
      </c>
      <c r="S537" s="10">
        <f t="shared" si="60"/>
        <v>0</v>
      </c>
      <c r="T537" s="10">
        <f t="shared" si="61"/>
        <v>0</v>
      </c>
      <c r="U537" s="11" t="str">
        <f t="shared" si="62"/>
        <v/>
      </c>
      <c r="V537" s="11" t="str">
        <f t="shared" si="63"/>
        <v/>
      </c>
      <c r="W537" s="11" t="str">
        <f t="shared" si="63"/>
        <v/>
      </c>
      <c r="X537" s="11" t="str">
        <f t="shared" si="63"/>
        <v/>
      </c>
      <c r="Y537" s="11" t="str">
        <f t="shared" si="63"/>
        <v/>
      </c>
      <c r="Z537" s="11" t="str">
        <f t="shared" si="63"/>
        <v/>
      </c>
      <c r="AA537" s="11" t="str">
        <f t="shared" si="63"/>
        <v/>
      </c>
      <c r="AB537" s="11" t="str">
        <f t="shared" si="63"/>
        <v/>
      </c>
      <c r="AC537" s="11" t="str">
        <f t="shared" si="63"/>
        <v/>
      </c>
      <c r="AD537" s="11" t="str">
        <f t="shared" si="63"/>
        <v/>
      </c>
      <c r="AE537" s="12" t="s">
        <v>27</v>
      </c>
    </row>
    <row r="538" spans="1:31" ht="18" customHeight="1" thickTop="1" thickBot="1" x14ac:dyDescent="0.3">
      <c r="A538" s="4" t="s">
        <v>918</v>
      </c>
      <c r="B538" s="4" t="s">
        <v>950</v>
      </c>
      <c r="C538" s="5" t="s">
        <v>919</v>
      </c>
      <c r="D538" s="5" t="s">
        <v>26</v>
      </c>
      <c r="E538" s="5" t="s">
        <v>247</v>
      </c>
      <c r="F538" s="5" t="s">
        <v>928</v>
      </c>
      <c r="G538" s="5" t="s">
        <v>16</v>
      </c>
      <c r="H538" s="6" t="s">
        <v>921</v>
      </c>
      <c r="I538" s="7" t="s">
        <v>44</v>
      </c>
      <c r="J538" s="8" t="s">
        <v>27</v>
      </c>
      <c r="K538" s="8">
        <v>0.49615384615384617</v>
      </c>
      <c r="L538" s="8"/>
      <c r="M538" s="5"/>
      <c r="N538" s="8">
        <v>1.1423927173913044</v>
      </c>
      <c r="O538" s="9">
        <v>2.3024969497809238</v>
      </c>
      <c r="P538" s="10" t="s">
        <v>31</v>
      </c>
      <c r="Q538" s="10">
        <f t="shared" si="58"/>
        <v>0</v>
      </c>
      <c r="R538" s="10">
        <f t="shared" si="59"/>
        <v>1</v>
      </c>
      <c r="S538" s="10">
        <f t="shared" si="60"/>
        <v>1</v>
      </c>
      <c r="T538" s="10">
        <f t="shared" si="61"/>
        <v>0</v>
      </c>
      <c r="U538" s="11" t="str">
        <f t="shared" si="62"/>
        <v/>
      </c>
      <c r="V538" s="11">
        <f t="shared" si="63"/>
        <v>1</v>
      </c>
      <c r="W538" s="11" t="str">
        <f t="shared" si="63"/>
        <v/>
      </c>
      <c r="X538" s="11" t="str">
        <f t="shared" si="63"/>
        <v/>
      </c>
      <c r="Y538" s="11" t="str">
        <f t="shared" si="63"/>
        <v/>
      </c>
      <c r="Z538" s="11">
        <f t="shared" si="63"/>
        <v>1</v>
      </c>
      <c r="AA538" s="11" t="str">
        <f t="shared" si="63"/>
        <v/>
      </c>
      <c r="AB538" s="11" t="str">
        <f t="shared" si="63"/>
        <v/>
      </c>
      <c r="AC538" s="11">
        <f t="shared" si="63"/>
        <v>1</v>
      </c>
      <c r="AD538" s="11" t="str">
        <f t="shared" si="63"/>
        <v/>
      </c>
      <c r="AE538" s="12" t="s">
        <v>1106</v>
      </c>
    </row>
    <row r="539" spans="1:31" ht="18" customHeight="1" thickTop="1" thickBot="1" x14ac:dyDescent="0.3">
      <c r="A539" s="4" t="s">
        <v>372</v>
      </c>
      <c r="B539" s="4" t="s">
        <v>948</v>
      </c>
      <c r="C539" s="5" t="s">
        <v>929</v>
      </c>
      <c r="D539" s="5" t="s">
        <v>26</v>
      </c>
      <c r="E539" s="5" t="s">
        <v>36</v>
      </c>
      <c r="F539" s="5" t="s">
        <v>930</v>
      </c>
      <c r="G539" s="5" t="s">
        <v>16</v>
      </c>
      <c r="H539" s="6" t="s">
        <v>931</v>
      </c>
      <c r="I539" s="7" t="s">
        <v>131</v>
      </c>
      <c r="J539" s="8">
        <v>1</v>
      </c>
      <c r="K539" s="8">
        <v>1.4761904761904763</v>
      </c>
      <c r="L539" s="8"/>
      <c r="M539" s="5"/>
      <c r="N539" s="8">
        <v>1.4396887159533076</v>
      </c>
      <c r="O539" s="9">
        <v>0.97527300112965998</v>
      </c>
      <c r="P539" s="10" t="s">
        <v>27</v>
      </c>
      <c r="Q539" s="10">
        <f t="shared" si="58"/>
        <v>0</v>
      </c>
      <c r="R539" s="10">
        <f t="shared" si="59"/>
        <v>0</v>
      </c>
      <c r="S539" s="10">
        <f t="shared" si="60"/>
        <v>0</v>
      </c>
      <c r="T539" s="10">
        <f t="shared" si="61"/>
        <v>0</v>
      </c>
      <c r="U539" s="11" t="str">
        <f t="shared" si="62"/>
        <v/>
      </c>
      <c r="V539" s="11" t="str">
        <f t="shared" si="63"/>
        <v/>
      </c>
      <c r="W539" s="11" t="str">
        <f t="shared" si="63"/>
        <v/>
      </c>
      <c r="X539" s="11" t="str">
        <f t="shared" si="63"/>
        <v/>
      </c>
      <c r="Y539" s="11" t="str">
        <f t="shared" si="63"/>
        <v/>
      </c>
      <c r="Z539" s="11" t="str">
        <f t="shared" si="63"/>
        <v/>
      </c>
      <c r="AA539" s="11" t="str">
        <f t="shared" si="63"/>
        <v/>
      </c>
      <c r="AB539" s="11" t="str">
        <f t="shared" si="63"/>
        <v/>
      </c>
      <c r="AC539" s="11" t="str">
        <f t="shared" si="63"/>
        <v/>
      </c>
      <c r="AD539" s="11" t="str">
        <f t="shared" si="63"/>
        <v/>
      </c>
      <c r="AE539" s="12" t="s">
        <v>27</v>
      </c>
    </row>
    <row r="540" spans="1:31" ht="18" customHeight="1" thickTop="1" thickBot="1" x14ac:dyDescent="0.3">
      <c r="A540" s="4" t="s">
        <v>372</v>
      </c>
      <c r="B540" s="4" t="s">
        <v>948</v>
      </c>
      <c r="C540" s="5" t="s">
        <v>932</v>
      </c>
      <c r="D540" s="5" t="s">
        <v>26</v>
      </c>
      <c r="E540" s="5" t="s">
        <v>27</v>
      </c>
      <c r="F540" s="5" t="s">
        <v>933</v>
      </c>
      <c r="G540" s="5" t="s">
        <v>16</v>
      </c>
      <c r="H540" s="6" t="s">
        <v>934</v>
      </c>
      <c r="I540" s="7" t="s">
        <v>387</v>
      </c>
      <c r="J540" s="8" t="s">
        <v>27</v>
      </c>
      <c r="K540" s="8">
        <v>1</v>
      </c>
      <c r="L540" s="8"/>
      <c r="M540" s="5"/>
      <c r="N540" s="8">
        <v>0.99555555555555553</v>
      </c>
      <c r="O540" s="9">
        <v>0.99555555555555542</v>
      </c>
      <c r="P540" s="10" t="s">
        <v>27</v>
      </c>
      <c r="Q540" s="10">
        <f t="shared" si="58"/>
        <v>0</v>
      </c>
      <c r="R540" s="10">
        <f t="shared" si="59"/>
        <v>0</v>
      </c>
      <c r="S540" s="10">
        <f t="shared" si="60"/>
        <v>0</v>
      </c>
      <c r="T540" s="10">
        <f t="shared" si="61"/>
        <v>0</v>
      </c>
      <c r="U540" s="11" t="str">
        <f t="shared" si="62"/>
        <v/>
      </c>
      <c r="V540" s="11" t="str">
        <f t="shared" si="63"/>
        <v/>
      </c>
      <c r="W540" s="11" t="str">
        <f t="shared" si="63"/>
        <v/>
      </c>
      <c r="X540" s="11" t="str">
        <f t="shared" si="63"/>
        <v/>
      </c>
      <c r="Y540" s="11" t="str">
        <f t="shared" si="63"/>
        <v/>
      </c>
      <c r="Z540" s="11" t="str">
        <f t="shared" si="63"/>
        <v/>
      </c>
      <c r="AA540" s="11" t="str">
        <f t="shared" si="63"/>
        <v/>
      </c>
      <c r="AB540" s="11" t="str">
        <f t="shared" si="63"/>
        <v/>
      </c>
      <c r="AC540" s="11" t="str">
        <f t="shared" si="63"/>
        <v/>
      </c>
      <c r="AD540" s="11" t="str">
        <f t="shared" si="63"/>
        <v/>
      </c>
      <c r="AE540" s="12" t="s">
        <v>27</v>
      </c>
    </row>
    <row r="541" spans="1:31" ht="18" customHeight="1" thickTop="1" thickBot="1" x14ac:dyDescent="0.3">
      <c r="A541" s="4" t="s">
        <v>34</v>
      </c>
      <c r="B541" s="4" t="s">
        <v>950</v>
      </c>
      <c r="C541" s="5" t="s">
        <v>1238</v>
      </c>
      <c r="D541" s="5" t="s">
        <v>26</v>
      </c>
      <c r="E541" s="5" t="s">
        <v>27</v>
      </c>
      <c r="F541" s="5" t="s">
        <v>1269</v>
      </c>
      <c r="G541" s="5" t="s">
        <v>16</v>
      </c>
      <c r="H541" s="6" t="s">
        <v>1293</v>
      </c>
      <c r="I541" s="7" t="s">
        <v>68</v>
      </c>
      <c r="J541" s="8">
        <v>1</v>
      </c>
      <c r="K541" s="8">
        <v>1</v>
      </c>
      <c r="L541" s="8">
        <v>1.683027639178504</v>
      </c>
      <c r="M541" s="5"/>
      <c r="N541" s="8">
        <v>1.7447877214006935</v>
      </c>
      <c r="O541" s="9">
        <v>1.7447877214006935</v>
      </c>
      <c r="P541" s="10" t="s">
        <v>31</v>
      </c>
      <c r="Q541" s="10">
        <f t="shared" ref="Q541:Q564" si="64">IF(K541&gt;1.5,1,0)</f>
        <v>0</v>
      </c>
      <c r="R541" s="10">
        <f t="shared" ref="R541:R564" si="65">IF(K541&lt;0.5,1,0)</f>
        <v>0</v>
      </c>
      <c r="S541" s="10">
        <f t="shared" ref="S541:S564" si="66">IF(O541&gt;1.5,1,0)</f>
        <v>1</v>
      </c>
      <c r="T541" s="10">
        <f t="shared" ref="T541:T564" si="67">IF(O541&lt;0.5,1,0)</f>
        <v>0</v>
      </c>
      <c r="U541" s="11" t="str">
        <f>IF(ISNUMBER(SEARCH(U$3,$AE541)), 1,"")</f>
        <v/>
      </c>
      <c r="V541" s="11" t="str">
        <f t="shared" si="63"/>
        <v/>
      </c>
      <c r="W541" s="11" t="str">
        <f t="shared" si="63"/>
        <v/>
      </c>
      <c r="X541" s="11" t="str">
        <f t="shared" si="63"/>
        <v/>
      </c>
      <c r="Y541" s="11" t="str">
        <f t="shared" si="63"/>
        <v/>
      </c>
      <c r="Z541" s="11" t="str">
        <f t="shared" si="63"/>
        <v/>
      </c>
      <c r="AA541" s="11" t="str">
        <f t="shared" si="63"/>
        <v/>
      </c>
      <c r="AB541" s="11" t="str">
        <f t="shared" si="63"/>
        <v/>
      </c>
      <c r="AC541" s="11" t="str">
        <f t="shared" si="63"/>
        <v/>
      </c>
      <c r="AD541" s="11">
        <f t="shared" si="63"/>
        <v>1</v>
      </c>
      <c r="AE541" s="12" t="s">
        <v>1311</v>
      </c>
    </row>
    <row r="542" spans="1:31" ht="18" customHeight="1" thickTop="1" thickBot="1" x14ac:dyDescent="0.3">
      <c r="A542" s="4" t="s">
        <v>1240</v>
      </c>
      <c r="B542" s="4" t="s">
        <v>950</v>
      </c>
      <c r="C542" s="5" t="s">
        <v>1266</v>
      </c>
      <c r="D542" s="5" t="s">
        <v>26</v>
      </c>
      <c r="E542" s="5" t="s">
        <v>27</v>
      </c>
      <c r="F542" s="5" t="s">
        <v>1270</v>
      </c>
      <c r="G542" s="5" t="s">
        <v>16</v>
      </c>
      <c r="H542" s="6" t="s">
        <v>1295</v>
      </c>
      <c r="I542" s="7" t="s">
        <v>38</v>
      </c>
      <c r="J542" s="8">
        <v>1</v>
      </c>
      <c r="K542" s="8">
        <v>1</v>
      </c>
      <c r="L542" s="8">
        <v>6.0425838282608426</v>
      </c>
      <c r="M542" s="5"/>
      <c r="N542" s="8">
        <v>3.8689557863765907</v>
      </c>
      <c r="O542" s="9">
        <v>3.8689557863765902</v>
      </c>
      <c r="P542" s="10" t="s">
        <v>31</v>
      </c>
      <c r="Q542" s="10">
        <f t="shared" si="64"/>
        <v>0</v>
      </c>
      <c r="R542" s="10">
        <f t="shared" si="65"/>
        <v>0</v>
      </c>
      <c r="S542" s="10">
        <f t="shared" si="66"/>
        <v>1</v>
      </c>
      <c r="T542" s="10">
        <f t="shared" si="67"/>
        <v>0</v>
      </c>
      <c r="U542" s="11" t="str">
        <f t="shared" si="62"/>
        <v/>
      </c>
      <c r="V542" s="11" t="str">
        <f t="shared" si="62"/>
        <v/>
      </c>
      <c r="W542" s="11" t="str">
        <f t="shared" si="62"/>
        <v/>
      </c>
      <c r="X542" s="11" t="str">
        <f t="shared" si="62"/>
        <v/>
      </c>
      <c r="Y542" s="11" t="str">
        <f t="shared" si="62"/>
        <v/>
      </c>
      <c r="Z542" s="11">
        <f t="shared" si="62"/>
        <v>1</v>
      </c>
      <c r="AA542" s="11" t="str">
        <f t="shared" si="62"/>
        <v/>
      </c>
      <c r="AB542" s="11" t="str">
        <f t="shared" si="62"/>
        <v/>
      </c>
      <c r="AC542" s="11" t="str">
        <f t="shared" si="62"/>
        <v/>
      </c>
      <c r="AD542" s="11">
        <f t="shared" si="62"/>
        <v>1</v>
      </c>
      <c r="AE542" s="12" t="s">
        <v>1315</v>
      </c>
    </row>
    <row r="543" spans="1:31" ht="18" customHeight="1" thickTop="1" thickBot="1" x14ac:dyDescent="0.3">
      <c r="A543" s="4" t="s">
        <v>1242</v>
      </c>
      <c r="B543" s="4" t="s">
        <v>950</v>
      </c>
      <c r="C543" s="5">
        <v>0</v>
      </c>
      <c r="D543" s="5" t="s">
        <v>26</v>
      </c>
      <c r="E543" s="5" t="s">
        <v>27</v>
      </c>
      <c r="F543" s="5" t="s">
        <v>1271</v>
      </c>
      <c r="G543" s="5" t="s">
        <v>16</v>
      </c>
      <c r="H543" s="6" t="s">
        <v>1296</v>
      </c>
      <c r="I543" s="7" t="s">
        <v>162</v>
      </c>
      <c r="J543" s="8" t="s">
        <v>27</v>
      </c>
      <c r="K543" s="8">
        <v>0.89114266396213682</v>
      </c>
      <c r="L543" s="8">
        <v>2.2549884031391891</v>
      </c>
      <c r="M543" s="5"/>
      <c r="N543" s="8">
        <v>0.85590803626214118</v>
      </c>
      <c r="O543" s="9">
        <v>1.3110693350540821</v>
      </c>
      <c r="P543" s="10" t="s">
        <v>27</v>
      </c>
      <c r="Q543" s="10">
        <f t="shared" si="64"/>
        <v>0</v>
      </c>
      <c r="R543" s="10">
        <f t="shared" si="65"/>
        <v>0</v>
      </c>
      <c r="S543" s="10">
        <f t="shared" si="66"/>
        <v>0</v>
      </c>
      <c r="T543" s="10">
        <f t="shared" si="67"/>
        <v>0</v>
      </c>
      <c r="U543" s="11" t="str">
        <f t="shared" ref="U543:AD564" si="68">IF(ISNUMBER(SEARCH(U$3,$AE543)), 1,"")</f>
        <v/>
      </c>
      <c r="V543" s="11" t="str">
        <f t="shared" si="68"/>
        <v/>
      </c>
      <c r="W543" s="11" t="str">
        <f t="shared" si="68"/>
        <v/>
      </c>
      <c r="X543" s="11" t="str">
        <f t="shared" si="68"/>
        <v/>
      </c>
      <c r="Y543" s="11" t="str">
        <f t="shared" si="68"/>
        <v/>
      </c>
      <c r="Z543" s="11" t="str">
        <f t="shared" si="68"/>
        <v/>
      </c>
      <c r="AA543" s="11" t="str">
        <f t="shared" si="68"/>
        <v/>
      </c>
      <c r="AB543" s="11" t="str">
        <f t="shared" si="68"/>
        <v/>
      </c>
      <c r="AC543" s="11" t="str">
        <f t="shared" si="68"/>
        <v/>
      </c>
      <c r="AD543" s="11" t="str">
        <f t="shared" si="68"/>
        <v/>
      </c>
      <c r="AE543" s="12" t="s">
        <v>27</v>
      </c>
    </row>
    <row r="544" spans="1:31" ht="18" customHeight="1" thickTop="1" thickBot="1" x14ac:dyDescent="0.3">
      <c r="A544" s="4" t="s">
        <v>641</v>
      </c>
      <c r="B544" s="4" t="s">
        <v>950</v>
      </c>
      <c r="C544" s="5" t="s">
        <v>1243</v>
      </c>
      <c r="D544" s="5" t="s">
        <v>26</v>
      </c>
      <c r="E544" s="5" t="s">
        <v>27</v>
      </c>
      <c r="F544" s="5" t="s">
        <v>1272</v>
      </c>
      <c r="G544" s="5" t="s">
        <v>16</v>
      </c>
      <c r="H544" s="6" t="s">
        <v>1297</v>
      </c>
      <c r="I544" s="7" t="s">
        <v>359</v>
      </c>
      <c r="J544" s="8">
        <v>1.0833333333333333</v>
      </c>
      <c r="K544" s="8">
        <v>1</v>
      </c>
      <c r="L544" s="8">
        <v>0.939306358381503</v>
      </c>
      <c r="M544" s="5"/>
      <c r="N544" s="8">
        <v>0.939306358381503</v>
      </c>
      <c r="O544" s="9">
        <v>0.939306358381503</v>
      </c>
      <c r="P544" s="10" t="s">
        <v>27</v>
      </c>
      <c r="Q544" s="10">
        <f t="shared" si="64"/>
        <v>0</v>
      </c>
      <c r="R544" s="10">
        <f t="shared" si="65"/>
        <v>0</v>
      </c>
      <c r="S544" s="10">
        <f t="shared" si="66"/>
        <v>0</v>
      </c>
      <c r="T544" s="10">
        <f t="shared" si="67"/>
        <v>0</v>
      </c>
      <c r="U544" s="11" t="str">
        <f t="shared" si="68"/>
        <v/>
      </c>
      <c r="V544" s="11" t="str">
        <f t="shared" si="68"/>
        <v/>
      </c>
      <c r="W544" s="11" t="str">
        <f t="shared" si="68"/>
        <v/>
      </c>
      <c r="X544" s="11" t="str">
        <f t="shared" si="68"/>
        <v/>
      </c>
      <c r="Y544" s="11" t="str">
        <f t="shared" si="68"/>
        <v/>
      </c>
      <c r="Z544" s="11" t="str">
        <f t="shared" si="68"/>
        <v/>
      </c>
      <c r="AA544" s="11" t="str">
        <f t="shared" si="68"/>
        <v/>
      </c>
      <c r="AB544" s="11" t="str">
        <f t="shared" si="68"/>
        <v/>
      </c>
      <c r="AC544" s="11" t="str">
        <f t="shared" si="68"/>
        <v/>
      </c>
      <c r="AD544" s="11" t="str">
        <f t="shared" si="68"/>
        <v/>
      </c>
      <c r="AE544" s="12" t="s">
        <v>27</v>
      </c>
    </row>
    <row r="545" spans="1:31" ht="18" customHeight="1" thickTop="1" thickBot="1" x14ac:dyDescent="0.3">
      <c r="A545" s="4" t="s">
        <v>735</v>
      </c>
      <c r="B545" s="4" t="s">
        <v>950</v>
      </c>
      <c r="C545" s="5" t="s">
        <v>1244</v>
      </c>
      <c r="D545" s="5" t="s">
        <v>26</v>
      </c>
      <c r="E545" s="5" t="s">
        <v>27</v>
      </c>
      <c r="F545" s="5" t="s">
        <v>1273</v>
      </c>
      <c r="G545" s="5" t="s">
        <v>16</v>
      </c>
      <c r="H545" s="6" t="s">
        <v>1297</v>
      </c>
      <c r="I545" s="7" t="s">
        <v>359</v>
      </c>
      <c r="J545" s="8">
        <v>1.4166666666666667</v>
      </c>
      <c r="K545" s="8">
        <v>1</v>
      </c>
      <c r="L545" s="8">
        <v>1.3051760233667675</v>
      </c>
      <c r="M545" s="5"/>
      <c r="N545" s="8">
        <v>1.0004160961538076</v>
      </c>
      <c r="O545" s="9">
        <v>1.0004160961538076</v>
      </c>
      <c r="P545" s="10" t="s">
        <v>27</v>
      </c>
      <c r="Q545" s="10">
        <f t="shared" si="64"/>
        <v>0</v>
      </c>
      <c r="R545" s="10">
        <f t="shared" si="65"/>
        <v>0</v>
      </c>
      <c r="S545" s="10">
        <f t="shared" si="66"/>
        <v>0</v>
      </c>
      <c r="T545" s="10">
        <f t="shared" si="67"/>
        <v>0</v>
      </c>
      <c r="U545" s="11" t="str">
        <f t="shared" si="68"/>
        <v/>
      </c>
      <c r="V545" s="11" t="str">
        <f t="shared" si="68"/>
        <v/>
      </c>
      <c r="W545" s="11" t="str">
        <f t="shared" si="68"/>
        <v/>
      </c>
      <c r="X545" s="11" t="str">
        <f t="shared" si="68"/>
        <v/>
      </c>
      <c r="Y545" s="11" t="str">
        <f t="shared" si="68"/>
        <v/>
      </c>
      <c r="Z545" s="11" t="str">
        <f t="shared" si="68"/>
        <v/>
      </c>
      <c r="AA545" s="11" t="str">
        <f t="shared" si="68"/>
        <v/>
      </c>
      <c r="AB545" s="11" t="str">
        <f t="shared" si="68"/>
        <v/>
      </c>
      <c r="AC545" s="11" t="str">
        <f t="shared" si="68"/>
        <v/>
      </c>
      <c r="AD545" s="11" t="str">
        <f t="shared" si="68"/>
        <v/>
      </c>
      <c r="AE545" s="12" t="s">
        <v>27</v>
      </c>
    </row>
    <row r="546" spans="1:31" ht="18" customHeight="1" thickTop="1" thickBot="1" x14ac:dyDescent="0.3">
      <c r="A546" s="4" t="s">
        <v>484</v>
      </c>
      <c r="B546" s="4" t="s">
        <v>950</v>
      </c>
      <c r="C546" s="5" t="s">
        <v>1246</v>
      </c>
      <c r="D546" s="5" t="s">
        <v>26</v>
      </c>
      <c r="E546" s="5" t="s">
        <v>27</v>
      </c>
      <c r="F546" s="5" t="s">
        <v>1274</v>
      </c>
      <c r="G546" s="5" t="s">
        <v>16</v>
      </c>
      <c r="H546" s="6" t="s">
        <v>1298</v>
      </c>
      <c r="I546" s="7" t="s">
        <v>68</v>
      </c>
      <c r="J546" s="8" t="s">
        <v>27</v>
      </c>
      <c r="K546" s="8">
        <v>0.25740740740740742</v>
      </c>
      <c r="L546" s="8">
        <v>0.40072289156626506</v>
      </c>
      <c r="M546" s="5"/>
      <c r="N546" s="8">
        <v>0.39306576624971218</v>
      </c>
      <c r="O546" s="9">
        <v>1.5270180847111121</v>
      </c>
      <c r="P546" s="10" t="s">
        <v>31</v>
      </c>
      <c r="Q546" s="10">
        <f t="shared" si="64"/>
        <v>0</v>
      </c>
      <c r="R546" s="10">
        <f t="shared" si="65"/>
        <v>1</v>
      </c>
      <c r="S546" s="10">
        <f t="shared" si="66"/>
        <v>1</v>
      </c>
      <c r="T546" s="10">
        <f t="shared" si="67"/>
        <v>0</v>
      </c>
      <c r="U546" s="11" t="str">
        <f t="shared" si="68"/>
        <v/>
      </c>
      <c r="V546" s="11" t="str">
        <f t="shared" si="68"/>
        <v/>
      </c>
      <c r="W546" s="11" t="str">
        <f t="shared" si="68"/>
        <v/>
      </c>
      <c r="X546" s="11">
        <f t="shared" si="68"/>
        <v>1</v>
      </c>
      <c r="Y546" s="11" t="str">
        <f t="shared" si="68"/>
        <v/>
      </c>
      <c r="Z546" s="11" t="str">
        <f t="shared" si="68"/>
        <v/>
      </c>
      <c r="AA546" s="11">
        <f t="shared" si="68"/>
        <v>1</v>
      </c>
      <c r="AB546" s="11" t="str">
        <f t="shared" si="68"/>
        <v/>
      </c>
      <c r="AC546" s="11" t="str">
        <f t="shared" si="68"/>
        <v/>
      </c>
      <c r="AD546" s="11" t="str">
        <f t="shared" si="68"/>
        <v/>
      </c>
      <c r="AE546" s="12" t="s">
        <v>1319</v>
      </c>
    </row>
    <row r="547" spans="1:31" ht="18" customHeight="1" thickTop="1" thickBot="1" x14ac:dyDescent="0.3">
      <c r="A547" s="4" t="s">
        <v>1247</v>
      </c>
      <c r="B547" s="4" t="s">
        <v>950</v>
      </c>
      <c r="C547" s="5" t="s">
        <v>1248</v>
      </c>
      <c r="D547" s="5" t="s">
        <v>26</v>
      </c>
      <c r="E547" s="5" t="s">
        <v>27</v>
      </c>
      <c r="F547" s="5" t="s">
        <v>1275</v>
      </c>
      <c r="G547" s="5" t="s">
        <v>16</v>
      </c>
      <c r="H547" s="6" t="s">
        <v>126</v>
      </c>
      <c r="I547" s="7" t="s">
        <v>213</v>
      </c>
      <c r="J547" s="8" t="s">
        <v>27</v>
      </c>
      <c r="K547" s="8">
        <v>1</v>
      </c>
      <c r="L547" s="8">
        <v>1.0560310173402154</v>
      </c>
      <c r="M547" s="5"/>
      <c r="N547" s="8">
        <v>1.5598535550073822</v>
      </c>
      <c r="O547" s="9">
        <v>1.5598535550073824</v>
      </c>
      <c r="P547" s="10" t="s">
        <v>31</v>
      </c>
      <c r="Q547" s="10">
        <f t="shared" si="64"/>
        <v>0</v>
      </c>
      <c r="R547" s="10">
        <f t="shared" si="65"/>
        <v>0</v>
      </c>
      <c r="S547" s="10">
        <f t="shared" si="66"/>
        <v>1</v>
      </c>
      <c r="T547" s="10">
        <f t="shared" si="67"/>
        <v>0</v>
      </c>
      <c r="U547" s="11">
        <f t="shared" si="68"/>
        <v>1</v>
      </c>
      <c r="V547" s="11" t="str">
        <f t="shared" si="68"/>
        <v/>
      </c>
      <c r="W547" s="11" t="str">
        <f t="shared" si="68"/>
        <v/>
      </c>
      <c r="X547" s="11" t="str">
        <f t="shared" si="68"/>
        <v/>
      </c>
      <c r="Y547" s="11" t="str">
        <f t="shared" si="68"/>
        <v/>
      </c>
      <c r="Z547" s="11" t="str">
        <f t="shared" si="68"/>
        <v/>
      </c>
      <c r="AA547" s="11" t="str">
        <f t="shared" si="68"/>
        <v/>
      </c>
      <c r="AB547" s="11" t="str">
        <f t="shared" si="68"/>
        <v/>
      </c>
      <c r="AC547" s="11" t="str">
        <f t="shared" si="68"/>
        <v/>
      </c>
      <c r="AD547" s="11">
        <f t="shared" si="68"/>
        <v>1</v>
      </c>
      <c r="AE547" s="12" t="s">
        <v>1326</v>
      </c>
    </row>
    <row r="548" spans="1:31" ht="18" customHeight="1" thickTop="1" thickBot="1" x14ac:dyDescent="0.3">
      <c r="A548" s="4" t="s">
        <v>177</v>
      </c>
      <c r="B548" s="4" t="s">
        <v>950</v>
      </c>
      <c r="C548" s="5" t="s">
        <v>1249</v>
      </c>
      <c r="D548" s="5" t="s">
        <v>26</v>
      </c>
      <c r="E548" s="5" t="s">
        <v>36</v>
      </c>
      <c r="F548" s="5" t="s">
        <v>1276</v>
      </c>
      <c r="G548" s="5" t="s">
        <v>16</v>
      </c>
      <c r="H548" s="6" t="s">
        <v>1299</v>
      </c>
      <c r="I548" s="7" t="s">
        <v>387</v>
      </c>
      <c r="J548" s="8">
        <v>2</v>
      </c>
      <c r="K548" s="8">
        <v>1</v>
      </c>
      <c r="L548" s="8">
        <v>1.0206057259366239</v>
      </c>
      <c r="M548" s="5"/>
      <c r="N548" s="8">
        <v>0.51525927521478776</v>
      </c>
      <c r="O548" s="9">
        <v>0.51525927521478776</v>
      </c>
      <c r="P548" s="10" t="s">
        <v>27</v>
      </c>
      <c r="Q548" s="10">
        <f t="shared" si="64"/>
        <v>0</v>
      </c>
      <c r="R548" s="10">
        <f t="shared" si="65"/>
        <v>0</v>
      </c>
      <c r="S548" s="10">
        <f t="shared" si="66"/>
        <v>0</v>
      </c>
      <c r="T548" s="10">
        <f t="shared" si="67"/>
        <v>0</v>
      </c>
      <c r="U548" s="11" t="str">
        <f t="shared" si="68"/>
        <v/>
      </c>
      <c r="V548" s="11" t="str">
        <f t="shared" si="68"/>
        <v/>
      </c>
      <c r="W548" s="11" t="str">
        <f t="shared" si="68"/>
        <v/>
      </c>
      <c r="X548" s="11" t="str">
        <f t="shared" si="68"/>
        <v/>
      </c>
      <c r="Y548" s="11" t="str">
        <f t="shared" si="68"/>
        <v/>
      </c>
      <c r="Z548" s="11" t="str">
        <f t="shared" si="68"/>
        <v/>
      </c>
      <c r="AA548" s="11" t="str">
        <f t="shared" si="68"/>
        <v/>
      </c>
      <c r="AB548" s="11" t="str">
        <f t="shared" si="68"/>
        <v/>
      </c>
      <c r="AC548" s="11" t="str">
        <f t="shared" si="68"/>
        <v/>
      </c>
      <c r="AD548" s="11" t="str">
        <f t="shared" si="68"/>
        <v/>
      </c>
      <c r="AE548" s="12" t="s">
        <v>27</v>
      </c>
    </row>
    <row r="549" spans="1:31" ht="18" customHeight="1" thickTop="1" thickBot="1" x14ac:dyDescent="0.3">
      <c r="A549" s="4" t="s">
        <v>177</v>
      </c>
      <c r="B549" s="4" t="s">
        <v>950</v>
      </c>
      <c r="C549" s="5" t="s">
        <v>1249</v>
      </c>
      <c r="D549" s="5" t="s">
        <v>26</v>
      </c>
      <c r="E549" s="5" t="s">
        <v>40</v>
      </c>
      <c r="F549" s="5" t="s">
        <v>1277</v>
      </c>
      <c r="G549" s="5" t="s">
        <v>16</v>
      </c>
      <c r="H549" s="6" t="s">
        <v>1299</v>
      </c>
      <c r="I549" s="7" t="s">
        <v>38</v>
      </c>
      <c r="J549" s="8">
        <v>2</v>
      </c>
      <c r="K549" s="8">
        <v>0.99596774193548376</v>
      </c>
      <c r="L549" s="8">
        <v>0.94175406155065389</v>
      </c>
      <c r="M549" s="5"/>
      <c r="N549" s="8">
        <v>0.47545051223365831</v>
      </c>
      <c r="O549" s="9">
        <v>0.47737541309290393</v>
      </c>
      <c r="P549" s="10" t="s">
        <v>31</v>
      </c>
      <c r="Q549" s="10">
        <f t="shared" si="64"/>
        <v>0</v>
      </c>
      <c r="R549" s="10">
        <f t="shared" si="65"/>
        <v>0</v>
      </c>
      <c r="S549" s="10">
        <f t="shared" si="66"/>
        <v>0</v>
      </c>
      <c r="T549" s="10">
        <f t="shared" si="67"/>
        <v>1</v>
      </c>
      <c r="U549" s="11" t="str">
        <f t="shared" si="68"/>
        <v/>
      </c>
      <c r="V549" s="11" t="str">
        <f t="shared" si="68"/>
        <v/>
      </c>
      <c r="W549" s="11" t="str">
        <f t="shared" si="68"/>
        <v/>
      </c>
      <c r="X549" s="11" t="str">
        <f t="shared" si="68"/>
        <v/>
      </c>
      <c r="Y549" s="11" t="str">
        <f t="shared" si="68"/>
        <v/>
      </c>
      <c r="Z549" s="11" t="str">
        <f t="shared" si="68"/>
        <v/>
      </c>
      <c r="AA549" s="11" t="str">
        <f t="shared" si="68"/>
        <v/>
      </c>
      <c r="AB549" s="11" t="str">
        <f t="shared" si="68"/>
        <v/>
      </c>
      <c r="AC549" s="11" t="str">
        <f t="shared" si="68"/>
        <v/>
      </c>
      <c r="AD549" s="11">
        <f t="shared" si="68"/>
        <v>1</v>
      </c>
      <c r="AE549" s="12" t="s">
        <v>1329</v>
      </c>
    </row>
    <row r="550" spans="1:31" ht="18" customHeight="1" thickTop="1" thickBot="1" x14ac:dyDescent="0.3">
      <c r="A550" s="4" t="s">
        <v>651</v>
      </c>
      <c r="B550" s="4" t="s">
        <v>950</v>
      </c>
      <c r="C550" s="5" t="s">
        <v>1250</v>
      </c>
      <c r="D550" s="5" t="s">
        <v>26</v>
      </c>
      <c r="E550" s="5" t="s">
        <v>27</v>
      </c>
      <c r="F550" s="5" t="s">
        <v>1278</v>
      </c>
      <c r="G550" s="5" t="s">
        <v>16</v>
      </c>
      <c r="H550" s="6" t="s">
        <v>1300</v>
      </c>
      <c r="I550" s="7" t="s">
        <v>387</v>
      </c>
      <c r="J550" s="8">
        <v>2.2000000000000002</v>
      </c>
      <c r="K550" s="8">
        <v>1.7591623036649213</v>
      </c>
      <c r="L550" s="8">
        <v>1.2002132764596107</v>
      </c>
      <c r="M550" s="5"/>
      <c r="N550" s="8">
        <v>0.53073797958208446</v>
      </c>
      <c r="O550" s="9">
        <v>0.30169926815529213</v>
      </c>
      <c r="P550" s="10" t="s">
        <v>31</v>
      </c>
      <c r="Q550" s="10">
        <f t="shared" si="64"/>
        <v>1</v>
      </c>
      <c r="R550" s="10">
        <f t="shared" si="65"/>
        <v>0</v>
      </c>
      <c r="S550" s="10">
        <f t="shared" si="66"/>
        <v>0</v>
      </c>
      <c r="T550" s="10">
        <f t="shared" si="67"/>
        <v>1</v>
      </c>
      <c r="U550" s="11" t="str">
        <f t="shared" si="68"/>
        <v/>
      </c>
      <c r="V550" s="11" t="str">
        <f t="shared" si="68"/>
        <v/>
      </c>
      <c r="W550" s="11" t="str">
        <f t="shared" si="68"/>
        <v/>
      </c>
      <c r="X550" s="11" t="str">
        <f t="shared" si="68"/>
        <v/>
      </c>
      <c r="Y550" s="11" t="str">
        <f t="shared" si="68"/>
        <v/>
      </c>
      <c r="Z550" s="11" t="str">
        <f t="shared" si="68"/>
        <v/>
      </c>
      <c r="AA550" s="11" t="str">
        <f t="shared" si="68"/>
        <v/>
      </c>
      <c r="AB550" s="11" t="str">
        <f t="shared" si="68"/>
        <v/>
      </c>
      <c r="AC550" s="11">
        <f t="shared" si="68"/>
        <v>1</v>
      </c>
      <c r="AD550" s="11" t="str">
        <f t="shared" si="68"/>
        <v/>
      </c>
      <c r="AE550" s="12" t="s">
        <v>1343</v>
      </c>
    </row>
    <row r="551" spans="1:31" ht="18" customHeight="1" thickTop="1" thickBot="1" x14ac:dyDescent="0.3">
      <c r="A551" s="4" t="s">
        <v>188</v>
      </c>
      <c r="B551" s="4" t="s">
        <v>950</v>
      </c>
      <c r="C551" s="5" t="s">
        <v>1251</v>
      </c>
      <c r="D551" s="5" t="s">
        <v>26</v>
      </c>
      <c r="E551" s="5" t="s">
        <v>27</v>
      </c>
      <c r="F551" s="5" t="s">
        <v>1279</v>
      </c>
      <c r="G551" s="5" t="s">
        <v>16</v>
      </c>
      <c r="H551" s="6" t="s">
        <v>1301</v>
      </c>
      <c r="I551" s="7" t="s">
        <v>387</v>
      </c>
      <c r="J551" s="8">
        <v>1.4583333333333333</v>
      </c>
      <c r="K551" s="8">
        <v>1</v>
      </c>
      <c r="L551" s="8">
        <v>2.3029832569756454</v>
      </c>
      <c r="M551" s="5"/>
      <c r="N551" s="8">
        <v>1.8584015561541973</v>
      </c>
      <c r="O551" s="9">
        <v>1.8584015561541973</v>
      </c>
      <c r="P551" s="10" t="s">
        <v>31</v>
      </c>
      <c r="Q551" s="10">
        <f t="shared" si="64"/>
        <v>0</v>
      </c>
      <c r="R551" s="10">
        <f t="shared" si="65"/>
        <v>0</v>
      </c>
      <c r="S551" s="10">
        <f t="shared" si="66"/>
        <v>1</v>
      </c>
      <c r="T551" s="10">
        <f t="shared" si="67"/>
        <v>0</v>
      </c>
      <c r="U551" s="11" t="str">
        <f t="shared" si="68"/>
        <v/>
      </c>
      <c r="V551" s="11" t="str">
        <f t="shared" si="68"/>
        <v/>
      </c>
      <c r="W551" s="11" t="str">
        <f t="shared" si="68"/>
        <v/>
      </c>
      <c r="X551" s="11" t="str">
        <f t="shared" si="68"/>
        <v/>
      </c>
      <c r="Y551" s="11" t="str">
        <f t="shared" si="68"/>
        <v/>
      </c>
      <c r="Z551" s="11" t="str">
        <f t="shared" si="68"/>
        <v/>
      </c>
      <c r="AA551" s="11" t="str">
        <f t="shared" si="68"/>
        <v/>
      </c>
      <c r="AB551" s="11" t="str">
        <f t="shared" si="68"/>
        <v/>
      </c>
      <c r="AC551" s="11" t="str">
        <f t="shared" si="68"/>
        <v/>
      </c>
      <c r="AD551" s="11" t="str">
        <f t="shared" si="68"/>
        <v/>
      </c>
      <c r="AE551" s="12" t="s">
        <v>27</v>
      </c>
    </row>
    <row r="552" spans="1:31" ht="18" customHeight="1" thickTop="1" thickBot="1" x14ac:dyDescent="0.3">
      <c r="A552" s="4" t="s">
        <v>228</v>
      </c>
      <c r="B552" s="4" t="s">
        <v>949</v>
      </c>
      <c r="C552" s="5" t="s">
        <v>1252</v>
      </c>
      <c r="D552" s="5" t="s">
        <v>26</v>
      </c>
      <c r="E552" s="5" t="s">
        <v>27</v>
      </c>
      <c r="F552" s="5" t="s">
        <v>1280</v>
      </c>
      <c r="G552" s="5" t="s">
        <v>16</v>
      </c>
      <c r="H552" s="6" t="s">
        <v>1302</v>
      </c>
      <c r="I552" s="7" t="s">
        <v>38</v>
      </c>
      <c r="J552" s="8" t="s">
        <v>27</v>
      </c>
      <c r="K552" s="8">
        <v>1.3698034682080926</v>
      </c>
      <c r="L552" s="8">
        <v>0.97047046176863261</v>
      </c>
      <c r="M552" s="5"/>
      <c r="N552" s="8">
        <v>0.85770025817286066</v>
      </c>
      <c r="O552" s="9">
        <v>0.62614840601539767</v>
      </c>
      <c r="P552" s="10" t="s">
        <v>27</v>
      </c>
      <c r="Q552" s="10">
        <f t="shared" si="64"/>
        <v>0</v>
      </c>
      <c r="R552" s="10">
        <f t="shared" si="65"/>
        <v>0</v>
      </c>
      <c r="S552" s="10">
        <f t="shared" si="66"/>
        <v>0</v>
      </c>
      <c r="T552" s="10">
        <f t="shared" si="67"/>
        <v>0</v>
      </c>
      <c r="U552" s="11" t="str">
        <f t="shared" si="68"/>
        <v/>
      </c>
      <c r="V552" s="11" t="str">
        <f t="shared" si="68"/>
        <v/>
      </c>
      <c r="W552" s="11" t="str">
        <f t="shared" si="68"/>
        <v/>
      </c>
      <c r="X552" s="11" t="str">
        <f t="shared" si="68"/>
        <v/>
      </c>
      <c r="Y552" s="11" t="str">
        <f t="shared" si="68"/>
        <v/>
      </c>
      <c r="Z552" s="11" t="str">
        <f t="shared" si="68"/>
        <v/>
      </c>
      <c r="AA552" s="11" t="str">
        <f t="shared" si="68"/>
        <v/>
      </c>
      <c r="AB552" s="11" t="str">
        <f t="shared" si="68"/>
        <v/>
      </c>
      <c r="AC552" s="11" t="str">
        <f t="shared" si="68"/>
        <v/>
      </c>
      <c r="AD552" s="11" t="str">
        <f t="shared" si="68"/>
        <v/>
      </c>
      <c r="AE552" s="12" t="s">
        <v>27</v>
      </c>
    </row>
    <row r="553" spans="1:31" ht="18" customHeight="1" thickTop="1" thickBot="1" x14ac:dyDescent="0.3">
      <c r="A553" s="4" t="s">
        <v>1253</v>
      </c>
      <c r="B553" s="4" t="s">
        <v>950</v>
      </c>
      <c r="C553" s="5" t="s">
        <v>1254</v>
      </c>
      <c r="D553" s="5" t="s">
        <v>26</v>
      </c>
      <c r="E553" s="5" t="s">
        <v>27</v>
      </c>
      <c r="F553" s="5" t="s">
        <v>1281</v>
      </c>
      <c r="G553" s="5" t="s">
        <v>16</v>
      </c>
      <c r="H553" s="6" t="s">
        <v>1303</v>
      </c>
      <c r="I553" s="7" t="s">
        <v>387</v>
      </c>
      <c r="J553" s="8" t="s">
        <v>27</v>
      </c>
      <c r="K553" s="8">
        <v>1</v>
      </c>
      <c r="L553" s="8">
        <v>1.5053558411093844</v>
      </c>
      <c r="M553" s="5"/>
      <c r="N553" s="8">
        <v>1.1459298255591426</v>
      </c>
      <c r="O553" s="9">
        <v>1.1459298255591424</v>
      </c>
      <c r="P553" s="10" t="s">
        <v>27</v>
      </c>
      <c r="Q553" s="10">
        <f t="shared" si="64"/>
        <v>0</v>
      </c>
      <c r="R553" s="10">
        <f t="shared" si="65"/>
        <v>0</v>
      </c>
      <c r="S553" s="10">
        <f t="shared" si="66"/>
        <v>0</v>
      </c>
      <c r="T553" s="10">
        <f t="shared" si="67"/>
        <v>0</v>
      </c>
      <c r="U553" s="11" t="str">
        <f t="shared" si="68"/>
        <v/>
      </c>
      <c r="V553" s="11" t="str">
        <f t="shared" si="68"/>
        <v/>
      </c>
      <c r="W553" s="11" t="str">
        <f t="shared" si="68"/>
        <v/>
      </c>
      <c r="X553" s="11" t="str">
        <f t="shared" si="68"/>
        <v/>
      </c>
      <c r="Y553" s="11" t="str">
        <f t="shared" si="68"/>
        <v/>
      </c>
      <c r="Z553" s="11" t="str">
        <f t="shared" si="68"/>
        <v/>
      </c>
      <c r="AA553" s="11" t="str">
        <f t="shared" si="68"/>
        <v/>
      </c>
      <c r="AB553" s="11" t="str">
        <f t="shared" si="68"/>
        <v/>
      </c>
      <c r="AC553" s="11" t="str">
        <f t="shared" si="68"/>
        <v/>
      </c>
      <c r="AD553" s="11" t="str">
        <f t="shared" si="68"/>
        <v/>
      </c>
      <c r="AE553" s="12" t="s">
        <v>27</v>
      </c>
    </row>
    <row r="554" spans="1:31" ht="18" customHeight="1" thickTop="1" thickBot="1" x14ac:dyDescent="0.3">
      <c r="A554" s="4" t="s">
        <v>188</v>
      </c>
      <c r="B554" s="4" t="s">
        <v>950</v>
      </c>
      <c r="C554" s="5" t="s">
        <v>1255</v>
      </c>
      <c r="D554" s="5" t="s">
        <v>26</v>
      </c>
      <c r="E554" s="5" t="s">
        <v>27</v>
      </c>
      <c r="F554" s="5" t="s">
        <v>1282</v>
      </c>
      <c r="G554" s="5" t="s">
        <v>16</v>
      </c>
      <c r="H554" s="6" t="s">
        <v>1304</v>
      </c>
      <c r="I554" s="7" t="s">
        <v>387</v>
      </c>
      <c r="J554" s="8">
        <v>3.5</v>
      </c>
      <c r="K554" s="8">
        <v>1</v>
      </c>
      <c r="L554" s="8">
        <v>5.8584874016811224</v>
      </c>
      <c r="M554" s="5"/>
      <c r="N554" s="8">
        <v>2.5890775667077852</v>
      </c>
      <c r="O554" s="9">
        <v>2.5890775667077852</v>
      </c>
      <c r="P554" s="10" t="s">
        <v>31</v>
      </c>
      <c r="Q554" s="10">
        <f t="shared" si="64"/>
        <v>0</v>
      </c>
      <c r="R554" s="10">
        <f t="shared" si="65"/>
        <v>0</v>
      </c>
      <c r="S554" s="10">
        <f t="shared" si="66"/>
        <v>1</v>
      </c>
      <c r="T554" s="10">
        <f t="shared" si="67"/>
        <v>0</v>
      </c>
      <c r="U554" s="11" t="str">
        <f t="shared" si="68"/>
        <v/>
      </c>
      <c r="V554" s="11" t="str">
        <f t="shared" si="68"/>
        <v/>
      </c>
      <c r="W554" s="11" t="str">
        <f t="shared" si="68"/>
        <v/>
      </c>
      <c r="X554" s="11" t="str">
        <f t="shared" si="68"/>
        <v/>
      </c>
      <c r="Y554" s="11" t="str">
        <f t="shared" si="68"/>
        <v/>
      </c>
      <c r="Z554" s="11" t="str">
        <f t="shared" si="68"/>
        <v/>
      </c>
      <c r="AA554" s="11" t="str">
        <f t="shared" si="68"/>
        <v/>
      </c>
      <c r="AB554" s="11" t="str">
        <f t="shared" si="68"/>
        <v/>
      </c>
      <c r="AC554" s="11" t="str">
        <f t="shared" si="68"/>
        <v/>
      </c>
      <c r="AD554" s="11">
        <f t="shared" si="68"/>
        <v>1</v>
      </c>
      <c r="AE554" s="12" t="s">
        <v>1329</v>
      </c>
    </row>
    <row r="555" spans="1:31" ht="18" customHeight="1" thickTop="1" thickBot="1" x14ac:dyDescent="0.3">
      <c r="A555" s="4" t="s">
        <v>1247</v>
      </c>
      <c r="B555" s="4" t="s">
        <v>950</v>
      </c>
      <c r="C555" s="5" t="s">
        <v>1256</v>
      </c>
      <c r="D555" s="5" t="s">
        <v>26</v>
      </c>
      <c r="E555" s="5" t="s">
        <v>27</v>
      </c>
      <c r="F555" s="5" t="s">
        <v>1283</v>
      </c>
      <c r="G555" s="5" t="s">
        <v>16</v>
      </c>
      <c r="H555" s="6" t="s">
        <v>1305</v>
      </c>
      <c r="I555" s="7" t="s">
        <v>213</v>
      </c>
      <c r="J555" s="8" t="s">
        <v>27</v>
      </c>
      <c r="K555" s="8">
        <v>1</v>
      </c>
      <c r="L555" s="8">
        <v>1.3157443157443158</v>
      </c>
      <c r="M555" s="5"/>
      <c r="N555" s="8">
        <v>1</v>
      </c>
      <c r="O555" s="9">
        <v>0.56564888650840994</v>
      </c>
      <c r="P555" s="10" t="s">
        <v>27</v>
      </c>
      <c r="Q555" s="10">
        <f t="shared" si="64"/>
        <v>0</v>
      </c>
      <c r="R555" s="10">
        <f t="shared" si="65"/>
        <v>0</v>
      </c>
      <c r="S555" s="10">
        <f t="shared" si="66"/>
        <v>0</v>
      </c>
      <c r="T555" s="10">
        <f t="shared" si="67"/>
        <v>0</v>
      </c>
      <c r="U555" s="11" t="str">
        <f t="shared" si="68"/>
        <v/>
      </c>
      <c r="V555" s="11" t="str">
        <f t="shared" si="68"/>
        <v/>
      </c>
      <c r="W555" s="11" t="str">
        <f t="shared" si="68"/>
        <v/>
      </c>
      <c r="X555" s="11" t="str">
        <f t="shared" si="68"/>
        <v/>
      </c>
      <c r="Y555" s="11" t="str">
        <f t="shared" si="68"/>
        <v/>
      </c>
      <c r="Z555" s="11" t="str">
        <f t="shared" si="68"/>
        <v/>
      </c>
      <c r="AA555" s="11" t="str">
        <f t="shared" si="68"/>
        <v/>
      </c>
      <c r="AB555" s="11" t="str">
        <f t="shared" si="68"/>
        <v/>
      </c>
      <c r="AC555" s="11" t="str">
        <f t="shared" si="68"/>
        <v/>
      </c>
      <c r="AD555" s="11" t="str">
        <f t="shared" si="68"/>
        <v/>
      </c>
      <c r="AE555" s="12" t="s">
        <v>27</v>
      </c>
    </row>
    <row r="556" spans="1:31" ht="18" customHeight="1" thickTop="1" thickBot="1" x14ac:dyDescent="0.3">
      <c r="A556" s="4" t="s">
        <v>1247</v>
      </c>
      <c r="B556" s="4" t="s">
        <v>950</v>
      </c>
      <c r="C556" s="5" t="s">
        <v>1256</v>
      </c>
      <c r="D556" s="5" t="s">
        <v>42</v>
      </c>
      <c r="E556" s="5" t="s">
        <v>27</v>
      </c>
      <c r="F556" s="5" t="s">
        <v>1284</v>
      </c>
      <c r="G556" s="5" t="s">
        <v>16</v>
      </c>
      <c r="H556" s="6" t="s">
        <v>1305</v>
      </c>
      <c r="I556" s="7" t="s">
        <v>131</v>
      </c>
      <c r="J556" s="8" t="s">
        <v>27</v>
      </c>
      <c r="K556" s="8">
        <v>1</v>
      </c>
      <c r="L556" s="8">
        <v>2.8122489959839356</v>
      </c>
      <c r="M556" s="5"/>
      <c r="N556" s="8">
        <v>1.209008083202566</v>
      </c>
      <c r="O556" s="9">
        <v>1.209008083202566</v>
      </c>
      <c r="P556" s="10" t="s">
        <v>27</v>
      </c>
      <c r="Q556" s="10">
        <f t="shared" si="64"/>
        <v>0</v>
      </c>
      <c r="R556" s="10">
        <f t="shared" si="65"/>
        <v>0</v>
      </c>
      <c r="S556" s="10">
        <f t="shared" si="66"/>
        <v>0</v>
      </c>
      <c r="T556" s="10">
        <f t="shared" si="67"/>
        <v>0</v>
      </c>
      <c r="U556" s="11" t="str">
        <f t="shared" si="68"/>
        <v/>
      </c>
      <c r="V556" s="11" t="str">
        <f t="shared" si="68"/>
        <v/>
      </c>
      <c r="W556" s="11" t="str">
        <f t="shared" si="68"/>
        <v/>
      </c>
      <c r="X556" s="11" t="str">
        <f t="shared" si="68"/>
        <v/>
      </c>
      <c r="Y556" s="11" t="str">
        <f t="shared" si="68"/>
        <v/>
      </c>
      <c r="Z556" s="11" t="str">
        <f t="shared" si="68"/>
        <v/>
      </c>
      <c r="AA556" s="11" t="str">
        <f t="shared" si="68"/>
        <v/>
      </c>
      <c r="AB556" s="11" t="str">
        <f t="shared" si="68"/>
        <v/>
      </c>
      <c r="AC556" s="11" t="str">
        <f t="shared" si="68"/>
        <v/>
      </c>
      <c r="AD556" s="11" t="str">
        <f t="shared" si="68"/>
        <v/>
      </c>
      <c r="AE556" s="12" t="s">
        <v>27</v>
      </c>
    </row>
    <row r="557" spans="1:31" ht="18" customHeight="1" thickTop="1" thickBot="1" x14ac:dyDescent="0.3">
      <c r="A557" s="4" t="s">
        <v>1258</v>
      </c>
      <c r="B557" s="4" t="s">
        <v>950</v>
      </c>
      <c r="C557" s="5" t="s">
        <v>1259</v>
      </c>
      <c r="D557" s="5" t="s">
        <v>26</v>
      </c>
      <c r="E557" s="5" t="s">
        <v>27</v>
      </c>
      <c r="F557" s="5" t="s">
        <v>1285</v>
      </c>
      <c r="G557" s="5" t="s">
        <v>16</v>
      </c>
      <c r="H557" s="6" t="s">
        <v>1306</v>
      </c>
      <c r="I557" s="7" t="s">
        <v>387</v>
      </c>
      <c r="J557" s="8" t="s">
        <v>27</v>
      </c>
      <c r="K557" s="8">
        <v>1.0483870967741935</v>
      </c>
      <c r="L557" s="8">
        <v>1.8660098522167488</v>
      </c>
      <c r="M557" s="5"/>
      <c r="N557" s="8">
        <v>9.313116322315898E-2</v>
      </c>
      <c r="O557" s="9">
        <v>8.8832801843628573E-2</v>
      </c>
      <c r="P557" s="10" t="s">
        <v>31</v>
      </c>
      <c r="Q557" s="10">
        <f t="shared" si="64"/>
        <v>0</v>
      </c>
      <c r="R557" s="10">
        <f t="shared" si="65"/>
        <v>0</v>
      </c>
      <c r="S557" s="10">
        <f t="shared" si="66"/>
        <v>0</v>
      </c>
      <c r="T557" s="10">
        <f t="shared" si="67"/>
        <v>1</v>
      </c>
      <c r="U557" s="11">
        <f t="shared" si="68"/>
        <v>1</v>
      </c>
      <c r="V557" s="11" t="str">
        <f t="shared" si="68"/>
        <v/>
      </c>
      <c r="W557" s="11" t="str">
        <f t="shared" si="68"/>
        <v/>
      </c>
      <c r="X557" s="11" t="str">
        <f t="shared" si="68"/>
        <v/>
      </c>
      <c r="Y557" s="11" t="str">
        <f t="shared" si="68"/>
        <v/>
      </c>
      <c r="Z557" s="11" t="str">
        <f t="shared" si="68"/>
        <v/>
      </c>
      <c r="AA557" s="11" t="str">
        <f t="shared" si="68"/>
        <v/>
      </c>
      <c r="AB557" s="11" t="str">
        <f t="shared" si="68"/>
        <v/>
      </c>
      <c r="AC557" s="11" t="str">
        <f t="shared" si="68"/>
        <v/>
      </c>
      <c r="AD557" s="11" t="str">
        <f t="shared" si="68"/>
        <v/>
      </c>
      <c r="AE557" s="12" t="s">
        <v>1334</v>
      </c>
    </row>
    <row r="558" spans="1:31" ht="18" customHeight="1" thickTop="1" thickBot="1" x14ac:dyDescent="0.3">
      <c r="A558" s="4" t="s">
        <v>651</v>
      </c>
      <c r="B558" s="4" t="s">
        <v>950</v>
      </c>
      <c r="C558" s="5" t="s">
        <v>1261</v>
      </c>
      <c r="D558" s="5" t="s">
        <v>26</v>
      </c>
      <c r="E558" s="5" t="s">
        <v>27</v>
      </c>
      <c r="F558" s="5" t="s">
        <v>1286</v>
      </c>
      <c r="G558" s="5" t="s">
        <v>16</v>
      </c>
      <c r="H558" s="6" t="s">
        <v>232</v>
      </c>
      <c r="I558" s="7" t="s">
        <v>38</v>
      </c>
      <c r="J558" s="8" t="s">
        <v>27</v>
      </c>
      <c r="K558" s="8">
        <v>0.94256410256410261</v>
      </c>
      <c r="L558" s="8">
        <v>0.92980259223227979</v>
      </c>
      <c r="M558" s="5"/>
      <c r="N558" s="8">
        <v>1.040978496639827</v>
      </c>
      <c r="O558" s="9">
        <v>1.1044113538888263</v>
      </c>
      <c r="P558" s="10" t="s">
        <v>27</v>
      </c>
      <c r="Q558" s="10">
        <f t="shared" si="64"/>
        <v>0</v>
      </c>
      <c r="R558" s="10">
        <f t="shared" si="65"/>
        <v>0</v>
      </c>
      <c r="S558" s="10">
        <f t="shared" si="66"/>
        <v>0</v>
      </c>
      <c r="T558" s="10">
        <f t="shared" si="67"/>
        <v>0</v>
      </c>
      <c r="U558" s="11" t="str">
        <f t="shared" si="68"/>
        <v/>
      </c>
      <c r="V558" s="11" t="str">
        <f t="shared" si="68"/>
        <v/>
      </c>
      <c r="W558" s="11" t="str">
        <f t="shared" si="68"/>
        <v/>
      </c>
      <c r="X558" s="11" t="str">
        <f t="shared" si="68"/>
        <v/>
      </c>
      <c r="Y558" s="11" t="str">
        <f t="shared" si="68"/>
        <v/>
      </c>
      <c r="Z558" s="11" t="str">
        <f t="shared" si="68"/>
        <v/>
      </c>
      <c r="AA558" s="11" t="str">
        <f t="shared" si="68"/>
        <v/>
      </c>
      <c r="AB558" s="11" t="str">
        <f t="shared" si="68"/>
        <v/>
      </c>
      <c r="AC558" s="11" t="str">
        <f t="shared" si="68"/>
        <v/>
      </c>
      <c r="AD558" s="11" t="str">
        <f t="shared" si="68"/>
        <v/>
      </c>
      <c r="AE558" s="12" t="s">
        <v>27</v>
      </c>
    </row>
    <row r="559" spans="1:31" ht="18" customHeight="1" thickTop="1" thickBot="1" x14ac:dyDescent="0.3">
      <c r="A559" s="4" t="s">
        <v>81</v>
      </c>
      <c r="B559" s="4" t="s">
        <v>945</v>
      </c>
      <c r="C559" s="5" t="s">
        <v>1262</v>
      </c>
      <c r="D559" s="5" t="s">
        <v>26</v>
      </c>
      <c r="E559" s="5" t="s">
        <v>36</v>
      </c>
      <c r="F559" s="5" t="s">
        <v>1287</v>
      </c>
      <c r="G559" s="5" t="s">
        <v>16</v>
      </c>
      <c r="H559" s="6" t="s">
        <v>914</v>
      </c>
      <c r="I559" s="7" t="s">
        <v>111</v>
      </c>
      <c r="J559" s="8" t="s">
        <v>27</v>
      </c>
      <c r="K559" s="8">
        <v>1</v>
      </c>
      <c r="L559" s="8">
        <v>1.2183760957194958</v>
      </c>
      <c r="M559" s="5"/>
      <c r="N559" s="8">
        <v>1.2422298445814739</v>
      </c>
      <c r="O559" s="9">
        <v>1.2422298445814739</v>
      </c>
      <c r="P559" s="10" t="s">
        <v>27</v>
      </c>
      <c r="Q559" s="10">
        <f t="shared" si="64"/>
        <v>0</v>
      </c>
      <c r="R559" s="10">
        <f t="shared" si="65"/>
        <v>0</v>
      </c>
      <c r="S559" s="10">
        <f t="shared" si="66"/>
        <v>0</v>
      </c>
      <c r="T559" s="10">
        <f t="shared" si="67"/>
        <v>0</v>
      </c>
      <c r="U559" s="11" t="str">
        <f t="shared" si="68"/>
        <v/>
      </c>
      <c r="V559" s="11" t="str">
        <f t="shared" si="68"/>
        <v/>
      </c>
      <c r="W559" s="11" t="str">
        <f t="shared" si="68"/>
        <v/>
      </c>
      <c r="X559" s="11" t="str">
        <f t="shared" si="68"/>
        <v/>
      </c>
      <c r="Y559" s="11" t="str">
        <f t="shared" si="68"/>
        <v/>
      </c>
      <c r="Z559" s="11" t="str">
        <f t="shared" si="68"/>
        <v/>
      </c>
      <c r="AA559" s="11" t="str">
        <f t="shared" si="68"/>
        <v/>
      </c>
      <c r="AB559" s="11" t="str">
        <f t="shared" si="68"/>
        <v/>
      </c>
      <c r="AC559" s="11" t="str">
        <f t="shared" si="68"/>
        <v/>
      </c>
      <c r="AD559" s="11" t="str">
        <f t="shared" si="68"/>
        <v/>
      </c>
      <c r="AE559" s="12" t="s">
        <v>27</v>
      </c>
    </row>
    <row r="560" spans="1:31" ht="18" customHeight="1" thickTop="1" thickBot="1" x14ac:dyDescent="0.3">
      <c r="A560" s="4" t="s">
        <v>81</v>
      </c>
      <c r="B560" s="4" t="s">
        <v>945</v>
      </c>
      <c r="C560" s="5" t="s">
        <v>1262</v>
      </c>
      <c r="D560" s="5" t="s">
        <v>26</v>
      </c>
      <c r="E560" s="5" t="s">
        <v>40</v>
      </c>
      <c r="F560" s="5" t="s">
        <v>1288</v>
      </c>
      <c r="G560" s="5" t="s">
        <v>16</v>
      </c>
      <c r="H560" s="6" t="s">
        <v>914</v>
      </c>
      <c r="I560" s="7" t="s">
        <v>387</v>
      </c>
      <c r="J560" s="8" t="s">
        <v>27</v>
      </c>
      <c r="K560" s="8">
        <v>1</v>
      </c>
      <c r="L560" s="8">
        <v>1.1482381530984205</v>
      </c>
      <c r="M560" s="5"/>
      <c r="N560" s="8">
        <v>1.1707187193488413</v>
      </c>
      <c r="O560" s="9">
        <v>1.1707187193488413</v>
      </c>
      <c r="P560" s="10" t="s">
        <v>27</v>
      </c>
      <c r="Q560" s="10">
        <f t="shared" si="64"/>
        <v>0</v>
      </c>
      <c r="R560" s="10">
        <f t="shared" si="65"/>
        <v>0</v>
      </c>
      <c r="S560" s="10">
        <f t="shared" si="66"/>
        <v>0</v>
      </c>
      <c r="T560" s="10">
        <f t="shared" si="67"/>
        <v>0</v>
      </c>
      <c r="U560" s="11" t="str">
        <f t="shared" si="68"/>
        <v/>
      </c>
      <c r="V560" s="11" t="str">
        <f t="shared" si="68"/>
        <v/>
      </c>
      <c r="W560" s="11" t="str">
        <f t="shared" si="68"/>
        <v/>
      </c>
      <c r="X560" s="11" t="str">
        <f t="shared" si="68"/>
        <v/>
      </c>
      <c r="Y560" s="11" t="str">
        <f t="shared" si="68"/>
        <v/>
      </c>
      <c r="Z560" s="11" t="str">
        <f t="shared" si="68"/>
        <v/>
      </c>
      <c r="AA560" s="11" t="str">
        <f t="shared" si="68"/>
        <v/>
      </c>
      <c r="AB560" s="11" t="str">
        <f t="shared" si="68"/>
        <v/>
      </c>
      <c r="AC560" s="11" t="str">
        <f t="shared" si="68"/>
        <v/>
      </c>
      <c r="AD560" s="11" t="str">
        <f t="shared" si="68"/>
        <v/>
      </c>
      <c r="AE560" s="12" t="s">
        <v>27</v>
      </c>
    </row>
    <row r="561" spans="1:31" ht="18" customHeight="1" thickTop="1" thickBot="1" x14ac:dyDescent="0.3">
      <c r="A561" s="4" t="s">
        <v>81</v>
      </c>
      <c r="B561" s="4" t="s">
        <v>945</v>
      </c>
      <c r="C561" s="5" t="s">
        <v>1262</v>
      </c>
      <c r="D561" s="5" t="s">
        <v>26</v>
      </c>
      <c r="E561" s="5" t="s">
        <v>69</v>
      </c>
      <c r="F561" s="5" t="s">
        <v>1289</v>
      </c>
      <c r="G561" s="5" t="s">
        <v>16</v>
      </c>
      <c r="H561" s="6" t="s">
        <v>914</v>
      </c>
      <c r="I561" s="7" t="s">
        <v>213</v>
      </c>
      <c r="J561" s="8" t="s">
        <v>27</v>
      </c>
      <c r="K561" s="8">
        <v>1</v>
      </c>
      <c r="L561" s="8">
        <v>1.2559878342415411</v>
      </c>
      <c r="M561" s="5"/>
      <c r="N561" s="8">
        <v>1.280577957502294</v>
      </c>
      <c r="O561" s="9">
        <v>1.280577957502294</v>
      </c>
      <c r="P561" s="10" t="s">
        <v>27</v>
      </c>
      <c r="Q561" s="10">
        <f t="shared" si="64"/>
        <v>0</v>
      </c>
      <c r="R561" s="10">
        <f t="shared" si="65"/>
        <v>0</v>
      </c>
      <c r="S561" s="10">
        <f t="shared" si="66"/>
        <v>0</v>
      </c>
      <c r="T561" s="10">
        <f t="shared" si="67"/>
        <v>0</v>
      </c>
      <c r="U561" s="11" t="str">
        <f t="shared" si="68"/>
        <v/>
      </c>
      <c r="V561" s="11" t="str">
        <f t="shared" si="68"/>
        <v/>
      </c>
      <c r="W561" s="11" t="str">
        <f t="shared" si="68"/>
        <v/>
      </c>
      <c r="X561" s="11" t="str">
        <f t="shared" si="68"/>
        <v/>
      </c>
      <c r="Y561" s="11" t="str">
        <f t="shared" si="68"/>
        <v/>
      </c>
      <c r="Z561" s="11" t="str">
        <f t="shared" si="68"/>
        <v/>
      </c>
      <c r="AA561" s="11" t="str">
        <f t="shared" si="68"/>
        <v/>
      </c>
      <c r="AB561" s="11" t="str">
        <f t="shared" si="68"/>
        <v/>
      </c>
      <c r="AC561" s="11" t="str">
        <f t="shared" si="68"/>
        <v/>
      </c>
      <c r="AD561" s="11" t="str">
        <f t="shared" si="68"/>
        <v/>
      </c>
      <c r="AE561" s="12" t="s">
        <v>27</v>
      </c>
    </row>
    <row r="562" spans="1:31" ht="18" customHeight="1" thickTop="1" thickBot="1" x14ac:dyDescent="0.3">
      <c r="A562" s="4" t="s">
        <v>1263</v>
      </c>
      <c r="B562" s="4" t="s">
        <v>947</v>
      </c>
      <c r="C562" s="5" t="s">
        <v>1265</v>
      </c>
      <c r="D562" s="5" t="s">
        <v>26</v>
      </c>
      <c r="E562" s="5" t="s">
        <v>27</v>
      </c>
      <c r="F562" s="5" t="s">
        <v>1290</v>
      </c>
      <c r="G562" s="5" t="s">
        <v>16</v>
      </c>
      <c r="H562" s="6" t="s">
        <v>108</v>
      </c>
      <c r="I562" s="7" t="s">
        <v>78</v>
      </c>
      <c r="J562" s="8" t="s">
        <v>27</v>
      </c>
      <c r="K562" s="8">
        <v>0.90204081632653066</v>
      </c>
      <c r="L562" s="8">
        <v>1.5145340939961967</v>
      </c>
      <c r="M562" s="5"/>
      <c r="N562" s="8">
        <v>1.7565135110540957</v>
      </c>
      <c r="O562" s="9">
        <v>1.947266109539608</v>
      </c>
      <c r="P562" s="10" t="s">
        <v>31</v>
      </c>
      <c r="Q562" s="10">
        <f t="shared" si="64"/>
        <v>0</v>
      </c>
      <c r="R562" s="10">
        <f t="shared" si="65"/>
        <v>0</v>
      </c>
      <c r="S562" s="10">
        <f t="shared" si="66"/>
        <v>1</v>
      </c>
      <c r="T562" s="10">
        <f t="shared" si="67"/>
        <v>0</v>
      </c>
      <c r="U562" s="11">
        <f t="shared" si="68"/>
        <v>1</v>
      </c>
      <c r="V562" s="11" t="str">
        <f t="shared" si="68"/>
        <v/>
      </c>
      <c r="W562" s="11" t="str">
        <f t="shared" si="68"/>
        <v/>
      </c>
      <c r="X562" s="11" t="str">
        <f t="shared" si="68"/>
        <v/>
      </c>
      <c r="Y562" s="11" t="str">
        <f t="shared" si="68"/>
        <v/>
      </c>
      <c r="Z562" s="11" t="str">
        <f t="shared" si="68"/>
        <v/>
      </c>
      <c r="AA562" s="11" t="str">
        <f t="shared" si="68"/>
        <v/>
      </c>
      <c r="AB562" s="11" t="str">
        <f t="shared" si="68"/>
        <v/>
      </c>
      <c r="AC562" s="11" t="str">
        <f t="shared" si="68"/>
        <v/>
      </c>
      <c r="AD562" s="11" t="str">
        <f t="shared" si="68"/>
        <v/>
      </c>
      <c r="AE562" s="12" t="s">
        <v>1337</v>
      </c>
    </row>
    <row r="563" spans="1:31" ht="18" customHeight="1" thickTop="1" thickBot="1" x14ac:dyDescent="0.3">
      <c r="A563" s="4" t="s">
        <v>629</v>
      </c>
      <c r="B563" s="4" t="s">
        <v>945</v>
      </c>
      <c r="C563" s="5" t="s">
        <v>1267</v>
      </c>
      <c r="D563" s="5" t="s">
        <v>26</v>
      </c>
      <c r="E563" s="5" t="s">
        <v>27</v>
      </c>
      <c r="F563" s="5" t="s">
        <v>1291</v>
      </c>
      <c r="G563" s="5" t="s">
        <v>16</v>
      </c>
      <c r="H563" s="6" t="s">
        <v>353</v>
      </c>
      <c r="I563" s="7" t="s">
        <v>1308</v>
      </c>
      <c r="J563" s="8"/>
      <c r="K563" s="8">
        <v>1</v>
      </c>
      <c r="L563" s="8">
        <v>1.510933557611438</v>
      </c>
      <c r="M563" s="5"/>
      <c r="N563" s="8">
        <v>1.570977963634659</v>
      </c>
      <c r="O563" s="9">
        <v>1.5709779636346592</v>
      </c>
      <c r="P563" s="10" t="s">
        <v>31</v>
      </c>
      <c r="Q563" s="10">
        <f t="shared" si="64"/>
        <v>0</v>
      </c>
      <c r="R563" s="10">
        <f t="shared" si="65"/>
        <v>0</v>
      </c>
      <c r="S563" s="10">
        <f t="shared" si="66"/>
        <v>1</v>
      </c>
      <c r="T563" s="10">
        <f t="shared" si="67"/>
        <v>0</v>
      </c>
      <c r="U563" s="11">
        <f t="shared" si="68"/>
        <v>1</v>
      </c>
      <c r="V563" s="11" t="str">
        <f t="shared" si="68"/>
        <v/>
      </c>
      <c r="W563" s="11" t="str">
        <f t="shared" si="68"/>
        <v/>
      </c>
      <c r="X563" s="11" t="str">
        <f t="shared" si="68"/>
        <v/>
      </c>
      <c r="Y563" s="11" t="str">
        <f t="shared" si="68"/>
        <v/>
      </c>
      <c r="Z563" s="11" t="str">
        <f t="shared" si="68"/>
        <v/>
      </c>
      <c r="AA563" s="11" t="str">
        <f t="shared" si="68"/>
        <v/>
      </c>
      <c r="AB563" s="11" t="str">
        <f t="shared" si="68"/>
        <v/>
      </c>
      <c r="AC563" s="11" t="str">
        <f t="shared" si="68"/>
        <v/>
      </c>
      <c r="AD563" s="11" t="str">
        <f t="shared" si="68"/>
        <v/>
      </c>
      <c r="AE563" s="12" t="s">
        <v>1337</v>
      </c>
    </row>
    <row r="564" spans="1:31" ht="18" customHeight="1" thickTop="1" thickBot="1" x14ac:dyDescent="0.3">
      <c r="A564" s="4" t="s">
        <v>1263</v>
      </c>
      <c r="B564" s="4" t="s">
        <v>947</v>
      </c>
      <c r="C564" s="5" t="s">
        <v>1268</v>
      </c>
      <c r="D564" s="5" t="s">
        <v>26</v>
      </c>
      <c r="E564" s="5" t="s">
        <v>27</v>
      </c>
      <c r="F564" s="5" t="s">
        <v>1292</v>
      </c>
      <c r="G564" s="5" t="s">
        <v>16</v>
      </c>
      <c r="H564" s="6" t="s">
        <v>914</v>
      </c>
      <c r="I564" s="7" t="s">
        <v>68</v>
      </c>
      <c r="J564" s="8"/>
      <c r="K564" s="8">
        <v>1</v>
      </c>
      <c r="L564" s="8">
        <v>0.60246868091378036</v>
      </c>
      <c r="M564" s="5"/>
      <c r="N564" s="8">
        <v>0.60246868091378036</v>
      </c>
      <c r="O564" s="9">
        <v>0.60246868091378036</v>
      </c>
      <c r="P564" s="10" t="s">
        <v>27</v>
      </c>
      <c r="Q564" s="10">
        <f t="shared" si="64"/>
        <v>0</v>
      </c>
      <c r="R564" s="10">
        <f t="shared" si="65"/>
        <v>0</v>
      </c>
      <c r="S564" s="10">
        <f t="shared" si="66"/>
        <v>0</v>
      </c>
      <c r="T564" s="10">
        <f t="shared" si="67"/>
        <v>0</v>
      </c>
      <c r="U564" s="11" t="str">
        <f t="shared" si="68"/>
        <v/>
      </c>
      <c r="V564" s="11" t="str">
        <f t="shared" si="68"/>
        <v/>
      </c>
      <c r="W564" s="11" t="str">
        <f t="shared" si="68"/>
        <v/>
      </c>
      <c r="X564" s="11" t="str">
        <f t="shared" si="68"/>
        <v/>
      </c>
      <c r="Y564" s="11" t="str">
        <f t="shared" si="68"/>
        <v/>
      </c>
      <c r="Z564" s="11" t="str">
        <f t="shared" si="68"/>
        <v/>
      </c>
      <c r="AA564" s="11" t="str">
        <f t="shared" si="68"/>
        <v/>
      </c>
      <c r="AB564" s="11" t="str">
        <f t="shared" si="68"/>
        <v/>
      </c>
      <c r="AC564" s="11" t="str">
        <f t="shared" si="68"/>
        <v/>
      </c>
      <c r="AD564" s="11" t="str">
        <f t="shared" si="68"/>
        <v/>
      </c>
      <c r="AE564" s="12"/>
    </row>
    <row r="565" spans="1:31" ht="15.75" thickTop="1" x14ac:dyDescent="0.25"/>
  </sheetData>
  <autoFilter ref="A3:AE564" xr:uid="{00000000-0009-0000-0000-000001000000}"/>
  <customSheetViews>
    <customSheetView guid="{78188308-F572-48A6-9ED7-74E1A1D5F9AE}" showAutoFilter="1">
      <pane xSplit="2" ySplit="1" topLeftCell="C530" activePane="bottomRight" state="frozen"/>
      <selection pane="bottomRight" activeCell="A25" sqref="A22:H25"/>
      <pageMargins left="0.7" right="0.7" top="0.75" bottom="0.75" header="0.3" footer="0.3"/>
      <autoFilter ref="A1:Z538" xr:uid="{00000000-0000-0000-0000-000000000000}"/>
    </customSheetView>
    <customSheetView guid="{EBEF4F14-0814-42BF-9FD9-01AC38B537C6}" showAutoFilter="1">
      <pane xSplit="2" ySplit="1" topLeftCell="C530" activePane="bottomRight" state="frozen"/>
      <selection pane="bottomRight" activeCell="A25" sqref="A22:H25"/>
      <pageMargins left="0.7" right="0.7" top="0.75" bottom="0.75" header="0.3" footer="0.3"/>
      <autoFilter ref="A1:Z538" xr:uid="{00000000-0000-0000-0000-000000000000}"/>
    </customSheetView>
  </customSheetViews>
  <conditionalFormatting sqref="K4">
    <cfRule type="cellIs" dxfId="333" priority="23" operator="lessThanOrEqual">
      <formula>0.5</formula>
    </cfRule>
    <cfRule type="cellIs" dxfId="332" priority="24" operator="greaterThanOrEqual">
      <formula>1.5</formula>
    </cfRule>
  </conditionalFormatting>
  <conditionalFormatting sqref="O4">
    <cfRule type="cellIs" dxfId="331" priority="21" operator="lessThanOrEqual">
      <formula>0.5</formula>
    </cfRule>
    <cfRule type="cellIs" dxfId="330" priority="22" operator="greaterThanOrEqual">
      <formula>1.5</formula>
    </cfRule>
  </conditionalFormatting>
  <conditionalFormatting sqref="K5:K540">
    <cfRule type="cellIs" dxfId="329" priority="7" operator="lessThanOrEqual">
      <formula>0.5</formula>
    </cfRule>
    <cfRule type="cellIs" dxfId="328" priority="8" operator="greaterThanOrEqual">
      <formula>1.5</formula>
    </cfRule>
  </conditionalFormatting>
  <conditionalFormatting sqref="O5:O540">
    <cfRule type="cellIs" dxfId="327" priority="5" operator="lessThanOrEqual">
      <formula>0.5</formula>
    </cfRule>
    <cfRule type="cellIs" dxfId="326" priority="6" operator="greaterThanOrEqual">
      <formula>1.5</formula>
    </cfRule>
  </conditionalFormatting>
  <conditionalFormatting sqref="K541:K564">
    <cfRule type="cellIs" dxfId="325" priority="3" operator="lessThanOrEqual">
      <formula>0.5</formula>
    </cfRule>
    <cfRule type="cellIs" dxfId="324" priority="4" operator="greaterThanOrEqual">
      <formula>1.5</formula>
    </cfRule>
  </conditionalFormatting>
  <conditionalFormatting sqref="O541:O564">
    <cfRule type="cellIs" dxfId="323" priority="1" operator="lessThanOrEqual">
      <formula>0.5</formula>
    </cfRule>
    <cfRule type="cellIs" dxfId="322" priority="2" operator="greaterThanOrEqual">
      <formula>1.5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P29"/>
  <sheetViews>
    <sheetView zoomScale="85" zoomScaleNormal="85" workbookViewId="0">
      <selection sqref="A1:P1"/>
    </sheetView>
  </sheetViews>
  <sheetFormatPr defaultColWidth="9.140625" defaultRowHeight="15" x14ac:dyDescent="0.25"/>
  <cols>
    <col min="1" max="1" width="28.140625" style="41" bestFit="1" customWidth="1"/>
    <col min="2" max="2" width="16.42578125" style="41" bestFit="1" customWidth="1"/>
    <col min="3" max="3" width="13.7109375" style="41" bestFit="1" customWidth="1"/>
    <col min="4" max="16384" width="9.140625" style="41"/>
  </cols>
  <sheetData>
    <row r="1" spans="1:16" ht="78" customHeight="1" x14ac:dyDescent="0.3">
      <c r="A1" s="107" t="s">
        <v>1344</v>
      </c>
      <c r="B1" s="107"/>
      <c r="C1" s="107"/>
      <c r="D1" s="107"/>
      <c r="E1" s="107"/>
      <c r="F1" s="107"/>
      <c r="G1" s="107"/>
      <c r="H1" s="107"/>
      <c r="I1" s="107"/>
      <c r="J1" s="107"/>
      <c r="K1" s="107"/>
      <c r="L1" s="107"/>
      <c r="M1" s="107"/>
      <c r="N1" s="107"/>
      <c r="O1" s="107"/>
      <c r="P1" s="107"/>
    </row>
    <row r="3" spans="1:16" x14ac:dyDescent="0.25">
      <c r="A3" s="45" t="s">
        <v>952</v>
      </c>
      <c r="B3" s="45" t="s">
        <v>1233</v>
      </c>
      <c r="C3" s="45" t="s">
        <v>1234</v>
      </c>
      <c r="E3" s="49" t="s">
        <v>1200</v>
      </c>
    </row>
    <row r="4" spans="1:16" x14ac:dyDescent="0.25">
      <c r="A4" s="42" t="s">
        <v>945</v>
      </c>
      <c r="B4" s="50">
        <v>1.0851379052514489</v>
      </c>
      <c r="C4" s="50">
        <v>1.3825569078431197</v>
      </c>
    </row>
    <row r="5" spans="1:16" x14ac:dyDescent="0.25">
      <c r="A5" s="42" t="s">
        <v>947</v>
      </c>
      <c r="B5" s="50">
        <v>1.0144077471026061</v>
      </c>
      <c r="C5" s="50">
        <v>1.1646686127444625</v>
      </c>
    </row>
    <row r="6" spans="1:16" x14ac:dyDescent="0.25">
      <c r="A6" s="42" t="s">
        <v>946</v>
      </c>
      <c r="B6" s="50">
        <v>0.9742041999344434</v>
      </c>
      <c r="C6" s="50">
        <v>1.8138603379553546</v>
      </c>
    </row>
    <row r="7" spans="1:16" x14ac:dyDescent="0.25">
      <c r="A7" s="42" t="s">
        <v>949</v>
      </c>
      <c r="B7" s="50">
        <v>0.99002333578989843</v>
      </c>
      <c r="C7" s="50">
        <v>1.3167461966594394</v>
      </c>
    </row>
    <row r="8" spans="1:16" x14ac:dyDescent="0.25">
      <c r="A8" s="42" t="s">
        <v>948</v>
      </c>
      <c r="B8" s="50">
        <v>1.02719397861654</v>
      </c>
      <c r="C8" s="50">
        <v>1.4067980059894742</v>
      </c>
    </row>
    <row r="9" spans="1:16" x14ac:dyDescent="0.25">
      <c r="A9" s="42" t="s">
        <v>950</v>
      </c>
      <c r="B9" s="50">
        <v>0.95037689646746593</v>
      </c>
      <c r="C9" s="50">
        <v>1.8286868355366339</v>
      </c>
    </row>
    <row r="10" spans="1:16" x14ac:dyDescent="0.25">
      <c r="A10" s="42" t="s">
        <v>953</v>
      </c>
      <c r="B10" s="50">
        <v>1.0176642258015394</v>
      </c>
      <c r="C10" s="50">
        <v>1.5047892691881641</v>
      </c>
    </row>
    <row r="11" spans="1:16" x14ac:dyDescent="0.25">
      <c r="A11"/>
      <c r="B11"/>
      <c r="C11"/>
    </row>
    <row r="16" spans="1:16" x14ac:dyDescent="0.25">
      <c r="A16" s="52" t="s">
        <v>952</v>
      </c>
      <c r="B16" s="52" t="s">
        <v>1234</v>
      </c>
      <c r="C16" s="52" t="s">
        <v>1235</v>
      </c>
    </row>
    <row r="17" spans="1:4" x14ac:dyDescent="0.25">
      <c r="A17" s="42" t="s">
        <v>950</v>
      </c>
      <c r="B17" s="43">
        <f>GETPIVOTDATA("Ratio unit cost",$A$3,"Region","Sub-Saharan Africa")-1</f>
        <v>0.82868683553663391</v>
      </c>
      <c r="C17" s="43">
        <v>-5.8736981018476575E-2</v>
      </c>
      <c r="D17" s="50"/>
    </row>
    <row r="18" spans="1:4" x14ac:dyDescent="0.25">
      <c r="A18" s="42" t="s">
        <v>946</v>
      </c>
      <c r="B18" s="43">
        <f>GETPIVOTDATA("Ratio unit cost",$A$3,"Region","Latin America and Caribbean")-1</f>
        <v>0.81386033795535462</v>
      </c>
      <c r="C18" s="43">
        <v>-2.5795800065556596E-2</v>
      </c>
      <c r="D18" s="50"/>
    </row>
    <row r="19" spans="1:4" x14ac:dyDescent="0.25">
      <c r="A19" s="42" t="s">
        <v>948</v>
      </c>
      <c r="B19" s="43">
        <f>GETPIVOTDATA("Ratio unit cost",$A$3,"Region","South Asia")-1</f>
        <v>0.40679800598947424</v>
      </c>
      <c r="C19" s="43">
        <v>2.7193978616540049E-2</v>
      </c>
      <c r="D19" s="50"/>
    </row>
    <row r="20" spans="1:4" x14ac:dyDescent="0.25">
      <c r="A20" s="42" t="s">
        <v>945</v>
      </c>
      <c r="B20" s="43">
        <f>GETPIVOTDATA("Ratio unit cost",$A$3,"Region","East Asia and Pacific")-1</f>
        <v>0.38255690784311969</v>
      </c>
      <c r="C20" s="43">
        <v>8.7189421040640314E-2</v>
      </c>
      <c r="D20" s="50"/>
    </row>
    <row r="21" spans="1:4" x14ac:dyDescent="0.25">
      <c r="A21" s="42" t="s">
        <v>949</v>
      </c>
      <c r="B21" s="43">
        <f>GETPIVOTDATA("Ratio unit cost",$A$3,"Region","Middle East and North Africa")-1</f>
        <v>0.31674619665943937</v>
      </c>
      <c r="C21" s="43">
        <v>-2.0240992113295886E-2</v>
      </c>
      <c r="D21" s="50"/>
    </row>
    <row r="22" spans="1:4" x14ac:dyDescent="0.25">
      <c r="A22" s="42" t="s">
        <v>947</v>
      </c>
      <c r="B22" s="43">
        <f>GETPIVOTDATA("Ratio unit cost",$A$3,"Region","Europe and Central Asia")-1</f>
        <v>0.16466861274446254</v>
      </c>
      <c r="C22" s="43">
        <v>1.6054171490641034E-2</v>
      </c>
      <c r="D22" s="50"/>
    </row>
    <row r="29" spans="1:4" x14ac:dyDescent="0.25">
      <c r="D29" s="42"/>
    </row>
  </sheetData>
  <mergeCells count="1">
    <mergeCell ref="A1:P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S29"/>
  <sheetViews>
    <sheetView zoomScale="85" zoomScaleNormal="85" workbookViewId="0">
      <selection sqref="A1:S1"/>
    </sheetView>
  </sheetViews>
  <sheetFormatPr defaultColWidth="9.140625" defaultRowHeight="15" x14ac:dyDescent="0.25"/>
  <cols>
    <col min="1" max="1" width="28.140625" style="41" bestFit="1" customWidth="1"/>
    <col min="2" max="2" width="27.140625" style="41" bestFit="1" customWidth="1"/>
    <col min="3" max="3" width="28.42578125" style="41" bestFit="1" customWidth="1"/>
    <col min="4" max="4" width="2.7109375" style="41" customWidth="1"/>
    <col min="5" max="5" width="29.42578125" style="41" customWidth="1"/>
    <col min="6" max="6" width="22.85546875" style="41" customWidth="1"/>
    <col min="7" max="7" width="22.7109375" style="41" customWidth="1"/>
    <col min="8" max="18" width="9.140625" style="41"/>
    <col min="19" max="19" width="8.140625" style="41" customWidth="1"/>
    <col min="20" max="16384" width="9.140625" style="41"/>
  </cols>
  <sheetData>
    <row r="1" spans="1:19" ht="91.5" customHeight="1" x14ac:dyDescent="0.25">
      <c r="A1" s="108" t="s">
        <v>1226</v>
      </c>
      <c r="B1" s="109"/>
      <c r="C1" s="109"/>
      <c r="D1" s="109"/>
      <c r="E1" s="109"/>
      <c r="F1" s="109"/>
      <c r="G1" s="109"/>
      <c r="H1" s="110"/>
      <c r="I1" s="110"/>
      <c r="J1" s="110"/>
      <c r="K1" s="110"/>
      <c r="L1" s="110"/>
      <c r="M1" s="110"/>
      <c r="N1" s="110"/>
      <c r="O1" s="110"/>
      <c r="P1" s="110"/>
      <c r="Q1" s="110"/>
      <c r="R1" s="110"/>
      <c r="S1" s="110"/>
    </row>
    <row r="2" spans="1:19" ht="14.25" customHeight="1" x14ac:dyDescent="0.25"/>
    <row r="3" spans="1:19" x14ac:dyDescent="0.25">
      <c r="A3" s="49" t="s">
        <v>1198</v>
      </c>
      <c r="I3" s="49" t="s">
        <v>1201</v>
      </c>
    </row>
    <row r="4" spans="1:19" ht="30" x14ac:dyDescent="0.25">
      <c r="A4" s="48" t="s">
        <v>952</v>
      </c>
      <c r="B4" s="54" t="s">
        <v>959</v>
      </c>
      <c r="C4" s="54" t="s">
        <v>960</v>
      </c>
      <c r="D4" s="55"/>
    </row>
    <row r="5" spans="1:19" ht="24" customHeight="1" x14ac:dyDescent="0.25">
      <c r="A5" s="42" t="s">
        <v>945</v>
      </c>
      <c r="B5" s="43">
        <v>0.1</v>
      </c>
      <c r="C5" s="43">
        <v>5.8823529411764705E-2</v>
      </c>
    </row>
    <row r="6" spans="1:19" ht="24" customHeight="1" x14ac:dyDescent="0.25">
      <c r="A6" s="42" t="s">
        <v>947</v>
      </c>
      <c r="B6" s="43">
        <v>2.5316455696202531E-2</v>
      </c>
      <c r="C6" s="43">
        <v>3.7974683544303799E-2</v>
      </c>
    </row>
    <row r="7" spans="1:19" ht="24" customHeight="1" x14ac:dyDescent="0.25">
      <c r="A7" s="42" t="s">
        <v>946</v>
      </c>
      <c r="B7" s="43">
        <v>5.0505050505050504E-2</v>
      </c>
      <c r="C7" s="43">
        <v>9.0909090909090912E-2</v>
      </c>
      <c r="F7" s="43"/>
      <c r="G7" s="43"/>
    </row>
    <row r="8" spans="1:19" ht="24" customHeight="1" x14ac:dyDescent="0.25">
      <c r="A8" s="42" t="s">
        <v>949</v>
      </c>
      <c r="B8" s="43">
        <v>0</v>
      </c>
      <c r="C8" s="43">
        <v>2.6315789473684209E-2</v>
      </c>
      <c r="F8" s="43"/>
      <c r="G8" s="43"/>
    </row>
    <row r="9" spans="1:19" ht="24" customHeight="1" x14ac:dyDescent="0.25">
      <c r="A9" s="42" t="s">
        <v>948</v>
      </c>
      <c r="B9" s="43">
        <v>7.792207792207792E-2</v>
      </c>
      <c r="C9" s="43">
        <v>3.896103896103896E-2</v>
      </c>
      <c r="F9" s="43"/>
      <c r="G9" s="43"/>
    </row>
    <row r="10" spans="1:19" ht="24" customHeight="1" x14ac:dyDescent="0.25">
      <c r="A10" s="42" t="s">
        <v>950</v>
      </c>
      <c r="B10" s="43">
        <v>3.0612244897959183E-2</v>
      </c>
      <c r="C10" s="43">
        <v>0.10204081632653061</v>
      </c>
      <c r="F10" s="43"/>
      <c r="G10" s="43"/>
    </row>
    <row r="11" spans="1:19" ht="21.75" customHeight="1" x14ac:dyDescent="0.25">
      <c r="A11" s="42" t="s">
        <v>953</v>
      </c>
      <c r="B11" s="44">
        <v>5.8823529411764705E-2</v>
      </c>
      <c r="C11" s="44">
        <v>6.4171122994652413E-2</v>
      </c>
    </row>
    <row r="12" spans="1:19" ht="15" customHeight="1" x14ac:dyDescent="0.25"/>
    <row r="13" spans="1:19" ht="10.5" customHeight="1" x14ac:dyDescent="0.25">
      <c r="A13" s="68"/>
      <c r="B13" s="68"/>
      <c r="C13" s="68"/>
      <c r="D13" s="68"/>
      <c r="E13" s="68"/>
      <c r="F13" s="68"/>
      <c r="G13" s="68"/>
      <c r="H13" s="68"/>
      <c r="I13" s="68"/>
      <c r="J13" s="68"/>
      <c r="K13" s="68"/>
      <c r="L13" s="68"/>
      <c r="M13" s="68"/>
      <c r="N13" s="68"/>
      <c r="O13" s="68"/>
      <c r="P13" s="68"/>
      <c r="Q13" s="68"/>
      <c r="R13" s="68"/>
      <c r="S13" s="68"/>
    </row>
    <row r="14" spans="1:19" ht="9" customHeight="1" x14ac:dyDescent="0.25"/>
    <row r="15" spans="1:19" x14ac:dyDescent="0.25">
      <c r="A15" s="49" t="s">
        <v>1199</v>
      </c>
      <c r="I15" s="49" t="s">
        <v>1202</v>
      </c>
    </row>
    <row r="16" spans="1:19" x14ac:dyDescent="0.25">
      <c r="A16" s="48" t="s">
        <v>952</v>
      </c>
      <c r="B16" s="106" t="s">
        <v>961</v>
      </c>
      <c r="C16" s="106" t="s">
        <v>962</v>
      </c>
      <c r="D16" s="55"/>
    </row>
    <row r="17" spans="1:3" ht="27" customHeight="1" x14ac:dyDescent="0.25">
      <c r="A17" s="42" t="s">
        <v>945</v>
      </c>
      <c r="B17" s="43">
        <v>0.26470588235294118</v>
      </c>
      <c r="C17" s="43">
        <v>2.3529411764705882E-2</v>
      </c>
    </row>
    <row r="18" spans="1:3" ht="27" customHeight="1" x14ac:dyDescent="0.25">
      <c r="A18" s="42" t="s">
        <v>947</v>
      </c>
      <c r="B18" s="43">
        <v>0.16455696202531644</v>
      </c>
      <c r="C18" s="43">
        <v>1.2658227848101266E-2</v>
      </c>
    </row>
    <row r="19" spans="1:3" ht="27" customHeight="1" x14ac:dyDescent="0.25">
      <c r="A19" s="42" t="s">
        <v>946</v>
      </c>
      <c r="B19" s="43">
        <v>0.42424242424242425</v>
      </c>
      <c r="C19" s="43">
        <v>5.0505050505050504E-2</v>
      </c>
    </row>
    <row r="20" spans="1:3" ht="27" customHeight="1" x14ac:dyDescent="0.25">
      <c r="A20" s="42" t="s">
        <v>949</v>
      </c>
      <c r="B20" s="43">
        <v>0.21052631578947367</v>
      </c>
      <c r="C20" s="43">
        <v>0</v>
      </c>
    </row>
    <row r="21" spans="1:3" ht="27" customHeight="1" x14ac:dyDescent="0.25">
      <c r="A21" s="42" t="s">
        <v>948</v>
      </c>
      <c r="B21" s="43">
        <v>0.24675324675324675</v>
      </c>
      <c r="C21" s="43">
        <v>2.5974025974025976E-2</v>
      </c>
    </row>
    <row r="22" spans="1:3" ht="27" customHeight="1" x14ac:dyDescent="0.25">
      <c r="A22" s="42" t="s">
        <v>950</v>
      </c>
      <c r="B22" s="43">
        <v>0.46938775510204084</v>
      </c>
      <c r="C22" s="43">
        <v>5.1020408163265307E-2</v>
      </c>
    </row>
    <row r="23" spans="1:3" ht="24" customHeight="1" x14ac:dyDescent="0.25">
      <c r="A23" s="42" t="s">
        <v>953</v>
      </c>
      <c r="B23" s="44">
        <v>0.30837789661319071</v>
      </c>
      <c r="C23" s="44">
        <v>3.0303030303030304E-2</v>
      </c>
    </row>
    <row r="29" spans="1:3" x14ac:dyDescent="0.25">
      <c r="B29" s="41" t="s">
        <v>1197</v>
      </c>
    </row>
  </sheetData>
  <mergeCells count="1">
    <mergeCell ref="A1:S1"/>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42"/>
  <sheetViews>
    <sheetView topLeftCell="A7" zoomScale="70" zoomScaleNormal="70" workbookViewId="0">
      <selection sqref="A1:X1"/>
    </sheetView>
  </sheetViews>
  <sheetFormatPr defaultColWidth="9.140625" defaultRowHeight="15" x14ac:dyDescent="0.25"/>
  <cols>
    <col min="1" max="1" width="6.28515625" style="41" customWidth="1"/>
    <col min="2" max="2" width="19.42578125" style="41" customWidth="1"/>
    <col min="3" max="3" width="18.28515625" style="41" customWidth="1"/>
    <col min="4" max="4" width="16.28515625" style="41" customWidth="1"/>
    <col min="5" max="5" width="18.85546875" style="41" customWidth="1"/>
    <col min="6" max="6" width="18.5703125" style="41" customWidth="1"/>
    <col min="7" max="7" width="18.140625" style="41" customWidth="1"/>
    <col min="8" max="8" width="17.5703125" style="41" bestFit="1" customWidth="1"/>
    <col min="9" max="9" width="16.5703125" style="41" customWidth="1"/>
    <col min="10" max="10" width="16.42578125" style="41" bestFit="1" customWidth="1"/>
    <col min="11" max="11" width="16.5703125" style="41" bestFit="1" customWidth="1"/>
    <col min="12" max="12" width="9.5703125" style="41" bestFit="1" customWidth="1"/>
    <col min="13" max="13" width="1.85546875" style="41" customWidth="1"/>
    <col min="14" max="14" width="6.5703125" style="41" customWidth="1"/>
    <col min="15" max="15" width="16.7109375" style="41" customWidth="1"/>
    <col min="16" max="16" width="19.7109375" style="41" customWidth="1"/>
    <col min="17" max="17" width="17.42578125" style="41" customWidth="1"/>
    <col min="18" max="18" width="19.140625" style="41" customWidth="1"/>
    <col min="19" max="19" width="17" style="41" customWidth="1"/>
    <col min="20" max="20" width="15.7109375" style="41" customWidth="1"/>
    <col min="21" max="21" width="15.28515625" style="41" customWidth="1"/>
    <col min="22" max="22" width="15.5703125" style="41" customWidth="1"/>
    <col min="23" max="23" width="16" style="41" customWidth="1"/>
    <col min="24" max="24" width="16.140625" style="41" customWidth="1"/>
    <col min="25" max="25" width="9.5703125" style="41" bestFit="1" customWidth="1"/>
    <col min="26" max="16384" width="9.140625" style="41"/>
  </cols>
  <sheetData>
    <row r="1" spans="1:25" ht="108" customHeight="1" x14ac:dyDescent="0.25">
      <c r="A1" s="108" t="s">
        <v>1345</v>
      </c>
      <c r="B1" s="110"/>
      <c r="C1" s="110"/>
      <c r="D1" s="110"/>
      <c r="E1" s="110"/>
      <c r="F1" s="110"/>
      <c r="G1" s="110"/>
      <c r="H1" s="110"/>
      <c r="I1" s="110"/>
      <c r="J1" s="110"/>
      <c r="K1" s="110"/>
      <c r="L1" s="110"/>
      <c r="M1" s="110"/>
      <c r="N1" s="110"/>
      <c r="O1" s="110"/>
      <c r="P1" s="110"/>
      <c r="Q1" s="110"/>
      <c r="R1" s="110"/>
      <c r="S1" s="110"/>
      <c r="T1" s="110"/>
      <c r="U1" s="110"/>
      <c r="V1" s="110"/>
      <c r="W1" s="110"/>
      <c r="X1" s="110"/>
    </row>
    <row r="2" spans="1:25" ht="6" customHeight="1" x14ac:dyDescent="0.25">
      <c r="M2" s="68"/>
    </row>
    <row r="3" spans="1:25" x14ac:dyDescent="0.25">
      <c r="A3" s="49" t="s">
        <v>1205</v>
      </c>
      <c r="B3" s="53"/>
      <c r="C3" s="53"/>
      <c r="D3" s="53"/>
      <c r="E3" s="53"/>
      <c r="F3" s="53"/>
      <c r="M3" s="68"/>
      <c r="N3" s="49" t="s">
        <v>1207</v>
      </c>
      <c r="O3" s="53"/>
      <c r="P3" s="53"/>
      <c r="Q3" s="53"/>
      <c r="R3" s="53"/>
      <c r="S3" s="53"/>
    </row>
    <row r="4" spans="1:25" ht="3" customHeight="1" x14ac:dyDescent="0.25">
      <c r="M4" s="68"/>
    </row>
    <row r="5" spans="1:25" ht="12" customHeight="1" x14ac:dyDescent="0.25">
      <c r="B5" s="41" t="s">
        <v>957</v>
      </c>
      <c r="C5" s="42">
        <v>1</v>
      </c>
      <c r="M5" s="68"/>
      <c r="O5" s="58" t="s">
        <v>958</v>
      </c>
      <c r="P5" s="42">
        <v>1</v>
      </c>
    </row>
    <row r="6" spans="1:25" ht="6.75" customHeight="1" x14ac:dyDescent="0.25">
      <c r="M6" s="68"/>
    </row>
    <row r="7" spans="1:25" ht="45" x14ac:dyDescent="0.25">
      <c r="B7" s="47" t="s">
        <v>936</v>
      </c>
      <c r="C7" s="47" t="s">
        <v>1341</v>
      </c>
      <c r="D7" s="47" t="s">
        <v>937</v>
      </c>
      <c r="E7" s="47" t="s">
        <v>938</v>
      </c>
      <c r="F7" s="47" t="s">
        <v>939</v>
      </c>
      <c r="G7" s="47" t="s">
        <v>940</v>
      </c>
      <c r="H7" s="47" t="s">
        <v>941</v>
      </c>
      <c r="I7" s="47" t="s">
        <v>942</v>
      </c>
      <c r="J7" s="47" t="s">
        <v>943</v>
      </c>
      <c r="K7" s="47" t="s">
        <v>944</v>
      </c>
      <c r="L7" s="63" t="s">
        <v>1210</v>
      </c>
      <c r="M7" s="68"/>
      <c r="O7" s="47" t="s">
        <v>936</v>
      </c>
      <c r="P7" s="47" t="s">
        <v>1341</v>
      </c>
      <c r="Q7" s="47" t="s">
        <v>937</v>
      </c>
      <c r="R7" s="47" t="s">
        <v>938</v>
      </c>
      <c r="S7" s="47" t="s">
        <v>939</v>
      </c>
      <c r="T7" s="47" t="s">
        <v>940</v>
      </c>
      <c r="U7" s="47" t="s">
        <v>941</v>
      </c>
      <c r="V7" s="47" t="s">
        <v>942</v>
      </c>
      <c r="W7" s="47" t="s">
        <v>943</v>
      </c>
      <c r="X7" s="47" t="s">
        <v>944</v>
      </c>
      <c r="Y7" s="63" t="s">
        <v>1210</v>
      </c>
    </row>
    <row r="8" spans="1:25" x14ac:dyDescent="0.25">
      <c r="B8" s="57">
        <v>1</v>
      </c>
      <c r="C8" s="57">
        <v>5</v>
      </c>
      <c r="D8" s="57">
        <v>2</v>
      </c>
      <c r="E8" s="57">
        <v>2</v>
      </c>
      <c r="F8" s="57">
        <v>0</v>
      </c>
      <c r="G8" s="57">
        <v>5</v>
      </c>
      <c r="H8" s="57">
        <v>1</v>
      </c>
      <c r="I8" s="57">
        <v>0</v>
      </c>
      <c r="J8" s="57">
        <v>8</v>
      </c>
      <c r="K8" s="57">
        <v>26</v>
      </c>
      <c r="L8" s="67">
        <v>33</v>
      </c>
      <c r="M8" s="68"/>
      <c r="O8" s="57">
        <v>10</v>
      </c>
      <c r="P8" s="57">
        <v>15</v>
      </c>
      <c r="Q8" s="57">
        <v>6</v>
      </c>
      <c r="R8" s="57">
        <v>7</v>
      </c>
      <c r="S8" s="57">
        <v>2</v>
      </c>
      <c r="T8" s="57">
        <v>16</v>
      </c>
      <c r="U8" s="57">
        <v>1</v>
      </c>
      <c r="V8" s="57">
        <v>2</v>
      </c>
      <c r="W8" s="57">
        <v>11</v>
      </c>
      <c r="X8" s="57">
        <v>22</v>
      </c>
      <c r="Y8" s="57">
        <v>36</v>
      </c>
    </row>
    <row r="9" spans="1:25" ht="4.5" customHeight="1" x14ac:dyDescent="0.25">
      <c r="K9" s="61"/>
      <c r="L9" s="61"/>
      <c r="M9" s="68"/>
    </row>
    <row r="10" spans="1:25" x14ac:dyDescent="0.25">
      <c r="C10" s="59" t="s">
        <v>1208</v>
      </c>
      <c r="D10" s="59" t="s">
        <v>1209</v>
      </c>
      <c r="K10" s="61"/>
      <c r="L10" s="61"/>
      <c r="M10" s="68"/>
      <c r="P10" s="59" t="s">
        <v>1208</v>
      </c>
      <c r="Q10" s="59" t="s">
        <v>1209</v>
      </c>
    </row>
    <row r="11" spans="1:25" ht="17.25" customHeight="1" x14ac:dyDescent="0.25">
      <c r="A11" s="51" t="s">
        <v>21</v>
      </c>
      <c r="B11" s="51"/>
      <c r="C11" s="51">
        <f>GETPIVOTDATA("Sum of Change of project scope",$B$7)</f>
        <v>26</v>
      </c>
      <c r="D11" s="60">
        <f>C11/GETPIVOTDATA("Count of Project ID",$B$7)</f>
        <v>0.78787878787878785</v>
      </c>
      <c r="K11" s="61"/>
      <c r="L11" s="61"/>
      <c r="M11" s="68"/>
      <c r="N11" s="51" t="s">
        <v>21</v>
      </c>
      <c r="O11" s="51"/>
      <c r="P11" s="51">
        <f>GETPIVOTDATA("Sum of Change of project scope",$O$7)</f>
        <v>22</v>
      </c>
      <c r="Q11" s="60">
        <f>P11/GETPIVOTDATA("Count of Project ID",$O$7)</f>
        <v>0.61111111111111116</v>
      </c>
    </row>
    <row r="12" spans="1:25" ht="17.25" customHeight="1" x14ac:dyDescent="0.25">
      <c r="A12" s="41" t="s">
        <v>20</v>
      </c>
      <c r="C12" s="41">
        <f>GETPIVOTDATA("Sum of Quality of estimates",$B$7)</f>
        <v>8</v>
      </c>
      <c r="D12" s="43">
        <f>C12/GETPIVOTDATA("Count of Project ID",$B$7)</f>
        <v>0.24242424242424243</v>
      </c>
      <c r="K12" s="61"/>
      <c r="L12" s="61"/>
      <c r="M12" s="68"/>
      <c r="N12" s="41" t="s">
        <v>17</v>
      </c>
      <c r="P12" s="41">
        <f>GETPIVOTDATA("Sum of Capacity of counterpart",$O$7)</f>
        <v>16</v>
      </c>
      <c r="Q12" s="43">
        <f t="shared" ref="Q12:Q20" si="0">P12/GETPIVOTDATA("Count of Project ID",$O$7)</f>
        <v>0.44444444444444442</v>
      </c>
    </row>
    <row r="13" spans="1:25" ht="17.25" customHeight="1" x14ac:dyDescent="0.25">
      <c r="A13" s="51" t="s">
        <v>18</v>
      </c>
      <c r="B13" s="51"/>
      <c r="C13" s="51">
        <f>GETPIVOTDATA("Sum of Macroeconomic conditions",$B$7)</f>
        <v>5</v>
      </c>
      <c r="D13" s="60">
        <f>C13/GETPIVOTDATA("Count of Project ID",$B$7)</f>
        <v>0.15151515151515152</v>
      </c>
      <c r="K13" s="61"/>
      <c r="L13" s="61"/>
      <c r="M13" s="68"/>
      <c r="N13" s="51" t="s">
        <v>18</v>
      </c>
      <c r="O13" s="51"/>
      <c r="P13" s="51">
        <f>GETPIVOTDATA("Sum of Macroeconomic conditions",$O$7)</f>
        <v>15</v>
      </c>
      <c r="Q13" s="60">
        <f t="shared" si="0"/>
        <v>0.41666666666666669</v>
      </c>
    </row>
    <row r="14" spans="1:25" ht="17.25" customHeight="1" x14ac:dyDescent="0.25">
      <c r="A14" s="41" t="s">
        <v>17</v>
      </c>
      <c r="C14" s="41">
        <f>GETPIVOTDATA("Sum of Capacity of counterpart",$B$7)</f>
        <v>5</v>
      </c>
      <c r="D14" s="43">
        <f t="shared" ref="D14:D20" si="1">C14/GETPIVOTDATA("Count of Project ID",$B$7)</f>
        <v>0.15151515151515152</v>
      </c>
      <c r="K14" s="61"/>
      <c r="L14" s="61"/>
      <c r="M14" s="68"/>
      <c r="N14" s="41" t="s">
        <v>20</v>
      </c>
      <c r="P14" s="41">
        <f>GETPIVOTDATA("Sum of Quality of estimates",$O$7)</f>
        <v>11</v>
      </c>
      <c r="Q14" s="43">
        <f t="shared" si="0"/>
        <v>0.30555555555555558</v>
      </c>
    </row>
    <row r="15" spans="1:25" ht="17.25" customHeight="1" x14ac:dyDescent="0.25">
      <c r="A15" s="51" t="s">
        <v>19</v>
      </c>
      <c r="B15" s="51"/>
      <c r="C15" s="51">
        <f>GETPIVOTDATA("Sum of Weather shocks",$B$7)</f>
        <v>2</v>
      </c>
      <c r="D15" s="60">
        <f t="shared" si="1"/>
        <v>6.0606060606060608E-2</v>
      </c>
      <c r="K15" s="61"/>
      <c r="L15" s="61"/>
      <c r="M15" s="68"/>
      <c r="N15" s="51" t="s">
        <v>23</v>
      </c>
      <c r="O15" s="51"/>
      <c r="P15" s="51">
        <f>GETPIVOTDATA("Sum of Political events",$O$7)</f>
        <v>10</v>
      </c>
      <c r="Q15" s="60">
        <f t="shared" si="0"/>
        <v>0.27777777777777779</v>
      </c>
    </row>
    <row r="16" spans="1:25" ht="17.25" customHeight="1" x14ac:dyDescent="0.25">
      <c r="A16" s="41" t="s">
        <v>24</v>
      </c>
      <c r="C16" s="41">
        <f>GETPIVOTDATA("Sum of Procurement system",$B$7)</f>
        <v>2</v>
      </c>
      <c r="D16" s="43">
        <f t="shared" si="1"/>
        <v>6.0606060606060608E-2</v>
      </c>
      <c r="K16" s="61"/>
      <c r="L16" s="61"/>
      <c r="M16" s="68"/>
      <c r="N16" s="41" t="s">
        <v>24</v>
      </c>
      <c r="P16" s="41">
        <f>GETPIVOTDATA("Sum of Procurement system",$O$7)</f>
        <v>7</v>
      </c>
      <c r="Q16" s="43">
        <f t="shared" si="0"/>
        <v>0.19444444444444445</v>
      </c>
    </row>
    <row r="17" spans="1:32" ht="17.25" customHeight="1" x14ac:dyDescent="0.25">
      <c r="A17" s="51" t="s">
        <v>15</v>
      </c>
      <c r="B17" s="51"/>
      <c r="C17" s="51">
        <f>GETPIVOTDATA("Sum of Capacity of contractors",$B$7)</f>
        <v>1</v>
      </c>
      <c r="D17" s="60">
        <f t="shared" si="1"/>
        <v>3.0303030303030304E-2</v>
      </c>
      <c r="K17" s="61"/>
      <c r="L17" s="61"/>
      <c r="M17" s="68"/>
      <c r="N17" s="51" t="s">
        <v>19</v>
      </c>
      <c r="O17" s="51"/>
      <c r="P17" s="51">
        <f>GETPIVOTDATA("Sum of Weather shocks",$O$7)</f>
        <v>6</v>
      </c>
      <c r="Q17" s="60">
        <f t="shared" si="0"/>
        <v>0.16666666666666666</v>
      </c>
    </row>
    <row r="18" spans="1:32" ht="17.25" customHeight="1" x14ac:dyDescent="0.25">
      <c r="A18" s="41" t="s">
        <v>23</v>
      </c>
      <c r="C18" s="41">
        <f>GETPIVOTDATA("Sum of Political events",$B$7)</f>
        <v>1</v>
      </c>
      <c r="D18" s="43">
        <f t="shared" si="1"/>
        <v>3.0303030303030304E-2</v>
      </c>
      <c r="K18" s="61"/>
      <c r="L18" s="61"/>
      <c r="M18" s="68"/>
      <c r="N18" s="41" t="s">
        <v>843</v>
      </c>
      <c r="P18" s="41">
        <f>GETPIVOTDATA("Sum of Administrative processes",$O$7)</f>
        <v>2</v>
      </c>
      <c r="Q18" s="43">
        <f t="shared" si="0"/>
        <v>5.5555555555555552E-2</v>
      </c>
    </row>
    <row r="19" spans="1:32" ht="17.25" customHeight="1" x14ac:dyDescent="0.25">
      <c r="A19" s="51" t="s">
        <v>22</v>
      </c>
      <c r="B19" s="51"/>
      <c r="C19" s="51">
        <f>GETPIVOTDATA("Sum of Competition",$B$7)</f>
        <v>0</v>
      </c>
      <c r="D19" s="60">
        <f t="shared" si="1"/>
        <v>0</v>
      </c>
      <c r="K19" s="61"/>
      <c r="L19" s="61"/>
      <c r="M19" s="68"/>
      <c r="N19" s="51" t="s">
        <v>22</v>
      </c>
      <c r="O19" s="51"/>
      <c r="P19" s="51">
        <f>GETPIVOTDATA("Sum of Competition",$O$7)</f>
        <v>2</v>
      </c>
      <c r="Q19" s="60">
        <f t="shared" si="0"/>
        <v>5.5555555555555552E-2</v>
      </c>
    </row>
    <row r="20" spans="1:32" ht="17.25" customHeight="1" x14ac:dyDescent="0.25">
      <c r="A20" s="41" t="s">
        <v>843</v>
      </c>
      <c r="C20" s="41">
        <f>GETPIVOTDATA("Sum of Administrative processes",$B$7)</f>
        <v>0</v>
      </c>
      <c r="D20" s="43">
        <f t="shared" si="1"/>
        <v>0</v>
      </c>
      <c r="K20" s="61"/>
      <c r="L20" s="61"/>
      <c r="M20" s="68"/>
      <c r="N20" s="41" t="s">
        <v>15</v>
      </c>
      <c r="P20" s="41">
        <f>GETPIVOTDATA("Sum of Capacity of contractors",$O$7)</f>
        <v>1</v>
      </c>
      <c r="Q20" s="43">
        <f t="shared" si="0"/>
        <v>2.7777777777777776E-2</v>
      </c>
    </row>
    <row r="21" spans="1:32" ht="9.75" customHeight="1" x14ac:dyDescent="0.25">
      <c r="K21" s="61"/>
      <c r="L21" s="61"/>
      <c r="M21" s="68"/>
    </row>
    <row r="22" spans="1:32" ht="10.5" customHeight="1" x14ac:dyDescent="0.25">
      <c r="A22" s="40"/>
      <c r="B22" s="40"/>
      <c r="C22" s="40"/>
      <c r="D22" s="40"/>
      <c r="E22" s="40"/>
      <c r="F22" s="40"/>
      <c r="G22" s="40"/>
      <c r="H22" s="40"/>
      <c r="I22" s="40"/>
      <c r="J22" s="40"/>
      <c r="K22" s="62"/>
      <c r="L22" s="62"/>
      <c r="M22" s="68"/>
      <c r="N22" s="40"/>
      <c r="O22" s="40"/>
      <c r="P22" s="40"/>
      <c r="Q22" s="40"/>
      <c r="R22" s="40"/>
      <c r="S22" s="40"/>
      <c r="T22" s="40"/>
      <c r="U22" s="40"/>
      <c r="V22" s="40"/>
      <c r="W22" s="40"/>
      <c r="X22" s="40"/>
      <c r="Y22" s="40"/>
      <c r="Z22" s="40"/>
      <c r="AA22" s="40"/>
      <c r="AB22" s="40"/>
      <c r="AC22" s="40"/>
      <c r="AD22" s="40"/>
      <c r="AE22" s="40"/>
      <c r="AF22" s="40"/>
    </row>
    <row r="23" spans="1:32" ht="4.5" customHeight="1" x14ac:dyDescent="0.25">
      <c r="K23" s="61"/>
      <c r="L23" s="61"/>
      <c r="M23" s="68"/>
    </row>
    <row r="24" spans="1:32" ht="15" customHeight="1" x14ac:dyDescent="0.25">
      <c r="A24" s="49" t="s">
        <v>1206</v>
      </c>
      <c r="B24" s="53"/>
      <c r="C24" s="53"/>
      <c r="D24" s="53"/>
      <c r="E24" s="53"/>
      <c r="F24" s="53"/>
      <c r="K24" s="61"/>
      <c r="L24" s="61"/>
      <c r="M24" s="68"/>
      <c r="N24" s="49" t="s">
        <v>1204</v>
      </c>
      <c r="O24" s="53"/>
      <c r="P24" s="53"/>
      <c r="Q24" s="53"/>
      <c r="R24" s="53"/>
      <c r="S24" s="53"/>
    </row>
    <row r="25" spans="1:32" ht="6.75" customHeight="1" x14ac:dyDescent="0.25">
      <c r="K25" s="61"/>
      <c r="L25" s="61"/>
      <c r="M25" s="68"/>
    </row>
    <row r="26" spans="1:32" x14ac:dyDescent="0.25">
      <c r="B26" s="51" t="s">
        <v>956</v>
      </c>
      <c r="C26" s="42">
        <v>1</v>
      </c>
      <c r="K26" s="61"/>
      <c r="L26" s="61"/>
      <c r="M26" s="68"/>
      <c r="O26" s="41" t="s">
        <v>955</v>
      </c>
      <c r="P26" s="42">
        <v>1</v>
      </c>
    </row>
    <row r="27" spans="1:32" ht="6.75" customHeight="1" x14ac:dyDescent="0.25">
      <c r="K27" s="61"/>
      <c r="L27" s="61"/>
      <c r="M27" s="68"/>
      <c r="Q27" s="46"/>
    </row>
    <row r="28" spans="1:32" ht="45" x14ac:dyDescent="0.25">
      <c r="B28" s="47" t="s">
        <v>936</v>
      </c>
      <c r="C28" s="47" t="s">
        <v>1341</v>
      </c>
      <c r="D28" s="47" t="s">
        <v>937</v>
      </c>
      <c r="E28" s="47" t="s">
        <v>938</v>
      </c>
      <c r="F28" s="47" t="s">
        <v>939</v>
      </c>
      <c r="G28" s="47" t="s">
        <v>940</v>
      </c>
      <c r="H28" s="47" t="s">
        <v>941</v>
      </c>
      <c r="I28" s="47" t="s">
        <v>942</v>
      </c>
      <c r="J28" s="47" t="s">
        <v>943</v>
      </c>
      <c r="K28" s="47" t="s">
        <v>944</v>
      </c>
      <c r="L28" s="63" t="s">
        <v>1210</v>
      </c>
      <c r="M28" s="68"/>
      <c r="O28" s="47" t="s">
        <v>936</v>
      </c>
      <c r="P28" s="47" t="s">
        <v>1341</v>
      </c>
      <c r="Q28" s="47" t="s">
        <v>937</v>
      </c>
      <c r="R28" s="47" t="s">
        <v>938</v>
      </c>
      <c r="S28" s="47" t="s">
        <v>939</v>
      </c>
      <c r="T28" s="47" t="s">
        <v>940</v>
      </c>
      <c r="U28" s="47" t="s">
        <v>941</v>
      </c>
      <c r="V28" s="47" t="s">
        <v>942</v>
      </c>
      <c r="W28" s="47" t="s">
        <v>943</v>
      </c>
      <c r="X28" s="47" t="s">
        <v>944</v>
      </c>
      <c r="Y28" s="63" t="s">
        <v>1210</v>
      </c>
    </row>
    <row r="29" spans="1:32" x14ac:dyDescent="0.25">
      <c r="B29" s="57">
        <v>1</v>
      </c>
      <c r="C29" s="57">
        <v>3</v>
      </c>
      <c r="D29" s="57">
        <v>1</v>
      </c>
      <c r="E29" s="57">
        <v>2</v>
      </c>
      <c r="F29" s="57">
        <v>0</v>
      </c>
      <c r="G29" s="57">
        <v>2</v>
      </c>
      <c r="H29" s="57">
        <v>0</v>
      </c>
      <c r="I29" s="57">
        <v>0</v>
      </c>
      <c r="J29" s="57">
        <v>7</v>
      </c>
      <c r="K29" s="57">
        <v>10</v>
      </c>
      <c r="L29" s="57">
        <v>17</v>
      </c>
      <c r="M29" s="68"/>
      <c r="O29" s="57">
        <v>33</v>
      </c>
      <c r="P29" s="57">
        <v>75</v>
      </c>
      <c r="Q29" s="57">
        <v>41</v>
      </c>
      <c r="R29" s="57">
        <v>20</v>
      </c>
      <c r="S29" s="57">
        <v>3</v>
      </c>
      <c r="T29" s="57">
        <v>59</v>
      </c>
      <c r="U29" s="57">
        <v>5</v>
      </c>
      <c r="V29" s="57">
        <v>11</v>
      </c>
      <c r="W29" s="57">
        <v>86</v>
      </c>
      <c r="X29" s="57">
        <v>46</v>
      </c>
      <c r="Y29" s="57">
        <v>173</v>
      </c>
    </row>
    <row r="30" spans="1:32" ht="10.5" customHeight="1" x14ac:dyDescent="0.25">
      <c r="M30" s="68"/>
    </row>
    <row r="31" spans="1:32" x14ac:dyDescent="0.25">
      <c r="C31" s="59" t="s">
        <v>1208</v>
      </c>
      <c r="D31" s="59" t="s">
        <v>1209</v>
      </c>
      <c r="M31" s="68"/>
      <c r="P31" s="59" t="s">
        <v>1208</v>
      </c>
      <c r="Q31" s="59" t="s">
        <v>1209</v>
      </c>
    </row>
    <row r="32" spans="1:32" ht="18" customHeight="1" x14ac:dyDescent="0.25">
      <c r="A32" s="51" t="s">
        <v>21</v>
      </c>
      <c r="B32" s="51"/>
      <c r="C32" s="51">
        <f>GETPIVOTDATA("Sum of Change of project scope",$B$28)</f>
        <v>10</v>
      </c>
      <c r="D32" s="60">
        <f>C32/GETPIVOTDATA("Count of Project ID",$B$28)</f>
        <v>0.58823529411764708</v>
      </c>
      <c r="M32" s="68"/>
      <c r="N32" s="51" t="s">
        <v>20</v>
      </c>
      <c r="O32" s="51"/>
      <c r="P32" s="51">
        <f>GETPIVOTDATA("Sum of Quality of estimates",$O$28)</f>
        <v>86</v>
      </c>
      <c r="Q32" s="60">
        <f t="shared" ref="Q32:Q41" si="2">P32/GETPIVOTDATA("Count of Project ID",$O$28)</f>
        <v>0.49710982658959535</v>
      </c>
    </row>
    <row r="33" spans="1:17" ht="18" customHeight="1" x14ac:dyDescent="0.25">
      <c r="A33" s="41" t="s">
        <v>20</v>
      </c>
      <c r="C33" s="41">
        <f>GETPIVOTDATA("Sum of Quality of estimates",$B$28)</f>
        <v>7</v>
      </c>
      <c r="D33" s="43">
        <f t="shared" ref="D33:D41" si="3">C33/GETPIVOTDATA("Count of Project ID",$B$28)</f>
        <v>0.41176470588235292</v>
      </c>
      <c r="M33" s="68"/>
      <c r="N33" s="41" t="s">
        <v>18</v>
      </c>
      <c r="P33" s="41">
        <f>GETPIVOTDATA("Sum of Macroeconomic conditions",$O$28)</f>
        <v>75</v>
      </c>
      <c r="Q33" s="43">
        <f t="shared" si="2"/>
        <v>0.43352601156069365</v>
      </c>
    </row>
    <row r="34" spans="1:17" ht="18" customHeight="1" x14ac:dyDescent="0.25">
      <c r="A34" s="51" t="s">
        <v>18</v>
      </c>
      <c r="B34" s="51"/>
      <c r="C34" s="51">
        <f>GETPIVOTDATA("Sum of Macroeconomic conditions",$B$28)</f>
        <v>3</v>
      </c>
      <c r="D34" s="60">
        <f t="shared" si="3"/>
        <v>0.17647058823529413</v>
      </c>
      <c r="M34" s="68"/>
      <c r="N34" s="51" t="s">
        <v>17</v>
      </c>
      <c r="O34" s="51"/>
      <c r="P34" s="51">
        <f>GETPIVOTDATA("Sum of Capacity of counterpart",$O$28)</f>
        <v>59</v>
      </c>
      <c r="Q34" s="60">
        <f t="shared" ref="Q34" si="4">P34/GETPIVOTDATA("Count of Project ID",$O$28)</f>
        <v>0.34104046242774566</v>
      </c>
    </row>
    <row r="35" spans="1:17" ht="18" customHeight="1" x14ac:dyDescent="0.25">
      <c r="A35" s="41" t="s">
        <v>17</v>
      </c>
      <c r="C35" s="41">
        <f>GETPIVOTDATA("Sum of Capacity of counterpart",$B$28)</f>
        <v>2</v>
      </c>
      <c r="D35" s="43">
        <f t="shared" si="3"/>
        <v>0.11764705882352941</v>
      </c>
      <c r="M35" s="68"/>
      <c r="N35" s="41" t="s">
        <v>21</v>
      </c>
      <c r="P35" s="41">
        <f>GETPIVOTDATA("Sum of Change of project scope",$O$28)</f>
        <v>46</v>
      </c>
      <c r="Q35" s="43">
        <f t="shared" si="2"/>
        <v>0.26589595375722541</v>
      </c>
    </row>
    <row r="36" spans="1:17" ht="18" customHeight="1" x14ac:dyDescent="0.25">
      <c r="A36" s="51" t="s">
        <v>24</v>
      </c>
      <c r="B36" s="51"/>
      <c r="C36" s="51">
        <f>GETPIVOTDATA("Sum of Procurement system",$B$28)</f>
        <v>2</v>
      </c>
      <c r="D36" s="60">
        <f t="shared" si="3"/>
        <v>0.11764705882352941</v>
      </c>
      <c r="M36" s="68"/>
      <c r="N36" s="51" t="s">
        <v>19</v>
      </c>
      <c r="O36" s="51"/>
      <c r="P36" s="51">
        <f>GETPIVOTDATA("Sum of Weather shocks",$O$28)</f>
        <v>41</v>
      </c>
      <c r="Q36" s="60">
        <f t="shared" si="2"/>
        <v>0.23699421965317918</v>
      </c>
    </row>
    <row r="37" spans="1:17" ht="18" customHeight="1" x14ac:dyDescent="0.25">
      <c r="A37" s="41" t="s">
        <v>23</v>
      </c>
      <c r="C37" s="41">
        <f>GETPIVOTDATA("Sum of Political events",$B$28)</f>
        <v>1</v>
      </c>
      <c r="D37" s="43">
        <f t="shared" si="3"/>
        <v>5.8823529411764705E-2</v>
      </c>
      <c r="M37" s="68"/>
      <c r="N37" s="41" t="s">
        <v>23</v>
      </c>
      <c r="P37" s="41">
        <f>GETPIVOTDATA("Sum of Political events",$O$28)</f>
        <v>33</v>
      </c>
      <c r="Q37" s="43">
        <f t="shared" si="2"/>
        <v>0.19075144508670519</v>
      </c>
    </row>
    <row r="38" spans="1:17" ht="18" customHeight="1" x14ac:dyDescent="0.25">
      <c r="A38" s="51" t="s">
        <v>19</v>
      </c>
      <c r="B38" s="51"/>
      <c r="C38" s="51">
        <f>GETPIVOTDATA("Sum of Weather shocks",$B$28)</f>
        <v>1</v>
      </c>
      <c r="D38" s="60">
        <f t="shared" si="3"/>
        <v>5.8823529411764705E-2</v>
      </c>
      <c r="M38" s="68"/>
      <c r="N38" s="51" t="s">
        <v>24</v>
      </c>
      <c r="O38" s="51"/>
      <c r="P38" s="51">
        <f>GETPIVOTDATA("Sum of Procurement system",$O$28)</f>
        <v>20</v>
      </c>
      <c r="Q38" s="60">
        <f t="shared" si="2"/>
        <v>0.11560693641618497</v>
      </c>
    </row>
    <row r="39" spans="1:17" ht="18" customHeight="1" x14ac:dyDescent="0.25">
      <c r="A39" s="41" t="s">
        <v>843</v>
      </c>
      <c r="C39" s="41">
        <f>GETPIVOTDATA("Sum of Administrative processes",$B$28)</f>
        <v>0</v>
      </c>
      <c r="D39" s="43">
        <f t="shared" si="3"/>
        <v>0</v>
      </c>
      <c r="M39" s="68"/>
      <c r="N39" s="41" t="s">
        <v>22</v>
      </c>
      <c r="P39" s="41">
        <f>GETPIVOTDATA("Sum of Competition",$O$28)</f>
        <v>11</v>
      </c>
      <c r="Q39" s="43">
        <f t="shared" si="2"/>
        <v>6.358381502890173E-2</v>
      </c>
    </row>
    <row r="40" spans="1:17" ht="18" customHeight="1" x14ac:dyDescent="0.25">
      <c r="A40" s="51" t="s">
        <v>1203</v>
      </c>
      <c r="B40" s="51"/>
      <c r="C40" s="51">
        <f>GETPIVOTDATA("Sum of Capacity of contractors",$B$28)</f>
        <v>0</v>
      </c>
      <c r="D40" s="60">
        <f t="shared" si="3"/>
        <v>0</v>
      </c>
      <c r="M40" s="68"/>
      <c r="N40" s="51" t="s">
        <v>15</v>
      </c>
      <c r="O40" s="51"/>
      <c r="P40" s="51">
        <f>GETPIVOTDATA("Sum of Capacity of contractors",$O$28)</f>
        <v>5</v>
      </c>
      <c r="Q40" s="60">
        <f t="shared" si="2"/>
        <v>2.8901734104046242E-2</v>
      </c>
    </row>
    <row r="41" spans="1:17" ht="18" customHeight="1" x14ac:dyDescent="0.25">
      <c r="A41" s="41" t="s">
        <v>22</v>
      </c>
      <c r="C41" s="41">
        <f>GETPIVOTDATA("Sum of Competition",$B$28)</f>
        <v>0</v>
      </c>
      <c r="D41" s="43">
        <f t="shared" si="3"/>
        <v>0</v>
      </c>
      <c r="M41" s="68"/>
      <c r="N41" s="41" t="s">
        <v>843</v>
      </c>
      <c r="P41" s="41">
        <f>GETPIVOTDATA("Sum of Administrative processes",$O$28)</f>
        <v>3</v>
      </c>
      <c r="Q41" s="43">
        <f t="shared" si="2"/>
        <v>1.7341040462427744E-2</v>
      </c>
    </row>
    <row r="42" spans="1:17" x14ac:dyDescent="0.25">
      <c r="M42" s="68"/>
    </row>
  </sheetData>
  <mergeCells count="1">
    <mergeCell ref="A1:X1"/>
  </mergeCell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V74"/>
  <sheetViews>
    <sheetView zoomScale="70" zoomScaleNormal="70" workbookViewId="0">
      <selection sqref="A1:V1"/>
    </sheetView>
  </sheetViews>
  <sheetFormatPr defaultColWidth="9.140625" defaultRowHeight="15" x14ac:dyDescent="0.25"/>
  <cols>
    <col min="1" max="1" width="53.85546875" style="41" bestFit="1" customWidth="1"/>
    <col min="2" max="3" width="23.5703125" style="41" bestFit="1" customWidth="1"/>
    <col min="4" max="4" width="15" style="41" bestFit="1" customWidth="1"/>
    <col min="5" max="5" width="26.28515625" style="41" bestFit="1" customWidth="1"/>
    <col min="6" max="6" width="20" style="41" bestFit="1" customWidth="1"/>
    <col min="7" max="7" width="3.7109375" style="41" customWidth="1"/>
    <col min="8" max="8" width="31.7109375" style="41" customWidth="1"/>
    <col min="9" max="10" width="13.42578125" style="41" customWidth="1"/>
    <col min="11" max="11" width="13.28515625" style="41" customWidth="1"/>
    <col min="12" max="12" width="12.7109375" style="41" customWidth="1"/>
    <col min="13" max="16384" width="9.140625" style="41"/>
  </cols>
  <sheetData>
    <row r="1" spans="1:22" ht="90.75" customHeight="1" x14ac:dyDescent="0.25">
      <c r="A1" s="111" t="s">
        <v>1227</v>
      </c>
      <c r="B1" s="112"/>
      <c r="C1" s="112"/>
      <c r="D1" s="112"/>
      <c r="E1" s="112"/>
      <c r="F1" s="112"/>
      <c r="G1" s="112"/>
      <c r="H1" s="112"/>
      <c r="I1" s="112"/>
      <c r="J1" s="112"/>
      <c r="K1" s="112"/>
      <c r="L1" s="112"/>
      <c r="M1" s="112"/>
      <c r="N1" s="112"/>
      <c r="O1" s="112"/>
      <c r="P1" s="112"/>
      <c r="Q1" s="112"/>
      <c r="R1" s="112"/>
      <c r="S1" s="112"/>
      <c r="T1" s="112"/>
      <c r="U1" s="112"/>
      <c r="V1" s="112"/>
    </row>
    <row r="3" spans="1:22" x14ac:dyDescent="0.25">
      <c r="A3" s="41" t="s">
        <v>1214</v>
      </c>
      <c r="B3" s="41" t="s">
        <v>935</v>
      </c>
    </row>
    <row r="4" spans="1:22" x14ac:dyDescent="0.25">
      <c r="H4" s="66" t="s">
        <v>1346</v>
      </c>
      <c r="I4" s="53"/>
      <c r="J4" s="53"/>
      <c r="K4" s="53"/>
    </row>
    <row r="5" spans="1:22" ht="45" x14ac:dyDescent="0.25">
      <c r="A5" s="51" t="s">
        <v>952</v>
      </c>
      <c r="B5" s="72" t="s">
        <v>1221</v>
      </c>
      <c r="C5" s="72" t="s">
        <v>1217</v>
      </c>
      <c r="D5" s="72" t="s">
        <v>954</v>
      </c>
      <c r="E5" s="72" t="s">
        <v>1220</v>
      </c>
      <c r="F5" s="72" t="s">
        <v>1218</v>
      </c>
      <c r="G5" s="73"/>
      <c r="H5" s="75" t="s">
        <v>952</v>
      </c>
      <c r="I5" s="74" t="s">
        <v>1236</v>
      </c>
      <c r="J5" s="74" t="s">
        <v>1237</v>
      </c>
      <c r="K5" s="74" t="s">
        <v>954</v>
      </c>
      <c r="L5" s="74" t="s">
        <v>1219</v>
      </c>
    </row>
    <row r="6" spans="1:22" x14ac:dyDescent="0.25">
      <c r="A6" s="77" t="s">
        <v>68</v>
      </c>
      <c r="B6" s="65">
        <v>152</v>
      </c>
      <c r="C6" s="65">
        <v>152</v>
      </c>
      <c r="D6" s="69">
        <v>310.28092105263158</v>
      </c>
      <c r="E6" s="69">
        <v>0.1091366272157248</v>
      </c>
      <c r="F6" s="69">
        <v>30.195722578818192</v>
      </c>
      <c r="H6" s="71" t="s">
        <v>947</v>
      </c>
      <c r="I6" s="70">
        <f>GETPIVOTDATA("Average of Unit costs",$A$5,"Region","Europe and Central Asia","Cost Type","Actual","Work Type","Asphalt Mix Resurfacing")</f>
        <v>0.19866756586504089</v>
      </c>
      <c r="J6" s="70">
        <f>GETPIVOTDATA("Average of Unit costs",$A$5,"Region","Europe and Central Asia","Cost Type","Estimate","Work Type","Asphalt Mix Resurfacing")</f>
        <v>0.24712932244978356</v>
      </c>
      <c r="K6" s="70">
        <f>GETPIVOTDATA("Average of Length (km)",$A$5,"Region","Europe and Central Asia","Cost Type","Actual","Work Type","Asphalt Mix Resurfacing")</f>
        <v>166.39000000000001</v>
      </c>
      <c r="L6" s="41">
        <f>GETPIVOTDATA("Count of Cost Type",$A$5,"Region","Europe and Central Asia","Cost Type","Actual","Work Type","Asphalt Mix Resurfacing")</f>
        <v>10</v>
      </c>
    </row>
    <row r="7" spans="1:22" x14ac:dyDescent="0.25">
      <c r="A7" s="86" t="s">
        <v>945</v>
      </c>
      <c r="B7" s="87">
        <v>34</v>
      </c>
      <c r="C7" s="87">
        <v>34</v>
      </c>
      <c r="D7" s="88">
        <v>283.36176470588231</v>
      </c>
      <c r="E7" s="88">
        <v>6.313591421929908E-2</v>
      </c>
      <c r="F7" s="88">
        <v>22.337451770588228</v>
      </c>
      <c r="H7" s="71" t="s">
        <v>950</v>
      </c>
      <c r="I7" s="70">
        <f>GETPIVOTDATA("Average of Unit costs",$A$5,"Region","Sub-Saharan Africa","Cost Type","Estimate","Work Type","Asphalt Mix Resurfacing")</f>
        <v>0.22783886987838314</v>
      </c>
      <c r="J7" s="70">
        <f>GETPIVOTDATA("Average of Unit costs",$A$5,"Region","Sub-Saharan Africa","Cost Type","Actual","Work Type","Asphalt Mix Resurfacing")</f>
        <v>0.20807236468864745</v>
      </c>
      <c r="K7" s="70">
        <f>GETPIVOTDATA("Average of Length (km)",$A$5,"Region","Sub-Saharan Africa","Cost Type","Actual","Work Type","Asphalt Mix Resurfacing")</f>
        <v>182.16923076923075</v>
      </c>
      <c r="L7" s="41">
        <f>GETPIVOTDATA("Count of Cost Type",$A$5,"Region","Sub-Saharan Africa","Cost Type","Actual","Work Type","Asphalt Mix Resurfacing")</f>
        <v>13</v>
      </c>
    </row>
    <row r="8" spans="1:22" x14ac:dyDescent="0.25">
      <c r="A8" s="89" t="s">
        <v>32</v>
      </c>
      <c r="B8" s="87">
        <v>17</v>
      </c>
      <c r="C8" s="87">
        <v>17</v>
      </c>
      <c r="D8" s="88">
        <v>237.84705882352938</v>
      </c>
      <c r="E8" s="88">
        <v>7.0584346115626043E-2</v>
      </c>
      <c r="F8" s="88">
        <v>21.84678885882353</v>
      </c>
      <c r="H8" s="71" t="s">
        <v>948</v>
      </c>
      <c r="I8" s="70">
        <f>GETPIVOTDATA("Average of Unit costs",$A$5,"Region","South Asia","Cost Type","Estimate","Work Type","Asphalt Mix Resurfacing")</f>
        <v>5.9836708697755585E-2</v>
      </c>
      <c r="J8" s="70">
        <f>GETPIVOTDATA("Average of Unit costs",$A$5,"Region","South Asia","Cost Type","Actual","Work Type","Asphalt Mix Resurfacing")</f>
        <v>0.1001499615625461</v>
      </c>
      <c r="K8" s="70">
        <f>GETPIVOTDATA("Average of Length (km)",$A$5,"Region","South Asia","Cost Type","Actual","Work Type","Asphalt Mix Resurfacing")</f>
        <v>1609</v>
      </c>
      <c r="L8" s="41">
        <f>GETPIVOTDATA("Count of Cost Type",$A$5,"Region","South Asia","Cost Type","Actual","Work Type","Asphalt Mix Resurfacing")</f>
        <v>4</v>
      </c>
    </row>
    <row r="9" spans="1:22" x14ac:dyDescent="0.25">
      <c r="A9" s="89" t="s">
        <v>29</v>
      </c>
      <c r="B9" s="87">
        <v>17</v>
      </c>
      <c r="C9" s="87">
        <v>17</v>
      </c>
      <c r="D9" s="88">
        <v>328.87647058823529</v>
      </c>
      <c r="E9" s="88">
        <v>5.5687482322972132E-2</v>
      </c>
      <c r="F9" s="88">
        <v>22.828114682352947</v>
      </c>
      <c r="H9" s="71" t="s">
        <v>945</v>
      </c>
      <c r="I9" s="70">
        <f>GETPIVOTDATA("Average of Unit costs",$A$5,"Region","East Asia and Pacific","Cost Type","Estimate","Work Type","Asphalt Mix Resurfacing")</f>
        <v>5.5687482322972132E-2</v>
      </c>
      <c r="J9" s="70">
        <f>GETPIVOTDATA("Average of Unit costs",$A$5,"Region","East Asia and Pacific","Cost Type","Actual","Work Type","Asphalt Mix Resurfacing")</f>
        <v>7.0584346115626043E-2</v>
      </c>
      <c r="K9" s="70">
        <f>GETPIVOTDATA("Average of Length (km)",$A$5,"Region","East Asia and Pacific","Cost Type","Actual","Work Type","Asphalt Mix Resurfacing")</f>
        <v>237.84705882352938</v>
      </c>
      <c r="L9" s="41">
        <f>GETPIVOTDATA("Count of Cost Type",$A$5,"Region","East Asia and Pacific","Cost Type","Estimate","Work Type","Asphalt Mix Resurfacing")</f>
        <v>17</v>
      </c>
    </row>
    <row r="10" spans="1:22" x14ac:dyDescent="0.25">
      <c r="A10" s="90" t="s">
        <v>947</v>
      </c>
      <c r="B10" s="87">
        <v>20</v>
      </c>
      <c r="C10" s="87">
        <v>20</v>
      </c>
      <c r="D10" s="88">
        <v>163.20999999999998</v>
      </c>
      <c r="E10" s="88">
        <v>0.22289844415741222</v>
      </c>
      <c r="F10" s="88">
        <v>43.512349999999998</v>
      </c>
      <c r="H10" s="71" t="s">
        <v>946</v>
      </c>
      <c r="I10" s="70">
        <f>GETPIVOTDATA("Average of Unit costs",$A$5,"Region","Latin America and Caribbean","Cost Type","Estimate","Work Type","Asphalt Mix Resurfacing")</f>
        <v>4.6219281895149247E-2</v>
      </c>
      <c r="J10" s="70">
        <f>GETPIVOTDATA("Average of Unit costs",$A$5,"Region","Latin America and Caribbean","Cost Type","Actual","Work Type","Asphalt Mix Resurfacing")</f>
        <v>7.0574463219268024E-2</v>
      </c>
      <c r="K10" s="70">
        <f>GETPIVOTDATA("Average of Length (km)",$A$5,"Region","Latin America and Caribbean","Cost Type","Actual","Work Type","Asphalt Mix Resurfacing")</f>
        <v>212.22903225806454</v>
      </c>
      <c r="L10" s="41">
        <f>GETPIVOTDATA("Count of Unit costs",$A$5,"Region","Latin America and Caribbean","Cost Type","Actual","Work Type","Asphalt Mix Resurfacing")</f>
        <v>31</v>
      </c>
    </row>
    <row r="11" spans="1:22" x14ac:dyDescent="0.25">
      <c r="A11" s="89" t="s">
        <v>32</v>
      </c>
      <c r="B11" s="87">
        <v>10</v>
      </c>
      <c r="C11" s="87">
        <v>10</v>
      </c>
      <c r="D11" s="88">
        <v>166.39000000000001</v>
      </c>
      <c r="E11" s="88">
        <v>0.19866756586504089</v>
      </c>
      <c r="F11" s="88">
        <v>39.170699999999997</v>
      </c>
      <c r="H11" s="71" t="s">
        <v>949</v>
      </c>
      <c r="I11" s="70">
        <f>GETPIVOTDATA("Average of Unit costs",$A$5,"Region","Middle East and North Africa","Cost Type","Estimate","Work Type","Asphalt Mix Resurfacing")</f>
        <v>2.3255813953488372E-2</v>
      </c>
      <c r="J11" s="70">
        <f>GETPIVOTDATA("Average of Unit costs",$A$5,"Region","Middle East and North Africa","Cost Type","Actual","Work Type","Asphalt Mix Resurfacing")</f>
        <v>3.3522727272727273E-2</v>
      </c>
      <c r="K11" s="70">
        <f>GETPIVOTDATA("Average of Length (km)",$A$5,"Region","Middle East and North Africa","Cost Type","Actual","Work Type","Asphalt Mix Resurfacing")</f>
        <v>88</v>
      </c>
      <c r="L11" s="41">
        <f>GETPIVOTDATA("Count of Cost Type",$A$5,"Region","Middle East and North Africa","Cost Type","Estimate","Work Type","Asphalt Mix Resurfacing")</f>
        <v>1</v>
      </c>
    </row>
    <row r="12" spans="1:22" x14ac:dyDescent="0.25">
      <c r="A12" s="89" t="s">
        <v>29</v>
      </c>
      <c r="B12" s="87">
        <v>10</v>
      </c>
      <c r="C12" s="87">
        <v>10</v>
      </c>
      <c r="D12" s="88">
        <v>160.03</v>
      </c>
      <c r="E12" s="88">
        <v>0.24712932244978356</v>
      </c>
      <c r="F12" s="88">
        <v>47.853999999999999</v>
      </c>
      <c r="H12" s="71"/>
      <c r="I12" s="70"/>
      <c r="J12" s="70"/>
      <c r="K12" s="70"/>
    </row>
    <row r="13" spans="1:22" x14ac:dyDescent="0.25">
      <c r="A13" s="90" t="s">
        <v>946</v>
      </c>
      <c r="B13" s="87">
        <v>62</v>
      </c>
      <c r="C13" s="87">
        <v>62</v>
      </c>
      <c r="D13" s="88">
        <v>252.32258064516128</v>
      </c>
      <c r="E13" s="88">
        <v>5.839687255720865E-2</v>
      </c>
      <c r="F13" s="88">
        <v>22.582580645161293</v>
      </c>
      <c r="H13" s="71"/>
      <c r="I13" s="70"/>
      <c r="J13" s="70"/>
      <c r="K13" s="70"/>
    </row>
    <row r="14" spans="1:22" x14ac:dyDescent="0.25">
      <c r="A14" s="89" t="s">
        <v>32</v>
      </c>
      <c r="B14" s="87">
        <v>31</v>
      </c>
      <c r="C14" s="87">
        <v>31</v>
      </c>
      <c r="D14" s="88">
        <v>212.22903225806454</v>
      </c>
      <c r="E14" s="88">
        <v>7.0574463219268024E-2</v>
      </c>
      <c r="F14" s="88">
        <v>22.856129032258071</v>
      </c>
      <c r="H14" s="71"/>
      <c r="I14" s="70"/>
      <c r="J14" s="70"/>
      <c r="K14" s="70"/>
    </row>
    <row r="15" spans="1:22" x14ac:dyDescent="0.25">
      <c r="A15" s="89" t="s">
        <v>29</v>
      </c>
      <c r="B15" s="87">
        <v>31</v>
      </c>
      <c r="C15" s="87">
        <v>31</v>
      </c>
      <c r="D15" s="88">
        <v>292.41612903225803</v>
      </c>
      <c r="E15" s="88">
        <v>4.6219281895149247E-2</v>
      </c>
      <c r="F15" s="88">
        <v>22.309032258064512</v>
      </c>
      <c r="H15" s="71"/>
      <c r="I15" s="70"/>
      <c r="J15" s="70"/>
      <c r="K15" s="70"/>
    </row>
    <row r="16" spans="1:22" x14ac:dyDescent="0.25">
      <c r="A16" s="90" t="s">
        <v>949</v>
      </c>
      <c r="B16" s="87">
        <v>2</v>
      </c>
      <c r="C16" s="87">
        <v>2</v>
      </c>
      <c r="D16" s="88">
        <v>87</v>
      </c>
      <c r="E16" s="88">
        <v>2.8389270613107823E-2</v>
      </c>
      <c r="F16" s="88">
        <v>2.4750000000000001</v>
      </c>
      <c r="H16" s="71"/>
      <c r="I16" s="70"/>
      <c r="J16" s="70"/>
      <c r="K16" s="70"/>
    </row>
    <row r="17" spans="1:12" x14ac:dyDescent="0.25">
      <c r="A17" s="89" t="s">
        <v>32</v>
      </c>
      <c r="B17" s="87">
        <v>1</v>
      </c>
      <c r="C17" s="87">
        <v>1</v>
      </c>
      <c r="D17" s="88">
        <v>88</v>
      </c>
      <c r="E17" s="88">
        <v>3.3522727272727273E-2</v>
      </c>
      <c r="F17" s="88">
        <v>2.95</v>
      </c>
      <c r="H17" s="66" t="s">
        <v>1348</v>
      </c>
      <c r="I17" s="53"/>
      <c r="J17" s="53"/>
    </row>
    <row r="18" spans="1:12" ht="32.25" customHeight="1" x14ac:dyDescent="0.25">
      <c r="A18" s="89" t="s">
        <v>29</v>
      </c>
      <c r="B18" s="87">
        <v>1</v>
      </c>
      <c r="C18" s="87">
        <v>1</v>
      </c>
      <c r="D18" s="88">
        <v>86</v>
      </c>
      <c r="E18" s="88">
        <v>2.3255813953488372E-2</v>
      </c>
      <c r="F18" s="88">
        <v>2</v>
      </c>
      <c r="H18" s="75" t="s">
        <v>952</v>
      </c>
      <c r="I18" s="74" t="s">
        <v>1223</v>
      </c>
      <c r="J18" s="74" t="s">
        <v>1222</v>
      </c>
      <c r="K18" s="74" t="s">
        <v>954</v>
      </c>
      <c r="L18" s="74" t="s">
        <v>1219</v>
      </c>
    </row>
    <row r="19" spans="1:12" x14ac:dyDescent="0.25">
      <c r="A19" s="90" t="s">
        <v>948</v>
      </c>
      <c r="B19" s="87">
        <v>8</v>
      </c>
      <c r="C19" s="87">
        <v>8</v>
      </c>
      <c r="D19" s="88">
        <v>1594.75</v>
      </c>
      <c r="E19" s="88">
        <v>7.9993335130150847E-2</v>
      </c>
      <c r="F19" s="88">
        <v>126.31355845664669</v>
      </c>
      <c r="H19" s="71" t="s">
        <v>950</v>
      </c>
      <c r="I19" s="70">
        <f>GETPIVOTDATA("Average of Unit costs",$A$5,"Region","Sub-Saharan Africa","Cost Type","Estimate","Work Type","Reconstruction")</f>
        <v>0.4384973206177144</v>
      </c>
      <c r="J19" s="70">
        <f>GETPIVOTDATA("Average of Unit costs",$A$5,"Region","Sub-Saharan Africa","Cost Type","Actual","Work Type","Reconstruction")</f>
        <v>0.84594963030930537</v>
      </c>
      <c r="K19" s="70">
        <f>GETPIVOTDATA("Average of Length (km)",$A$5,"Region","Sub-Saharan Africa","Cost Type","Actual","Work Type","Reconstruction")</f>
        <v>368.46875</v>
      </c>
      <c r="L19" s="41">
        <f>GETPIVOTDATA("Count of Cost Type",$A$5,"Region","Sub-Saharan Africa","Cost Type","Actual","Work Type","Reconstruction")</f>
        <v>16</v>
      </c>
    </row>
    <row r="20" spans="1:12" x14ac:dyDescent="0.25">
      <c r="A20" s="89" t="s">
        <v>32</v>
      </c>
      <c r="B20" s="87">
        <v>4</v>
      </c>
      <c r="C20" s="87">
        <v>4</v>
      </c>
      <c r="D20" s="88">
        <v>1609</v>
      </c>
      <c r="E20" s="88">
        <v>0.1001499615625461</v>
      </c>
      <c r="F20" s="88">
        <v>150.26461691329337</v>
      </c>
      <c r="H20" s="71" t="s">
        <v>945</v>
      </c>
      <c r="I20" s="70">
        <f>GETPIVOTDATA("Average of Unit costs",$A$5,"Region","East Asia and Pacific","Cost Type","Estimate","Work Type","Reconstruction")</f>
        <v>0.24699023539889864</v>
      </c>
      <c r="J20" s="70">
        <f>GETPIVOTDATA("Average of Unit costs",$A$5,"Region","East Asia and Pacific","Cost Type","Actual","Work Type","Reconstruction")</f>
        <v>0.40149607021591371</v>
      </c>
      <c r="K20" s="70">
        <f>GETPIVOTDATA("Average of Length (km)",$A$5,"Region","East Asia and Pacific","Cost Type","Actual","Work Type","Reconstruction")</f>
        <v>334.5617647058823</v>
      </c>
      <c r="L20" s="41">
        <f>GETPIVOTDATA("Count of Cost Type",$A$5,"Region","East Asia and Pacific","Cost Type","Actual","Work Type","Reconstruction")</f>
        <v>17</v>
      </c>
    </row>
    <row r="21" spans="1:12" x14ac:dyDescent="0.25">
      <c r="A21" s="89" t="s">
        <v>29</v>
      </c>
      <c r="B21" s="87">
        <v>4</v>
      </c>
      <c r="C21" s="87">
        <v>4</v>
      </c>
      <c r="D21" s="88">
        <v>1580.5</v>
      </c>
      <c r="E21" s="88">
        <v>5.9836708697755585E-2</v>
      </c>
      <c r="F21" s="88">
        <v>102.36250000000001</v>
      </c>
      <c r="H21" s="71" t="s">
        <v>947</v>
      </c>
      <c r="I21" s="70">
        <f>GETPIVOTDATA("Average of Unit costs",$A$5,"Region","Europe and Central Asia","Cost Type","Estimate","Work Type","Reconstruction")</f>
        <v>0.27573569368692952</v>
      </c>
      <c r="J21" s="70">
        <f>GETPIVOTDATA("Average of Unit costs",$A$5,"Region","Europe and Central Asia","Cost Type","Actual","Work Type","Reconstruction")</f>
        <v>0.25960771892821366</v>
      </c>
      <c r="K21" s="70">
        <f>GETPIVOTDATA("Average of Length (km)",$A$5,"Region","Europe and Central Asia","Cost Type","Actual","Work Type","Reconstruction")</f>
        <v>47.834375000000009</v>
      </c>
      <c r="L21" s="41">
        <f>GETPIVOTDATA("Count of Cost Type",$A$5,"Region","Europe and Central Asia","Cost Type","Actual","Work Type","Reconstruction")</f>
        <v>32</v>
      </c>
    </row>
    <row r="22" spans="1:12" x14ac:dyDescent="0.25">
      <c r="A22" s="90" t="s">
        <v>950</v>
      </c>
      <c r="B22" s="87">
        <v>26</v>
      </c>
      <c r="C22" s="87">
        <v>26</v>
      </c>
      <c r="D22" s="88">
        <v>218.77692307692308</v>
      </c>
      <c r="E22" s="88">
        <v>0.21795561728351531</v>
      </c>
      <c r="F22" s="88">
        <v>20.940423235661157</v>
      </c>
      <c r="H22" s="71" t="s">
        <v>946</v>
      </c>
      <c r="I22" s="70">
        <f>GETPIVOTDATA("Average of Unit costs",$A$5,"Region","Latin America and Caribbean","Cost Type","Estimate","Work Type","Reconstruction")</f>
        <v>0.12019509833966993</v>
      </c>
      <c r="J22" s="70">
        <f>GETPIVOTDATA("Average of Unit costs",$A$5,"Region","Latin America and Caribbean","Cost Type","Actual","Work Type","Reconstruction")</f>
        <v>0.17214223460802813</v>
      </c>
      <c r="K22" s="70">
        <f>GETPIVOTDATA("Average of Length (km)",$A$5,"Region","Latin America and Caribbean","Cost Type","Actual","Work Type","Reconstruction")</f>
        <v>619.24250000000018</v>
      </c>
      <c r="L22" s="41">
        <f>GETPIVOTDATA("Count of Cost Type",$A$5,"Region","Latin America and Caribbean","Cost Type","Actual","Work Type","Reconstruction")</f>
        <v>40</v>
      </c>
    </row>
    <row r="23" spans="1:12" x14ac:dyDescent="0.25">
      <c r="A23" s="89" t="s">
        <v>32</v>
      </c>
      <c r="B23" s="87">
        <v>13</v>
      </c>
      <c r="C23" s="87">
        <v>13</v>
      </c>
      <c r="D23" s="88">
        <v>182.16923076923075</v>
      </c>
      <c r="E23" s="88">
        <v>0.20807236468864745</v>
      </c>
      <c r="F23" s="88">
        <v>23.781938595198433</v>
      </c>
      <c r="H23" s="71" t="s">
        <v>948</v>
      </c>
      <c r="I23" s="70">
        <f>GETPIVOTDATA("Average of Unit costs",$A$5,"Region","South Asia","Cost Type","Estimate","Work Type","Reconstruction")</f>
        <v>0.17878760155544804</v>
      </c>
      <c r="J23" s="70">
        <f>GETPIVOTDATA("Average of Unit costs",$A$5,"Region","South Asia","Cost Type","Actual","Work Type","Reconstruction")</f>
        <v>0.17204325775160567</v>
      </c>
      <c r="K23" s="70">
        <f>GETPIVOTDATA("Average of Length (km)",$A$5,"Region","South Asia","Cost Type","Actual","Work Type","Reconstruction")</f>
        <v>516.2833333333333</v>
      </c>
      <c r="L23" s="41">
        <f>GETPIVOTDATA("Count of Cost Type",$A$5,"Region","South Asia","Cost Type","Estimate","Work Type","Reconstruction")</f>
        <v>6</v>
      </c>
    </row>
    <row r="24" spans="1:12" x14ac:dyDescent="0.25">
      <c r="A24" s="89" t="s">
        <v>29</v>
      </c>
      <c r="B24" s="87">
        <v>13</v>
      </c>
      <c r="C24" s="87">
        <v>13</v>
      </c>
      <c r="D24" s="88">
        <v>255.38461538461539</v>
      </c>
      <c r="E24" s="88">
        <v>0.22783886987838314</v>
      </c>
      <c r="F24" s="88">
        <v>18.098907876123878</v>
      </c>
      <c r="H24" s="71" t="s">
        <v>949</v>
      </c>
      <c r="I24" s="70">
        <f>GETPIVOTDATA("Average of Unit costs",$A$5,"Region","Middle East and North Africa","Cost Type","Estimate","Work Type","Reconstruction")</f>
        <v>0.11882708881678138</v>
      </c>
      <c r="J24" s="70">
        <f>GETPIVOTDATA("Average of Unit costs",$A$5,"Region","Middle East and North Africa","Cost Type","Actual","Work Type","Reconstruction")</f>
        <v>0.14107842475176002</v>
      </c>
      <c r="K24" s="70">
        <f>GETPIVOTDATA("Average of Length (km)",$A$5,"Region","Middle East and North Africa","Cost Type","Actual","Work Type","Reconstruction")</f>
        <v>52.723529411764702</v>
      </c>
      <c r="L24" s="41">
        <f>GETPIVOTDATA("Count of Cost Type",$A$5,"Region","Middle East and North Africa","Cost Type","Actual","Work Type","Reconstruction")</f>
        <v>17</v>
      </c>
    </row>
    <row r="25" spans="1:12" x14ac:dyDescent="0.25">
      <c r="A25" s="42" t="s">
        <v>136</v>
      </c>
      <c r="B25" s="56">
        <v>20</v>
      </c>
      <c r="C25" s="56">
        <v>20</v>
      </c>
      <c r="D25" s="70">
        <v>247.4</v>
      </c>
      <c r="E25" s="70">
        <v>4.3634794561368824E-2</v>
      </c>
      <c r="F25" s="70">
        <v>6.1094702649102635</v>
      </c>
      <c r="H25" s="71"/>
      <c r="I25" s="70"/>
      <c r="J25" s="70"/>
      <c r="K25" s="70"/>
    </row>
    <row r="26" spans="1:12" x14ac:dyDescent="0.25">
      <c r="A26" s="42" t="s">
        <v>692</v>
      </c>
      <c r="B26" s="56">
        <v>2</v>
      </c>
      <c r="C26" s="56">
        <v>2</v>
      </c>
      <c r="D26" s="70">
        <v>917</v>
      </c>
      <c r="E26" s="70">
        <v>0.15916030534351144</v>
      </c>
      <c r="F26" s="70">
        <v>145.94999999999999</v>
      </c>
      <c r="H26" s="71"/>
      <c r="I26" s="70"/>
      <c r="J26" s="70"/>
      <c r="K26" s="70"/>
    </row>
    <row r="27" spans="1:12" x14ac:dyDescent="0.25">
      <c r="A27" s="42" t="s">
        <v>122</v>
      </c>
      <c r="B27" s="56">
        <v>72</v>
      </c>
      <c r="C27" s="56">
        <v>72</v>
      </c>
      <c r="D27" s="70">
        <v>1151.0444444444447</v>
      </c>
      <c r="E27" s="70">
        <v>1.4255944912019199E-2</v>
      </c>
      <c r="F27" s="70">
        <v>12.854473375000003</v>
      </c>
      <c r="H27" s="71"/>
      <c r="I27" s="70"/>
      <c r="J27" s="70"/>
      <c r="K27" s="70"/>
    </row>
    <row r="28" spans="1:12" x14ac:dyDescent="0.25">
      <c r="A28" s="42" t="s">
        <v>74</v>
      </c>
      <c r="B28" s="56">
        <v>12</v>
      </c>
      <c r="C28" s="56">
        <v>12</v>
      </c>
      <c r="D28" s="70">
        <v>64.982500000000002</v>
      </c>
      <c r="E28" s="70">
        <v>0.13583979391101805</v>
      </c>
      <c r="F28" s="70">
        <v>9.1183333333333323</v>
      </c>
      <c r="H28" s="71"/>
      <c r="I28" s="70"/>
      <c r="J28" s="70"/>
      <c r="K28" s="70"/>
    </row>
    <row r="29" spans="1:12" x14ac:dyDescent="0.25">
      <c r="A29" s="42" t="s">
        <v>213</v>
      </c>
      <c r="B29" s="56">
        <v>17</v>
      </c>
      <c r="C29" s="56">
        <v>17</v>
      </c>
      <c r="D29" s="70">
        <v>58.956470588235291</v>
      </c>
      <c r="E29" s="70">
        <v>1.3474544013246248</v>
      </c>
      <c r="F29" s="70">
        <v>27.298305252277537</v>
      </c>
      <c r="H29" s="71"/>
      <c r="I29" s="70"/>
      <c r="J29" s="70"/>
      <c r="K29" s="70"/>
    </row>
    <row r="30" spans="1:12" x14ac:dyDescent="0.25">
      <c r="A30" s="42" t="s">
        <v>111</v>
      </c>
      <c r="B30" s="56">
        <v>45</v>
      </c>
      <c r="C30" s="56">
        <v>45</v>
      </c>
      <c r="D30" s="70">
        <v>81.16284444444446</v>
      </c>
      <c r="E30" s="70">
        <v>5.2552472110860293</v>
      </c>
      <c r="F30" s="70">
        <v>352.7216835402948</v>
      </c>
    </row>
    <row r="31" spans="1:12" x14ac:dyDescent="0.25">
      <c r="A31" s="42" t="s">
        <v>84</v>
      </c>
      <c r="B31" s="56">
        <v>4</v>
      </c>
      <c r="C31" s="56">
        <v>4</v>
      </c>
      <c r="D31" s="70">
        <v>21.424999999999997</v>
      </c>
      <c r="E31" s="70">
        <v>13.738306896551723</v>
      </c>
      <c r="F31" s="70">
        <v>224.005</v>
      </c>
    </row>
    <row r="32" spans="1:12" x14ac:dyDescent="0.25">
      <c r="A32" s="42" t="s">
        <v>162</v>
      </c>
      <c r="B32" s="56">
        <v>2</v>
      </c>
      <c r="C32" s="56">
        <v>2</v>
      </c>
      <c r="D32" s="70">
        <v>1107.5</v>
      </c>
      <c r="E32" s="70">
        <v>9.7598961117162125E-2</v>
      </c>
      <c r="F32" s="70">
        <v>108.06943255472667</v>
      </c>
      <c r="H32" s="66" t="s">
        <v>1347</v>
      </c>
      <c r="I32" s="53"/>
      <c r="J32" s="53"/>
    </row>
    <row r="33" spans="1:12" ht="15.75" customHeight="1" x14ac:dyDescent="0.25">
      <c r="A33" s="42" t="s">
        <v>131</v>
      </c>
      <c r="B33" s="56">
        <v>20</v>
      </c>
      <c r="C33" s="56">
        <v>20</v>
      </c>
      <c r="D33" s="70">
        <v>66.562999999999988</v>
      </c>
      <c r="E33" s="70">
        <v>0.72103564090039229</v>
      </c>
      <c r="F33" s="70">
        <v>25.241151053061614</v>
      </c>
      <c r="H33" s="75" t="s">
        <v>952</v>
      </c>
      <c r="I33" s="74" t="s">
        <v>1223</v>
      </c>
      <c r="J33" s="74" t="s">
        <v>1222</v>
      </c>
      <c r="K33" s="74" t="s">
        <v>954</v>
      </c>
      <c r="L33" s="74" t="s">
        <v>1219</v>
      </c>
    </row>
    <row r="34" spans="1:12" x14ac:dyDescent="0.25">
      <c r="A34" s="77" t="s">
        <v>359</v>
      </c>
      <c r="B34" s="65">
        <v>256</v>
      </c>
      <c r="C34" s="65">
        <v>256</v>
      </c>
      <c r="D34" s="69">
        <v>349.03355468749993</v>
      </c>
      <c r="E34" s="69">
        <v>0.26141906179056307</v>
      </c>
      <c r="F34" s="69">
        <v>30.485663563986567</v>
      </c>
      <c r="H34" s="71" t="s">
        <v>947</v>
      </c>
      <c r="I34" s="70">
        <f>GETPIVOTDATA("Average of Unit costs",$A$5,"Region","Europe and Central Asia","Cost Type","Estimate","Work Type","Upgrading")</f>
        <v>0.79649999999999999</v>
      </c>
      <c r="J34" s="70">
        <f>GETPIVOTDATA("Average of Unit costs",$A$5,"Region","Europe and Central Asia","Cost Type","Actual","Work Type","Upgrading")</f>
        <v>0.77711498618784525</v>
      </c>
      <c r="K34" s="70">
        <f>GETPIVOTDATA("Average of Length (km)",$A$5,"Region","Europe and Central Asia","Cost Type","Actual","Work Type","Upgrading")</f>
        <v>25.05</v>
      </c>
      <c r="L34" s="41">
        <f>GETPIVOTDATA("Count of Cost Type",$A$5,"Region","East Asia and Pacific","Cost Type","Actual","Work Type","Upgrading")</f>
        <v>46</v>
      </c>
    </row>
    <row r="35" spans="1:12" x14ac:dyDescent="0.25">
      <c r="A35" s="86" t="s">
        <v>945</v>
      </c>
      <c r="B35" s="87">
        <v>34</v>
      </c>
      <c r="C35" s="87">
        <v>34</v>
      </c>
      <c r="D35" s="88">
        <v>378.92617647058825</v>
      </c>
      <c r="E35" s="88">
        <v>0.32424315280740618</v>
      </c>
      <c r="F35" s="88">
        <v>47.773309537407201</v>
      </c>
      <c r="H35" s="71" t="s">
        <v>950</v>
      </c>
      <c r="I35" s="70">
        <f>GETPIVOTDATA("Average of Unit costs",$A$5,"Region","Sub-Saharan Africa","Cost Type","Estimate","Work Type","Upgrading")</f>
        <v>0.3011265169190111</v>
      </c>
      <c r="J35" s="70">
        <f>GETPIVOTDATA("Average of Unit costs",$A$5,"Region","Sub-Saharan Africa","Cost Type","Actual","Work Type","Upgrading")</f>
        <v>0.59775450233921323</v>
      </c>
      <c r="K35" s="70">
        <f>GETPIVOTDATA("Average of Length (km)",$A$5,"Region","Sub-Saharan Africa","Cost Type","Actual","Work Type","Upgrading")</f>
        <v>128.72709677419357</v>
      </c>
      <c r="L35" s="41">
        <f>GETPIVOTDATA("Count of Cost Type",$A$5,"Region","Sub-Saharan Africa","Cost Type","Actual","Work Type","Upgrading")</f>
        <v>31</v>
      </c>
    </row>
    <row r="36" spans="1:12" x14ac:dyDescent="0.25">
      <c r="A36" s="89" t="s">
        <v>32</v>
      </c>
      <c r="B36" s="87">
        <v>17</v>
      </c>
      <c r="C36" s="87">
        <v>17</v>
      </c>
      <c r="D36" s="88">
        <v>334.5617647058823</v>
      </c>
      <c r="E36" s="88">
        <v>0.40149607021591371</v>
      </c>
      <c r="F36" s="88">
        <v>53.501913192461458</v>
      </c>
      <c r="H36" s="71" t="s">
        <v>946</v>
      </c>
      <c r="I36" s="70">
        <f>GETPIVOTDATA("Average of Unit costs",$A$5,"Region","Latin America and Caribbean","Cost Type","Estimate","Work Type","Upgrading")</f>
        <v>0.28077681726609421</v>
      </c>
      <c r="J36" s="70">
        <f>GETPIVOTDATA("Average of Unit costs",$A$5,"Region","Latin America and Caribbean","Cost Type","Actual","Work Type","Upgrading")</f>
        <v>0.49913982497744869</v>
      </c>
      <c r="K36" s="70">
        <f>GETPIVOTDATA("Average of Length (km)",$A$5,"Region","Latin America and Caribbean","Cost Type","Actual","Work Type","Upgrading")</f>
        <v>60.833333333333336</v>
      </c>
      <c r="L36" s="41">
        <f>GETPIVOTDATA("Count of Cost Type",$A$5,"Region","Latin America and Caribbean","Cost Type","Actual","Work Type","Upgrading")</f>
        <v>9</v>
      </c>
    </row>
    <row r="37" spans="1:12" x14ac:dyDescent="0.25">
      <c r="A37" s="89" t="s">
        <v>29</v>
      </c>
      <c r="B37" s="87">
        <v>17</v>
      </c>
      <c r="C37" s="87">
        <v>17</v>
      </c>
      <c r="D37" s="88">
        <v>423.29058823529414</v>
      </c>
      <c r="E37" s="88">
        <v>0.24699023539889864</v>
      </c>
      <c r="F37" s="88">
        <v>42.044705882352943</v>
      </c>
      <c r="H37" s="71" t="s">
        <v>945</v>
      </c>
      <c r="I37" s="70">
        <f>GETPIVOTDATA("Average of Unit costs",$A$5,"Region","East Asia and Pacific","Cost Type","Estimate","Work Type","Upgrading")</f>
        <v>0.16503780008176794</v>
      </c>
      <c r="J37" s="70">
        <f>GETPIVOTDATA("Average of Unit costs",$A$5,"Region","East Asia and Pacific","Cost Type","Actual","Work Type","Upgrading")</f>
        <v>0.18136789745599155</v>
      </c>
      <c r="K37" s="70">
        <f>GETPIVOTDATA("Average of Length (km)",$A$5,"Region","East Asia and Pacific","Cost Type","Actual","Work Type","Upgrading")</f>
        <v>162.39847826086955</v>
      </c>
      <c r="L37" s="41">
        <f>GETPIVOTDATA("Count of Cost Type",$A$5,"Region","East Asia and Pacific","Cost Type","Actual","Work Type","Upgrading")</f>
        <v>46</v>
      </c>
    </row>
    <row r="38" spans="1:12" x14ac:dyDescent="0.25">
      <c r="A38" s="90" t="s">
        <v>947</v>
      </c>
      <c r="B38" s="87">
        <v>64</v>
      </c>
      <c r="C38" s="87">
        <v>64</v>
      </c>
      <c r="D38" s="88">
        <v>40.812500000000007</v>
      </c>
      <c r="E38" s="88">
        <v>0.26767170630757164</v>
      </c>
      <c r="F38" s="88">
        <v>17.12591333467698</v>
      </c>
      <c r="H38" s="71" t="s">
        <v>948</v>
      </c>
      <c r="I38" s="70">
        <f>GETPIVOTDATA("Average of Unit costs",$A$5,"Region","South Asia","Cost Type","Estimate","Work Type","Upgrading")</f>
        <v>9.1787622210083034E-2</v>
      </c>
      <c r="J38" s="70">
        <f>GETPIVOTDATA("Average of Unit costs",$A$5,"Region","South Asia","Cost Type","Actual","Work Type","Upgrading")</f>
        <v>0.12836354780463785</v>
      </c>
      <c r="K38" s="70">
        <f>GETPIVOTDATA("Average of Length (km)",$A$5,"Region","South Asia","Cost Type","Actual","Work Type","Upgrading")</f>
        <v>1179.4454545454546</v>
      </c>
      <c r="L38" s="41">
        <f>GETPIVOTDATA("Count of Cost Type",$A$5,"Region","South Asia","Cost Type","Actual","Work Type","Upgrading")</f>
        <v>11</v>
      </c>
    </row>
    <row r="39" spans="1:12" x14ac:dyDescent="0.25">
      <c r="A39" s="89" t="s">
        <v>32</v>
      </c>
      <c r="B39" s="87">
        <v>32</v>
      </c>
      <c r="C39" s="87">
        <v>32</v>
      </c>
      <c r="D39" s="88">
        <v>47.834375000000009</v>
      </c>
      <c r="E39" s="88">
        <v>0.25960771892821366</v>
      </c>
      <c r="F39" s="88">
        <v>18.701508758098555</v>
      </c>
    </row>
    <row r="40" spans="1:12" x14ac:dyDescent="0.25">
      <c r="A40" s="89" t="s">
        <v>29</v>
      </c>
      <c r="B40" s="87">
        <v>32</v>
      </c>
      <c r="C40" s="87">
        <v>32</v>
      </c>
      <c r="D40" s="88">
        <v>33.790624999999999</v>
      </c>
      <c r="E40" s="88">
        <v>0.27573569368692952</v>
      </c>
      <c r="F40" s="88">
        <v>15.55031791125541</v>
      </c>
    </row>
    <row r="41" spans="1:12" x14ac:dyDescent="0.25">
      <c r="A41" s="90" t="s">
        <v>946</v>
      </c>
      <c r="B41" s="87">
        <v>80</v>
      </c>
      <c r="C41" s="87">
        <v>80</v>
      </c>
      <c r="D41" s="88">
        <v>574.49750000000017</v>
      </c>
      <c r="E41" s="88">
        <v>0.1461686664738491</v>
      </c>
      <c r="F41" s="88">
        <v>33.480402074999994</v>
      </c>
    </row>
    <row r="42" spans="1:12" x14ac:dyDescent="0.25">
      <c r="A42" s="89" t="s">
        <v>32</v>
      </c>
      <c r="B42" s="87">
        <v>40</v>
      </c>
      <c r="C42" s="87">
        <v>40</v>
      </c>
      <c r="D42" s="88">
        <v>619.24250000000018</v>
      </c>
      <c r="E42" s="88">
        <v>0.17214223460802813</v>
      </c>
      <c r="F42" s="88">
        <v>41.207754149999992</v>
      </c>
    </row>
    <row r="43" spans="1:12" x14ac:dyDescent="0.25">
      <c r="A43" s="89" t="s">
        <v>29</v>
      </c>
      <c r="B43" s="87">
        <v>40</v>
      </c>
      <c r="C43" s="87">
        <v>40</v>
      </c>
      <c r="D43" s="88">
        <v>529.75250000000028</v>
      </c>
      <c r="E43" s="88">
        <v>0.12019509833966993</v>
      </c>
      <c r="F43" s="88">
        <v>25.753050000000002</v>
      </c>
    </row>
    <row r="44" spans="1:12" x14ac:dyDescent="0.25">
      <c r="A44" s="90" t="s">
        <v>949</v>
      </c>
      <c r="B44" s="87">
        <v>34</v>
      </c>
      <c r="C44" s="87">
        <v>34</v>
      </c>
      <c r="D44" s="88">
        <v>56.085294117647052</v>
      </c>
      <c r="E44" s="88">
        <v>0.12995275678427071</v>
      </c>
      <c r="F44" s="88">
        <v>6.6772280968263136</v>
      </c>
    </row>
    <row r="45" spans="1:12" x14ac:dyDescent="0.25">
      <c r="A45" s="89" t="s">
        <v>32</v>
      </c>
      <c r="B45" s="87">
        <v>17</v>
      </c>
      <c r="C45" s="87">
        <v>17</v>
      </c>
      <c r="D45" s="88">
        <v>52.723529411764702</v>
      </c>
      <c r="E45" s="88">
        <v>0.14107842475176002</v>
      </c>
      <c r="F45" s="88">
        <v>7.2211313302299338</v>
      </c>
    </row>
    <row r="46" spans="1:12" x14ac:dyDescent="0.25">
      <c r="A46" s="89" t="s">
        <v>29</v>
      </c>
      <c r="B46" s="87">
        <v>17</v>
      </c>
      <c r="C46" s="87">
        <v>17</v>
      </c>
      <c r="D46" s="88">
        <v>59.44705882352941</v>
      </c>
      <c r="E46" s="88">
        <v>0.11882708881678138</v>
      </c>
      <c r="F46" s="88">
        <v>6.1333248634226907</v>
      </c>
    </row>
    <row r="47" spans="1:12" x14ac:dyDescent="0.25">
      <c r="A47" s="90" t="s">
        <v>948</v>
      </c>
      <c r="B47" s="87">
        <v>12</v>
      </c>
      <c r="C47" s="87">
        <v>12</v>
      </c>
      <c r="D47" s="88">
        <v>612.86666666666667</v>
      </c>
      <c r="E47" s="88">
        <v>0.17541542965352683</v>
      </c>
      <c r="F47" s="88">
        <v>33.981313111012724</v>
      </c>
    </row>
    <row r="48" spans="1:12" x14ac:dyDescent="0.25">
      <c r="A48" s="89" t="s">
        <v>32</v>
      </c>
      <c r="B48" s="87">
        <v>6</v>
      </c>
      <c r="C48" s="87">
        <v>6</v>
      </c>
      <c r="D48" s="88">
        <v>516.2833333333333</v>
      </c>
      <c r="E48" s="88">
        <v>0.17204325775160567</v>
      </c>
      <c r="F48" s="88">
        <v>33.349223444247677</v>
      </c>
    </row>
    <row r="49" spans="1:6" x14ac:dyDescent="0.25">
      <c r="A49" s="89" t="s">
        <v>29</v>
      </c>
      <c r="B49" s="87">
        <v>6</v>
      </c>
      <c r="C49" s="87">
        <v>6</v>
      </c>
      <c r="D49" s="88">
        <v>709.44999999999993</v>
      </c>
      <c r="E49" s="88">
        <v>0.17878760155544804</v>
      </c>
      <c r="F49" s="88">
        <v>34.613402777777779</v>
      </c>
    </row>
    <row r="50" spans="1:6" x14ac:dyDescent="0.25">
      <c r="A50" s="86" t="s">
        <v>950</v>
      </c>
      <c r="B50" s="87">
        <v>32</v>
      </c>
      <c r="C50" s="87">
        <v>32</v>
      </c>
      <c r="D50" s="88">
        <v>582.375</v>
      </c>
      <c r="E50" s="88">
        <v>0.64222347546351</v>
      </c>
      <c r="F50" s="88">
        <v>55.335788002035784</v>
      </c>
    </row>
    <row r="51" spans="1:6" x14ac:dyDescent="0.25">
      <c r="A51" s="89" t="s">
        <v>32</v>
      </c>
      <c r="B51" s="87">
        <v>16</v>
      </c>
      <c r="C51" s="87">
        <v>16</v>
      </c>
      <c r="D51" s="88">
        <v>368.46875</v>
      </c>
      <c r="E51" s="88">
        <v>0.84594963030930537</v>
      </c>
      <c r="F51" s="88">
        <v>67.74335304125934</v>
      </c>
    </row>
    <row r="52" spans="1:6" x14ac:dyDescent="0.25">
      <c r="A52" s="89" t="s">
        <v>29</v>
      </c>
      <c r="B52" s="87">
        <v>16</v>
      </c>
      <c r="C52" s="87">
        <v>16</v>
      </c>
      <c r="D52" s="88">
        <v>796.28125</v>
      </c>
      <c r="E52" s="88">
        <v>0.4384973206177144</v>
      </c>
      <c r="F52" s="88">
        <v>42.928222962812214</v>
      </c>
    </row>
    <row r="53" spans="1:6" x14ac:dyDescent="0.25">
      <c r="A53" s="42" t="s">
        <v>44</v>
      </c>
      <c r="B53" s="56">
        <v>43</v>
      </c>
      <c r="C53" s="56">
        <v>43</v>
      </c>
      <c r="D53" s="70">
        <v>4241.986046511628</v>
      </c>
      <c r="E53" s="70">
        <v>2.1095668600118692E-2</v>
      </c>
      <c r="F53" s="70">
        <v>12.739491560869597</v>
      </c>
    </row>
    <row r="54" spans="1:6" x14ac:dyDescent="0.25">
      <c r="A54" s="42" t="s">
        <v>38</v>
      </c>
      <c r="B54" s="56">
        <v>126</v>
      </c>
      <c r="C54" s="56">
        <v>126</v>
      </c>
      <c r="D54" s="70">
        <v>662.14845238095256</v>
      </c>
      <c r="E54" s="70">
        <v>0.2727908941482225</v>
      </c>
      <c r="F54" s="70">
        <v>64.791846446924438</v>
      </c>
    </row>
    <row r="55" spans="1:6" x14ac:dyDescent="0.25">
      <c r="A55" s="42" t="s">
        <v>78</v>
      </c>
      <c r="B55" s="56">
        <v>47</v>
      </c>
      <c r="C55" s="56">
        <v>47</v>
      </c>
      <c r="D55" s="70">
        <v>410.51276595744679</v>
      </c>
      <c r="E55" s="70">
        <v>5.7298407584439694E-2</v>
      </c>
      <c r="F55" s="70">
        <v>21.161517450782455</v>
      </c>
    </row>
    <row r="56" spans="1:6" x14ac:dyDescent="0.25">
      <c r="A56" s="64" t="s">
        <v>387</v>
      </c>
      <c r="B56" s="65">
        <v>198</v>
      </c>
      <c r="C56" s="65">
        <v>198</v>
      </c>
      <c r="D56" s="69">
        <v>228.54797979797988</v>
      </c>
      <c r="E56" s="69">
        <v>0.28478846619429998</v>
      </c>
      <c r="F56" s="69">
        <v>33.746140070142367</v>
      </c>
    </row>
    <row r="57" spans="1:6" x14ac:dyDescent="0.25">
      <c r="A57" s="90" t="s">
        <v>945</v>
      </c>
      <c r="B57" s="87">
        <v>92</v>
      </c>
      <c r="C57" s="87">
        <v>92</v>
      </c>
      <c r="D57" s="88">
        <v>154.97010869565213</v>
      </c>
      <c r="E57" s="88">
        <v>0.17320284876887967</v>
      </c>
      <c r="F57" s="88">
        <v>22.740935033102602</v>
      </c>
    </row>
    <row r="58" spans="1:6" x14ac:dyDescent="0.25">
      <c r="A58" s="89" t="s">
        <v>32</v>
      </c>
      <c r="B58" s="87">
        <v>46</v>
      </c>
      <c r="C58" s="87">
        <v>46</v>
      </c>
      <c r="D58" s="88">
        <v>162.39847826086955</v>
      </c>
      <c r="E58" s="88">
        <v>0.18136789745599155</v>
      </c>
      <c r="F58" s="88">
        <v>24.153137856808787</v>
      </c>
    </row>
    <row r="59" spans="1:6" x14ac:dyDescent="0.25">
      <c r="A59" s="89" t="s">
        <v>29</v>
      </c>
      <c r="B59" s="87">
        <v>46</v>
      </c>
      <c r="C59" s="87">
        <v>46</v>
      </c>
      <c r="D59" s="88">
        <v>147.54173913043479</v>
      </c>
      <c r="E59" s="88">
        <v>0.16503780008176794</v>
      </c>
      <c r="F59" s="88">
        <v>21.328732209396406</v>
      </c>
    </row>
    <row r="60" spans="1:6" x14ac:dyDescent="0.25">
      <c r="A60" s="90" t="s">
        <v>947</v>
      </c>
      <c r="B60" s="87">
        <v>4</v>
      </c>
      <c r="C60" s="87">
        <v>4</v>
      </c>
      <c r="D60" s="88">
        <v>24.524999999999999</v>
      </c>
      <c r="E60" s="88">
        <v>0.78680749309392262</v>
      </c>
      <c r="F60" s="88">
        <v>19.397500000000001</v>
      </c>
    </row>
    <row r="61" spans="1:6" x14ac:dyDescent="0.25">
      <c r="A61" s="89" t="s">
        <v>32</v>
      </c>
      <c r="B61" s="87">
        <v>2</v>
      </c>
      <c r="C61" s="87">
        <v>2</v>
      </c>
      <c r="D61" s="88">
        <v>25.05</v>
      </c>
      <c r="E61" s="88">
        <v>0.77711498618784525</v>
      </c>
      <c r="F61" s="88">
        <v>19.3</v>
      </c>
    </row>
    <row r="62" spans="1:6" x14ac:dyDescent="0.25">
      <c r="A62" s="89" t="s">
        <v>29</v>
      </c>
      <c r="B62" s="87">
        <v>2</v>
      </c>
      <c r="C62" s="87">
        <v>2</v>
      </c>
      <c r="D62" s="88">
        <v>24</v>
      </c>
      <c r="E62" s="88">
        <v>0.79649999999999999</v>
      </c>
      <c r="F62" s="88">
        <v>19.494999999999997</v>
      </c>
    </row>
    <row r="63" spans="1:6" x14ac:dyDescent="0.25">
      <c r="A63" s="90" t="s">
        <v>946</v>
      </c>
      <c r="B63" s="87">
        <v>18</v>
      </c>
      <c r="C63" s="87">
        <v>18</v>
      </c>
      <c r="D63" s="88">
        <v>66.677777777777763</v>
      </c>
      <c r="E63" s="88">
        <v>0.38995832112177142</v>
      </c>
      <c r="F63" s="88">
        <v>15.053333333333335</v>
      </c>
    </row>
    <row r="64" spans="1:6" x14ac:dyDescent="0.25">
      <c r="A64" s="89" t="s">
        <v>32</v>
      </c>
      <c r="B64" s="87">
        <v>9</v>
      </c>
      <c r="C64" s="87">
        <v>9</v>
      </c>
      <c r="D64" s="88">
        <v>60.833333333333336</v>
      </c>
      <c r="E64" s="88">
        <v>0.49913982497744869</v>
      </c>
      <c r="F64" s="88">
        <v>16.321111111111112</v>
      </c>
    </row>
    <row r="65" spans="1:6" x14ac:dyDescent="0.25">
      <c r="A65" s="89" t="s">
        <v>29</v>
      </c>
      <c r="B65" s="87">
        <v>9</v>
      </c>
      <c r="C65" s="87">
        <v>9</v>
      </c>
      <c r="D65" s="88">
        <v>72.522222222222226</v>
      </c>
      <c r="E65" s="88">
        <v>0.28077681726609421</v>
      </c>
      <c r="F65" s="88">
        <v>13.785555555555554</v>
      </c>
    </row>
    <row r="66" spans="1:6" x14ac:dyDescent="0.25">
      <c r="A66" s="90" t="s">
        <v>948</v>
      </c>
      <c r="B66" s="87">
        <v>22</v>
      </c>
      <c r="C66" s="87">
        <v>22</v>
      </c>
      <c r="D66" s="88">
        <v>951.35909090909092</v>
      </c>
      <c r="E66" s="88">
        <v>0.11007558500736044</v>
      </c>
      <c r="F66" s="88">
        <v>58.578155543593567</v>
      </c>
    </row>
    <row r="67" spans="1:6" x14ac:dyDescent="0.25">
      <c r="A67" s="89" t="s">
        <v>32</v>
      </c>
      <c r="B67" s="87">
        <v>11</v>
      </c>
      <c r="C67" s="87">
        <v>11</v>
      </c>
      <c r="D67" s="88">
        <v>1179.4454545454546</v>
      </c>
      <c r="E67" s="88">
        <v>0.12836354780463785</v>
      </c>
      <c r="F67" s="88">
        <v>64.31546260233867</v>
      </c>
    </row>
    <row r="68" spans="1:6" x14ac:dyDescent="0.25">
      <c r="A68" s="89" t="s">
        <v>29</v>
      </c>
      <c r="B68" s="87">
        <v>11</v>
      </c>
      <c r="C68" s="87">
        <v>11</v>
      </c>
      <c r="D68" s="88">
        <v>723.27272727272725</v>
      </c>
      <c r="E68" s="88">
        <v>9.1787622210083034E-2</v>
      </c>
      <c r="F68" s="88">
        <v>52.840848484848486</v>
      </c>
    </row>
    <row r="69" spans="1:6" x14ac:dyDescent="0.25">
      <c r="A69" s="90" t="s">
        <v>950</v>
      </c>
      <c r="B69" s="87">
        <v>62</v>
      </c>
      <c r="C69" s="87">
        <v>62</v>
      </c>
      <c r="D69" s="88">
        <v>141.40403225806452</v>
      </c>
      <c r="E69" s="88">
        <v>0.44944050962911219</v>
      </c>
      <c r="F69" s="88">
        <v>47.617746594898186</v>
      </c>
    </row>
    <row r="70" spans="1:6" x14ac:dyDescent="0.25">
      <c r="A70" s="89" t="s">
        <v>32</v>
      </c>
      <c r="B70" s="87">
        <v>31</v>
      </c>
      <c r="C70" s="87">
        <v>31</v>
      </c>
      <c r="D70" s="88">
        <v>128.72709677419357</v>
      </c>
      <c r="E70" s="88">
        <v>0.59775450233921323</v>
      </c>
      <c r="F70" s="88">
        <v>59.619509541753622</v>
      </c>
    </row>
    <row r="71" spans="1:6" x14ac:dyDescent="0.25">
      <c r="A71" s="89" t="s">
        <v>29</v>
      </c>
      <c r="B71" s="87">
        <v>31</v>
      </c>
      <c r="C71" s="87">
        <v>31</v>
      </c>
      <c r="D71" s="88">
        <v>154.0809677419355</v>
      </c>
      <c r="E71" s="88">
        <v>0.3011265169190111</v>
      </c>
      <c r="F71" s="88">
        <v>35.615983648042722</v>
      </c>
    </row>
    <row r="72" spans="1:6" x14ac:dyDescent="0.25">
      <c r="A72" s="42" t="s">
        <v>56</v>
      </c>
      <c r="B72" s="56">
        <v>28</v>
      </c>
      <c r="C72" s="56">
        <v>28</v>
      </c>
      <c r="D72" s="70">
        <v>150.84392857142862</v>
      </c>
      <c r="E72" s="70">
        <v>1.6653208786405442</v>
      </c>
      <c r="F72" s="70">
        <v>172.00392857142853</v>
      </c>
    </row>
    <row r="73" spans="1:6" x14ac:dyDescent="0.25">
      <c r="A73" s="42" t="s">
        <v>364</v>
      </c>
      <c r="B73" s="56">
        <v>78</v>
      </c>
      <c r="C73" s="56">
        <v>78</v>
      </c>
      <c r="D73" s="70">
        <v>151.44653846153849</v>
      </c>
      <c r="E73" s="70">
        <v>0.95097839164511777</v>
      </c>
      <c r="F73" s="70">
        <v>84.746682206681925</v>
      </c>
    </row>
    <row r="74" spans="1:6" x14ac:dyDescent="0.25">
      <c r="A74" s="42" t="s">
        <v>953</v>
      </c>
      <c r="B74" s="56">
        <v>1122</v>
      </c>
      <c r="C74" s="56">
        <v>1122</v>
      </c>
      <c r="D74" s="70">
        <v>518.4117584670239</v>
      </c>
      <c r="E74" s="70">
        <v>0.56282242771051705</v>
      </c>
      <c r="F74" s="70">
        <v>53.129134655131764</v>
      </c>
    </row>
  </sheetData>
  <mergeCells count="1">
    <mergeCell ref="A1:V1"/>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J58"/>
  <sheetViews>
    <sheetView zoomScale="70" zoomScaleNormal="70" workbookViewId="0">
      <selection sqref="A1:J1"/>
    </sheetView>
  </sheetViews>
  <sheetFormatPr defaultColWidth="9.140625" defaultRowHeight="15" x14ac:dyDescent="0.25"/>
  <cols>
    <col min="1" max="1" width="43.42578125" style="41" bestFit="1" customWidth="1"/>
    <col min="2" max="2" width="30.5703125" style="41" bestFit="1" customWidth="1"/>
    <col min="3" max="3" width="23.42578125" style="41" bestFit="1" customWidth="1"/>
    <col min="4" max="4" width="15" style="41" customWidth="1"/>
    <col min="5" max="5" width="26.28515625" style="41" customWidth="1"/>
    <col min="6" max="6" width="20" style="41" customWidth="1"/>
    <col min="7" max="11" width="41.42578125" style="41" bestFit="1" customWidth="1"/>
    <col min="12" max="12" width="11.28515625" style="41" bestFit="1" customWidth="1"/>
    <col min="13" max="16384" width="9.140625" style="41"/>
  </cols>
  <sheetData>
    <row r="1" spans="1:10" ht="76.5" customHeight="1" x14ac:dyDescent="0.25">
      <c r="A1" s="113" t="s">
        <v>1228</v>
      </c>
      <c r="B1" s="114"/>
      <c r="C1" s="114"/>
      <c r="D1" s="114"/>
      <c r="E1" s="114"/>
      <c r="F1" s="114"/>
      <c r="G1" s="114"/>
      <c r="H1" s="114"/>
      <c r="I1" s="114"/>
      <c r="J1" s="114"/>
    </row>
    <row r="3" spans="1:10" x14ac:dyDescent="0.25">
      <c r="A3" s="41" t="s">
        <v>955</v>
      </c>
      <c r="B3" s="41" t="s">
        <v>935</v>
      </c>
    </row>
    <row r="5" spans="1:10" x14ac:dyDescent="0.25">
      <c r="A5" s="79" t="s">
        <v>952</v>
      </c>
      <c r="B5" s="91" t="s">
        <v>1211</v>
      </c>
      <c r="C5" s="91" t="s">
        <v>1210</v>
      </c>
      <c r="D5" s="92" t="s">
        <v>1212</v>
      </c>
      <c r="F5" s="53" t="s">
        <v>1229</v>
      </c>
      <c r="G5" s="53"/>
      <c r="H5" s="53"/>
    </row>
    <row r="6" spans="1:10" x14ac:dyDescent="0.25">
      <c r="A6" s="94" t="s">
        <v>68</v>
      </c>
      <c r="B6" s="95">
        <v>30</v>
      </c>
      <c r="C6" s="95">
        <v>78</v>
      </c>
      <c r="D6" s="96">
        <f>GETPIVOTDATA("Sum of cost_outlier_over",$A$5,"Work Type","Asphalt Mix Resurfacing")/GETPIVOTDATA("Count of Project ID",$A$5,"Work Type","Asphalt Mix Resurfacing")</f>
        <v>0.38461538461538464</v>
      </c>
    </row>
    <row r="7" spans="1:10" x14ac:dyDescent="0.25">
      <c r="A7" s="42" t="s">
        <v>136</v>
      </c>
      <c r="B7" s="56">
        <v>0</v>
      </c>
      <c r="C7" s="56">
        <v>9</v>
      </c>
      <c r="D7" s="43">
        <f>GETPIVOTDATA("Sum of cost_outlier_over",$A$5,"Work Type","Bituminous Pavement Preventive Treatment")/GETPIVOTDATA("Count of Project ID",$A$5,"Work Type","Bituminous Pavement Preventive Treatment")</f>
        <v>0</v>
      </c>
    </row>
    <row r="8" spans="1:10" x14ac:dyDescent="0.25">
      <c r="A8" s="42" t="s">
        <v>692</v>
      </c>
      <c r="B8" s="56">
        <v>0</v>
      </c>
      <c r="C8" s="56">
        <v>1</v>
      </c>
      <c r="D8" s="43">
        <f>GETPIVOTDATA("Sum of cost_outlier_over",$A$5,"Work Type","Concrete Pavement Restoration")/GETPIVOTDATA("Count of Project ID",$A$5,"Work Type","Concrete Pavement Restoration")</f>
        <v>0</v>
      </c>
    </row>
    <row r="9" spans="1:10" x14ac:dyDescent="0.25">
      <c r="A9" s="94" t="s">
        <v>122</v>
      </c>
      <c r="B9" s="95">
        <v>8</v>
      </c>
      <c r="C9" s="95">
        <v>36</v>
      </c>
      <c r="D9" s="96">
        <f>GETPIVOTDATA("Sum of cost_outlier_over",$A$5,"Work Type","Gravel Resurfacing")/GETPIVOTDATA("Count of Project ID",$A$5,"Work Type","Gravel Resurfacing")</f>
        <v>0.22222222222222221</v>
      </c>
    </row>
    <row r="10" spans="1:10" x14ac:dyDescent="0.25">
      <c r="A10" s="42" t="s">
        <v>74</v>
      </c>
      <c r="B10" s="56">
        <v>0</v>
      </c>
      <c r="C10" s="56">
        <v>6</v>
      </c>
      <c r="D10" s="43">
        <f>GETPIVOTDATA("Sum of cost_outlier_over",$A$5,"Work Type","New 1L Road")/GETPIVOTDATA("Count of Project ID",$A$5,"Work Type","New 1L Road")</f>
        <v>0</v>
      </c>
    </row>
    <row r="11" spans="1:10" x14ac:dyDescent="0.25">
      <c r="A11" s="42" t="s">
        <v>213</v>
      </c>
      <c r="B11" s="56">
        <v>3</v>
      </c>
      <c r="C11" s="56">
        <v>7</v>
      </c>
      <c r="D11" s="43">
        <f>GETPIVOTDATA("Sum of cost_outlier_over",$A$5,"Work Type","New 2L Highway")/GETPIVOTDATA("Count of Project ID",$A$5,"Work Type","New 2L Highway")</f>
        <v>0.42857142857142855</v>
      </c>
    </row>
    <row r="12" spans="1:10" x14ac:dyDescent="0.25">
      <c r="A12" s="94" t="s">
        <v>111</v>
      </c>
      <c r="B12" s="95">
        <v>8</v>
      </c>
      <c r="C12" s="95">
        <v>24</v>
      </c>
      <c r="D12" s="96">
        <f>GETPIVOTDATA("Sum of cost_outlier_over",$A$5,"Work Type","New 4L Expressway")/GETPIVOTDATA("Count of Project ID",$A$5,"Work Type","New 4L Expressway")</f>
        <v>0.33333333333333331</v>
      </c>
    </row>
    <row r="13" spans="1:10" x14ac:dyDescent="0.25">
      <c r="A13" s="42" t="s">
        <v>84</v>
      </c>
      <c r="B13" s="56">
        <v>1</v>
      </c>
      <c r="C13" s="56">
        <v>2</v>
      </c>
      <c r="D13" s="43">
        <f>GETPIVOTDATA("Sum of cost_outlier_over",$A$5,"Work Type","New 6L Expressway")/GETPIVOTDATA("Count of Project ID",$A$5,"Work Type","New 6L Expressway")</f>
        <v>0.5</v>
      </c>
    </row>
    <row r="14" spans="1:10" x14ac:dyDescent="0.25">
      <c r="A14" s="42" t="s">
        <v>162</v>
      </c>
      <c r="B14" s="56">
        <v>0</v>
      </c>
      <c r="C14" s="56">
        <v>2</v>
      </c>
      <c r="D14" s="43">
        <f>GETPIVOTDATA("Sum of cost_outlier_over",$A$5,"Work Type","New 6L Expressway")/GETPIVOTDATA("Count of Project ID",$A$5,"Work Type","New 6L Expressway")</f>
        <v>0.5</v>
      </c>
    </row>
    <row r="15" spans="1:10" x14ac:dyDescent="0.25">
      <c r="A15" s="42" t="s">
        <v>131</v>
      </c>
      <c r="B15" s="56">
        <v>4</v>
      </c>
      <c r="C15" s="56">
        <v>10</v>
      </c>
      <c r="D15" s="43">
        <f>GETPIVOTDATA("Sum of cost_outlier_over",$A$5,"Work Type","Partial Widening")/GETPIVOTDATA("Count of Project ID",$A$5,"Work Type","Partial Widening")</f>
        <v>0</v>
      </c>
    </row>
    <row r="16" spans="1:10" x14ac:dyDescent="0.25">
      <c r="A16" s="94" t="s">
        <v>359</v>
      </c>
      <c r="B16" s="95">
        <v>42</v>
      </c>
      <c r="C16" s="95">
        <v>127</v>
      </c>
      <c r="D16" s="96">
        <f>GETPIVOTDATA("Sum of cost_outlier_over",$A$5,"Work Type","Partial Widening and Reconstruction")/GETPIVOTDATA("Count of Project ID",$A$5,"Work Type","Partial Widening and Reconstruction")</f>
        <v>0.4</v>
      </c>
    </row>
    <row r="17" spans="1:5" x14ac:dyDescent="0.25">
      <c r="A17" s="94" t="s">
        <v>44</v>
      </c>
      <c r="B17" s="95">
        <v>9</v>
      </c>
      <c r="C17" s="95">
        <v>23</v>
      </c>
      <c r="D17" s="96">
        <f>GETPIVOTDATA("Sum of cost_outlier_over",$A$5,"Work Type","Reconstruction")/GETPIVOTDATA("Count of Project ID",$A$5,"Work Type","Reconstruction")</f>
        <v>0.33070866141732286</v>
      </c>
    </row>
    <row r="18" spans="1:5" x14ac:dyDescent="0.25">
      <c r="A18" s="94" t="s">
        <v>38</v>
      </c>
      <c r="B18" s="95">
        <v>15</v>
      </c>
      <c r="C18" s="95">
        <v>63</v>
      </c>
      <c r="D18" s="96">
        <f>GETPIVOTDATA("Sum of cost_outlier_over",$A$5,"Work Type","Routine Maintenance")/GETPIVOTDATA("Count of Project ID",$A$5,"Work Type","Routine Maintenance")</f>
        <v>0.39130434782608697</v>
      </c>
    </row>
    <row r="19" spans="1:5" x14ac:dyDescent="0.25">
      <c r="A19" s="94" t="s">
        <v>78</v>
      </c>
      <c r="B19" s="95">
        <v>5</v>
      </c>
      <c r="C19" s="95">
        <v>21</v>
      </c>
      <c r="D19" s="96">
        <f>GETPIVOTDATA("Sum of cost_outlier_over",$A$5,"Work Type","Strengthening")/GETPIVOTDATA("Count of Project ID",$A$5,"Work Type","Strengthening")</f>
        <v>0.23809523809523808</v>
      </c>
    </row>
    <row r="20" spans="1:5" x14ac:dyDescent="0.25">
      <c r="A20" s="94" t="s">
        <v>387</v>
      </c>
      <c r="B20" s="95">
        <v>30</v>
      </c>
      <c r="C20" s="95">
        <v>99</v>
      </c>
      <c r="D20" s="96">
        <f>GETPIVOTDATA("Sum of cost_outlier_over",$A$5,"Work Type","Surface Treatment Resurfacing")/GETPIVOTDATA("Count of Project ID",$A$5,"Work Type","Surface Treatment Resurfacing")</f>
        <v>0.23809523809523808</v>
      </c>
    </row>
    <row r="21" spans="1:5" x14ac:dyDescent="0.25">
      <c r="A21" s="42" t="s">
        <v>56</v>
      </c>
      <c r="B21" s="56">
        <v>6</v>
      </c>
      <c r="C21" s="56">
        <v>14</v>
      </c>
      <c r="D21" s="43">
        <f>GETPIVOTDATA("Sum of cost_outlier_over",$A$5,"Work Type","Upgrading")/GETPIVOTDATA("Count of Project ID",$A$5,"Work Type","Upgrading")</f>
        <v>0.30303030303030304</v>
      </c>
    </row>
    <row r="22" spans="1:5" x14ac:dyDescent="0.25">
      <c r="A22" s="94" t="s">
        <v>364</v>
      </c>
      <c r="B22" s="95">
        <v>12</v>
      </c>
      <c r="C22" s="95">
        <v>39</v>
      </c>
      <c r="D22" s="96">
        <f>GETPIVOTDATA("Sum of cost_outlier_over",$A$5,"Work Type","Widening")/GETPIVOTDATA("Count of Project ID",$A$5,"Work Type","Widening")</f>
        <v>0.42857142857142855</v>
      </c>
    </row>
    <row r="23" spans="1:5" x14ac:dyDescent="0.25">
      <c r="A23" s="42" t="s">
        <v>953</v>
      </c>
      <c r="B23" s="56">
        <v>173</v>
      </c>
      <c r="C23" s="56">
        <v>561</v>
      </c>
      <c r="D23" s="93">
        <f>GETPIVOTDATA("Sum of cost_outlier_over",$A$5)/GETPIVOTDATA("Count of Project ID",$A$5)</f>
        <v>0.30837789661319071</v>
      </c>
    </row>
    <row r="24" spans="1:5" x14ac:dyDescent="0.25">
      <c r="C24" s="78" t="s">
        <v>1213</v>
      </c>
    </row>
    <row r="25" spans="1:5" x14ac:dyDescent="0.25">
      <c r="C25" s="78" t="s">
        <v>1213</v>
      </c>
    </row>
    <row r="26" spans="1:5" x14ac:dyDescent="0.25">
      <c r="A26" s="79"/>
      <c r="B26" s="80" t="s">
        <v>1224</v>
      </c>
      <c r="C26" s="80" t="s">
        <v>1225</v>
      </c>
    </row>
    <row r="27" spans="1:5" x14ac:dyDescent="0.25">
      <c r="A27" s="42" t="s">
        <v>364</v>
      </c>
      <c r="B27" s="43">
        <f>D22</f>
        <v>0.42857142857142855</v>
      </c>
      <c r="C27" s="70">
        <f>GETPIVOTDATA("Average of Unit costs",$A$39,"Work Type","Widening and Reconstruction")</f>
        <v>1.0145944648689114</v>
      </c>
    </row>
    <row r="28" spans="1:5" x14ac:dyDescent="0.25">
      <c r="A28" s="42" t="s">
        <v>359</v>
      </c>
      <c r="B28" s="43">
        <f>D16</f>
        <v>0.4</v>
      </c>
      <c r="C28" s="70">
        <f>GETPIVOTDATA("Average of Unit costs",$A$39,"Work Type","Reconstruction")</f>
        <v>0.30456528465572597</v>
      </c>
    </row>
    <row r="29" spans="1:5" x14ac:dyDescent="0.25">
      <c r="A29" s="42" t="s">
        <v>38</v>
      </c>
      <c r="B29" s="43">
        <f>D18</f>
        <v>0.39130434782608697</v>
      </c>
      <c r="C29" s="70">
        <f>GETPIVOTDATA("Average of Unit costs",$A$39,"Work Type","Strengthening")</f>
        <v>0.28381776930952868</v>
      </c>
    </row>
    <row r="30" spans="1:5" x14ac:dyDescent="0.25">
      <c r="A30" s="42" t="s">
        <v>68</v>
      </c>
      <c r="B30" s="43">
        <f>D6</f>
        <v>0.38461538461538464</v>
      </c>
      <c r="C30" s="70">
        <f>GETPIVOTDATA("Average of Unit costs",$A$39,"Work Type","Asphalt Mix Resurfacing")</f>
        <v>0.11201948969590375</v>
      </c>
    </row>
    <row r="31" spans="1:5" x14ac:dyDescent="0.25">
      <c r="A31" s="42" t="str">
        <f>A12</f>
        <v>New 4L Expressway</v>
      </c>
      <c r="B31" s="43">
        <f>D12</f>
        <v>0.33333333333333331</v>
      </c>
      <c r="C31" s="70">
        <f>GETPIVOTDATA("Average of Unit costs",$A$39,"Work Type","New 4L Expressway")</f>
        <v>5.5929501832596271</v>
      </c>
    </row>
    <row r="32" spans="1:5" x14ac:dyDescent="0.25">
      <c r="A32" s="42" t="str">
        <f>A17</f>
        <v>Routine Maintenance</v>
      </c>
      <c r="B32" s="43">
        <f>D17</f>
        <v>0.33070866141732286</v>
      </c>
      <c r="C32" s="70">
        <f>GETPIVOTDATA("Average of Unit costs",$A$39,"Work Type","Routine Maintenance")</f>
        <v>2.7218913193456533E-2</v>
      </c>
      <c r="E32" s="41" t="s">
        <v>1197</v>
      </c>
    </row>
    <row r="33" spans="1:6" x14ac:dyDescent="0.25">
      <c r="A33" s="42" t="str">
        <f>A20</f>
        <v>Upgrading</v>
      </c>
      <c r="B33" s="43">
        <f>D20</f>
        <v>0.23809523809523808</v>
      </c>
      <c r="C33" s="70">
        <f>GETPIVOTDATA("Average of Unit costs",$A$39,"Work Type","Upgrading")</f>
        <v>0.34678586139914125</v>
      </c>
    </row>
    <row r="34" spans="1:6" x14ac:dyDescent="0.25">
      <c r="A34" s="42" t="s">
        <v>78</v>
      </c>
      <c r="B34" s="43">
        <f>GETPIVOTDATA("Sum of cost_outlier_over",$A$5,"Work Type","Surface Treatment Resurfacing")/GETPIVOTDATA("Count of Project ID",$A$5,"Work Type","Surface Treatment Resurfacing")</f>
        <v>0.23809523809523808</v>
      </c>
      <c r="C34" s="70">
        <v>5.291698215370165E-2</v>
      </c>
    </row>
    <row r="35" spans="1:6" x14ac:dyDescent="0.25">
      <c r="A35" s="42" t="str">
        <f>A9</f>
        <v>Gravel Resurfacing</v>
      </c>
      <c r="B35" s="43">
        <f>D9</f>
        <v>0.22222222222222221</v>
      </c>
      <c r="C35" s="70">
        <f>GETPIVOTDATA("Average of Unit costs",$A$39,"Work Type","Gravel Resurfacing")</f>
        <v>1.0721868476154802E-2</v>
      </c>
    </row>
    <row r="36" spans="1:6" x14ac:dyDescent="0.25">
      <c r="A36" s="42"/>
      <c r="B36" s="43"/>
      <c r="C36" s="70"/>
    </row>
    <row r="37" spans="1:6" x14ac:dyDescent="0.25">
      <c r="A37" s="41" t="s">
        <v>5</v>
      </c>
      <c r="B37" s="41" t="s">
        <v>32</v>
      </c>
    </row>
    <row r="39" spans="1:6" ht="30" x14ac:dyDescent="0.25">
      <c r="A39" s="79" t="s">
        <v>952</v>
      </c>
      <c r="B39" s="81" t="s">
        <v>1221</v>
      </c>
      <c r="C39" s="81" t="s">
        <v>1217</v>
      </c>
      <c r="D39" s="81" t="s">
        <v>954</v>
      </c>
      <c r="E39" s="81" t="s">
        <v>1220</v>
      </c>
      <c r="F39" s="81" t="s">
        <v>1218</v>
      </c>
    </row>
    <row r="40" spans="1:6" x14ac:dyDescent="0.25">
      <c r="A40" s="76" t="s">
        <v>68</v>
      </c>
      <c r="B40" s="56">
        <v>76</v>
      </c>
      <c r="C40" s="56">
        <v>76</v>
      </c>
      <c r="D40" s="70">
        <v>278.66578947368424</v>
      </c>
      <c r="E40" s="70">
        <v>0.11201948969590375</v>
      </c>
      <c r="F40" s="70">
        <v>31.37915894724674</v>
      </c>
    </row>
    <row r="41" spans="1:6" x14ac:dyDescent="0.25">
      <c r="A41" s="42" t="s">
        <v>136</v>
      </c>
      <c r="B41" s="56">
        <v>9</v>
      </c>
      <c r="C41" s="56">
        <v>9</v>
      </c>
      <c r="D41" s="70">
        <v>353.44444444444446</v>
      </c>
      <c r="E41" s="70">
        <v>4.5334103755433688E-2</v>
      </c>
      <c r="F41" s="70">
        <v>7.7888845393067605</v>
      </c>
    </row>
    <row r="42" spans="1:6" x14ac:dyDescent="0.25">
      <c r="A42" s="42" t="s">
        <v>692</v>
      </c>
      <c r="B42" s="56">
        <v>1</v>
      </c>
      <c r="C42" s="56">
        <v>1</v>
      </c>
      <c r="D42" s="70">
        <v>917</v>
      </c>
      <c r="E42" s="70">
        <v>0.14536532170119956</v>
      </c>
      <c r="F42" s="70">
        <v>133.30000000000001</v>
      </c>
    </row>
    <row r="43" spans="1:6" x14ac:dyDescent="0.25">
      <c r="A43" s="42" t="s">
        <v>122</v>
      </c>
      <c r="B43" s="56">
        <v>36</v>
      </c>
      <c r="C43" s="56">
        <v>36</v>
      </c>
      <c r="D43" s="70">
        <v>1034.4611111111112</v>
      </c>
      <c r="E43" s="70">
        <v>1.0721868476154802E-2</v>
      </c>
      <c r="F43" s="70">
        <v>12.953370244444443</v>
      </c>
    </row>
    <row r="44" spans="1:6" x14ac:dyDescent="0.25">
      <c r="A44" s="42" t="s">
        <v>74</v>
      </c>
      <c r="B44" s="56">
        <v>6</v>
      </c>
      <c r="C44" s="56">
        <v>6</v>
      </c>
      <c r="D44" s="70">
        <v>64.114999999999995</v>
      </c>
      <c r="E44" s="70">
        <v>0.13606955536133256</v>
      </c>
      <c r="F44" s="70">
        <v>8.6266666666666669</v>
      </c>
    </row>
    <row r="45" spans="1:6" x14ac:dyDescent="0.25">
      <c r="A45" s="42" t="s">
        <v>213</v>
      </c>
      <c r="B45" s="56">
        <v>7</v>
      </c>
      <c r="C45" s="56">
        <v>7</v>
      </c>
      <c r="D45" s="70">
        <v>69.039999999999992</v>
      </c>
      <c r="E45" s="70">
        <v>1.1694155833549107</v>
      </c>
      <c r="F45" s="70">
        <v>37.144119449821865</v>
      </c>
    </row>
    <row r="46" spans="1:6" x14ac:dyDescent="0.25">
      <c r="A46" s="42" t="s">
        <v>111</v>
      </c>
      <c r="B46" s="56">
        <v>24</v>
      </c>
      <c r="C46" s="56">
        <v>24</v>
      </c>
      <c r="D46" s="70">
        <v>76.614999999999995</v>
      </c>
      <c r="E46" s="70">
        <v>5.5929501832596271</v>
      </c>
      <c r="F46" s="70">
        <v>374.09218431052182</v>
      </c>
    </row>
    <row r="47" spans="1:6" x14ac:dyDescent="0.25">
      <c r="A47" s="42" t="s">
        <v>84</v>
      </c>
      <c r="B47" s="56">
        <v>2</v>
      </c>
      <c r="C47" s="56">
        <v>2</v>
      </c>
      <c r="D47" s="70">
        <v>21.425000000000001</v>
      </c>
      <c r="E47" s="70">
        <v>17.524899999999999</v>
      </c>
      <c r="F47" s="70">
        <v>271.32499999999999</v>
      </c>
    </row>
    <row r="48" spans="1:6" x14ac:dyDescent="0.25">
      <c r="A48" s="42" t="s">
        <v>162</v>
      </c>
      <c r="B48" s="56">
        <v>1</v>
      </c>
      <c r="C48" s="56">
        <v>1</v>
      </c>
      <c r="D48" s="70">
        <v>1115</v>
      </c>
      <c r="E48" s="70">
        <v>9.4743376779778787E-2</v>
      </c>
      <c r="F48" s="70">
        <v>105.63886510945335</v>
      </c>
    </row>
    <row r="49" spans="1:6" x14ac:dyDescent="0.25">
      <c r="A49" s="42" t="s">
        <v>131</v>
      </c>
      <c r="B49" s="56">
        <v>10</v>
      </c>
      <c r="C49" s="56">
        <v>10</v>
      </c>
      <c r="D49" s="70">
        <v>60.716000000000008</v>
      </c>
      <c r="E49" s="70">
        <v>0.82555502555168625</v>
      </c>
      <c r="F49" s="70">
        <v>27.865723618080615</v>
      </c>
    </row>
    <row r="50" spans="1:6" x14ac:dyDescent="0.25">
      <c r="A50" s="76" t="s">
        <v>359</v>
      </c>
      <c r="B50" s="56">
        <v>128</v>
      </c>
      <c r="C50" s="56">
        <v>128</v>
      </c>
      <c r="D50" s="70">
        <v>327.16757812500003</v>
      </c>
      <c r="E50" s="70">
        <v>0.30456528465572597</v>
      </c>
      <c r="F50" s="70">
        <v>35.648743691176122</v>
      </c>
    </row>
    <row r="51" spans="1:6" x14ac:dyDescent="0.25">
      <c r="A51" s="42" t="s">
        <v>44</v>
      </c>
      <c r="B51" s="56">
        <v>23</v>
      </c>
      <c r="C51" s="56">
        <v>23</v>
      </c>
      <c r="D51" s="70">
        <v>4255.4956521739132</v>
      </c>
      <c r="E51" s="70">
        <v>2.7218913193456533E-2</v>
      </c>
      <c r="F51" s="70">
        <v>13.78622335293011</v>
      </c>
    </row>
    <row r="52" spans="1:6" x14ac:dyDescent="0.25">
      <c r="A52" s="42" t="s">
        <v>38</v>
      </c>
      <c r="B52" s="56">
        <v>63</v>
      </c>
      <c r="C52" s="56">
        <v>63</v>
      </c>
      <c r="D52" s="70">
        <v>684.68626984126956</v>
      </c>
      <c r="E52" s="70">
        <v>0.28381776930952868</v>
      </c>
      <c r="F52" s="70">
        <v>87.333099678034912</v>
      </c>
    </row>
    <row r="53" spans="1:6" x14ac:dyDescent="0.25">
      <c r="A53" s="42" t="s">
        <v>78</v>
      </c>
      <c r="B53" s="56">
        <v>23</v>
      </c>
      <c r="C53" s="56">
        <v>23</v>
      </c>
      <c r="D53" s="70">
        <v>401.26086956521738</v>
      </c>
      <c r="E53" s="70">
        <v>7.144105417159205E-2</v>
      </c>
      <c r="F53" s="70">
        <v>26.102622974693709</v>
      </c>
    </row>
    <row r="54" spans="1:6" x14ac:dyDescent="0.25">
      <c r="A54" s="42" t="s">
        <v>387</v>
      </c>
      <c r="B54" s="56">
        <v>99</v>
      </c>
      <c r="C54" s="56">
        <v>99</v>
      </c>
      <c r="D54" s="70">
        <v>252.85222222222222</v>
      </c>
      <c r="E54" s="70">
        <v>0.34678586139914125</v>
      </c>
      <c r="F54" s="70">
        <v>38.91120430134638</v>
      </c>
    </row>
    <row r="55" spans="1:6" x14ac:dyDescent="0.25">
      <c r="A55" s="42" t="s">
        <v>56</v>
      </c>
      <c r="B55" s="56">
        <v>14</v>
      </c>
      <c r="C55" s="56">
        <v>14</v>
      </c>
      <c r="D55" s="70">
        <v>143.75214285714284</v>
      </c>
      <c r="E55" s="70">
        <v>1.986776740935613</v>
      </c>
      <c r="F55" s="70">
        <v>185.12642857142856</v>
      </c>
    </row>
    <row r="56" spans="1:6" x14ac:dyDescent="0.25">
      <c r="A56" s="42" t="s">
        <v>364</v>
      </c>
      <c r="B56" s="56">
        <v>39</v>
      </c>
      <c r="C56" s="56">
        <v>39</v>
      </c>
      <c r="D56" s="70">
        <v>138.10589743589745</v>
      </c>
      <c r="E56" s="70">
        <v>1.0145944648689114</v>
      </c>
      <c r="F56" s="70">
        <v>87.240074443529736</v>
      </c>
    </row>
    <row r="57" spans="1:6" x14ac:dyDescent="0.25">
      <c r="A57" s="42" t="s">
        <v>953</v>
      </c>
      <c r="B57" s="56">
        <v>561</v>
      </c>
      <c r="C57" s="56">
        <v>561</v>
      </c>
      <c r="D57" s="70">
        <v>519.67567736185356</v>
      </c>
      <c r="E57" s="70">
        <v>0.63624951714267575</v>
      </c>
      <c r="F57" s="70">
        <v>60.784803560408385</v>
      </c>
    </row>
    <row r="58" spans="1:6" x14ac:dyDescent="0.25">
      <c r="A58"/>
      <c r="B58"/>
      <c r="C58"/>
      <c r="D58"/>
      <c r="E58"/>
      <c r="F58"/>
    </row>
  </sheetData>
  <mergeCells count="1">
    <mergeCell ref="A1:J1"/>
  </mergeCell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9A0F2B2E-CDCA-4EE6-9BB7-AF2C53D8933E}">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0829E8A7-57FB-46F0-B0BD-0796F4894CC9}">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All</vt:lpstr>
      <vt:lpstr>All Ratios</vt:lpstr>
      <vt:lpstr>Ratios_estimate_vs_actual</vt:lpstr>
      <vt:lpstr>Ratios_outliers_per_region</vt:lpstr>
      <vt:lpstr>Outliers_by_type</vt:lpstr>
      <vt:lpstr>Unit_costs_per_region</vt:lpstr>
      <vt:lpstr>Project_type_outliers</vt:lpstr>
      <vt:lpstr>All!Print_Titles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Nicolas Arlet</dc:creator>
  <cp:lastModifiedBy>Nicole Anouk Leger</cp:lastModifiedBy>
  <cp:lastPrinted>2017-12-11T22:35:19Z</cp:lastPrinted>
  <dcterms:created xsi:type="dcterms:W3CDTF">2017-12-11T19:29:10Z</dcterms:created>
  <dcterms:modified xsi:type="dcterms:W3CDTF">2018-10-18T21:32:38Z</dcterms:modified>
</cp:coreProperties>
</file>