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tos" sheetId="1" r:id="rId4"/>
    <sheet state="visible" name="Depreciación " sheetId="2" r:id="rId5"/>
    <sheet state="visible" name="Opex inicial" sheetId="3" r:id="rId6"/>
    <sheet state="visible" name="Costos" sheetId="4" r:id="rId7"/>
    <sheet state="visible" name="Inversion - capex" sheetId="5" r:id="rId8"/>
    <sheet state="visible" name="Evalación financiera sin financ" sheetId="6" r:id="rId9"/>
    <sheet state="visible" name=" Evalación financiera financiad" sheetId="7" r:id="rId10"/>
  </sheets>
  <definedNames/>
  <calcPr/>
  <extLst>
    <ext uri="GoogleSheetsCustomDataVersion2">
      <go:sheetsCustomData xmlns:go="http://customooxmlschemas.google.com/" r:id="rId11" roundtripDataChecksum="CHBAIaFwnJSf7kxi0TciplcokDTIuOz1aucNCEbJ7lU="/>
    </ext>
  </extLst>
</workbook>
</file>

<file path=xl/sharedStrings.xml><?xml version="1.0" encoding="utf-8"?>
<sst xmlns="http://schemas.openxmlformats.org/spreadsheetml/2006/main" count="262" uniqueCount="174">
  <si>
    <t>Gastos mensuales (Salarios)</t>
  </si>
  <si>
    <t>Concepto</t>
  </si>
  <si>
    <t>Cantidad</t>
  </si>
  <si>
    <t>Valor unitario</t>
  </si>
  <si>
    <t>Valor unitario con Factor Prestacional</t>
  </si>
  <si>
    <t>Valor total en pesos colombianos</t>
  </si>
  <si>
    <t>Gerente</t>
  </si>
  <si>
    <t>Contador</t>
  </si>
  <si>
    <t>Licenciado en Administración</t>
  </si>
  <si>
    <t>Recursos Humanos</t>
  </si>
  <si>
    <t>Licenciado Investigación Tecnologica</t>
  </si>
  <si>
    <t>Ingeniero de Investigación</t>
  </si>
  <si>
    <t>Licenciado en ventas</t>
  </si>
  <si>
    <t>Representante de Ventas</t>
  </si>
  <si>
    <t xml:space="preserve">Asistente de ventas </t>
  </si>
  <si>
    <t>Gasto total en salarios mensual</t>
  </si>
  <si>
    <t>Gastos Fijos mensuales</t>
  </si>
  <si>
    <t>Administracion</t>
  </si>
  <si>
    <t>Arriendo local</t>
  </si>
  <si>
    <t>Publicidad</t>
  </si>
  <si>
    <t>Servicios Públicos</t>
  </si>
  <si>
    <t>Seguridad</t>
  </si>
  <si>
    <t>Aseo</t>
  </si>
  <si>
    <t>Internet y Telefonia</t>
  </si>
  <si>
    <t>Suministros de Oficina</t>
  </si>
  <si>
    <t>Transoporte de baterías</t>
  </si>
  <si>
    <t>Gasto total mensual</t>
  </si>
  <si>
    <t>Depreciación</t>
  </si>
  <si>
    <t>Tiempo de vida</t>
  </si>
  <si>
    <t>Costo</t>
  </si>
  <si>
    <t>Valor total</t>
  </si>
  <si>
    <t>Total valor de la depreciación anual</t>
  </si>
  <si>
    <t>Edificio</t>
  </si>
  <si>
    <t>Acueducto, planta y redes</t>
  </si>
  <si>
    <t>Elementos Aseo</t>
  </si>
  <si>
    <t>Elementos de seguridad</t>
  </si>
  <si>
    <t>Suministros oficina</t>
  </si>
  <si>
    <t>Internet y telefonía</t>
  </si>
  <si>
    <t>Maquinaria y equipos</t>
  </si>
  <si>
    <t>Muebles y enseres</t>
  </si>
  <si>
    <t>Equipo de computación</t>
  </si>
  <si>
    <t>Software y licencias</t>
  </si>
  <si>
    <t>Dispositivos electronicos del analizador</t>
  </si>
  <si>
    <t>Total valor de la depreciación mensual</t>
  </si>
  <si>
    <t>Proyecciones primer año</t>
  </si>
  <si>
    <t>Total año</t>
  </si>
  <si>
    <t xml:space="preserve">Incremento de ventas mensual 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</si>
  <si>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</si>
  <si>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</si>
  <si>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</si>
  <si>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</si>
  <si>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</si>
  <si>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</si>
  <si>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</si>
  <si>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</si>
  <si>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</si>
  <si>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</si>
  <si>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</si>
  <si>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</si>
  <si>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 xml:space="preserve">Unidades </t>
  </si>
  <si>
    <t>CVU</t>
  </si>
  <si>
    <t>PVU</t>
  </si>
  <si>
    <t>(+) Ingresos</t>
  </si>
  <si>
    <t>(-) Costos totales</t>
  </si>
  <si>
    <t xml:space="preserve">(-) Costos fijos            </t>
  </si>
  <si>
    <t>(-) Costos var. Totales</t>
  </si>
  <si>
    <t>(=) Utilidad bruta</t>
  </si>
  <si>
    <t>(-) Gastos admon. Y ventas</t>
  </si>
  <si>
    <t>EBITDA</t>
  </si>
  <si>
    <t>EBITDA acumulado</t>
  </si>
  <si>
    <t>Pérdida máx. acum.</t>
  </si>
  <si>
    <t>CTU</t>
  </si>
  <si>
    <t>Costos mensuales (Salarios)</t>
  </si>
  <si>
    <t>Soporte web</t>
  </si>
  <si>
    <t>Licenciado en Producción</t>
  </si>
  <si>
    <t>Tecnico de Producción</t>
  </si>
  <si>
    <t>Operario de Producción</t>
  </si>
  <si>
    <t>Costo total en salarios mensual</t>
  </si>
  <si>
    <t>Costos materia prima</t>
  </si>
  <si>
    <t>Costo unitario</t>
  </si>
  <si>
    <t>Costo total de unidades iniciales</t>
  </si>
  <si>
    <t>Placa arduino</t>
  </si>
  <si>
    <t>Sensor NPK</t>
  </si>
  <si>
    <t>Pantalla OLED</t>
  </si>
  <si>
    <t>Modulo Modbus MAX485</t>
  </si>
  <si>
    <t>Cables de conexión</t>
  </si>
  <si>
    <t>Tablero de circuitos</t>
  </si>
  <si>
    <t>Pilas</t>
  </si>
  <si>
    <t>Sensor de humedad</t>
  </si>
  <si>
    <t>Disipador de calor</t>
  </si>
  <si>
    <t>Ensamblaje</t>
  </si>
  <si>
    <t>Costo total</t>
  </si>
  <si>
    <t>Valores expresados en pesos colombianos</t>
  </si>
  <si>
    <t>Costo fijo total mensual</t>
  </si>
  <si>
    <t>Costo varible por unidad</t>
  </si>
  <si>
    <t>Gasto fijo mensual</t>
  </si>
  <si>
    <t>Precio de venta</t>
  </si>
  <si>
    <t>Punto de equilibrio</t>
  </si>
  <si>
    <t>Margen de contribución unitario</t>
  </si>
  <si>
    <t>Inversión de Tramites</t>
  </si>
  <si>
    <t>Tramite</t>
  </si>
  <si>
    <t>Vigencia</t>
  </si>
  <si>
    <t>Inversión Fabricación</t>
  </si>
  <si>
    <t>RUT</t>
  </si>
  <si>
    <t xml:space="preserve">Indefinida </t>
  </si>
  <si>
    <t>Inversión plan de manejo ambiental</t>
  </si>
  <si>
    <t>NIT</t>
  </si>
  <si>
    <t>RUES</t>
  </si>
  <si>
    <t>Derechos de inscripción</t>
  </si>
  <si>
    <t xml:space="preserve">Certificado de matrícula mercantil </t>
  </si>
  <si>
    <t>Certificado de existencia y representación legal</t>
  </si>
  <si>
    <t xml:space="preserve">Libros de Acta de Integrantes </t>
  </si>
  <si>
    <t>Registro Único de Proponentes</t>
  </si>
  <si>
    <t>Anual</t>
  </si>
  <si>
    <t>Inversión total</t>
  </si>
  <si>
    <t>Ruteadora PCB</t>
  </si>
  <si>
    <t>Banda Corrediza</t>
  </si>
  <si>
    <t>Equipo de Soldadura</t>
  </si>
  <si>
    <t>Escritorios</t>
  </si>
  <si>
    <t>Sillas</t>
  </si>
  <si>
    <t>Computadores</t>
  </si>
  <si>
    <t>Recursos de Simulación</t>
  </si>
  <si>
    <t>Impresora 3D</t>
  </si>
  <si>
    <t>Software y Licencias</t>
  </si>
  <si>
    <t>Material Inicial</t>
  </si>
  <si>
    <t>Filtros para tratar aguas residuales</t>
  </si>
  <si>
    <t>Supuestos</t>
  </si>
  <si>
    <t>%</t>
  </si>
  <si>
    <t>Proyección 5 años</t>
  </si>
  <si>
    <t xml:space="preserve">Incremento de ventas </t>
  </si>
  <si>
    <t>Año 0</t>
  </si>
  <si>
    <t>Año 1</t>
  </si>
  <si>
    <t>Año 2</t>
  </si>
  <si>
    <t>Año 3</t>
  </si>
  <si>
    <t>Año 4</t>
  </si>
  <si>
    <t>Año 5</t>
  </si>
  <si>
    <t>Incremento PV</t>
  </si>
  <si>
    <t>Unidades</t>
  </si>
  <si>
    <t>Inflación costos y gastos</t>
  </si>
  <si>
    <t>Impuesto de renta</t>
  </si>
  <si>
    <t>Tasa de descuento</t>
  </si>
  <si>
    <t>TIR</t>
  </si>
  <si>
    <t>(-) Costos fijos</t>
  </si>
  <si>
    <t>VPN</t>
  </si>
  <si>
    <t>(-) Depreciación</t>
  </si>
  <si>
    <t>(=) EBIT</t>
  </si>
  <si>
    <t>(-) Intereses</t>
  </si>
  <si>
    <t>(+) Ingresos no operacionales</t>
  </si>
  <si>
    <t>(=) Utilidad antes de impuestos</t>
  </si>
  <si>
    <t>(-) Impuestos</t>
  </si>
  <si>
    <t>(=) Utilidad neta</t>
  </si>
  <si>
    <t>(+) Depreciación</t>
  </si>
  <si>
    <t>(+) Salvamento de activos no vendidos</t>
  </si>
  <si>
    <t>(-) Inversión</t>
  </si>
  <si>
    <t>(-) Capex</t>
  </si>
  <si>
    <t>(-) Opex</t>
  </si>
  <si>
    <t>(+) Créditos concedidos</t>
  </si>
  <si>
    <t>(-) Amortización de créditos</t>
  </si>
  <si>
    <t>(=) Flujo de caja libre</t>
  </si>
  <si>
    <t>B</t>
  </si>
  <si>
    <t>Ke</t>
  </si>
  <si>
    <t>Wacc</t>
  </si>
  <si>
    <t xml:space="preserve">Inventario </t>
  </si>
  <si>
    <t>Préstamo</t>
  </si>
  <si>
    <t># Cuotas</t>
  </si>
  <si>
    <t>Interés efectivo anual</t>
  </si>
  <si>
    <t>Interés mensual</t>
  </si>
  <si>
    <t>Valor de la cuota</t>
  </si>
  <si>
    <t>Meses</t>
  </si>
  <si>
    <t>Cuota</t>
  </si>
  <si>
    <t>Interés</t>
  </si>
  <si>
    <t>Amortización a capital</t>
  </si>
  <si>
    <t>Saldo deuda</t>
  </si>
  <si>
    <t>Inventario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</si>
</sst>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"/>
  </numFmts>
  <fonts count="17">
    <font>
      <sz val="10.0"/>
      <color rgb="FF000000"/>
      <name val="Arial"/>
      <scheme val="minor"/>
    </font>
    <font>
      <sz val="10.0"/>
      <color theme="1"/>
      <name val="Arial"/>
    </font>
    <font/>
    <font>
      <sz val="10.0"/>
      <color rgb="FF000000"/>
      <name val="Arial"/>
    </font>
    <font>
      <b/>
      <i/>
      <sz val="10.0"/>
      <color rgb="FF000000"/>
      <name val="Arial"/>
    </font>
    <font>
      <color theme="1"/>
      <name val="Arial"/>
      <scheme val="minor"/>
    </font>
    <font>
      <b/>
      <i/>
      <sz val="10.0"/>
      <color theme="1"/>
      <name val="Arial"/>
    </font>
    <font>
      <b/>
      <i/>
      <sz val="12.0"/>
      <color rgb="FF000000"/>
      <name val="Calibri"/>
    </font>
    <font>
      <b/>
      <sz val="10.0"/>
      <color rgb="FF000000"/>
      <name val="Arial"/>
    </font>
    <font>
      <color theme="1"/>
      <name val="Arial"/>
    </font>
    <font>
      <i/>
      <sz val="10.0"/>
      <color rgb="FF000000"/>
      <name val="Arial"/>
    </font>
    <font>
      <sz val="11.0"/>
      <color rgb="FF000000"/>
      <name val="Calibri"/>
    </font>
    <font>
      <b/>
      <sz val="10.0"/>
      <color theme="1"/>
      <name val="Arial"/>
    </font>
    <font>
      <color rgb="FF000000"/>
      <name val="Arial"/>
    </font>
    <font>
      <b/>
      <sz val="11.0"/>
      <color rgb="FF000000"/>
      <name val="Calibri"/>
    </font>
    <font>
      <b/>
      <color theme="1"/>
      <name val="Arial"/>
      <scheme val="minor"/>
    </font>
    <font>
      <sz val="18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</fills>
  <borders count="20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9D9D9"/>
      </left>
      <right style="thin">
        <color rgb="FFD9D9D9"/>
      </right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2" fontId="3" numFmtId="0" xfId="0" applyBorder="1" applyFont="1"/>
    <xf borderId="5" fillId="4" fontId="3" numFmtId="0" xfId="0" applyBorder="1" applyFill="1" applyFont="1"/>
    <xf borderId="6" fillId="4" fontId="3" numFmtId="0" xfId="0" applyBorder="1" applyFont="1"/>
    <xf borderId="0" fillId="0" fontId="3" numFmtId="0" xfId="0" applyFont="1"/>
    <xf borderId="7" fillId="0" fontId="3" numFmtId="0" xfId="0" applyBorder="1" applyFont="1"/>
    <xf borderId="8" fillId="0" fontId="3" numFmtId="0" xfId="0" applyAlignment="1" applyBorder="1" applyFont="1">
      <alignment horizontal="right"/>
    </xf>
    <xf borderId="8" fillId="0" fontId="3" numFmtId="164" xfId="0" applyAlignment="1" applyBorder="1" applyFont="1" applyNumberFormat="1">
      <alignment horizontal="right" readingOrder="0"/>
    </xf>
    <xf borderId="9" fillId="0" fontId="3" numFmtId="164" xfId="0" applyAlignment="1" applyBorder="1" applyFont="1" applyNumberFormat="1">
      <alignment horizontal="right"/>
    </xf>
    <xf borderId="0" fillId="0" fontId="3" numFmtId="164" xfId="0" applyFont="1" applyNumberFormat="1"/>
    <xf borderId="0" fillId="0" fontId="3" numFmtId="0" xfId="0" applyAlignment="1" applyFont="1">
      <alignment horizontal="right"/>
    </xf>
    <xf borderId="8" fillId="0" fontId="3" numFmtId="164" xfId="0" applyAlignment="1" applyBorder="1" applyFont="1" applyNumberFormat="1">
      <alignment horizontal="right"/>
    </xf>
    <xf borderId="9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9" fillId="5" fontId="3" numFmtId="0" xfId="0" applyBorder="1" applyFill="1" applyFont="1"/>
    <xf borderId="9" fillId="5" fontId="3" numFmtId="164" xfId="0" applyBorder="1" applyFont="1" applyNumberFormat="1"/>
    <xf borderId="10" fillId="2" fontId="3" numFmtId="0" xfId="0" applyAlignment="1" applyBorder="1" applyFont="1">
      <alignment horizontal="center"/>
    </xf>
    <xf borderId="11" fillId="3" fontId="3" numFmtId="0" xfId="0" applyAlignment="1" applyBorder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9" fillId="0" fontId="3" numFmtId="0" xfId="0" applyAlignment="1" applyBorder="1" applyFont="1">
      <alignment readingOrder="0"/>
    </xf>
    <xf borderId="9" fillId="0" fontId="3" numFmtId="0" xfId="0" applyAlignment="1" applyBorder="1" applyFont="1">
      <alignment horizontal="right" readingOrder="0"/>
    </xf>
    <xf borderId="9" fillId="0" fontId="3" numFmtId="164" xfId="0" applyAlignment="1" applyBorder="1" applyFont="1" applyNumberFormat="1">
      <alignment horizontal="right" readingOrder="0"/>
    </xf>
    <xf borderId="9" fillId="5" fontId="1" numFmtId="0" xfId="0" applyAlignment="1" applyBorder="1" applyFont="1">
      <alignment readingOrder="0"/>
    </xf>
    <xf borderId="9" fillId="5" fontId="1" numFmtId="164" xfId="0" applyBorder="1" applyFont="1" applyNumberFormat="1"/>
    <xf borderId="10" fillId="2" fontId="1" numFmtId="0" xfId="0" applyBorder="1" applyFont="1"/>
    <xf borderId="11" fillId="3" fontId="1" numFmtId="0" xfId="0" applyAlignment="1" applyBorder="1" applyFont="1">
      <alignment horizontal="center" readingOrder="0"/>
    </xf>
    <xf borderId="9" fillId="3" fontId="1" numFmtId="164" xfId="0" applyBorder="1" applyFont="1" applyNumberFormat="1"/>
    <xf borderId="14" fillId="2" fontId="4" numFmtId="0" xfId="0" applyBorder="1" applyFont="1"/>
    <xf borderId="15" fillId="2" fontId="4" numFmtId="0" xfId="0" applyBorder="1" applyFont="1"/>
    <xf borderId="1" fillId="2" fontId="3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1" fillId="3" fontId="4" numFmtId="0" xfId="0" applyAlignment="1" applyBorder="1" applyFont="1">
      <alignment horizontal="center"/>
    </xf>
    <xf borderId="16" fillId="0" fontId="2" numFmtId="0" xfId="0" applyBorder="1" applyFont="1"/>
    <xf borderId="17" fillId="0" fontId="1" numFmtId="0" xfId="0" applyAlignment="1" applyBorder="1" applyFont="1">
      <alignment horizontal="center"/>
    </xf>
    <xf borderId="18" fillId="3" fontId="6" numFmtId="0" xfId="0" applyAlignment="1" applyBorder="1" applyFont="1">
      <alignment horizontal="center"/>
    </xf>
    <xf borderId="9" fillId="3" fontId="6" numFmtId="0" xfId="0" applyAlignment="1" applyBorder="1" applyFont="1">
      <alignment horizontal="center" vertical="center"/>
    </xf>
    <xf borderId="9" fillId="3" fontId="6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9" fillId="0" fontId="3" numFmtId="0" xfId="0" applyAlignment="1" applyBorder="1" applyFont="1">
      <alignment horizontal="center" readingOrder="0"/>
    </xf>
    <xf borderId="13" fillId="0" fontId="1" numFmtId="164" xfId="0" applyAlignment="1" applyBorder="1" applyFont="1" applyNumberFormat="1">
      <alignment horizontal="center" readingOrder="0"/>
    </xf>
    <xf borderId="9" fillId="0" fontId="1" numFmtId="164" xfId="0" applyAlignment="1" applyBorder="1" applyFont="1" applyNumberFormat="1">
      <alignment horizontal="center"/>
    </xf>
    <xf borderId="0" fillId="0" fontId="5" numFmtId="0" xfId="0" applyAlignment="1" applyFont="1">
      <alignment horizontal="center" readingOrder="0"/>
    </xf>
    <xf borderId="13" fillId="0" fontId="1" numFmtId="164" xfId="0" applyAlignment="1" applyBorder="1" applyFont="1" applyNumberFormat="1">
      <alignment horizontal="center"/>
    </xf>
    <xf borderId="0" fillId="0" fontId="1" numFmtId="0" xfId="0" applyAlignment="1" applyFont="1">
      <alignment horizontal="center" vertical="center"/>
    </xf>
    <xf borderId="9" fillId="0" fontId="3" numFmtId="0" xfId="0" applyAlignment="1" applyBorder="1" applyFont="1">
      <alignment horizontal="center" readingOrder="0" vertical="center"/>
    </xf>
    <xf borderId="13" fillId="0" fontId="1" numFmtId="164" xfId="0" applyAlignment="1" applyBorder="1" applyFont="1" applyNumberFormat="1">
      <alignment horizontal="center" readingOrder="0" vertical="center"/>
    </xf>
    <xf borderId="9" fillId="0" fontId="1" numFmtId="164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5" fillId="3" fontId="6" numFmtId="0" xfId="0" applyAlignment="1" applyBorder="1" applyFont="1">
      <alignment horizontal="center" readingOrder="0"/>
    </xf>
    <xf borderId="5" fillId="3" fontId="6" numFmtId="0" xfId="0" applyAlignment="1" applyBorder="1" applyFont="1">
      <alignment horizontal="center"/>
    </xf>
    <xf borderId="9" fillId="3" fontId="6" numFmtId="164" xfId="0" applyAlignment="1" applyBorder="1" applyFont="1" applyNumberFormat="1">
      <alignment horizontal="center"/>
    </xf>
    <xf borderId="1" fillId="2" fontId="7" numFmtId="0" xfId="0" applyAlignment="1" applyBorder="1" applyFont="1">
      <alignment horizontal="center"/>
    </xf>
    <xf borderId="0" fillId="0" fontId="3" numFmtId="0" xfId="0" applyAlignment="1" applyFont="1">
      <alignment horizontal="center" readingOrder="0" shrinkToFit="0" vertical="bottom" wrapText="0"/>
    </xf>
    <xf borderId="0" fillId="0" fontId="3" numFmtId="9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/>
    </xf>
    <xf borderId="11" fillId="3" fontId="8" numFmtId="0" xfId="0" applyAlignment="1" applyBorder="1" applyFont="1">
      <alignment horizontal="center" readingOrder="0" shrinkToFit="0" vertical="bottom" wrapText="0"/>
    </xf>
    <xf borderId="19" fillId="3" fontId="1" numFmtId="0" xfId="0" applyAlignment="1" applyBorder="1" applyFont="1">
      <alignment horizontal="center" readingOrder="0" vertical="center"/>
    </xf>
    <xf borderId="11" fillId="4" fontId="3" numFmtId="0" xfId="0" applyAlignment="1" applyBorder="1" applyFont="1">
      <alignment horizontal="center" readingOrder="0" shrinkToFit="0" vertical="bottom" wrapText="0"/>
    </xf>
    <xf borderId="11" fillId="4" fontId="3" numFmtId="9" xfId="0" applyAlignment="1" applyBorder="1" applyFont="1" applyNumberFormat="1">
      <alignment horizontal="center" readingOrder="0" shrinkToFit="0" vertical="bottom" wrapText="0"/>
    </xf>
    <xf borderId="9" fillId="4" fontId="3" numFmtId="9" xfId="0" applyAlignment="1" applyBorder="1" applyFont="1" applyNumberFormat="1">
      <alignment horizontal="center" readingOrder="0" shrinkToFit="0" vertical="bottom" wrapText="0"/>
    </xf>
    <xf borderId="12" fillId="4" fontId="3" numFmtId="0" xfId="0" applyAlignment="1" applyBorder="1" applyFont="1">
      <alignment horizontal="center" readingOrder="0" shrinkToFit="0" vertical="bottom" wrapText="0"/>
    </xf>
    <xf borderId="17" fillId="0" fontId="2" numFmtId="0" xfId="0" applyBorder="1" applyFont="1"/>
    <xf borderId="9" fillId="4" fontId="3" numFmtId="0" xfId="0" applyAlignment="1" applyBorder="1" applyFont="1">
      <alignment horizontal="center" readingOrder="0" shrinkToFit="0" vertical="bottom" wrapText="0"/>
    </xf>
    <xf borderId="9" fillId="6" fontId="3" numFmtId="0" xfId="0" applyAlignment="1" applyBorder="1" applyFill="1" applyFont="1">
      <alignment horizontal="center" readingOrder="0" shrinkToFit="0" vertical="bottom" wrapText="0"/>
    </xf>
    <xf borderId="7" fillId="0" fontId="2" numFmtId="0" xfId="0" applyBorder="1" applyFont="1"/>
    <xf borderId="9" fillId="0" fontId="3" numFmtId="0" xfId="0" applyAlignment="1" applyBorder="1" applyFont="1">
      <alignment horizontal="center" readingOrder="0" shrinkToFit="0" vertical="bottom" wrapText="0"/>
    </xf>
    <xf borderId="9" fillId="0" fontId="3" numFmtId="1" xfId="0" applyAlignment="1" applyBorder="1" applyFont="1" applyNumberFormat="1">
      <alignment horizontal="center" readingOrder="0" shrinkToFit="0" vertical="bottom" wrapText="0"/>
    </xf>
    <xf borderId="9" fillId="6" fontId="1" numFmtId="3" xfId="0" applyAlignment="1" applyBorder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11" fillId="0" fontId="3" numFmtId="164" xfId="0" applyAlignment="1" applyBorder="1" applyFont="1" applyNumberFormat="1">
      <alignment horizontal="center" readingOrder="0"/>
    </xf>
    <xf borderId="9" fillId="6" fontId="1" numFmtId="0" xfId="0" applyAlignment="1" applyBorder="1" applyFont="1">
      <alignment horizontal="center"/>
    </xf>
    <xf borderId="9" fillId="0" fontId="3" numFmtId="0" xfId="0" applyAlignment="1" applyBorder="1" applyFont="1">
      <alignment horizontal="left" readingOrder="0" shrinkToFit="0" vertical="bottom" wrapText="0"/>
    </xf>
    <xf borderId="9" fillId="0" fontId="1" numFmtId="164" xfId="0" applyAlignment="1" applyBorder="1" applyFont="1" applyNumberFormat="1">
      <alignment horizontal="center"/>
    </xf>
    <xf borderId="9" fillId="6" fontId="1" numFmtId="164" xfId="0" applyAlignment="1" applyBorder="1" applyFont="1" applyNumberFormat="1">
      <alignment horizontal="center"/>
    </xf>
    <xf borderId="9" fillId="6" fontId="3" numFmtId="164" xfId="0" applyAlignment="1" applyBorder="1" applyFont="1" applyNumberFormat="1">
      <alignment horizontal="center" shrinkToFit="0" vertical="bottom" wrapText="0"/>
    </xf>
    <xf borderId="9" fillId="0" fontId="3" numFmtId="0" xfId="0" applyAlignment="1" applyBorder="1" applyFont="1">
      <alignment horizontal="right" readingOrder="0" shrinkToFit="0" vertical="bottom" wrapText="0"/>
    </xf>
    <xf borderId="11" fillId="3" fontId="1" numFmtId="0" xfId="0" applyAlignment="1" applyBorder="1" applyFont="1">
      <alignment horizontal="center" vertical="bottom"/>
    </xf>
    <xf borderId="7" fillId="4" fontId="1" numFmtId="0" xfId="0" applyAlignment="1" applyBorder="1" applyFont="1">
      <alignment horizontal="center" vertical="bottom"/>
    </xf>
    <xf borderId="8" fillId="4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vertical="bottom"/>
    </xf>
    <xf borderId="13" fillId="0" fontId="1" numFmtId="0" xfId="0" applyAlignment="1" applyBorder="1" applyFont="1">
      <alignment horizontal="center" vertical="bottom"/>
    </xf>
    <xf borderId="13" fillId="0" fontId="1" numFmtId="164" xfId="0" applyAlignment="1" applyBorder="1" applyFont="1" applyNumberFormat="1">
      <alignment horizontal="center" vertical="bottom"/>
    </xf>
    <xf borderId="7" fillId="0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vertical="bottom"/>
    </xf>
    <xf borderId="8" fillId="0" fontId="1" numFmtId="164" xfId="0" applyAlignment="1" applyBorder="1" applyFont="1" applyNumberFormat="1">
      <alignment horizontal="center" vertical="bottom"/>
    </xf>
    <xf borderId="7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9" fillId="5" fontId="3" numFmtId="0" xfId="0" applyAlignment="1" applyBorder="1" applyFont="1">
      <alignment horizontal="center" readingOrder="0"/>
    </xf>
    <xf borderId="9" fillId="5" fontId="3" numFmtId="164" xfId="0" applyAlignment="1" applyBorder="1" applyFont="1" applyNumberFormat="1">
      <alignment horizontal="center"/>
    </xf>
    <xf borderId="11" fillId="3" fontId="1" numFmtId="0" xfId="0" applyAlignment="1" applyBorder="1" applyFont="1">
      <alignment horizontal="center"/>
    </xf>
    <xf borderId="18" fillId="3" fontId="1" numFmtId="0" xfId="0" applyAlignment="1" applyBorder="1" applyFont="1">
      <alignment horizontal="center"/>
    </xf>
    <xf borderId="11" fillId="0" fontId="1" numFmtId="164" xfId="0" applyAlignment="1" applyBorder="1" applyFont="1" applyNumberFormat="1">
      <alignment horizontal="center"/>
    </xf>
    <xf borderId="5" fillId="4" fontId="1" numFmtId="0" xfId="0" applyAlignment="1" applyBorder="1" applyFont="1">
      <alignment horizontal="center"/>
    </xf>
    <xf borderId="5" fillId="4" fontId="1" numFmtId="164" xfId="0" applyAlignment="1" applyBorder="1" applyFont="1" applyNumberFormat="1">
      <alignment horizontal="center"/>
    </xf>
    <xf borderId="11" fillId="4" fontId="1" numFmtId="164" xfId="0" applyAlignment="1" applyBorder="1" applyFont="1" applyNumberFormat="1">
      <alignment horizontal="center"/>
    </xf>
    <xf borderId="1" fillId="2" fontId="4" numFmtId="0" xfId="0" applyAlignment="1" applyBorder="1" applyFont="1">
      <alignment horizontal="center"/>
    </xf>
    <xf borderId="11" fillId="4" fontId="1" numFmtId="0" xfId="0" applyAlignment="1" applyBorder="1" applyFont="1">
      <alignment horizontal="center" readingOrder="0"/>
    </xf>
    <xf borderId="11" fillId="4" fontId="9" numFmtId="0" xfId="0" applyAlignment="1" applyBorder="1" applyFont="1">
      <alignment horizontal="center" readingOrder="0" vertical="bottom"/>
    </xf>
    <xf borderId="11" fillId="4" fontId="9" numFmtId="164" xfId="0" applyAlignment="1" applyBorder="1" applyFont="1" applyNumberFormat="1">
      <alignment horizontal="center" vertical="bottom"/>
    </xf>
    <xf borderId="11" fillId="7" fontId="1" numFmtId="0" xfId="0" applyAlignment="1" applyBorder="1" applyFill="1" applyFont="1">
      <alignment horizontal="center" readingOrder="0"/>
    </xf>
    <xf borderId="11" fillId="7" fontId="1" numFmtId="164" xfId="0" applyAlignment="1" applyBorder="1" applyFont="1" applyNumberFormat="1">
      <alignment horizontal="center" readingOrder="0"/>
    </xf>
    <xf borderId="9" fillId="7" fontId="1" numFmtId="1" xfId="0" applyAlignment="1" applyBorder="1" applyFont="1" applyNumberFormat="1">
      <alignment horizontal="center"/>
    </xf>
    <xf borderId="13" fillId="7" fontId="1" numFmtId="1" xfId="0" applyAlignment="1" applyBorder="1" applyFont="1" applyNumberFormat="1">
      <alignment horizontal="center"/>
    </xf>
    <xf borderId="13" fillId="7" fontId="1" numFmtId="164" xfId="0" applyAlignment="1" applyBorder="1" applyFont="1" applyNumberFormat="1">
      <alignment horizontal="center"/>
    </xf>
    <xf borderId="11" fillId="7" fontId="5" numFmtId="0" xfId="0" applyAlignment="1" applyBorder="1" applyFont="1">
      <alignment horizontal="center" readingOrder="0"/>
    </xf>
    <xf borderId="11" fillId="7" fontId="5" numFmtId="164" xfId="0" applyAlignment="1" applyBorder="1" applyFont="1" applyNumberFormat="1">
      <alignment horizontal="center"/>
    </xf>
    <xf borderId="11" fillId="4" fontId="3" numFmtId="0" xfId="0" applyAlignment="1" applyBorder="1" applyFont="1">
      <alignment horizontal="center" readingOrder="0"/>
    </xf>
    <xf borderId="11" fillId="5" fontId="4" numFmtId="0" xfId="0" applyAlignment="1" applyBorder="1" applyFont="1">
      <alignment horizontal="center" readingOrder="0"/>
    </xf>
    <xf borderId="9" fillId="6" fontId="1" numFmtId="164" xfId="0" applyAlignment="1" applyBorder="1" applyFont="1" applyNumberFormat="1">
      <alignment horizontal="center"/>
    </xf>
    <xf borderId="0" fillId="0" fontId="3" numFmtId="0" xfId="0" applyAlignment="1" applyFont="1">
      <alignment horizontal="center"/>
    </xf>
    <xf borderId="5" fillId="5" fontId="3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readingOrder="0"/>
    </xf>
    <xf borderId="9" fillId="5" fontId="3" numFmtId="0" xfId="0" applyAlignment="1" applyBorder="1" applyFont="1">
      <alignment horizontal="center"/>
    </xf>
    <xf borderId="9" fillId="6" fontId="10" numFmtId="164" xfId="0" applyAlignment="1" applyBorder="1" applyFont="1" applyNumberFormat="1">
      <alignment horizontal="center" readingOrder="0"/>
    </xf>
    <xf borderId="9" fillId="0" fontId="5" numFmtId="0" xfId="0" applyAlignment="1" applyBorder="1" applyFont="1">
      <alignment horizontal="center" readingOrder="0"/>
    </xf>
    <xf borderId="19" fillId="0" fontId="11" numFmtId="164" xfId="0" applyAlignment="1" applyBorder="1" applyFont="1" applyNumberFormat="1">
      <alignment horizontal="center" readingOrder="0"/>
    </xf>
    <xf borderId="5" fillId="3" fontId="1" numFmtId="0" xfId="0" applyAlignment="1" applyBorder="1" applyFont="1">
      <alignment horizontal="center"/>
    </xf>
    <xf borderId="9" fillId="3" fontId="1" numFmtId="164" xfId="0" applyAlignment="1" applyBorder="1" applyFont="1" applyNumberFormat="1">
      <alignment horizontal="center"/>
    </xf>
    <xf borderId="0" fillId="2" fontId="7" numFmtId="0" xfId="0" applyAlignment="1" applyFont="1">
      <alignment horizontal="center"/>
    </xf>
    <xf borderId="11" fillId="4" fontId="4" numFmtId="0" xfId="0" applyAlignment="1" applyBorder="1" applyFont="1">
      <alignment horizontal="center" readingOrder="0"/>
    </xf>
    <xf borderId="7" fillId="5" fontId="4" numFmtId="0" xfId="0" applyAlignment="1" applyBorder="1" applyFont="1">
      <alignment horizontal="center" readingOrder="0"/>
    </xf>
    <xf borderId="9" fillId="5" fontId="4" numFmtId="0" xfId="0" applyAlignment="1" applyBorder="1" applyFont="1">
      <alignment horizontal="center"/>
    </xf>
    <xf borderId="11" fillId="5" fontId="4" numFmtId="0" xfId="0" applyAlignment="1" applyBorder="1" applyFont="1">
      <alignment horizontal="center"/>
    </xf>
    <xf borderId="9" fillId="0" fontId="11" numFmtId="0" xfId="0" applyAlignment="1" applyBorder="1" applyFont="1">
      <alignment horizontal="center" readingOrder="0" shrinkToFit="0" vertical="bottom" wrapText="0"/>
    </xf>
    <xf borderId="7" fillId="3" fontId="1" numFmtId="0" xfId="0" applyAlignment="1" applyBorder="1" applyFont="1">
      <alignment horizontal="center"/>
    </xf>
    <xf borderId="11" fillId="3" fontId="1" numFmtId="164" xfId="0" applyAlignment="1" applyBorder="1" applyFont="1" applyNumberFormat="1">
      <alignment horizontal="center"/>
    </xf>
    <xf borderId="11" fillId="3" fontId="4" numFmtId="0" xfId="0" applyAlignment="1" applyBorder="1" applyFont="1">
      <alignment horizontal="center" readingOrder="0"/>
    </xf>
    <xf borderId="9" fillId="0" fontId="11" numFmtId="164" xfId="0" applyAlignment="1" applyBorder="1" applyFont="1" applyNumberFormat="1">
      <alignment horizontal="center" readingOrder="0"/>
    </xf>
    <xf borderId="11" fillId="3" fontId="6" numFmtId="0" xfId="0" applyAlignment="1" applyBorder="1" applyFont="1">
      <alignment horizontal="center" readingOrder="0"/>
    </xf>
    <xf borderId="11" fillId="3" fontId="6" numFmtId="164" xfId="0" applyAlignment="1" applyBorder="1" applyFont="1" applyNumberFormat="1">
      <alignment horizontal="center"/>
    </xf>
    <xf borderId="9" fillId="3" fontId="11" numFmtId="0" xfId="0" applyAlignment="1" applyBorder="1" applyFont="1">
      <alignment horizontal="center" readingOrder="0" shrinkToFit="0" vertical="bottom" wrapText="0"/>
    </xf>
    <xf borderId="9" fillId="3" fontId="5" numFmtId="0" xfId="0" applyAlignment="1" applyBorder="1" applyFont="1">
      <alignment horizontal="center" readingOrder="0"/>
    </xf>
    <xf borderId="11" fillId="8" fontId="12" numFmtId="0" xfId="0" applyAlignment="1" applyBorder="1" applyFill="1" applyFont="1">
      <alignment horizontal="center" readingOrder="0" vertical="center"/>
    </xf>
    <xf borderId="9" fillId="0" fontId="5" numFmtId="9" xfId="0" applyAlignment="1" applyBorder="1" applyFont="1" applyNumberFormat="1">
      <alignment horizontal="center" readingOrder="0"/>
    </xf>
    <xf borderId="9" fillId="3" fontId="12" numFmtId="0" xfId="0" applyAlignment="1" applyBorder="1" applyFont="1">
      <alignment horizontal="center" vertical="center"/>
    </xf>
    <xf borderId="9" fillId="4" fontId="12" numFmtId="0" xfId="0" applyAlignment="1" applyBorder="1" applyFont="1">
      <alignment horizontal="center" readingOrder="0" vertical="center"/>
    </xf>
    <xf borderId="9" fillId="4" fontId="12" numFmtId="0" xfId="0" applyAlignment="1" applyBorder="1" applyFont="1">
      <alignment horizontal="center" vertical="center"/>
    </xf>
    <xf borderId="9" fillId="0" fontId="1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vertical="center"/>
    </xf>
    <xf borderId="9" fillId="0" fontId="1" numFmtId="3" xfId="0" applyAlignment="1" applyBorder="1" applyFont="1" applyNumberFormat="1">
      <alignment horizontal="center" vertical="center"/>
    </xf>
    <xf borderId="9" fillId="0" fontId="1" numFmtId="164" xfId="0" applyAlignment="1" applyBorder="1" applyFont="1" applyNumberFormat="1">
      <alignment horizontal="center" vertical="center"/>
    </xf>
    <xf borderId="9" fillId="0" fontId="11" numFmtId="0" xfId="0" applyAlignment="1" applyBorder="1" applyFont="1">
      <alignment horizontal="center" readingOrder="0" shrinkToFit="0" vertical="bottom" wrapText="0"/>
    </xf>
    <xf borderId="13" fillId="0" fontId="13" numFmtId="9" xfId="0" applyAlignment="1" applyBorder="1" applyFont="1" applyNumberFormat="1">
      <alignment horizontal="center" readingOrder="0" shrinkToFit="0" vertical="bottom" wrapText="0"/>
    </xf>
    <xf borderId="0" fillId="0" fontId="5" numFmtId="164" xfId="0" applyAlignment="1" applyFont="1" applyNumberFormat="1">
      <alignment horizontal="center"/>
    </xf>
    <xf borderId="9" fillId="0" fontId="5" numFmtId="9" xfId="0" applyAlignment="1" applyBorder="1" applyFont="1" applyNumberFormat="1">
      <alignment horizontal="center"/>
    </xf>
    <xf borderId="9" fillId="0" fontId="1" numFmtId="0" xfId="0" applyAlignment="1" applyBorder="1" applyFont="1">
      <alignment horizontal="center" vertical="center"/>
    </xf>
    <xf borderId="9" fillId="0" fontId="5" numFmtId="164" xfId="0" applyAlignment="1" applyBorder="1" applyFont="1" applyNumberFormat="1">
      <alignment horizontal="center"/>
    </xf>
    <xf borderId="9" fillId="0" fontId="1" numFmtId="164" xfId="0" applyAlignment="1" applyBorder="1" applyFont="1" applyNumberFormat="1">
      <alignment horizontal="center" readingOrder="0" vertical="center"/>
    </xf>
    <xf borderId="9" fillId="0" fontId="1" numFmtId="4" xfId="0" applyAlignment="1" applyBorder="1" applyFont="1" applyNumberFormat="1">
      <alignment horizontal="center" vertical="center"/>
    </xf>
    <xf borderId="9" fillId="0" fontId="3" numFmtId="164" xfId="0" applyAlignment="1" applyBorder="1" applyFont="1" applyNumberFormat="1">
      <alignment horizontal="center" readingOrder="0" vertical="center"/>
    </xf>
    <xf borderId="9" fillId="3" fontId="14" numFmtId="0" xfId="0" applyAlignment="1" applyBorder="1" applyFont="1">
      <alignment horizontal="center" readingOrder="0" shrinkToFit="0" vertical="bottom" wrapText="0"/>
    </xf>
    <xf borderId="9" fillId="3" fontId="15" numFmtId="0" xfId="0" applyAlignment="1" applyBorder="1" applyFont="1">
      <alignment horizontal="center" readingOrder="0"/>
    </xf>
    <xf borderId="0" fillId="0" fontId="11" numFmtId="0" xfId="0" applyAlignment="1" applyFont="1">
      <alignment horizontal="center" readingOrder="0" shrinkToFit="0" vertical="bottom" wrapText="0"/>
    </xf>
    <xf borderId="9" fillId="0" fontId="13" numFmtId="164" xfId="0" applyAlignment="1" applyBorder="1" applyFont="1" applyNumberFormat="1">
      <alignment horizontal="center" readingOrder="0" shrinkToFit="0" vertical="bottom" wrapText="0"/>
    </xf>
    <xf borderId="9" fillId="0" fontId="5" numFmtId="0" xfId="0" applyAlignment="1" applyBorder="1" applyFont="1">
      <alignment horizontal="center"/>
    </xf>
    <xf borderId="0" fillId="0" fontId="16" numFmtId="0" xfId="0" applyAlignment="1" applyFont="1">
      <alignment horizontal="center" readingOrder="0"/>
    </xf>
    <xf borderId="9" fillId="0" fontId="5" numFmtId="164" xfId="0" applyAlignment="1" applyBorder="1" applyFont="1" applyNumberFormat="1">
      <alignment horizontal="center"/>
    </xf>
    <xf borderId="9" fillId="0" fontId="5" numFmtId="10" xfId="0" applyAlignment="1" applyBorder="1" applyFont="1" applyNumberFormat="1">
      <alignment horizontal="center" readingOrder="0"/>
    </xf>
    <xf borderId="9" fillId="0" fontId="5" numFmtId="10" xfId="0" applyAlignment="1" applyBorder="1" applyFont="1" applyNumberFormat="1">
      <alignment horizontal="center"/>
    </xf>
  </cellXfs>
  <cellStyles count="1">
    <cellStyle xfId="0" name="Normal" builtinId="0"/>
  </cellStyles>
  <dxfs count="3"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36.5"/>
    <col customWidth="1" min="3" max="3" width="12.63"/>
    <col customWidth="1" min="4" max="4" width="18.5"/>
    <col customWidth="1" min="5" max="5" width="28.63"/>
    <col customWidth="1" min="6" max="6" width="25.63"/>
    <col customWidth="1" min="14" max="14" width="19.13"/>
    <col customWidth="1" min="16" max="16" width="18.38"/>
  </cols>
  <sheetData>
    <row r="1" ht="15.75" customHeight="1">
      <c r="A1" s="1"/>
      <c r="B1" s="1"/>
      <c r="C1" s="1"/>
      <c r="D1" s="1"/>
      <c r="E1" s="1"/>
      <c r="F1" s="1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  <c r="T1" s="2"/>
      <c r="U1" s="2"/>
      <c r="V1" s="2"/>
      <c r="W1" s="2"/>
      <c r="X1" s="2"/>
      <c r="Y1" s="2"/>
      <c r="Z1" s="2"/>
    </row>
    <row r="2" ht="15.75" customHeight="1">
      <c r="A2" s="1"/>
      <c r="B2" s="4" t="s">
        <v>0</v>
      </c>
      <c r="C2" s="5"/>
      <c r="D2" s="5"/>
      <c r="E2" s="5"/>
      <c r="F2" s="6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"/>
      <c r="T2" s="2"/>
      <c r="U2" s="2"/>
      <c r="V2" s="2"/>
      <c r="W2" s="2"/>
      <c r="X2" s="2"/>
      <c r="Y2" s="2"/>
      <c r="Z2" s="2"/>
    </row>
    <row r="3" ht="15.75" customHeight="1">
      <c r="A3" s="7"/>
      <c r="B3" s="8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2"/>
      <c r="H3" s="10"/>
      <c r="I3" s="10"/>
      <c r="J3" s="10"/>
      <c r="K3" s="10"/>
      <c r="L3" s="10"/>
      <c r="M3" s="3"/>
      <c r="N3" s="10"/>
      <c r="O3" s="10"/>
      <c r="P3" s="10"/>
      <c r="Q3" s="10"/>
      <c r="R3" s="10"/>
      <c r="S3" s="2"/>
      <c r="T3" s="2"/>
      <c r="U3" s="2"/>
      <c r="V3" s="2"/>
      <c r="W3" s="2"/>
      <c r="X3" s="2"/>
      <c r="Y3" s="2"/>
      <c r="Z3" s="2"/>
    </row>
    <row r="4" ht="15.75" customHeight="1">
      <c r="A4" s="10"/>
      <c r="B4" s="11" t="s">
        <v>6</v>
      </c>
      <c r="C4" s="12">
        <v>1.0</v>
      </c>
      <c r="D4" s="13">
        <v>4640000.0</v>
      </c>
      <c r="E4" s="14">
        <f t="shared" ref="E4:E12" si="1">D4+(0.4*D4)</f>
        <v>6496000</v>
      </c>
      <c r="F4" s="14">
        <f t="shared" ref="F4:F12" si="2">E4*C4</f>
        <v>6496000</v>
      </c>
      <c r="G4" s="2"/>
      <c r="H4" s="15"/>
      <c r="I4" s="16"/>
      <c r="J4" s="16"/>
      <c r="K4" s="10"/>
      <c r="L4" s="16"/>
      <c r="M4" s="3"/>
      <c r="N4" s="10"/>
      <c r="O4" s="16"/>
      <c r="P4" s="16"/>
      <c r="Q4" s="10"/>
      <c r="R4" s="16"/>
      <c r="S4" s="2"/>
      <c r="T4" s="2"/>
      <c r="U4" s="2"/>
      <c r="V4" s="2"/>
      <c r="W4" s="2"/>
      <c r="X4" s="2"/>
      <c r="Y4" s="2"/>
      <c r="Z4" s="2"/>
    </row>
    <row r="5" ht="15.75" customHeight="1">
      <c r="A5" s="10"/>
      <c r="B5" s="11" t="s">
        <v>7</v>
      </c>
      <c r="C5" s="12">
        <v>1.0</v>
      </c>
      <c r="D5" s="17">
        <v>2500000.0</v>
      </c>
      <c r="E5" s="14">
        <f t="shared" si="1"/>
        <v>3500000</v>
      </c>
      <c r="F5" s="14">
        <f t="shared" si="2"/>
        <v>3500000</v>
      </c>
      <c r="G5" s="2"/>
      <c r="H5" s="10"/>
      <c r="I5" s="16"/>
      <c r="J5" s="16"/>
      <c r="K5" s="10"/>
      <c r="L5" s="16"/>
      <c r="M5" s="3"/>
      <c r="N5" s="3"/>
      <c r="O5" s="3"/>
      <c r="P5" s="3"/>
      <c r="Q5" s="3"/>
      <c r="R5" s="3"/>
      <c r="S5" s="2"/>
      <c r="T5" s="2"/>
      <c r="U5" s="2"/>
      <c r="V5" s="2"/>
      <c r="W5" s="2"/>
      <c r="X5" s="2"/>
      <c r="Y5" s="2"/>
      <c r="Z5" s="2"/>
    </row>
    <row r="6" ht="15.75" customHeight="1">
      <c r="A6" s="10"/>
      <c r="B6" s="18" t="s">
        <v>8</v>
      </c>
      <c r="C6" s="12">
        <v>1.0</v>
      </c>
      <c r="D6" s="13">
        <v>2500000.0</v>
      </c>
      <c r="E6" s="14">
        <f t="shared" si="1"/>
        <v>3500000</v>
      </c>
      <c r="F6" s="14">
        <f t="shared" si="2"/>
        <v>3500000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"/>
      <c r="B7" s="18" t="s">
        <v>9</v>
      </c>
      <c r="C7" s="12">
        <v>1.0</v>
      </c>
      <c r="D7" s="13">
        <v>1800000.0</v>
      </c>
      <c r="E7" s="14">
        <f t="shared" si="1"/>
        <v>2520000</v>
      </c>
      <c r="F7" s="14">
        <f t="shared" si="2"/>
        <v>2520000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"/>
      <c r="B8" s="18" t="s">
        <v>10</v>
      </c>
      <c r="C8" s="12">
        <v>1.0</v>
      </c>
      <c r="D8" s="13">
        <v>2500000.0</v>
      </c>
      <c r="E8" s="14">
        <f t="shared" si="1"/>
        <v>3500000</v>
      </c>
      <c r="F8" s="14">
        <f t="shared" si="2"/>
        <v>3500000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"/>
      <c r="B9" s="18" t="s">
        <v>11</v>
      </c>
      <c r="C9" s="12">
        <v>1.0</v>
      </c>
      <c r="D9" s="13">
        <v>2000000.0</v>
      </c>
      <c r="E9" s="14">
        <f t="shared" si="1"/>
        <v>2800000</v>
      </c>
      <c r="F9" s="14">
        <f t="shared" si="2"/>
        <v>2800000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0"/>
      <c r="B10" s="18" t="s">
        <v>12</v>
      </c>
      <c r="C10" s="12">
        <v>1.0</v>
      </c>
      <c r="D10" s="13">
        <v>3000000.0</v>
      </c>
      <c r="E10" s="14">
        <f t="shared" si="1"/>
        <v>4200000</v>
      </c>
      <c r="F10" s="14">
        <f t="shared" si="2"/>
        <v>4200000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0"/>
      <c r="B11" s="18" t="s">
        <v>13</v>
      </c>
      <c r="C11" s="12">
        <v>1.0</v>
      </c>
      <c r="D11" s="13">
        <v>1400000.0</v>
      </c>
      <c r="E11" s="14">
        <f t="shared" si="1"/>
        <v>1960000</v>
      </c>
      <c r="F11" s="14">
        <f t="shared" si="2"/>
        <v>1960000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"/>
      <c r="B12" s="18" t="s">
        <v>14</v>
      </c>
      <c r="C12" s="12">
        <v>1.0</v>
      </c>
      <c r="D12" s="13">
        <v>1160000.0</v>
      </c>
      <c r="E12" s="14">
        <f t="shared" si="1"/>
        <v>1624000</v>
      </c>
      <c r="F12" s="14">
        <f t="shared" si="2"/>
        <v>1624000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19"/>
      <c r="C13" s="19"/>
      <c r="D13" s="15"/>
      <c r="E13" s="20" t="s">
        <v>15</v>
      </c>
      <c r="F13" s="21">
        <f>SUM(F4:F12)</f>
        <v>30100000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"/>
      <c r="B14" s="10"/>
      <c r="C14" s="10"/>
      <c r="D14" s="10"/>
      <c r="E14" s="1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2"/>
      <c r="B15" s="23" t="s">
        <v>16</v>
      </c>
      <c r="C15" s="24"/>
      <c r="D15" s="24"/>
      <c r="E15" s="2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"/>
      <c r="B16" s="8" t="s">
        <v>1</v>
      </c>
      <c r="C16" s="9" t="s">
        <v>2</v>
      </c>
      <c r="D16" s="9" t="s">
        <v>3</v>
      </c>
      <c r="E16" s="9" t="s">
        <v>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"/>
      <c r="B17" s="11" t="s">
        <v>17</v>
      </c>
      <c r="C17" s="12">
        <v>1.0</v>
      </c>
      <c r="D17" s="17">
        <v>250000.0</v>
      </c>
      <c r="E17" s="14">
        <f t="shared" ref="E17:E24" si="3">C17*D17</f>
        <v>250000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"/>
      <c r="B18" s="11" t="s">
        <v>18</v>
      </c>
      <c r="C18" s="12">
        <v>1.0</v>
      </c>
      <c r="D18" s="13">
        <v>5000000.0</v>
      </c>
      <c r="E18" s="14">
        <f t="shared" si="3"/>
        <v>5000000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/>
      <c r="B19" s="11" t="s">
        <v>19</v>
      </c>
      <c r="C19" s="12">
        <v>1.0</v>
      </c>
      <c r="D19" s="17">
        <v>500000.0</v>
      </c>
      <c r="E19" s="14">
        <f t="shared" si="3"/>
        <v>500000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"/>
      <c r="B20" s="11" t="s">
        <v>20</v>
      </c>
      <c r="C20" s="12">
        <v>1.0</v>
      </c>
      <c r="D20" s="13">
        <v>1000000.0</v>
      </c>
      <c r="E20" s="14">
        <f t="shared" si="3"/>
        <v>1000000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/>
      <c r="B21" s="26" t="s">
        <v>21</v>
      </c>
      <c r="C21" s="12">
        <v>1.0</v>
      </c>
      <c r="D21" s="13">
        <v>2000000.0</v>
      </c>
      <c r="E21" s="14">
        <f t="shared" si="3"/>
        <v>2000000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/>
      <c r="B22" s="26" t="s">
        <v>22</v>
      </c>
      <c r="C22" s="12">
        <v>1.0</v>
      </c>
      <c r="D22" s="13">
        <v>1200000.0</v>
      </c>
      <c r="E22" s="14">
        <f t="shared" si="3"/>
        <v>1200000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/>
      <c r="B23" s="18" t="s">
        <v>23</v>
      </c>
      <c r="C23" s="12">
        <v>1.0</v>
      </c>
      <c r="D23" s="13">
        <v>700000.0</v>
      </c>
      <c r="E23" s="14">
        <f t="shared" si="3"/>
        <v>700000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"/>
      <c r="B24" s="18" t="s">
        <v>24</v>
      </c>
      <c r="C24" s="12">
        <v>1.0</v>
      </c>
      <c r="D24" s="13">
        <v>500000.0</v>
      </c>
      <c r="E24" s="14">
        <f t="shared" si="3"/>
        <v>500000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/>
      <c r="B25" s="18" t="s">
        <v>25</v>
      </c>
      <c r="C25" s="27">
        <v>1.0</v>
      </c>
      <c r="D25" s="28">
        <v>1160000.0</v>
      </c>
      <c r="E25" s="14">
        <f>D25*C25</f>
        <v>1160000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9" t="s">
        <v>26</v>
      </c>
      <c r="E26" s="30">
        <f>SUM(E17:E25)</f>
        <v>12310000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1"/>
      <c r="B28" s="32" t="s">
        <v>26</v>
      </c>
      <c r="C28" s="24"/>
      <c r="D28" s="24"/>
      <c r="E28" s="25"/>
      <c r="F28" s="33">
        <f>SUM(F13+E26)</f>
        <v>42410000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3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3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3">
    <mergeCell ref="B2:F2"/>
    <mergeCell ref="B15:E15"/>
    <mergeCell ref="B28:E2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31.38"/>
    <col customWidth="1" min="3" max="3" width="14.38"/>
    <col customWidth="1" min="4" max="5" width="12.63"/>
    <col customWidth="1" min="6" max="6" width="13.75"/>
    <col customWidth="1" min="7" max="7" width="31.75"/>
    <col customWidth="1" min="8" max="8" width="24.38"/>
  </cols>
  <sheetData>
    <row r="1" ht="15.75" customHeight="1">
      <c r="A1" s="36"/>
      <c r="B1" s="36"/>
      <c r="C1" s="36"/>
      <c r="D1" s="36"/>
      <c r="E1" s="36"/>
      <c r="F1" s="36"/>
      <c r="G1" s="36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5.75" customHeight="1">
      <c r="A2" s="36"/>
      <c r="B2" s="38" t="s">
        <v>27</v>
      </c>
      <c r="C2" s="24"/>
      <c r="D2" s="24"/>
      <c r="E2" s="24"/>
      <c r="F2" s="24"/>
      <c r="G2" s="39"/>
      <c r="H2" s="40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5.75" customHeight="1">
      <c r="A3" s="1"/>
      <c r="B3" s="41" t="s">
        <v>1</v>
      </c>
      <c r="C3" s="41" t="s">
        <v>28</v>
      </c>
      <c r="D3" s="41" t="s">
        <v>29</v>
      </c>
      <c r="E3" s="41" t="s">
        <v>2</v>
      </c>
      <c r="F3" s="42" t="s">
        <v>30</v>
      </c>
      <c r="G3" s="43" t="s">
        <v>31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5.75" customHeight="1">
      <c r="A4" s="44"/>
      <c r="B4" s="45" t="s">
        <v>32</v>
      </c>
      <c r="C4" s="45">
        <v>45.0</v>
      </c>
      <c r="D4" s="45">
        <v>5000000.0</v>
      </c>
      <c r="E4" s="45">
        <v>1.0</v>
      </c>
      <c r="F4" s="46">
        <v>5000000.0</v>
      </c>
      <c r="G4" s="47">
        <f t="shared" ref="G4:G14" si="1">F4/C4</f>
        <v>111111.1111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5.75" customHeight="1">
      <c r="A5" s="44"/>
      <c r="B5" s="45" t="s">
        <v>33</v>
      </c>
      <c r="C5" s="45">
        <v>40.0</v>
      </c>
      <c r="D5" s="48">
        <v>1000000.0</v>
      </c>
      <c r="E5" s="45">
        <v>3.0</v>
      </c>
      <c r="F5" s="46">
        <f>D5*E5</f>
        <v>3000000</v>
      </c>
      <c r="G5" s="47">
        <f t="shared" si="1"/>
        <v>75000</v>
      </c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5.75" customHeight="1">
      <c r="A6" s="44"/>
      <c r="B6" s="45" t="s">
        <v>34</v>
      </c>
      <c r="C6" s="45">
        <v>5.0</v>
      </c>
      <c r="D6" s="45">
        <v>1200000.0</v>
      </c>
      <c r="E6" s="45">
        <v>1.0</v>
      </c>
      <c r="F6" s="46">
        <v>1200000.0</v>
      </c>
      <c r="G6" s="47">
        <f t="shared" si="1"/>
        <v>240000</v>
      </c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5.75" customHeight="1">
      <c r="A7" s="44"/>
      <c r="B7" s="45" t="s">
        <v>35</v>
      </c>
      <c r="C7" s="45">
        <v>10.0</v>
      </c>
      <c r="D7" s="45">
        <v>2000000.0</v>
      </c>
      <c r="E7" s="45">
        <v>1.0</v>
      </c>
      <c r="F7" s="49">
        <f>E7*D7</f>
        <v>2000000</v>
      </c>
      <c r="G7" s="47">
        <f t="shared" si="1"/>
        <v>200000</v>
      </c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5.75" customHeight="1">
      <c r="A8" s="44"/>
      <c r="B8" s="45" t="s">
        <v>36</v>
      </c>
      <c r="C8" s="45">
        <v>3.0</v>
      </c>
      <c r="D8" s="45">
        <v>500000.0</v>
      </c>
      <c r="E8" s="45">
        <v>1.0</v>
      </c>
      <c r="F8" s="46">
        <v>500000.0</v>
      </c>
      <c r="G8" s="47">
        <f t="shared" si="1"/>
        <v>166666.6667</v>
      </c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5.75" customHeight="1">
      <c r="A9" s="44"/>
      <c r="B9" s="45" t="s">
        <v>37</v>
      </c>
      <c r="C9" s="45">
        <v>5.0</v>
      </c>
      <c r="D9" s="45">
        <v>700000.0</v>
      </c>
      <c r="E9" s="45">
        <v>2.0</v>
      </c>
      <c r="F9" s="46">
        <v>700000.0</v>
      </c>
      <c r="G9" s="47">
        <f t="shared" si="1"/>
        <v>140000</v>
      </c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5.75" customHeight="1">
      <c r="A10" s="44"/>
      <c r="B10" s="45" t="s">
        <v>38</v>
      </c>
      <c r="C10" s="45">
        <v>10.0</v>
      </c>
      <c r="D10" s="45">
        <v>1.07E7</v>
      </c>
      <c r="E10" s="45">
        <v>4.0</v>
      </c>
      <c r="F10" s="46">
        <v>1.07E7</v>
      </c>
      <c r="G10" s="47">
        <f t="shared" si="1"/>
        <v>1070000</v>
      </c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5.75" customHeight="1">
      <c r="A11" s="44"/>
      <c r="B11" s="45" t="s">
        <v>39</v>
      </c>
      <c r="C11" s="45">
        <v>10.0</v>
      </c>
      <c r="D11" s="45">
        <v>370000.0</v>
      </c>
      <c r="E11" s="45">
        <v>20.0</v>
      </c>
      <c r="F11" s="46">
        <f t="shared" ref="F11:F12" si="2">D11*E11</f>
        <v>7400000</v>
      </c>
      <c r="G11" s="47">
        <f t="shared" si="1"/>
        <v>740000</v>
      </c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5.75" customHeight="1">
      <c r="A12" s="44"/>
      <c r="B12" s="45" t="s">
        <v>40</v>
      </c>
      <c r="C12" s="45">
        <v>10.0</v>
      </c>
      <c r="D12" s="45">
        <v>2500000.0</v>
      </c>
      <c r="E12" s="45">
        <v>10.0</v>
      </c>
      <c r="F12" s="46">
        <f t="shared" si="2"/>
        <v>25000000</v>
      </c>
      <c r="G12" s="47">
        <f t="shared" si="1"/>
        <v>2500000</v>
      </c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5.75" customHeight="1">
      <c r="A13" s="44"/>
      <c r="B13" s="45" t="s">
        <v>41</v>
      </c>
      <c r="C13" s="45">
        <v>10.0</v>
      </c>
      <c r="D13" s="45">
        <v>9000000.0</v>
      </c>
      <c r="E13" s="45">
        <v>2.0</v>
      </c>
      <c r="F13" s="46">
        <v>9000000.0</v>
      </c>
      <c r="G13" s="47">
        <f t="shared" si="1"/>
        <v>900000</v>
      </c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7.25" customHeight="1">
      <c r="A14" s="50"/>
      <c r="B14" s="51" t="s">
        <v>42</v>
      </c>
      <c r="C14" s="51">
        <v>10.0</v>
      </c>
      <c r="D14" s="51">
        <v>504265.0</v>
      </c>
      <c r="E14" s="51">
        <v>9.0</v>
      </c>
      <c r="F14" s="52">
        <v>504265.0</v>
      </c>
      <c r="G14" s="53">
        <f t="shared" si="1"/>
        <v>50426.5</v>
      </c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5.75" customHeight="1">
      <c r="A15" s="1"/>
      <c r="B15" s="55" t="s">
        <v>31</v>
      </c>
      <c r="C15" s="56"/>
      <c r="D15" s="56"/>
      <c r="E15" s="56"/>
      <c r="F15" s="43"/>
      <c r="G15" s="57">
        <f>SUM(G4:G14)</f>
        <v>6193204.278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5.75" customHeight="1">
      <c r="A16" s="58"/>
      <c r="B16" s="55" t="s">
        <v>43</v>
      </c>
      <c r="C16" s="56"/>
      <c r="D16" s="56"/>
      <c r="E16" s="56"/>
      <c r="F16" s="43"/>
      <c r="G16" s="57">
        <f>G15/12</f>
        <v>516100.3565</v>
      </c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5.75" customHeight="1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5.75" customHeight="1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5.75" customHeight="1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5.75" customHeight="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5.7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5.75" customHeight="1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5.75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5.75" customHeight="1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5.75" customHeight="1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5.75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5.75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5.75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5.75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5.75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5.75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5.75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5.7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5.7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5.75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5.75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5.75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5.7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5.75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5.75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5.7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5.7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5.7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5.7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5.7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5.7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5.7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5.7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5.7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5.7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5.7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5.7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5.7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5.7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5.7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5.7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5.7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5.7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5.7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5.7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5.7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5.7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5.7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5.7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5.7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5.7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5.7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5.7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5.7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5.7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5.7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5.7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5.7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5.7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5.7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5.7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5.7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5.7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5.7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5.7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5.7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5.7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5.7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5.7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5.7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5.7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5.7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5.7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5.7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5.7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5.7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5.7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5.7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5.7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5.7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5.7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5.7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5.7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5.7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5.7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5.7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5.7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5.7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5.7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5.7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5.7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5.7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5.7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5.7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5.7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5.7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5.7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5.7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5.7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5.7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5.7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5.7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5.7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5.7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5.7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5.7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5.7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5.7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5.7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5.7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5.7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5.7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5.7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5.7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5.7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5.7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5.7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5.7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5.7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5.7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5.7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5.7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5.7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5.7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5.7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5.7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5.7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5.7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5.7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5.7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5.7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5.7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5.7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5.7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5.7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5.7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5.7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5.7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5.7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5.7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5.7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5.7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5.7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5.7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5.7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5.7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5.7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5.7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5.7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5.7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5.7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5.7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5.7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5.7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5.7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5.7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5.7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5.7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5.7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5.7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5.7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5.7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5.7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5.7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5.7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5.7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5.7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5.7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5.7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5.7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5.7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5.7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5.7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5.7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5.7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5.7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5.7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5.7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5.7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5.7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5.7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5.7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5.7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5.7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5.7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5.7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5.7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5.7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5.7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5.7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5.7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5.7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5.7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5.7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5.7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5.7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5.7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5.7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5.7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5.7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5.7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5.7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5.7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5.7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5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5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5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5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5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5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5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5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5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5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5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5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5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5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5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5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5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5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5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5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5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5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5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5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5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5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5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5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5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5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5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5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5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5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5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5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5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5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5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5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5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5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5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5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5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5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5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5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5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5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5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5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5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5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5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5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5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5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5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5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5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5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5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5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5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5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5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5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5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5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5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5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5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5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5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5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5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5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5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5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5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5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5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5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5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5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5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5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5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5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5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5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5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5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5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5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5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5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5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5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5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5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5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5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5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5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5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5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5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5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5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5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5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5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5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5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5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5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5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5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5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5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5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5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5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5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5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5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5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5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5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5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5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5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5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5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5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5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5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5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5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5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5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5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5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5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5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5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5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5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5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5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5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5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5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5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5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5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5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5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5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5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5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5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5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5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5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5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5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5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5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5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5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5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5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5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5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5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5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5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5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5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5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5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5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5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5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5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5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5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5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5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5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5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5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5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5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5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5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5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5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5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5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5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5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5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5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5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5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5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5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5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5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5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5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5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5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5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5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5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5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5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5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5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5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5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5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5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5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5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5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5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5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5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5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5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5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5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5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5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5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5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5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5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5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5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5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5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5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5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5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5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5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5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5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5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5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5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5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5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5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5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5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5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5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5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5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5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5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5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5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5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5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5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5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5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5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5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5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5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5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5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5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5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5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5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5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5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5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5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5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5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5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5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5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5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5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5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5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5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5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5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5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5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5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5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5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5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5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5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5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5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5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5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5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5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5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5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5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5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5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5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5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5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5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5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5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5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5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5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5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5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5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5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5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5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5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5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5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5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5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5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5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5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5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5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5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5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5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5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5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5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5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5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5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5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5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5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5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5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5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5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5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5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5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5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5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5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5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5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5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5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5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5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5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5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5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5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5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5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5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5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5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5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5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5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5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5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5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5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5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5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5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5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5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5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5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5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5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5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5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5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5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5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5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5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5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5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5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5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5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5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5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5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5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5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5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5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5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5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5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5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5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5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5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5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5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5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5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5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5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5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5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5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5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5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5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5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5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5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5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5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5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5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5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5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5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5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5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5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5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5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5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5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5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5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5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5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5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5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5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5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5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5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5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5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5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5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5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5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5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5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5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5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5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5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5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5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5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5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5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5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5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5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5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5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5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5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5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5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5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5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5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5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5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5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5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5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5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5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5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5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5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5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5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5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5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5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5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5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5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5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5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5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5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5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5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5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5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5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5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5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5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5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5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5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5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5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5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5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5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5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5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5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5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5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5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5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5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5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5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5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5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5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5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5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5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5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5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5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5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5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5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5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5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5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5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5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5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5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5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5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5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5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5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5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5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5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5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5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5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5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5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5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5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5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5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5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5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5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5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5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5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5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5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5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5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5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5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5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5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5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5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5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5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5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5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5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5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5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5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5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5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5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5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5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5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5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5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5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5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5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5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5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5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5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5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5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5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5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5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5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5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5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5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5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5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5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5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5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5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5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5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5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5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5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5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5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5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5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5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5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5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5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5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5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5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5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5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5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5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5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5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5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5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5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5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5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5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5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5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5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5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5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5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5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5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5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5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5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5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5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5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5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5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5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5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5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5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5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5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5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5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5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5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5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5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5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5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5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5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5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5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5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5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5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5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5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5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5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5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5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5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5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5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5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5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5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5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5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5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5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5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5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5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5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5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5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5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5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5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5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5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5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5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5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5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5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5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5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5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5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5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5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5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5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5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5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5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5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5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5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5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5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5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5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5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5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5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5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5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5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5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5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5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5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5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5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5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5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5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5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5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5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5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5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5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5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5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5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5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5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5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5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5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5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5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5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5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5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  <row r="1001" ht="15.75" customHeight="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</row>
  </sheetData>
  <mergeCells count="1">
    <mergeCell ref="B2:G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21.25"/>
    <col customWidth="1" min="5" max="5" width="16.25"/>
    <col customWidth="1" min="15" max="15" width="13.63"/>
  </cols>
  <sheetData>
    <row r="1">
      <c r="A1" s="59"/>
      <c r="B1" s="60"/>
      <c r="C1" s="61"/>
      <c r="D1" s="61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1"/>
      <c r="S1" s="61"/>
      <c r="T1" s="61"/>
      <c r="U1" s="61"/>
      <c r="V1" s="61"/>
      <c r="W1" s="61"/>
      <c r="X1" s="61"/>
      <c r="Y1" s="61"/>
      <c r="Z1" s="61"/>
      <c r="AA1" s="61"/>
    </row>
    <row r="2">
      <c r="A2" s="62"/>
      <c r="B2" s="63" t="s">
        <v>44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  <c r="O2" s="64" t="s">
        <v>45</v>
      </c>
      <c r="P2" s="62"/>
      <c r="Q2" s="62"/>
      <c r="R2" s="59"/>
      <c r="S2" s="61"/>
      <c r="T2" s="61"/>
      <c r="U2" s="61"/>
      <c r="V2" s="61"/>
      <c r="W2" s="61"/>
      <c r="X2" s="61"/>
      <c r="Y2" s="61"/>
      <c r="Z2" s="61"/>
      <c r="AA2" s="61"/>
    </row>
    <row r="3">
      <c r="A3" s="62"/>
      <c r="B3" s="65" t="s">
        <v>46</v>
      </c>
      <c r="C3" s="25"/>
      <c r="D3" s="66">
        <v>0.2</v>
      </c>
      <c r="E3" s="25"/>
      <c r="F3" s="67"/>
      <c r="G3" s="68"/>
      <c r="H3" s="24"/>
      <c r="I3" s="24"/>
      <c r="J3" s="24"/>
      <c r="K3" s="24"/>
      <c r="L3" s="24"/>
      <c r="M3" s="24"/>
      <c r="N3" s="25"/>
      <c r="O3" s="69"/>
      <c r="P3" s="62"/>
      <c r="Q3" s="62"/>
      <c r="R3" s="59"/>
      <c r="S3" s="61"/>
      <c r="T3" s="61"/>
      <c r="U3" s="61"/>
      <c r="V3" s="61"/>
      <c r="W3" s="61"/>
      <c r="X3" s="61"/>
      <c r="Y3" s="61"/>
      <c r="Z3" s="61"/>
      <c r="AA3" s="61"/>
    </row>
    <row r="4">
      <c r="A4" s="62"/>
      <c r="B4" s="70" t="s">
        <v>1</v>
      </c>
      <c r="C4" s="71" t="s">
        <v>47</v>
      </c>
      <c r="D4" s="71" t="s">
        <v>48</v>
      </c>
      <c r="E4" s="71" t="s">
        <v>49</v>
      </c>
      <c r="F4" s="71" t="s">
        <v>50</v>
      </c>
      <c r="G4" s="71" t="s">
        <v>51</v>
      </c>
      <c r="H4" s="71" t="s">
        <v>52</v>
      </c>
      <c r="I4" s="71" t="s">
        <v>53</v>
      </c>
      <c r="J4" s="71" t="s">
        <v>54</v>
      </c>
      <c r="K4" s="71" t="s">
        <v>55</v>
      </c>
      <c r="L4" s="71" t="s">
        <v>56</v>
      </c>
      <c r="M4" s="71" t="s">
        <v>57</v>
      </c>
      <c r="N4" s="71" t="s">
        <v>58</v>
      </c>
      <c r="O4" s="72"/>
      <c r="P4" s="62"/>
      <c r="Q4" s="62"/>
      <c r="R4" s="59"/>
      <c r="S4" s="61"/>
      <c r="T4" s="61"/>
      <c r="U4" s="61"/>
      <c r="V4" s="61"/>
      <c r="W4" s="61"/>
      <c r="X4" s="61"/>
      <c r="Y4" s="61"/>
      <c r="Z4" s="61"/>
      <c r="AA4" s="61"/>
    </row>
    <row r="5">
      <c r="A5" s="62"/>
      <c r="B5" s="73" t="s">
        <v>59</v>
      </c>
      <c r="C5" s="73">
        <v>24.0</v>
      </c>
      <c r="D5" s="74">
        <f t="shared" ref="D5:N5" si="1">C5+($D$3*C5)</f>
        <v>28.8</v>
      </c>
      <c r="E5" s="74">
        <f t="shared" si="1"/>
        <v>34.56</v>
      </c>
      <c r="F5" s="74">
        <f t="shared" si="1"/>
        <v>41.472</v>
      </c>
      <c r="G5" s="74">
        <f t="shared" si="1"/>
        <v>49.7664</v>
      </c>
      <c r="H5" s="74">
        <f t="shared" si="1"/>
        <v>59.71968</v>
      </c>
      <c r="I5" s="74">
        <f t="shared" si="1"/>
        <v>71.663616</v>
      </c>
      <c r="J5" s="74">
        <f t="shared" si="1"/>
        <v>85.9963392</v>
      </c>
      <c r="K5" s="74">
        <f t="shared" si="1"/>
        <v>103.195607</v>
      </c>
      <c r="L5" s="74">
        <f t="shared" si="1"/>
        <v>123.8347284</v>
      </c>
      <c r="M5" s="74">
        <f t="shared" si="1"/>
        <v>148.6016741</v>
      </c>
      <c r="N5" s="74">
        <f t="shared" si="1"/>
        <v>178.322009</v>
      </c>
      <c r="O5" s="75">
        <f>SUM(C5:N5)</f>
        <v>949.9320538</v>
      </c>
      <c r="P5" s="76"/>
      <c r="Q5" s="77">
        <v>1.0</v>
      </c>
      <c r="R5" s="61"/>
      <c r="S5" s="61"/>
      <c r="T5" s="61"/>
      <c r="U5" s="62"/>
    </row>
    <row r="6">
      <c r="A6" s="62"/>
      <c r="B6" s="73" t="s">
        <v>60</v>
      </c>
      <c r="C6" s="78">
        <f>Costos!E27</f>
        <v>462000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5"/>
      <c r="O6" s="79"/>
      <c r="P6" s="62"/>
      <c r="Q6" s="77">
        <v>2.0</v>
      </c>
      <c r="R6" s="61"/>
      <c r="S6" s="61"/>
      <c r="T6" s="61"/>
    </row>
    <row r="7">
      <c r="A7" s="62"/>
      <c r="B7" s="73" t="s">
        <v>61</v>
      </c>
      <c r="C7" s="78">
        <f>Costos!E29</f>
        <v>1200000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5"/>
      <c r="O7" s="79"/>
      <c r="P7" s="62"/>
      <c r="Q7" s="77">
        <v>3.0</v>
      </c>
      <c r="R7" s="61"/>
      <c r="S7" s="61"/>
      <c r="T7" s="61"/>
    </row>
    <row r="8">
      <c r="A8" s="62"/>
      <c r="B8" s="80" t="s">
        <v>62</v>
      </c>
      <c r="C8" s="81">
        <f>C5*C7</f>
        <v>28800000</v>
      </c>
      <c r="D8" s="81">
        <f t="shared" ref="D8:N8" si="2">D5*$C$7</f>
        <v>34560000</v>
      </c>
      <c r="E8" s="81">
        <f t="shared" si="2"/>
        <v>41472000</v>
      </c>
      <c r="F8" s="81">
        <f t="shared" si="2"/>
        <v>49766400</v>
      </c>
      <c r="G8" s="81">
        <f t="shared" si="2"/>
        <v>59719680</v>
      </c>
      <c r="H8" s="81">
        <f t="shared" si="2"/>
        <v>71663616</v>
      </c>
      <c r="I8" s="81">
        <f t="shared" si="2"/>
        <v>85996339.2</v>
      </c>
      <c r="J8" s="81">
        <f t="shared" si="2"/>
        <v>103195607</v>
      </c>
      <c r="K8" s="81">
        <f t="shared" si="2"/>
        <v>123834728.4</v>
      </c>
      <c r="L8" s="81">
        <f t="shared" si="2"/>
        <v>148601674.1</v>
      </c>
      <c r="M8" s="81">
        <f t="shared" si="2"/>
        <v>178322009</v>
      </c>
      <c r="N8" s="81">
        <f t="shared" si="2"/>
        <v>213986410.8</v>
      </c>
      <c r="O8" s="82">
        <f t="shared" ref="O8:O15" si="4">SUM(C8:N8)</f>
        <v>1139918465</v>
      </c>
      <c r="P8" s="62"/>
      <c r="Q8" s="77">
        <v>4.0</v>
      </c>
      <c r="R8" s="61"/>
      <c r="S8" s="61"/>
      <c r="T8" s="61"/>
    </row>
    <row r="9">
      <c r="A9" s="62"/>
      <c r="B9" s="80" t="s">
        <v>63</v>
      </c>
      <c r="C9" s="81">
        <f t="shared" ref="C9:N9" si="3">C10+C11</f>
        <v>25380100.36</v>
      </c>
      <c r="D9" s="81">
        <f t="shared" si="3"/>
        <v>27597700.36</v>
      </c>
      <c r="E9" s="81">
        <f t="shared" si="3"/>
        <v>30258820.36</v>
      </c>
      <c r="F9" s="81">
        <f t="shared" si="3"/>
        <v>33452164.36</v>
      </c>
      <c r="G9" s="81">
        <f t="shared" si="3"/>
        <v>37284177.16</v>
      </c>
      <c r="H9" s="81">
        <f t="shared" si="3"/>
        <v>41882592.52</v>
      </c>
      <c r="I9" s="81">
        <f t="shared" si="3"/>
        <v>47400690.95</v>
      </c>
      <c r="J9" s="81">
        <f t="shared" si="3"/>
        <v>54022409.07</v>
      </c>
      <c r="K9" s="81">
        <f t="shared" si="3"/>
        <v>61968470.81</v>
      </c>
      <c r="L9" s="81">
        <f t="shared" si="3"/>
        <v>71503744.9</v>
      </c>
      <c r="M9" s="81">
        <f t="shared" si="3"/>
        <v>82946073.81</v>
      </c>
      <c r="N9" s="81">
        <f t="shared" si="3"/>
        <v>96676868.5</v>
      </c>
      <c r="O9" s="83">
        <f t="shared" si="4"/>
        <v>610373813.1</v>
      </c>
      <c r="P9" s="61"/>
      <c r="Q9" s="77">
        <v>5.0</v>
      </c>
      <c r="R9" s="61"/>
      <c r="S9" s="61"/>
      <c r="T9" s="61"/>
    </row>
    <row r="10">
      <c r="A10" s="62"/>
      <c r="B10" s="84" t="s">
        <v>64</v>
      </c>
      <c r="C10" s="81">
        <f>Costos!$E$26</f>
        <v>14292100.36</v>
      </c>
      <c r="D10" s="81">
        <f>Costos!$E$26</f>
        <v>14292100.36</v>
      </c>
      <c r="E10" s="81">
        <f>Costos!$E$26</f>
        <v>14292100.36</v>
      </c>
      <c r="F10" s="81">
        <f>Costos!$E$26</f>
        <v>14292100.36</v>
      </c>
      <c r="G10" s="81">
        <f>Costos!$E$26</f>
        <v>14292100.36</v>
      </c>
      <c r="H10" s="81">
        <f>Costos!$E$26</f>
        <v>14292100.36</v>
      </c>
      <c r="I10" s="81">
        <f>Costos!$E$26</f>
        <v>14292100.36</v>
      </c>
      <c r="J10" s="81">
        <f>Costos!$E$26</f>
        <v>14292100.36</v>
      </c>
      <c r="K10" s="81">
        <f>Costos!$E$26</f>
        <v>14292100.36</v>
      </c>
      <c r="L10" s="81">
        <f>Costos!$E$26</f>
        <v>14292100.36</v>
      </c>
      <c r="M10" s="81">
        <f>Costos!$E$26</f>
        <v>14292100.36</v>
      </c>
      <c r="N10" s="81">
        <f>Costos!$E$26</f>
        <v>14292100.36</v>
      </c>
      <c r="O10" s="83">
        <f t="shared" si="4"/>
        <v>171505204.3</v>
      </c>
      <c r="P10" s="61"/>
      <c r="Q10" s="77">
        <v>6.0</v>
      </c>
      <c r="R10" s="61"/>
      <c r="S10" s="61"/>
      <c r="T10" s="61"/>
    </row>
    <row r="11">
      <c r="A11" s="62"/>
      <c r="B11" s="84" t="s">
        <v>65</v>
      </c>
      <c r="C11" s="81">
        <f t="shared" ref="C11:N11" si="5">C5*$C$6</f>
        <v>11088000</v>
      </c>
      <c r="D11" s="81">
        <f t="shared" si="5"/>
        <v>13305600</v>
      </c>
      <c r="E11" s="81">
        <f t="shared" si="5"/>
        <v>15966720</v>
      </c>
      <c r="F11" s="81">
        <f t="shared" si="5"/>
        <v>19160064</v>
      </c>
      <c r="G11" s="81">
        <f t="shared" si="5"/>
        <v>22992076.8</v>
      </c>
      <c r="H11" s="81">
        <f t="shared" si="5"/>
        <v>27590492.16</v>
      </c>
      <c r="I11" s="81">
        <f t="shared" si="5"/>
        <v>33108590.59</v>
      </c>
      <c r="J11" s="81">
        <f t="shared" si="5"/>
        <v>39730308.71</v>
      </c>
      <c r="K11" s="81">
        <f t="shared" si="5"/>
        <v>47676370.45</v>
      </c>
      <c r="L11" s="81">
        <f t="shared" si="5"/>
        <v>57211644.54</v>
      </c>
      <c r="M11" s="81">
        <f t="shared" si="5"/>
        <v>68653973.45</v>
      </c>
      <c r="N11" s="81">
        <f t="shared" si="5"/>
        <v>82384768.14</v>
      </c>
      <c r="O11" s="82">
        <f t="shared" si="4"/>
        <v>438868608.9</v>
      </c>
      <c r="P11" s="61"/>
      <c r="Q11" s="77">
        <v>7.0</v>
      </c>
      <c r="R11" s="61"/>
      <c r="S11" s="61"/>
      <c r="T11" s="61"/>
    </row>
    <row r="12">
      <c r="A12" s="62"/>
      <c r="B12" s="80" t="s">
        <v>66</v>
      </c>
      <c r="C12" s="81">
        <f t="shared" ref="C12:N12" si="6">C8-C9</f>
        <v>3419899.644</v>
      </c>
      <c r="D12" s="81">
        <f t="shared" si="6"/>
        <v>6962299.644</v>
      </c>
      <c r="E12" s="81">
        <f t="shared" si="6"/>
        <v>11213179.64</v>
      </c>
      <c r="F12" s="81">
        <f t="shared" si="6"/>
        <v>16314235.64</v>
      </c>
      <c r="G12" s="81">
        <f t="shared" si="6"/>
        <v>22435502.84</v>
      </c>
      <c r="H12" s="81">
        <f t="shared" si="6"/>
        <v>29781023.48</v>
      </c>
      <c r="I12" s="81">
        <f t="shared" si="6"/>
        <v>38595648.25</v>
      </c>
      <c r="J12" s="81">
        <f t="shared" si="6"/>
        <v>49173197.97</v>
      </c>
      <c r="K12" s="81">
        <f t="shared" si="6"/>
        <v>61866257.64</v>
      </c>
      <c r="L12" s="81">
        <f t="shared" si="6"/>
        <v>77097929.24</v>
      </c>
      <c r="M12" s="81">
        <f t="shared" si="6"/>
        <v>95375935.16</v>
      </c>
      <c r="N12" s="81">
        <f t="shared" si="6"/>
        <v>117309542.3</v>
      </c>
      <c r="O12" s="83">
        <f t="shared" si="4"/>
        <v>529544651.4</v>
      </c>
      <c r="P12" s="61"/>
      <c r="Q12" s="77">
        <v>8.0</v>
      </c>
      <c r="R12" s="61"/>
      <c r="S12" s="61"/>
      <c r="T12" s="61"/>
    </row>
    <row r="13">
      <c r="A13" s="62"/>
      <c r="B13" s="80" t="s">
        <v>67</v>
      </c>
      <c r="C13" s="81">
        <f>Gastos!$F$28</f>
        <v>42410000</v>
      </c>
      <c r="D13" s="81">
        <f>Gastos!$F$28</f>
        <v>42410000</v>
      </c>
      <c r="E13" s="81">
        <f>Gastos!$F$28</f>
        <v>42410000</v>
      </c>
      <c r="F13" s="81">
        <f>Gastos!$F$28</f>
        <v>42410000</v>
      </c>
      <c r="G13" s="81">
        <f>Gastos!$F$28</f>
        <v>42410000</v>
      </c>
      <c r="H13" s="81">
        <f>Gastos!$F$28</f>
        <v>42410000</v>
      </c>
      <c r="I13" s="81">
        <f>Gastos!$F$28</f>
        <v>42410000</v>
      </c>
      <c r="J13" s="81">
        <f>Gastos!$F$28</f>
        <v>42410000</v>
      </c>
      <c r="K13" s="81">
        <f>Gastos!$F$28</f>
        <v>42410000</v>
      </c>
      <c r="L13" s="81">
        <f>Gastos!$F$28</f>
        <v>42410000</v>
      </c>
      <c r="M13" s="81">
        <f>Gastos!$F$28</f>
        <v>42410000</v>
      </c>
      <c r="N13" s="81">
        <f>Gastos!$F$28</f>
        <v>42410000</v>
      </c>
      <c r="O13" s="83">
        <f t="shared" si="4"/>
        <v>508920000</v>
      </c>
      <c r="P13" s="61"/>
      <c r="Q13" s="77">
        <v>9.0</v>
      </c>
      <c r="R13" s="61"/>
      <c r="S13" s="61"/>
      <c r="T13" s="61"/>
    </row>
    <row r="14">
      <c r="A14" s="62"/>
      <c r="B14" s="73" t="s">
        <v>68</v>
      </c>
      <c r="C14" s="81">
        <f t="shared" ref="C14:N14" si="7">C12-C13</f>
        <v>-38990100.36</v>
      </c>
      <c r="D14" s="81">
        <f t="shared" si="7"/>
        <v>-35447700.36</v>
      </c>
      <c r="E14" s="81">
        <f t="shared" si="7"/>
        <v>-31196820.36</v>
      </c>
      <c r="F14" s="81">
        <f t="shared" si="7"/>
        <v>-26095764.36</v>
      </c>
      <c r="G14" s="81">
        <f t="shared" si="7"/>
        <v>-19974497.16</v>
      </c>
      <c r="H14" s="81">
        <f t="shared" si="7"/>
        <v>-12628976.52</v>
      </c>
      <c r="I14" s="81">
        <f t="shared" si="7"/>
        <v>-3814351.748</v>
      </c>
      <c r="J14" s="81">
        <f t="shared" si="7"/>
        <v>6763197.973</v>
      </c>
      <c r="K14" s="81">
        <f t="shared" si="7"/>
        <v>19456257.64</v>
      </c>
      <c r="L14" s="81">
        <f t="shared" si="7"/>
        <v>34687929.24</v>
      </c>
      <c r="M14" s="81">
        <f t="shared" si="7"/>
        <v>52965935.16</v>
      </c>
      <c r="N14" s="81">
        <f t="shared" si="7"/>
        <v>74899542.26</v>
      </c>
      <c r="O14" s="82">
        <f t="shared" si="4"/>
        <v>20624651.42</v>
      </c>
      <c r="P14" s="61"/>
      <c r="Q14" s="77">
        <v>10.0</v>
      </c>
      <c r="R14" s="61"/>
      <c r="S14" s="61"/>
      <c r="T14" s="61"/>
    </row>
    <row r="15">
      <c r="A15" s="62"/>
      <c r="B15" s="73" t="s">
        <v>69</v>
      </c>
      <c r="C15" s="81">
        <f>C14</f>
        <v>-38990100.36</v>
      </c>
      <c r="D15" s="81">
        <f t="shared" ref="D15:N15" si="8">D14+C15</f>
        <v>-74437800.71</v>
      </c>
      <c r="E15" s="81">
        <f t="shared" si="8"/>
        <v>-105634621.1</v>
      </c>
      <c r="F15" s="81">
        <f t="shared" si="8"/>
        <v>-131730385.4</v>
      </c>
      <c r="G15" s="81">
        <f t="shared" si="8"/>
        <v>-151704882.6</v>
      </c>
      <c r="H15" s="81">
        <f t="shared" si="8"/>
        <v>-164333859.1</v>
      </c>
      <c r="I15" s="81">
        <f t="shared" si="8"/>
        <v>-168148210.8</v>
      </c>
      <c r="J15" s="81">
        <f t="shared" si="8"/>
        <v>-161385012.9</v>
      </c>
      <c r="K15" s="81">
        <f t="shared" si="8"/>
        <v>-141928755.2</v>
      </c>
      <c r="L15" s="81">
        <f t="shared" si="8"/>
        <v>-107240826</v>
      </c>
      <c r="M15" s="81">
        <f t="shared" si="8"/>
        <v>-54274890.84</v>
      </c>
      <c r="N15" s="81">
        <f t="shared" si="8"/>
        <v>20624651.42</v>
      </c>
      <c r="O15" s="83">
        <f t="shared" si="4"/>
        <v>-1279184694</v>
      </c>
      <c r="P15" s="61"/>
      <c r="Q15" s="77">
        <v>11.0</v>
      </c>
      <c r="R15" s="61"/>
      <c r="S15" s="61"/>
      <c r="T15" s="61"/>
    </row>
    <row r="16">
      <c r="A16" s="62"/>
      <c r="B16" s="73" t="s">
        <v>70</v>
      </c>
      <c r="C16" s="81">
        <f>MIN(C15:N15)</f>
        <v>-168148210.8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1"/>
      <c r="P16" s="61"/>
      <c r="Q16" s="77">
        <v>12.0</v>
      </c>
      <c r="R16" s="61"/>
      <c r="S16" s="61"/>
      <c r="T16" s="61"/>
    </row>
    <row r="17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1"/>
      <c r="O17" s="61"/>
      <c r="P17" s="61"/>
      <c r="Q17" s="61"/>
      <c r="R17" s="61"/>
      <c r="S17" s="61"/>
      <c r="T17" s="61"/>
    </row>
    <row r="18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1"/>
      <c r="O18" s="61"/>
      <c r="P18" s="61"/>
      <c r="Q18" s="61"/>
      <c r="R18" s="61"/>
      <c r="S18" s="61"/>
      <c r="T18" s="61"/>
    </row>
    <row r="19">
      <c r="A19" s="62"/>
      <c r="B19" s="77" t="s">
        <v>71</v>
      </c>
      <c r="C19" s="76">
        <f>C6+(C10/77)</f>
        <v>647611.6929</v>
      </c>
      <c r="D19" s="62">
        <f>(C7-C19)*100/C19</f>
        <v>85.29622196</v>
      </c>
      <c r="E19" s="62"/>
      <c r="F19" s="62"/>
      <c r="G19" s="62"/>
      <c r="H19" s="62"/>
      <c r="I19" s="62"/>
      <c r="J19" s="62"/>
      <c r="K19" s="62"/>
      <c r="L19" s="62"/>
      <c r="M19" s="62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>
      <c r="A20" s="61"/>
      <c r="B20" s="61"/>
      <c r="C20" s="62"/>
      <c r="D20" s="62"/>
      <c r="E20" s="62"/>
      <c r="F20" s="62"/>
      <c r="G20" s="62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</row>
    <row r="21">
      <c r="A21" s="61"/>
      <c r="B21" s="61"/>
      <c r="C21" s="62"/>
      <c r="D21" s="62"/>
      <c r="E21" s="62"/>
      <c r="F21" s="62"/>
      <c r="G21" s="62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</row>
    <row r="22">
      <c r="A22" s="61"/>
      <c r="B22" s="61"/>
      <c r="C22" s="62"/>
      <c r="D22" s="62"/>
      <c r="E22" s="62"/>
      <c r="F22" s="62"/>
      <c r="G22" s="62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</row>
    <row r="23">
      <c r="A23" s="61"/>
      <c r="B23" s="61"/>
      <c r="C23" s="62"/>
      <c r="D23" s="62"/>
      <c r="E23" s="62"/>
      <c r="F23" s="62"/>
      <c r="G23" s="62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</row>
    <row r="24">
      <c r="A24" s="61"/>
      <c r="B24" s="61"/>
      <c r="C24" s="62"/>
      <c r="D24" s="62"/>
      <c r="E24" s="62"/>
      <c r="F24" s="62"/>
      <c r="G24" s="62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</row>
    <row r="25">
      <c r="A25" s="61"/>
      <c r="B25" s="61"/>
      <c r="C25" s="62"/>
      <c r="D25" s="62"/>
      <c r="E25" s="62"/>
      <c r="F25" s="62"/>
      <c r="G25" s="62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</row>
    <row r="26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</row>
    <row r="28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</row>
    <row r="3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</row>
    <row r="37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</row>
    <row r="42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</row>
    <row r="43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</row>
    <row r="44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</row>
    <row r="47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</row>
    <row r="48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</row>
    <row r="49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</row>
    <row r="50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</row>
    <row r="5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</row>
    <row r="52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</row>
    <row r="53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</row>
    <row r="54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</row>
    <row r="56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</row>
    <row r="57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</row>
    <row r="58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</row>
    <row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</row>
    <row r="60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</row>
    <row r="6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</row>
    <row r="62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</row>
    <row r="63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</row>
    <row r="64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</row>
    <row r="6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</row>
    <row r="66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</row>
    <row r="67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</row>
    <row r="68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</row>
    <row r="69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</row>
    <row r="70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</row>
    <row r="7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</row>
    <row r="72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</row>
    <row r="74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</row>
    <row r="7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</row>
    <row r="76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</row>
    <row r="77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</row>
    <row r="78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</row>
    <row r="79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</row>
    <row r="80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</row>
    <row r="8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</row>
    <row r="82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</row>
    <row r="83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</row>
    <row r="84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</row>
    <row r="8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</row>
    <row r="86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</row>
    <row r="87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</row>
    <row r="88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</row>
    <row r="89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</row>
    <row r="90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</row>
    <row r="9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</row>
    <row r="92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</row>
    <row r="93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</row>
    <row r="94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</row>
    <row r="9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</row>
    <row r="96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</row>
    <row r="97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</row>
    <row r="98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</row>
    <row r="99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</row>
    <row r="100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</row>
    <row r="10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</row>
    <row r="102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</row>
    <row r="103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</row>
    <row r="104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</row>
    <row r="10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</row>
    <row r="106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</row>
    <row r="107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</row>
    <row r="108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</row>
    <row r="109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</row>
    <row r="110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</row>
    <row r="11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</row>
    <row r="112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</row>
    <row r="113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</row>
    <row r="114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</row>
    <row r="11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</row>
    <row r="116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</row>
    <row r="117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</row>
    <row r="118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</row>
    <row r="119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</row>
    <row r="120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</row>
    <row r="12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</row>
    <row r="122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</row>
    <row r="123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</row>
    <row r="124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</row>
    <row r="1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</row>
    <row r="126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</row>
    <row r="127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</row>
    <row r="128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</row>
    <row r="129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</row>
    <row r="130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</row>
    <row r="13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</row>
    <row r="132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</row>
    <row r="133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</row>
    <row r="134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</row>
    <row r="13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</row>
    <row r="136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</row>
    <row r="137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</row>
    <row r="138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</row>
    <row r="139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</row>
    <row r="140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</row>
    <row r="14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</row>
    <row r="142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</row>
    <row r="143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</row>
    <row r="144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</row>
    <row r="14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</row>
    <row r="146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</row>
    <row r="147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</row>
    <row r="148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</row>
    <row r="149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</row>
    <row r="150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</row>
    <row r="15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</row>
    <row r="152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</row>
    <row r="153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</row>
    <row r="154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</row>
    <row r="15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</row>
    <row r="156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</row>
    <row r="157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</row>
    <row r="158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</row>
    <row r="159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</row>
    <row r="160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</row>
    <row r="16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</row>
    <row r="162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</row>
    <row r="163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</row>
    <row r="164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</row>
    <row r="16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</row>
    <row r="166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</row>
    <row r="167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</row>
    <row r="168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</row>
    <row r="169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</row>
    <row r="170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</row>
    <row r="17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</row>
    <row r="172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</row>
    <row r="173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</row>
    <row r="174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</row>
    <row r="17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</row>
    <row r="176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</row>
    <row r="177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</row>
    <row r="178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</row>
    <row r="179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</row>
    <row r="180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</row>
    <row r="18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</row>
    <row r="182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</row>
    <row r="183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</row>
    <row r="184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</row>
    <row r="18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</row>
    <row r="186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</row>
    <row r="187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</row>
    <row r="188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</row>
    <row r="189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</row>
    <row r="190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</row>
    <row r="19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</row>
    <row r="192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</row>
    <row r="193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</row>
    <row r="194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</row>
    <row r="19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</row>
    <row r="196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</row>
    <row r="197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</row>
    <row r="198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</row>
    <row r="199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</row>
    <row r="200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</row>
    <row r="20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</row>
    <row r="202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</row>
    <row r="203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</row>
    <row r="204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</row>
    <row r="205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</row>
    <row r="206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</row>
    <row r="207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</row>
    <row r="208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</row>
    <row r="209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</row>
    <row r="210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</row>
    <row r="21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</row>
    <row r="212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</row>
    <row r="213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</row>
    <row r="214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</row>
    <row r="215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</row>
    <row r="216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</row>
    <row r="217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</row>
    <row r="218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</row>
    <row r="219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</row>
    <row r="220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</row>
    <row r="22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</row>
    <row r="222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</row>
    <row r="223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</row>
    <row r="224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</row>
    <row r="225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</row>
    <row r="226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</row>
    <row r="227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</row>
    <row r="228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</row>
    <row r="229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</row>
    <row r="230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</row>
    <row r="23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</row>
    <row r="232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</row>
    <row r="233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</row>
    <row r="234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</row>
    <row r="235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</row>
    <row r="236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</row>
    <row r="237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</row>
    <row r="238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</row>
    <row r="239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</row>
    <row r="240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</row>
    <row r="24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</row>
    <row r="242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</row>
    <row r="243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</row>
    <row r="244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</row>
    <row r="245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</row>
    <row r="246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</row>
    <row r="247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</row>
    <row r="248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</row>
    <row r="249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</row>
    <row r="250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</row>
    <row r="25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</row>
    <row r="252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</row>
    <row r="253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</row>
    <row r="254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</row>
    <row r="255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</row>
    <row r="256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</row>
    <row r="257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</row>
    <row r="258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</row>
    <row r="259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</row>
    <row r="260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</row>
    <row r="26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</row>
    <row r="262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</row>
    <row r="263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</row>
    <row r="264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</row>
    <row r="265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</row>
    <row r="266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</row>
    <row r="267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</row>
    <row r="268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</row>
    <row r="269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</row>
    <row r="270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</row>
    <row r="27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</row>
    <row r="272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</row>
    <row r="273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</row>
    <row r="274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</row>
    <row r="27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</row>
    <row r="276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</row>
    <row r="277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</row>
    <row r="278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</row>
    <row r="279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</row>
    <row r="280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</row>
    <row r="28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</row>
    <row r="282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</row>
    <row r="283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</row>
    <row r="284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</row>
    <row r="28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</row>
    <row r="286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</row>
    <row r="287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</row>
    <row r="288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</row>
    <row r="289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</row>
    <row r="290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</row>
    <row r="29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</row>
    <row r="292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</row>
    <row r="293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</row>
    <row r="294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</row>
    <row r="29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</row>
    <row r="296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</row>
    <row r="297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</row>
    <row r="298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</row>
    <row r="299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</row>
    <row r="300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</row>
    <row r="30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</row>
    <row r="302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</row>
    <row r="303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</row>
    <row r="304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</row>
    <row r="30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</row>
    <row r="306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</row>
    <row r="307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</row>
    <row r="308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</row>
    <row r="309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</row>
    <row r="310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</row>
    <row r="31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</row>
    <row r="312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</row>
    <row r="313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</row>
    <row r="314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</row>
    <row r="31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</row>
    <row r="316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</row>
    <row r="317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</row>
    <row r="318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</row>
    <row r="319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</row>
    <row r="320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</row>
    <row r="32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</row>
    <row r="322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</row>
    <row r="323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</row>
    <row r="324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</row>
    <row r="32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</row>
    <row r="326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</row>
    <row r="327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</row>
    <row r="328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</row>
    <row r="329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</row>
    <row r="330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</row>
    <row r="33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</row>
    <row r="332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</row>
    <row r="333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</row>
    <row r="334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</row>
    <row r="33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</row>
    <row r="336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</row>
    <row r="337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</row>
    <row r="338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</row>
    <row r="339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</row>
    <row r="340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</row>
    <row r="34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</row>
    <row r="342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</row>
    <row r="343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</row>
    <row r="344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</row>
    <row r="34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</row>
    <row r="346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</row>
    <row r="347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</row>
    <row r="348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</row>
    <row r="349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</row>
    <row r="350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</row>
    <row r="35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</row>
    <row r="352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</row>
    <row r="353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</row>
    <row r="354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</row>
    <row r="35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</row>
    <row r="356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</row>
    <row r="357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</row>
    <row r="358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</row>
    <row r="359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</row>
    <row r="360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</row>
    <row r="36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</row>
    <row r="362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</row>
    <row r="363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</row>
    <row r="364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</row>
    <row r="36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</row>
    <row r="366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</row>
    <row r="367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</row>
    <row r="368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</row>
    <row r="369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</row>
    <row r="370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</row>
    <row r="37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</row>
    <row r="372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</row>
    <row r="373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</row>
    <row r="374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</row>
    <row r="37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</row>
    <row r="376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</row>
    <row r="377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</row>
    <row r="378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</row>
    <row r="379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</row>
    <row r="380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</row>
    <row r="38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</row>
    <row r="382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</row>
    <row r="383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</row>
    <row r="384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</row>
    <row r="38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</row>
    <row r="386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</row>
    <row r="387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</row>
    <row r="388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</row>
    <row r="389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</row>
    <row r="390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</row>
    <row r="39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</row>
    <row r="392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</row>
    <row r="393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</row>
    <row r="394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</row>
    <row r="39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</row>
    <row r="396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</row>
    <row r="397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</row>
    <row r="398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</row>
    <row r="399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</row>
    <row r="400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</row>
    <row r="40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</row>
    <row r="402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</row>
    <row r="403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</row>
    <row r="404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</row>
    <row r="40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</row>
    <row r="406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</row>
    <row r="407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</row>
    <row r="408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</row>
    <row r="409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</row>
    <row r="410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</row>
    <row r="41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</row>
    <row r="412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</row>
    <row r="413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</row>
    <row r="414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</row>
    <row r="41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</row>
    <row r="416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</row>
    <row r="417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</row>
    <row r="418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</row>
    <row r="419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</row>
    <row r="420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</row>
    <row r="42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</row>
    <row r="422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</row>
    <row r="423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</row>
    <row r="424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</row>
    <row r="42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</row>
    <row r="426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</row>
    <row r="427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</row>
    <row r="428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</row>
    <row r="429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</row>
    <row r="430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</row>
    <row r="43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</row>
    <row r="432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</row>
    <row r="433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</row>
    <row r="434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</row>
    <row r="43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</row>
    <row r="436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</row>
    <row r="437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</row>
    <row r="438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</row>
    <row r="439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</row>
    <row r="440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</row>
    <row r="44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</row>
    <row r="442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</row>
    <row r="443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</row>
    <row r="444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</row>
    <row r="44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</row>
    <row r="446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</row>
    <row r="447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</row>
    <row r="448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</row>
    <row r="449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</row>
    <row r="450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</row>
    <row r="45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</row>
    <row r="452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</row>
    <row r="453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</row>
    <row r="454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</row>
    <row r="45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</row>
    <row r="456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</row>
    <row r="457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</row>
    <row r="458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</row>
    <row r="459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</row>
    <row r="460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</row>
    <row r="46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</row>
    <row r="462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</row>
    <row r="463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</row>
    <row r="464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</row>
    <row r="46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</row>
    <row r="466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</row>
    <row r="467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</row>
    <row r="468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</row>
    <row r="469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</row>
    <row r="470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</row>
    <row r="47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</row>
    <row r="472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</row>
    <row r="473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</row>
    <row r="474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</row>
    <row r="47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</row>
    <row r="476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</row>
    <row r="477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</row>
    <row r="478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</row>
    <row r="479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</row>
    <row r="480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</row>
    <row r="48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</row>
    <row r="482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</row>
    <row r="483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</row>
    <row r="484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</row>
    <row r="48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</row>
    <row r="486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</row>
    <row r="487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</row>
    <row r="488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</row>
    <row r="489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</row>
    <row r="490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</row>
    <row r="49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</row>
    <row r="492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</row>
    <row r="493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</row>
    <row r="494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</row>
    <row r="49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</row>
    <row r="496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</row>
    <row r="497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</row>
    <row r="498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</row>
    <row r="499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</row>
    <row r="500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</row>
    <row r="50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</row>
    <row r="502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</row>
    <row r="503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</row>
    <row r="504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</row>
    <row r="50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</row>
    <row r="506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</row>
    <row r="507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</row>
    <row r="508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</row>
    <row r="509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</row>
    <row r="510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</row>
    <row r="51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</row>
    <row r="512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</row>
    <row r="513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</row>
    <row r="514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</row>
    <row r="51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</row>
    <row r="516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</row>
    <row r="517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</row>
    <row r="518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</row>
    <row r="519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</row>
    <row r="520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</row>
    <row r="52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</row>
    <row r="522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</row>
    <row r="523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</row>
    <row r="524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</row>
    <row r="52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</row>
    <row r="526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</row>
    <row r="527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</row>
    <row r="528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</row>
    <row r="529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</row>
    <row r="530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</row>
    <row r="53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</row>
    <row r="532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</row>
    <row r="533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</row>
    <row r="534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</row>
    <row r="53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</row>
    <row r="536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</row>
    <row r="537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</row>
    <row r="538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</row>
    <row r="539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</row>
    <row r="540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</row>
    <row r="54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</row>
    <row r="542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</row>
    <row r="543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</row>
    <row r="544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</row>
    <row r="54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</row>
    <row r="546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</row>
    <row r="547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</row>
    <row r="548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</row>
    <row r="549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</row>
    <row r="550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</row>
    <row r="55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</row>
    <row r="552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</row>
    <row r="553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</row>
    <row r="554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</row>
    <row r="55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</row>
    <row r="556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</row>
    <row r="557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</row>
    <row r="558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</row>
    <row r="559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</row>
    <row r="560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</row>
    <row r="56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</row>
    <row r="562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</row>
    <row r="563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</row>
    <row r="564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</row>
    <row r="56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</row>
    <row r="566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</row>
    <row r="567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</row>
    <row r="568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</row>
    <row r="569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</row>
    <row r="570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</row>
    <row r="57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</row>
    <row r="572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</row>
    <row r="573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</row>
    <row r="574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</row>
    <row r="57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</row>
    <row r="576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</row>
    <row r="577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</row>
    <row r="578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</row>
    <row r="579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</row>
    <row r="580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</row>
    <row r="58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</row>
    <row r="582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</row>
    <row r="583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</row>
    <row r="584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</row>
    <row r="58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</row>
    <row r="586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</row>
    <row r="587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</row>
    <row r="588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</row>
    <row r="589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</row>
    <row r="590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</row>
    <row r="59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</row>
    <row r="592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</row>
    <row r="593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</row>
    <row r="594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</row>
    <row r="59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</row>
    <row r="596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</row>
    <row r="597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</row>
    <row r="598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</row>
    <row r="599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</row>
    <row r="600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</row>
    <row r="60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</row>
    <row r="602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</row>
    <row r="603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</row>
    <row r="604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</row>
    <row r="60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</row>
    <row r="606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</row>
    <row r="60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</row>
    <row r="608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</row>
    <row r="609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</row>
    <row r="610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</row>
    <row r="61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</row>
    <row r="612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</row>
    <row r="613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</row>
    <row r="614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</row>
    <row r="61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</row>
    <row r="616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</row>
    <row r="617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</row>
    <row r="618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</row>
    <row r="619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</row>
    <row r="620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</row>
    <row r="62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</row>
    <row r="622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</row>
    <row r="623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</row>
    <row r="624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</row>
    <row r="62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</row>
    <row r="626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</row>
    <row r="627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</row>
    <row r="628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</row>
    <row r="629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</row>
    <row r="630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</row>
    <row r="63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</row>
    <row r="632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</row>
    <row r="633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</row>
    <row r="634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</row>
    <row r="63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</row>
    <row r="636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</row>
    <row r="637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</row>
    <row r="638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</row>
    <row r="639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</row>
    <row r="640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</row>
    <row r="64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</row>
    <row r="642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</row>
    <row r="643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</row>
    <row r="644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</row>
    <row r="64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</row>
    <row r="646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</row>
    <row r="647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</row>
    <row r="648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</row>
    <row r="649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</row>
    <row r="650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</row>
    <row r="65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</row>
    <row r="652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</row>
    <row r="653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</row>
    <row r="654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</row>
    <row r="65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</row>
    <row r="656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</row>
    <row r="657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</row>
    <row r="658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</row>
    <row r="659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</row>
    <row r="660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</row>
    <row r="66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</row>
    <row r="662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</row>
    <row r="663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</row>
    <row r="664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</row>
    <row r="66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</row>
    <row r="666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</row>
    <row r="667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</row>
    <row r="668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</row>
    <row r="669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</row>
    <row r="670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</row>
    <row r="67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</row>
    <row r="672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</row>
    <row r="673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</row>
    <row r="674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</row>
    <row r="67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</row>
    <row r="676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</row>
    <row r="677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</row>
    <row r="678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</row>
    <row r="679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</row>
    <row r="680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</row>
    <row r="68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</row>
    <row r="682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</row>
    <row r="683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</row>
    <row r="684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</row>
    <row r="68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</row>
    <row r="686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</row>
    <row r="687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</row>
    <row r="688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</row>
    <row r="689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</row>
    <row r="690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</row>
    <row r="69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</row>
    <row r="692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</row>
    <row r="693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</row>
    <row r="694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</row>
    <row r="69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</row>
    <row r="696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</row>
    <row r="697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</row>
    <row r="698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</row>
    <row r="699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</row>
    <row r="700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</row>
    <row r="70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</row>
    <row r="702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</row>
    <row r="703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</row>
    <row r="704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</row>
    <row r="70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</row>
    <row r="706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</row>
    <row r="707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</row>
    <row r="708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</row>
    <row r="709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</row>
    <row r="710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</row>
    <row r="71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</row>
    <row r="712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</row>
    <row r="713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</row>
    <row r="714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</row>
    <row r="71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</row>
    <row r="716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</row>
    <row r="717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</row>
    <row r="718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</row>
    <row r="719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</row>
    <row r="720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</row>
    <row r="72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</row>
    <row r="722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</row>
    <row r="723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</row>
    <row r="724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</row>
    <row r="72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</row>
    <row r="726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</row>
    <row r="727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</row>
    <row r="728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</row>
    <row r="729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</row>
    <row r="730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</row>
    <row r="73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</row>
    <row r="732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</row>
    <row r="733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</row>
    <row r="734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</row>
    <row r="73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</row>
    <row r="736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</row>
    <row r="737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</row>
    <row r="738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</row>
    <row r="739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</row>
    <row r="740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</row>
    <row r="74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</row>
    <row r="742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</row>
    <row r="743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</row>
    <row r="744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</row>
    <row r="74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</row>
    <row r="746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</row>
    <row r="747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</row>
    <row r="748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</row>
    <row r="749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</row>
    <row r="750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</row>
    <row r="75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</row>
    <row r="752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</row>
    <row r="753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</row>
    <row r="754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</row>
    <row r="75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</row>
    <row r="756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</row>
    <row r="757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</row>
    <row r="758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</row>
    <row r="759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</row>
    <row r="760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</row>
    <row r="76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</row>
    <row r="762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</row>
    <row r="763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</row>
    <row r="764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</row>
    <row r="76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</row>
    <row r="766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</row>
    <row r="767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</row>
    <row r="768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</row>
    <row r="769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</row>
    <row r="770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</row>
    <row r="77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</row>
    <row r="772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</row>
    <row r="773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</row>
    <row r="774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</row>
    <row r="77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</row>
    <row r="776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</row>
    <row r="777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</row>
    <row r="778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</row>
    <row r="779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</row>
    <row r="780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</row>
    <row r="78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</row>
    <row r="782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</row>
    <row r="783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</row>
    <row r="784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</row>
    <row r="78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</row>
    <row r="786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</row>
    <row r="787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</row>
    <row r="788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</row>
    <row r="789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</row>
    <row r="790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</row>
    <row r="79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</row>
    <row r="792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</row>
    <row r="793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</row>
    <row r="794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</row>
    <row r="79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</row>
    <row r="796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</row>
    <row r="797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</row>
    <row r="798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</row>
    <row r="799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</row>
    <row r="800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</row>
    <row r="80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</row>
    <row r="802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</row>
    <row r="803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</row>
    <row r="804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</row>
    <row r="80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</row>
    <row r="806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</row>
    <row r="807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</row>
    <row r="808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</row>
    <row r="809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</row>
    <row r="810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</row>
    <row r="81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</row>
    <row r="812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</row>
    <row r="813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</row>
    <row r="814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</row>
    <row r="81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</row>
    <row r="816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</row>
    <row r="817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</row>
    <row r="818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</row>
    <row r="819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</row>
    <row r="820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</row>
    <row r="82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</row>
    <row r="822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</row>
    <row r="823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</row>
    <row r="824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</row>
    <row r="82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</row>
    <row r="826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</row>
    <row r="827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</row>
    <row r="828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</row>
    <row r="829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</row>
    <row r="830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</row>
    <row r="83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</row>
    <row r="832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</row>
    <row r="833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</row>
    <row r="834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</row>
    <row r="83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</row>
    <row r="836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</row>
    <row r="837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</row>
    <row r="838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</row>
    <row r="839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</row>
    <row r="840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</row>
    <row r="84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</row>
    <row r="842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</row>
    <row r="843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</row>
    <row r="844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</row>
    <row r="84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</row>
    <row r="846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</row>
    <row r="847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</row>
    <row r="848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</row>
    <row r="849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</row>
    <row r="850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</row>
    <row r="85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</row>
    <row r="852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</row>
    <row r="853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</row>
    <row r="854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</row>
    <row r="85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</row>
    <row r="856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</row>
    <row r="857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</row>
    <row r="858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</row>
    <row r="859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</row>
    <row r="860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</row>
    <row r="86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</row>
    <row r="862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</row>
    <row r="863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</row>
    <row r="864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</row>
    <row r="86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</row>
    <row r="866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</row>
    <row r="867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</row>
    <row r="868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</row>
    <row r="869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</row>
    <row r="870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</row>
    <row r="87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</row>
    <row r="872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</row>
    <row r="873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</row>
    <row r="874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</row>
    <row r="87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</row>
    <row r="876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</row>
    <row r="877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</row>
    <row r="878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</row>
    <row r="879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</row>
    <row r="880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</row>
    <row r="88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</row>
    <row r="882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</row>
    <row r="883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</row>
    <row r="884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</row>
    <row r="88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</row>
    <row r="886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</row>
    <row r="887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</row>
    <row r="888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</row>
    <row r="889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</row>
    <row r="890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</row>
    <row r="89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</row>
    <row r="892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</row>
    <row r="893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</row>
    <row r="894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</row>
    <row r="89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</row>
    <row r="896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</row>
    <row r="897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</row>
    <row r="898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</row>
    <row r="899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</row>
    <row r="900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</row>
    <row r="90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</row>
    <row r="902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</row>
    <row r="903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</row>
    <row r="904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</row>
    <row r="90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</row>
    <row r="906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</row>
    <row r="907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</row>
    <row r="908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</row>
    <row r="909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</row>
    <row r="910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</row>
    <row r="91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</row>
    <row r="912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</row>
    <row r="913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</row>
    <row r="914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</row>
    <row r="915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</row>
    <row r="916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</row>
    <row r="917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</row>
    <row r="918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</row>
    <row r="919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</row>
    <row r="920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</row>
    <row r="92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</row>
    <row r="922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</row>
    <row r="923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</row>
    <row r="924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</row>
    <row r="925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</row>
    <row r="926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</row>
    <row r="927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</row>
    <row r="928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</row>
    <row r="929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</row>
    <row r="930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</row>
    <row r="93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</row>
    <row r="932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</row>
    <row r="933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</row>
    <row r="934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</row>
    <row r="935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</row>
    <row r="936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</row>
    <row r="937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</row>
    <row r="938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</row>
    <row r="939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</row>
    <row r="940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</row>
    <row r="94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</row>
    <row r="942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</row>
    <row r="943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</row>
    <row r="944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</row>
    <row r="945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</row>
    <row r="946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</row>
    <row r="947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</row>
    <row r="948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</row>
    <row r="949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</row>
    <row r="950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</row>
    <row r="95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</row>
    <row r="952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</row>
    <row r="953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</row>
    <row r="954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</row>
    <row r="955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</row>
    <row r="956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</row>
    <row r="957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</row>
    <row r="958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</row>
    <row r="959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</row>
    <row r="960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</row>
    <row r="96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</row>
    <row r="962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</row>
    <row r="963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</row>
    <row r="964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</row>
    <row r="96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</row>
    <row r="966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</row>
    <row r="967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</row>
    <row r="968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</row>
    <row r="969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</row>
    <row r="970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</row>
    <row r="97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</row>
    <row r="972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</row>
    <row r="973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</row>
    <row r="974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</row>
    <row r="97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</row>
    <row r="976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</row>
    <row r="977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</row>
    <row r="978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</row>
    <row r="979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</row>
    <row r="980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</row>
    <row r="98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</row>
    <row r="982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</row>
    <row r="983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</row>
    <row r="984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</row>
    <row r="985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</row>
    <row r="986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</row>
    <row r="987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</row>
    <row r="988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</row>
    <row r="989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</row>
  </sheetData>
  <mergeCells count="8">
    <mergeCell ref="B2:N2"/>
    <mergeCell ref="O2:O4"/>
    <mergeCell ref="B3:C3"/>
    <mergeCell ref="D3:E3"/>
    <mergeCell ref="G3:N3"/>
    <mergeCell ref="U5:AA18"/>
    <mergeCell ref="C6:N6"/>
    <mergeCell ref="C7:N7"/>
  </mergeCells>
  <conditionalFormatting sqref="C12:N12">
    <cfRule type="cellIs" dxfId="0" priority="1" operator="lessThan">
      <formula>0</formula>
    </cfRule>
  </conditionalFormatting>
  <conditionalFormatting sqref="C14:N14">
    <cfRule type="cellIs" dxfId="1" priority="2" operator="lessThan">
      <formula>0</formula>
    </cfRule>
  </conditionalFormatting>
  <conditionalFormatting sqref="C15:N15">
    <cfRule type="cellIs" dxfId="1" priority="3" operator="lessThan">
      <formula>0</formula>
    </cfRule>
  </conditionalFormatting>
  <conditionalFormatting sqref="C12:N12">
    <cfRule type="cellIs" dxfId="2" priority="4" operator="greaterThan">
      <formula>0</formula>
    </cfRule>
  </conditionalFormatting>
  <conditionalFormatting sqref="C14:N15">
    <cfRule type="cellIs" dxfId="2" priority="5" operator="greater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30.63"/>
    <col customWidth="1" min="3" max="3" width="14.0"/>
    <col customWidth="1" min="4" max="4" width="12.63"/>
    <col customWidth="1" min="5" max="6" width="30.75"/>
    <col customWidth="1" min="7" max="7" width="14.0"/>
    <col customWidth="1" min="9" max="9" width="35.25"/>
    <col customWidth="1" min="12" max="12" width="31.88"/>
    <col customWidth="1" min="13" max="13" width="16.25"/>
  </cols>
  <sheetData>
    <row r="1" ht="15.75" customHeight="1">
      <c r="A1" s="62"/>
      <c r="B1" s="62"/>
      <c r="C1" s="62"/>
      <c r="D1" s="62"/>
      <c r="E1" s="62"/>
      <c r="F1" s="62"/>
      <c r="G1" s="62"/>
      <c r="H1" s="62"/>
      <c r="I1" s="44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ht="15.75" customHeight="1">
      <c r="A2" s="62"/>
      <c r="B2" s="85" t="s">
        <v>72</v>
      </c>
      <c r="C2" s="24"/>
      <c r="D2" s="24"/>
      <c r="E2" s="24"/>
      <c r="F2" s="24"/>
      <c r="G2" s="25"/>
      <c r="H2" s="62"/>
      <c r="I2" s="44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</row>
    <row r="3" ht="15.75" customHeight="1">
      <c r="A3" s="62"/>
      <c r="B3" s="86" t="s">
        <v>1</v>
      </c>
      <c r="C3" s="87" t="s">
        <v>2</v>
      </c>
      <c r="D3" s="87" t="s">
        <v>3</v>
      </c>
      <c r="E3" s="87" t="s">
        <v>4</v>
      </c>
      <c r="F3" s="87"/>
      <c r="G3" s="87" t="s">
        <v>30</v>
      </c>
      <c r="H3" s="62"/>
      <c r="I3" s="44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</row>
    <row r="4" ht="15.75" customHeight="1">
      <c r="A4" s="62"/>
      <c r="B4" s="88" t="s">
        <v>73</v>
      </c>
      <c r="C4" s="89">
        <v>1.0</v>
      </c>
      <c r="D4" s="90">
        <v>1800000.0</v>
      </c>
      <c r="E4" s="90">
        <f t="shared" ref="E4:E7" si="1">D4+(0.4*D4)</f>
        <v>2520000</v>
      </c>
      <c r="F4" s="90"/>
      <c r="G4" s="90">
        <f t="shared" ref="G4:G7" si="2">E4*C4</f>
        <v>2520000</v>
      </c>
      <c r="H4" s="62"/>
      <c r="I4" s="44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</row>
    <row r="5" ht="15.75" customHeight="1">
      <c r="A5" s="62"/>
      <c r="B5" s="91" t="s">
        <v>74</v>
      </c>
      <c r="C5" s="92">
        <v>1.0</v>
      </c>
      <c r="D5" s="93">
        <v>2000000.0</v>
      </c>
      <c r="E5" s="93">
        <f t="shared" si="1"/>
        <v>2800000</v>
      </c>
      <c r="F5" s="93"/>
      <c r="G5" s="93">
        <f t="shared" si="2"/>
        <v>2800000</v>
      </c>
      <c r="H5" s="62"/>
      <c r="I5" s="44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</row>
    <row r="6" ht="15.75" customHeight="1">
      <c r="A6" s="62"/>
      <c r="B6" s="94" t="s">
        <v>75</v>
      </c>
      <c r="C6" s="92">
        <v>1.0</v>
      </c>
      <c r="D6" s="93">
        <v>1400000.0</v>
      </c>
      <c r="E6" s="93">
        <f t="shared" si="1"/>
        <v>1960000</v>
      </c>
      <c r="F6" s="93"/>
      <c r="G6" s="93">
        <f t="shared" si="2"/>
        <v>1960000</v>
      </c>
      <c r="H6" s="62"/>
      <c r="I6" s="44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</row>
    <row r="7" ht="15.75" customHeight="1">
      <c r="A7" s="62"/>
      <c r="B7" s="91" t="s">
        <v>76</v>
      </c>
      <c r="C7" s="92">
        <v>4.0</v>
      </c>
      <c r="D7" s="93">
        <v>1160000.0</v>
      </c>
      <c r="E7" s="93">
        <f t="shared" si="1"/>
        <v>1624000</v>
      </c>
      <c r="F7" s="93"/>
      <c r="G7" s="93">
        <f t="shared" si="2"/>
        <v>6496000</v>
      </c>
      <c r="H7" s="62"/>
      <c r="I7" s="44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</row>
    <row r="8" ht="15.75" customHeight="1">
      <c r="A8" s="62"/>
      <c r="B8" s="95"/>
      <c r="C8" s="95"/>
      <c r="D8" s="96"/>
      <c r="E8" s="97" t="s">
        <v>77</v>
      </c>
      <c r="F8" s="97"/>
      <c r="G8" s="98">
        <f>SUM(G4:G7)</f>
        <v>13776000</v>
      </c>
      <c r="H8" s="62"/>
      <c r="I8" s="44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</row>
    <row r="9" ht="15.75" customHeight="1">
      <c r="A9" s="62"/>
      <c r="B9" s="95"/>
      <c r="C9" s="95"/>
      <c r="D9" s="96"/>
      <c r="E9" s="96"/>
      <c r="F9" s="96"/>
      <c r="G9" s="96"/>
      <c r="H9" s="62"/>
      <c r="I9" s="44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</row>
    <row r="10" ht="15.75" customHeight="1">
      <c r="A10" s="62"/>
      <c r="B10" s="62"/>
      <c r="C10" s="62"/>
      <c r="D10" s="62"/>
      <c r="E10" s="62"/>
      <c r="F10" s="62"/>
      <c r="G10" s="62"/>
      <c r="H10" s="62"/>
      <c r="I10" s="44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</row>
    <row r="11" ht="15.75" customHeight="1">
      <c r="A11" s="1"/>
      <c r="B11" s="99" t="s">
        <v>78</v>
      </c>
      <c r="C11" s="24"/>
      <c r="D11" s="24"/>
      <c r="E11" s="24"/>
      <c r="F11" s="24"/>
      <c r="G11" s="25"/>
      <c r="H11" s="62"/>
      <c r="I11" s="44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</row>
    <row r="12" ht="15.75" customHeight="1">
      <c r="A12" s="1"/>
      <c r="B12" s="100" t="s">
        <v>1</v>
      </c>
      <c r="C12" s="100" t="s">
        <v>2</v>
      </c>
      <c r="D12" s="100" t="s">
        <v>79</v>
      </c>
      <c r="E12" s="32" t="s">
        <v>80</v>
      </c>
      <c r="F12" s="24"/>
      <c r="G12" s="25"/>
      <c r="H12" s="62"/>
      <c r="I12" s="44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</row>
    <row r="13" ht="15.75" customHeight="1">
      <c r="A13" s="44"/>
      <c r="B13" s="45" t="s">
        <v>81</v>
      </c>
      <c r="C13" s="45">
        <v>23.0</v>
      </c>
      <c r="D13" s="45">
        <v>67853.0</v>
      </c>
      <c r="E13" s="101">
        <f t="shared" ref="E13:E22" si="3">D13*C13</f>
        <v>1560619</v>
      </c>
      <c r="F13" s="24"/>
      <c r="G13" s="25"/>
      <c r="H13" s="62"/>
      <c r="I13" s="44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</row>
    <row r="14" ht="15.75" customHeight="1">
      <c r="A14" s="44"/>
      <c r="B14" s="45" t="s">
        <v>82</v>
      </c>
      <c r="C14" s="45">
        <v>23.0</v>
      </c>
      <c r="D14" s="45">
        <v>189981.0</v>
      </c>
      <c r="E14" s="101">
        <f t="shared" si="3"/>
        <v>4369563</v>
      </c>
      <c r="F14" s="24"/>
      <c r="G14" s="25"/>
      <c r="H14" s="62"/>
      <c r="I14" s="44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</row>
    <row r="15" ht="15.75" customHeight="1">
      <c r="A15" s="44"/>
      <c r="B15" s="45" t="s">
        <v>83</v>
      </c>
      <c r="C15" s="45">
        <v>23.0</v>
      </c>
      <c r="D15" s="45">
        <v>34934.0</v>
      </c>
      <c r="E15" s="101">
        <f t="shared" si="3"/>
        <v>803482</v>
      </c>
      <c r="F15" s="24"/>
      <c r="G15" s="25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</row>
    <row r="16" ht="15.75" customHeight="1">
      <c r="A16" s="44"/>
      <c r="B16" s="45" t="s">
        <v>84</v>
      </c>
      <c r="C16" s="45">
        <v>23.0</v>
      </c>
      <c r="D16" s="45">
        <v>3785.0</v>
      </c>
      <c r="E16" s="101">
        <f t="shared" si="3"/>
        <v>87055</v>
      </c>
      <c r="F16" s="24"/>
      <c r="G16" s="25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</row>
    <row r="17" ht="15.75" customHeight="1">
      <c r="A17" s="44"/>
      <c r="B17" s="45" t="s">
        <v>85</v>
      </c>
      <c r="C17" s="45">
        <v>23.0</v>
      </c>
      <c r="D17" s="45">
        <v>28762.0</v>
      </c>
      <c r="E17" s="101">
        <f t="shared" si="3"/>
        <v>661526</v>
      </c>
      <c r="F17" s="24"/>
      <c r="G17" s="25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</row>
    <row r="18" ht="15.75" customHeight="1">
      <c r="A18" s="44"/>
      <c r="B18" s="45" t="s">
        <v>86</v>
      </c>
      <c r="C18" s="45">
        <v>23.0</v>
      </c>
      <c r="D18" s="45">
        <v>41065.0</v>
      </c>
      <c r="E18" s="101">
        <f t="shared" si="3"/>
        <v>944495</v>
      </c>
      <c r="F18" s="24"/>
      <c r="G18" s="25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</row>
    <row r="19" ht="15.75" customHeight="1">
      <c r="A19" s="44"/>
      <c r="B19" s="45" t="s">
        <v>87</v>
      </c>
      <c r="C19" s="45">
        <v>23.0</v>
      </c>
      <c r="D19" s="45">
        <v>58265.0</v>
      </c>
      <c r="E19" s="101">
        <f t="shared" si="3"/>
        <v>1340095</v>
      </c>
      <c r="F19" s="24"/>
      <c r="G19" s="25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</row>
    <row r="20" ht="15.75" customHeight="1">
      <c r="A20" s="44"/>
      <c r="B20" s="45" t="s">
        <v>88</v>
      </c>
      <c r="C20" s="45">
        <v>23.0</v>
      </c>
      <c r="D20" s="45">
        <v>7777.0</v>
      </c>
      <c r="E20" s="101">
        <f t="shared" si="3"/>
        <v>178871</v>
      </c>
      <c r="F20" s="24"/>
      <c r="G20" s="25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</row>
    <row r="21" ht="15.75" customHeight="1">
      <c r="A21" s="44"/>
      <c r="B21" s="45" t="s">
        <v>89</v>
      </c>
      <c r="C21" s="45">
        <v>23.0</v>
      </c>
      <c r="D21" s="45">
        <v>13578.0</v>
      </c>
      <c r="E21" s="101">
        <f t="shared" si="3"/>
        <v>312294</v>
      </c>
      <c r="F21" s="24"/>
      <c r="G21" s="25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</row>
    <row r="22" ht="15.75" customHeight="1">
      <c r="A22" s="44"/>
      <c r="B22" s="45" t="s">
        <v>90</v>
      </c>
      <c r="C22" s="45">
        <v>23.0</v>
      </c>
      <c r="D22" s="45">
        <v>16000.0</v>
      </c>
      <c r="E22" s="101">
        <f t="shared" si="3"/>
        <v>368000</v>
      </c>
      <c r="F22" s="24"/>
      <c r="G22" s="25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</row>
    <row r="23" ht="15.75" customHeight="1">
      <c r="A23" s="1"/>
      <c r="B23" s="102" t="s">
        <v>91</v>
      </c>
      <c r="C23" s="102"/>
      <c r="D23" s="103">
        <f>sum(D13:D22)</f>
        <v>462000</v>
      </c>
      <c r="E23" s="104">
        <f>SUM(E13:E22)</f>
        <v>10626000</v>
      </c>
      <c r="F23" s="24"/>
      <c r="G23" s="25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 ht="15.75" customHeight="1">
      <c r="A24" s="105"/>
      <c r="B24" s="105" t="s">
        <v>92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</row>
    <row r="25" ht="15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 ht="15.75" customHeight="1">
      <c r="A26" s="62"/>
      <c r="C26" s="106" t="s">
        <v>93</v>
      </c>
      <c r="D26" s="24"/>
      <c r="E26" s="104">
        <f>G8+'Depreciación '!G16</f>
        <v>14292100.36</v>
      </c>
      <c r="F26" s="24"/>
      <c r="G26" s="25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 ht="15.75" customHeight="1">
      <c r="A27" s="62"/>
      <c r="C27" s="106" t="s">
        <v>94</v>
      </c>
      <c r="D27" s="24"/>
      <c r="E27" s="104">
        <f>D23</f>
        <v>462000</v>
      </c>
      <c r="F27" s="24"/>
      <c r="G27" s="25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</row>
    <row r="28" ht="15.75" customHeight="1">
      <c r="A28" s="62"/>
      <c r="C28" s="107" t="s">
        <v>95</v>
      </c>
      <c r="D28" s="24"/>
      <c r="E28" s="108">
        <f>SUM(Gastos!F28)</f>
        <v>42410000</v>
      </c>
      <c r="F28" s="24"/>
      <c r="G28" s="25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 ht="15.75" customHeight="1">
      <c r="A29" s="62"/>
      <c r="C29" s="109" t="s">
        <v>96</v>
      </c>
      <c r="D29" s="24"/>
      <c r="E29" s="110">
        <v>1200000.0</v>
      </c>
      <c r="F29" s="24"/>
      <c r="G29" s="25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 ht="15.75" customHeight="1">
      <c r="A30" s="62"/>
      <c r="C30" s="109" t="s">
        <v>97</v>
      </c>
      <c r="D30" s="24"/>
      <c r="E30" s="111">
        <f>(E26+Gastos!F28)/(E29-E27)</f>
        <v>76.8321143</v>
      </c>
      <c r="F30" s="112"/>
      <c r="G30" s="113">
        <f>E30*E29</f>
        <v>92198537.17</v>
      </c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</row>
    <row r="31" ht="15.75" customHeight="1">
      <c r="A31" s="62"/>
      <c r="C31" s="114" t="s">
        <v>98</v>
      </c>
      <c r="D31" s="24"/>
      <c r="E31" s="115">
        <f>E29-E27</f>
        <v>738000</v>
      </c>
      <c r="F31" s="24"/>
      <c r="G31" s="25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 ht="15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4" ht="15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ht="15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 ht="15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</row>
    <row r="37" ht="15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 ht="15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 ht="15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 ht="15.7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 ht="15.7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</row>
    <row r="42" ht="15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</row>
    <row r="43" ht="15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</row>
    <row r="44" ht="15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5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 ht="15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</row>
    <row r="47" ht="15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</row>
    <row r="48" ht="15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</row>
    <row r="49" ht="15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</row>
    <row r="50" ht="15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</row>
    <row r="51" ht="15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</row>
    <row r="52" ht="15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</row>
    <row r="53" ht="15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</row>
    <row r="54" ht="15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 ht="15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</row>
    <row r="56" ht="15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</row>
    <row r="57" ht="15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</row>
    <row r="58" ht="15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</row>
    <row r="59" ht="15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</row>
    <row r="60" ht="15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</row>
    <row r="61" ht="15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</row>
    <row r="62" ht="15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</row>
    <row r="63" ht="15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</row>
    <row r="64" ht="15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</row>
    <row r="65" ht="15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</row>
    <row r="66" ht="15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</row>
    <row r="67" ht="15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</row>
    <row r="68" ht="15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</row>
    <row r="69" ht="15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</row>
    <row r="70" ht="15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</row>
    <row r="71" ht="15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</row>
    <row r="72" ht="15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 ht="15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</row>
    <row r="74" ht="15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</row>
    <row r="75" ht="15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</row>
    <row r="76" ht="15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</row>
    <row r="77" ht="15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</row>
    <row r="78" ht="15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</row>
    <row r="79" ht="15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</row>
    <row r="80" ht="15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</row>
    <row r="81" ht="15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</row>
    <row r="82" ht="15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</row>
    <row r="83" ht="15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</row>
    <row r="84" ht="15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</row>
    <row r="85" ht="15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</row>
    <row r="86" ht="15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</row>
    <row r="87" ht="15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</row>
    <row r="88" ht="15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</row>
    <row r="89" ht="15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</row>
    <row r="90" ht="15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</row>
    <row r="91" ht="15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</row>
    <row r="92" ht="15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</row>
    <row r="93" ht="15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</row>
    <row r="94" ht="15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</row>
    <row r="95" ht="15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</row>
    <row r="96" ht="15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</row>
    <row r="97" ht="15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</row>
    <row r="98" ht="15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</row>
    <row r="99" ht="15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</row>
    <row r="100" ht="15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</row>
    <row r="101" ht="15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</row>
    <row r="102" ht="15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</row>
    <row r="103" ht="15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</row>
    <row r="104" ht="15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</row>
    <row r="105" ht="15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</row>
    <row r="106" ht="15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</row>
    <row r="107" ht="15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</row>
    <row r="108" ht="15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</row>
    <row r="109" ht="15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</row>
    <row r="110" ht="15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</row>
    <row r="111" ht="15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</row>
    <row r="112" ht="15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</row>
    <row r="113" ht="15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</row>
    <row r="114" ht="15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</row>
    <row r="115" ht="15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</row>
    <row r="116" ht="15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</row>
    <row r="117" ht="15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</row>
    <row r="118" ht="15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</row>
    <row r="119" ht="15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</row>
    <row r="120" ht="15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</row>
    <row r="121" ht="15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</row>
    <row r="122" ht="15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</row>
    <row r="123" ht="15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</row>
    <row r="124" ht="15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</row>
    <row r="125" ht="15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</row>
    <row r="126" ht="15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</row>
    <row r="127" ht="15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</row>
    <row r="128" ht="15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</row>
    <row r="129" ht="15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</row>
    <row r="130" ht="15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</row>
    <row r="131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</row>
    <row r="132" ht="15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</row>
    <row r="133" ht="15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</row>
    <row r="134" ht="15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</row>
    <row r="135" ht="15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</row>
    <row r="136" ht="15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</row>
    <row r="137" ht="15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</row>
    <row r="138" ht="15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</row>
    <row r="139" ht="15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</row>
    <row r="140" ht="15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</row>
    <row r="141" ht="15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</row>
    <row r="142" ht="15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</row>
    <row r="143" ht="15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</row>
    <row r="144" ht="15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</row>
    <row r="145" ht="15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</row>
    <row r="146" ht="15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</row>
    <row r="147" ht="15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</row>
    <row r="148" ht="15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</row>
    <row r="149" ht="15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</row>
    <row r="150" ht="15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</row>
    <row r="151" ht="15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</row>
    <row r="152" ht="15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</row>
    <row r="153" ht="15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</row>
    <row r="154" ht="15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</row>
    <row r="155" ht="15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</row>
    <row r="156" ht="15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</row>
    <row r="157" ht="15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</row>
    <row r="158" ht="15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</row>
    <row r="159" ht="15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</row>
    <row r="160" ht="15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</row>
    <row r="161" ht="15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</row>
    <row r="162" ht="15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</row>
    <row r="163" ht="15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</row>
    <row r="164" ht="15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</row>
    <row r="165" ht="15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</row>
    <row r="166" ht="15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</row>
    <row r="167" ht="15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</row>
    <row r="168" ht="15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</row>
    <row r="169" ht="15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</row>
    <row r="170" ht="15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</row>
    <row r="171" ht="15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</row>
    <row r="172" ht="15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</row>
    <row r="173" ht="15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</row>
    <row r="174" ht="15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</row>
    <row r="175" ht="15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</row>
    <row r="176" ht="15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</row>
    <row r="177" ht="15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</row>
    <row r="178" ht="15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</row>
    <row r="179" ht="15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</row>
    <row r="180" ht="15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</row>
    <row r="181" ht="15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</row>
    <row r="182" ht="15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</row>
    <row r="183" ht="15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</row>
    <row r="184" ht="15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</row>
    <row r="185" ht="15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</row>
    <row r="186" ht="15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</row>
    <row r="187" ht="15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</row>
    <row r="188" ht="15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</row>
    <row r="189" ht="15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</row>
    <row r="190" ht="15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</row>
    <row r="191" ht="15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</row>
    <row r="192" ht="15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</row>
    <row r="193" ht="15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</row>
    <row r="194" ht="15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</row>
    <row r="195" ht="15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</row>
    <row r="196" ht="15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</row>
    <row r="197" ht="15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</row>
    <row r="198" ht="15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</row>
    <row r="199" ht="15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</row>
    <row r="200" ht="15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</row>
    <row r="201" ht="15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</row>
    <row r="202" ht="15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</row>
    <row r="203" ht="15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</row>
    <row r="204" ht="15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</row>
    <row r="205" ht="15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</row>
    <row r="206" ht="15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</row>
    <row r="207" ht="15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</row>
    <row r="208" ht="15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</row>
    <row r="209" ht="15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</row>
    <row r="210" ht="15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</row>
    <row r="211" ht="15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</row>
    <row r="212" ht="15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</row>
    <row r="213" ht="15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</row>
    <row r="214" ht="15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</row>
    <row r="215" ht="15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</row>
    <row r="216" ht="15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</row>
    <row r="217" ht="15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</row>
    <row r="218" ht="15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</row>
    <row r="219" ht="15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</row>
    <row r="220" ht="15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</row>
    <row r="221" ht="15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</row>
    <row r="222" ht="15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</row>
    <row r="223" ht="15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</row>
    <row r="224" ht="15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</row>
    <row r="225" ht="15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</row>
    <row r="226" ht="15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</row>
    <row r="227" ht="15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</row>
    <row r="228" ht="15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</row>
    <row r="229" ht="15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</row>
    <row r="230" ht="15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</row>
    <row r="231" ht="15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</row>
    <row r="232" ht="15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</row>
    <row r="233" ht="15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</row>
    <row r="234" ht="15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</row>
    <row r="235" ht="15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</row>
    <row r="236" ht="15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</row>
    <row r="237" ht="15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</row>
    <row r="238" ht="15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</row>
    <row r="239" ht="15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</row>
    <row r="240" ht="15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</row>
    <row r="241" ht="15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</row>
    <row r="242" ht="15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</row>
    <row r="243" ht="15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</row>
    <row r="244" ht="15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</row>
    <row r="245" ht="15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</row>
    <row r="246" ht="15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</row>
    <row r="247" ht="15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</row>
    <row r="248" ht="15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</row>
    <row r="249" ht="15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</row>
    <row r="250" ht="15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</row>
    <row r="251" ht="15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</row>
    <row r="252" ht="15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</row>
    <row r="253" ht="15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</row>
    <row r="254" ht="15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</row>
    <row r="255" ht="15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</row>
    <row r="256" ht="15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</row>
    <row r="257" ht="15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</row>
    <row r="258" ht="15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</row>
    <row r="259" ht="15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</row>
    <row r="260" ht="15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</row>
    <row r="261" ht="15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</row>
    <row r="262" ht="15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</row>
    <row r="263" ht="15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</row>
    <row r="264" ht="15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</row>
    <row r="265" ht="15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</row>
    <row r="266" ht="15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</row>
    <row r="267" ht="15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</row>
    <row r="268" ht="15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</row>
    <row r="269" ht="15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</row>
    <row r="270" ht="15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</row>
    <row r="271" ht="15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</row>
    <row r="272" ht="15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</row>
    <row r="273" ht="15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</row>
    <row r="274" ht="15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</row>
    <row r="275" ht="15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</row>
    <row r="276" ht="15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</row>
    <row r="277" ht="15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</row>
    <row r="278" ht="15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</row>
    <row r="279" ht="15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</row>
    <row r="280" ht="15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</row>
    <row r="281" ht="15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</row>
    <row r="282" ht="15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</row>
    <row r="283" ht="15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</row>
    <row r="284" ht="15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</row>
    <row r="285" ht="15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</row>
    <row r="286" ht="15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</row>
    <row r="287" ht="15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</row>
    <row r="288" ht="15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</row>
    <row r="289" ht="15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</row>
    <row r="290" ht="15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</row>
    <row r="291" ht="15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</row>
    <row r="292" ht="15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</row>
    <row r="293" ht="15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</row>
    <row r="294" ht="15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</row>
    <row r="295" ht="15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</row>
    <row r="296" ht="15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</row>
    <row r="297" ht="15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</row>
    <row r="298" ht="15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</row>
    <row r="299" ht="15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</row>
    <row r="300" ht="15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</row>
    <row r="301" ht="15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</row>
    <row r="302" ht="15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</row>
    <row r="303" ht="15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</row>
    <row r="304" ht="15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</row>
    <row r="305" ht="15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</row>
    <row r="306" ht="15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</row>
    <row r="307" ht="15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</row>
    <row r="308" ht="15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</row>
    <row r="309" ht="15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</row>
    <row r="310" ht="15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</row>
    <row r="311" ht="15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</row>
    <row r="312" ht="15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</row>
    <row r="313" ht="15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</row>
    <row r="314" ht="15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</row>
    <row r="315" ht="15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</row>
    <row r="316" ht="15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</row>
    <row r="317" ht="15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</row>
    <row r="318" ht="15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</row>
    <row r="319" ht="15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</row>
    <row r="320" ht="15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</row>
    <row r="321" ht="15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</row>
    <row r="322" ht="15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</row>
    <row r="323" ht="15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</row>
    <row r="324" ht="15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</row>
    <row r="325" ht="15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</row>
    <row r="326" ht="15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</row>
    <row r="327" ht="15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</row>
    <row r="328" ht="15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</row>
    <row r="329" ht="15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</row>
    <row r="330" ht="15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</row>
    <row r="331" ht="15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</row>
    <row r="332" ht="15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</row>
    <row r="333" ht="15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</row>
    <row r="334" ht="15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</row>
    <row r="335" ht="15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</row>
    <row r="336" ht="15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</row>
    <row r="337" ht="15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</row>
    <row r="338" ht="15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</row>
    <row r="339" ht="15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</row>
    <row r="340" ht="15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</row>
    <row r="341" ht="15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</row>
    <row r="342" ht="15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</row>
    <row r="343" ht="15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</row>
    <row r="344" ht="15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</row>
    <row r="345" ht="15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</row>
    <row r="346" ht="15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</row>
    <row r="347" ht="15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</row>
    <row r="348" ht="15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</row>
    <row r="349" ht="15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</row>
    <row r="350" ht="15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</row>
    <row r="351" ht="15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</row>
    <row r="352" ht="15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</row>
    <row r="353" ht="15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</row>
    <row r="354" ht="15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</row>
    <row r="355" ht="15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</row>
    <row r="356" ht="15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</row>
    <row r="357" ht="15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</row>
    <row r="358" ht="15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</row>
    <row r="359" ht="15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</row>
    <row r="360" ht="15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</row>
    <row r="361" ht="15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</row>
    <row r="362" ht="15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</row>
    <row r="363" ht="15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</row>
    <row r="364" ht="15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</row>
    <row r="365" ht="15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</row>
    <row r="366" ht="15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</row>
    <row r="367" ht="15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</row>
    <row r="368" ht="15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</row>
    <row r="369" ht="15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</row>
    <row r="370" ht="15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</row>
    <row r="371" ht="15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</row>
    <row r="372" ht="15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</row>
    <row r="373" ht="15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</row>
    <row r="374" ht="15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</row>
    <row r="375" ht="15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</row>
    <row r="376" ht="15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</row>
    <row r="377" ht="15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</row>
    <row r="378" ht="15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</row>
    <row r="379" ht="15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</row>
    <row r="380" ht="15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</row>
    <row r="381" ht="15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</row>
    <row r="382" ht="15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</row>
    <row r="383" ht="15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</row>
    <row r="384" ht="15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</row>
    <row r="385" ht="15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</row>
    <row r="386" ht="15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</row>
    <row r="387" ht="15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</row>
    <row r="388" ht="15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</row>
    <row r="389" ht="15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</row>
    <row r="390" ht="15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</row>
    <row r="391" ht="15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</row>
    <row r="392" ht="15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</row>
    <row r="393" ht="15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</row>
    <row r="394" ht="15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</row>
    <row r="395" ht="15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</row>
    <row r="396" ht="15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</row>
    <row r="397" ht="15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</row>
    <row r="398" ht="15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</row>
    <row r="399" ht="15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</row>
    <row r="400" ht="15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</row>
    <row r="401" ht="15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</row>
    <row r="402" ht="15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</row>
    <row r="403" ht="15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</row>
    <row r="404" ht="15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</row>
    <row r="405" ht="15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</row>
    <row r="406" ht="15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</row>
    <row r="407" ht="15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</row>
    <row r="408" ht="15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</row>
    <row r="409" ht="15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</row>
    <row r="410" ht="15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</row>
    <row r="411" ht="15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</row>
    <row r="412" ht="15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</row>
    <row r="413" ht="15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</row>
    <row r="414" ht="15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</row>
    <row r="415" ht="15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</row>
    <row r="416" ht="15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</row>
    <row r="417" ht="15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</row>
    <row r="418" ht="15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</row>
    <row r="419" ht="15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</row>
    <row r="420" ht="15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</row>
    <row r="421" ht="15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</row>
    <row r="422" ht="15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</row>
    <row r="423" ht="15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</row>
    <row r="424" ht="15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</row>
    <row r="425" ht="15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</row>
    <row r="426" ht="15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</row>
    <row r="427" ht="15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</row>
    <row r="428" ht="15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</row>
    <row r="429" ht="15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</row>
    <row r="430" ht="15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</row>
    <row r="431" ht="15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</row>
    <row r="432" ht="15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</row>
    <row r="433" ht="15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</row>
    <row r="434" ht="15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</row>
    <row r="435" ht="15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</row>
    <row r="436" ht="15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</row>
    <row r="437" ht="15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</row>
    <row r="438" ht="15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</row>
    <row r="439" ht="15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</row>
    <row r="440" ht="15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</row>
    <row r="441" ht="15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</row>
    <row r="442" ht="15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</row>
    <row r="443" ht="15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</row>
    <row r="444" ht="15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</row>
    <row r="445" ht="15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</row>
    <row r="446" ht="15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</row>
    <row r="447" ht="15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</row>
    <row r="448" ht="15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</row>
    <row r="449" ht="15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</row>
    <row r="450" ht="15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</row>
    <row r="451" ht="15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</row>
    <row r="452" ht="15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</row>
    <row r="453" ht="15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</row>
    <row r="454" ht="15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</row>
    <row r="455" ht="15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</row>
    <row r="456" ht="15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</row>
    <row r="457" ht="15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</row>
    <row r="458" ht="15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</row>
    <row r="459" ht="15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</row>
    <row r="460" ht="15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</row>
    <row r="461" ht="15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</row>
    <row r="462" ht="15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</row>
    <row r="463" ht="15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</row>
    <row r="464" ht="15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</row>
    <row r="465" ht="15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</row>
    <row r="466" ht="15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</row>
    <row r="467" ht="15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</row>
    <row r="468" ht="15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</row>
    <row r="469" ht="15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</row>
    <row r="470" ht="15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</row>
    <row r="471" ht="15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</row>
    <row r="472" ht="15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</row>
    <row r="473" ht="15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</row>
    <row r="474" ht="15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</row>
    <row r="475" ht="15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</row>
    <row r="476" ht="15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</row>
    <row r="477" ht="15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</row>
    <row r="478" ht="15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</row>
    <row r="479" ht="15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</row>
    <row r="480" ht="15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</row>
    <row r="481" ht="15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</row>
    <row r="482" ht="15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</row>
    <row r="483" ht="15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</row>
    <row r="484" ht="15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</row>
    <row r="485" ht="15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</row>
    <row r="486" ht="15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</row>
    <row r="487" ht="15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</row>
    <row r="488" ht="15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</row>
    <row r="489" ht="15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</row>
    <row r="490" ht="15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</row>
    <row r="491" ht="15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</row>
    <row r="492" ht="15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</row>
    <row r="493" ht="15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</row>
    <row r="494" ht="15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</row>
    <row r="495" ht="15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</row>
    <row r="496" ht="15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</row>
    <row r="497" ht="15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</row>
    <row r="498" ht="15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</row>
    <row r="499" ht="15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</row>
    <row r="500" ht="15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</row>
    <row r="501" ht="15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</row>
    <row r="502" ht="15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</row>
    <row r="503" ht="15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</row>
    <row r="504" ht="15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</row>
    <row r="505" ht="15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</row>
    <row r="506" ht="15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</row>
    <row r="507" ht="15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</row>
    <row r="508" ht="15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</row>
    <row r="509" ht="15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</row>
    <row r="510" ht="15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</row>
    <row r="511" ht="15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</row>
    <row r="512" ht="15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</row>
    <row r="513" ht="15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</row>
    <row r="514" ht="15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</row>
    <row r="515" ht="15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</row>
    <row r="516" ht="15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</row>
    <row r="517" ht="15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</row>
    <row r="518" ht="15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</row>
    <row r="519" ht="15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</row>
    <row r="520" ht="15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</row>
    <row r="521" ht="15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</row>
    <row r="522" ht="15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</row>
    <row r="523" ht="15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</row>
    <row r="524" ht="15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</row>
    <row r="525" ht="15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</row>
    <row r="526" ht="15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</row>
    <row r="527" ht="15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</row>
    <row r="528" ht="15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</row>
    <row r="529" ht="15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</row>
    <row r="530" ht="15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</row>
    <row r="531" ht="15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</row>
    <row r="532" ht="15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</row>
    <row r="533" ht="15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</row>
    <row r="534" ht="15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</row>
    <row r="535" ht="15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</row>
    <row r="536" ht="15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</row>
    <row r="537" ht="15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</row>
    <row r="538" ht="15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</row>
    <row r="539" ht="15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</row>
    <row r="540" ht="15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</row>
    <row r="541" ht="15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</row>
    <row r="542" ht="15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</row>
    <row r="543" ht="15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</row>
    <row r="544" ht="15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</row>
    <row r="545" ht="15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</row>
    <row r="546" ht="15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</row>
    <row r="547" ht="15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</row>
    <row r="548" ht="15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</row>
    <row r="549" ht="15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</row>
    <row r="550" ht="15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</row>
    <row r="551" ht="15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</row>
    <row r="552" ht="15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</row>
    <row r="553" ht="15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</row>
    <row r="554" ht="15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</row>
    <row r="555" ht="15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</row>
    <row r="556" ht="15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</row>
    <row r="557" ht="15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</row>
    <row r="558" ht="15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</row>
    <row r="559" ht="15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</row>
    <row r="560" ht="15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</row>
    <row r="561" ht="15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</row>
    <row r="562" ht="15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</row>
    <row r="563" ht="15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</row>
    <row r="564" ht="15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</row>
    <row r="565" ht="15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</row>
    <row r="566" ht="15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</row>
    <row r="567" ht="15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</row>
    <row r="568" ht="15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</row>
    <row r="569" ht="15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</row>
    <row r="570" ht="15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</row>
    <row r="571" ht="15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</row>
    <row r="572" ht="15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</row>
    <row r="573" ht="15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</row>
    <row r="574" ht="15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</row>
    <row r="575" ht="15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</row>
    <row r="576" ht="15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</row>
    <row r="577" ht="15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</row>
    <row r="578" ht="15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</row>
    <row r="579" ht="15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</row>
    <row r="580" ht="15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</row>
    <row r="581" ht="15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</row>
    <row r="582" ht="15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</row>
    <row r="583" ht="15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</row>
    <row r="584" ht="15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</row>
    <row r="585" ht="15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</row>
    <row r="586" ht="15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</row>
    <row r="587" ht="15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</row>
    <row r="588" ht="15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</row>
    <row r="589" ht="15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</row>
    <row r="590" ht="15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</row>
    <row r="591" ht="15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</row>
    <row r="592" ht="15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</row>
    <row r="593" ht="15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</row>
    <row r="594" ht="15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</row>
    <row r="595" ht="15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</row>
    <row r="596" ht="15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</row>
    <row r="597" ht="15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</row>
    <row r="598" ht="15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</row>
    <row r="599" ht="15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</row>
    <row r="600" ht="15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</row>
    <row r="601" ht="15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</row>
    <row r="602" ht="15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</row>
    <row r="603" ht="15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</row>
    <row r="604" ht="15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</row>
    <row r="605" ht="15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</row>
    <row r="606" ht="15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</row>
    <row r="607" ht="15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</row>
    <row r="608" ht="15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</row>
    <row r="609" ht="15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</row>
    <row r="610" ht="15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</row>
    <row r="611" ht="15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</row>
    <row r="612" ht="15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</row>
    <row r="613" ht="15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</row>
    <row r="614" ht="15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</row>
    <row r="615" ht="15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</row>
    <row r="616" ht="15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</row>
    <row r="617" ht="15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</row>
    <row r="618" ht="15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</row>
    <row r="619" ht="15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</row>
    <row r="620" ht="15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</row>
    <row r="621" ht="15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</row>
    <row r="622" ht="15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</row>
    <row r="623" ht="15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</row>
    <row r="624" ht="15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</row>
    <row r="625" ht="15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</row>
    <row r="626" ht="15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</row>
    <row r="627" ht="15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</row>
    <row r="628" ht="15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</row>
    <row r="629" ht="15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</row>
    <row r="630" ht="15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</row>
    <row r="631" ht="15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</row>
    <row r="632" ht="15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</row>
    <row r="633" ht="15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</row>
    <row r="634" ht="15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</row>
    <row r="635" ht="15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</row>
    <row r="636" ht="15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</row>
    <row r="637" ht="15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</row>
    <row r="638" ht="15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</row>
    <row r="639" ht="15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</row>
    <row r="640" ht="15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</row>
    <row r="641" ht="15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</row>
    <row r="642" ht="15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</row>
    <row r="643" ht="15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</row>
    <row r="644" ht="15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</row>
    <row r="645" ht="15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</row>
    <row r="646" ht="15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</row>
    <row r="647" ht="15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</row>
    <row r="648" ht="15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</row>
    <row r="649" ht="15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</row>
    <row r="650" ht="15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</row>
    <row r="651" ht="15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</row>
    <row r="652" ht="15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</row>
    <row r="653" ht="15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</row>
    <row r="654" ht="15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</row>
    <row r="655" ht="15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</row>
    <row r="656" ht="15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</row>
    <row r="657" ht="15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</row>
    <row r="658" ht="15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</row>
    <row r="659" ht="15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</row>
    <row r="660" ht="15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</row>
    <row r="661" ht="15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</row>
    <row r="662" ht="15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</row>
    <row r="663" ht="15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</row>
    <row r="664" ht="15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</row>
    <row r="665" ht="15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</row>
    <row r="666" ht="15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</row>
    <row r="667" ht="15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</row>
    <row r="668" ht="15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</row>
    <row r="669" ht="15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</row>
    <row r="670" ht="15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</row>
    <row r="671" ht="15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</row>
    <row r="672" ht="15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</row>
    <row r="673" ht="15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</row>
    <row r="674" ht="15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</row>
    <row r="675" ht="15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</row>
    <row r="676" ht="15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</row>
    <row r="677" ht="15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</row>
    <row r="678" ht="15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</row>
    <row r="679" ht="15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</row>
    <row r="680" ht="15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</row>
    <row r="681" ht="15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</row>
    <row r="682" ht="15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</row>
    <row r="683" ht="15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</row>
    <row r="684" ht="15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</row>
    <row r="685" ht="15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</row>
    <row r="686" ht="15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</row>
    <row r="687" ht="15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</row>
    <row r="688" ht="15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</row>
    <row r="689" ht="15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</row>
    <row r="690" ht="15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</row>
    <row r="691" ht="15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</row>
    <row r="692" ht="15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</row>
    <row r="693" ht="15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</row>
    <row r="694" ht="15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</row>
    <row r="695" ht="15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</row>
    <row r="696" ht="15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</row>
    <row r="697" ht="15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</row>
    <row r="698" ht="15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</row>
    <row r="699" ht="15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</row>
    <row r="700" ht="15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</row>
    <row r="701" ht="15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</row>
    <row r="702" ht="15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</row>
    <row r="703" ht="15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</row>
    <row r="704" ht="15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</row>
    <row r="705" ht="15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</row>
    <row r="706" ht="15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</row>
    <row r="707" ht="15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</row>
    <row r="708" ht="15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</row>
    <row r="709" ht="15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</row>
    <row r="710" ht="15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</row>
    <row r="711" ht="15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</row>
    <row r="712" ht="15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</row>
    <row r="713" ht="15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</row>
    <row r="714" ht="15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</row>
    <row r="715" ht="15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</row>
    <row r="716" ht="15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</row>
    <row r="717" ht="15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</row>
    <row r="718" ht="15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</row>
    <row r="719" ht="15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</row>
    <row r="720" ht="15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</row>
    <row r="721" ht="15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</row>
    <row r="722" ht="15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</row>
    <row r="723" ht="15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</row>
    <row r="724" ht="15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</row>
    <row r="725" ht="15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</row>
    <row r="726" ht="15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</row>
    <row r="727" ht="15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</row>
    <row r="728" ht="15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</row>
    <row r="729" ht="15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</row>
    <row r="730" ht="15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</row>
    <row r="731" ht="15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</row>
    <row r="732" ht="15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</row>
    <row r="733" ht="15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</row>
    <row r="734" ht="15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</row>
    <row r="735" ht="15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</row>
    <row r="736" ht="15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</row>
    <row r="737" ht="15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</row>
    <row r="738" ht="15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</row>
    <row r="739" ht="15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</row>
    <row r="740" ht="15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</row>
    <row r="741" ht="15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</row>
    <row r="742" ht="15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</row>
    <row r="743" ht="15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</row>
    <row r="744" ht="15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</row>
    <row r="745" ht="15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</row>
    <row r="746" ht="15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</row>
    <row r="747" ht="15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</row>
    <row r="748" ht="15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</row>
    <row r="749" ht="15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</row>
    <row r="750" ht="15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</row>
    <row r="751" ht="15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</row>
    <row r="752" ht="15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</row>
    <row r="753" ht="15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</row>
    <row r="754" ht="15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</row>
    <row r="755" ht="15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</row>
    <row r="756" ht="15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</row>
    <row r="757" ht="15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</row>
    <row r="758" ht="15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</row>
    <row r="759" ht="15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</row>
    <row r="760" ht="15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</row>
    <row r="761" ht="15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</row>
    <row r="762" ht="15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</row>
    <row r="763" ht="15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</row>
    <row r="764" ht="15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</row>
    <row r="765" ht="15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</row>
    <row r="766" ht="15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</row>
    <row r="767" ht="15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</row>
    <row r="768" ht="15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</row>
    <row r="769" ht="15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</row>
    <row r="770" ht="15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</row>
    <row r="771" ht="15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</row>
    <row r="772" ht="15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</row>
    <row r="773" ht="15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</row>
    <row r="774" ht="15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</row>
    <row r="775" ht="15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</row>
    <row r="776" ht="15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</row>
    <row r="777" ht="15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</row>
    <row r="778" ht="15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</row>
    <row r="779" ht="15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</row>
    <row r="780" ht="15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</row>
    <row r="781" ht="15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</row>
    <row r="782" ht="15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</row>
    <row r="783" ht="15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</row>
    <row r="784" ht="15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</row>
    <row r="785" ht="15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</row>
    <row r="786" ht="15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</row>
    <row r="787" ht="15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</row>
    <row r="788" ht="15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</row>
    <row r="789" ht="15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</row>
    <row r="790" ht="15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</row>
    <row r="791" ht="15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</row>
    <row r="792" ht="15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</row>
    <row r="793" ht="15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</row>
    <row r="794" ht="15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</row>
    <row r="795" ht="15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</row>
    <row r="796" ht="15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</row>
    <row r="797" ht="15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</row>
    <row r="798" ht="15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</row>
    <row r="799" ht="15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</row>
    <row r="800" ht="15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</row>
    <row r="801" ht="15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</row>
    <row r="802" ht="15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</row>
    <row r="803" ht="15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</row>
    <row r="804" ht="15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</row>
    <row r="805" ht="15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</row>
    <row r="806" ht="15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</row>
    <row r="807" ht="15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</row>
    <row r="808" ht="15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</row>
    <row r="809" ht="15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</row>
    <row r="810" ht="15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</row>
    <row r="811" ht="15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</row>
    <row r="812" ht="15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</row>
    <row r="813" ht="15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</row>
    <row r="814" ht="15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</row>
    <row r="815" ht="15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</row>
    <row r="816" ht="15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</row>
    <row r="817" ht="15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</row>
    <row r="818" ht="15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</row>
    <row r="819" ht="15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</row>
    <row r="820" ht="15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</row>
    <row r="821" ht="15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</row>
    <row r="822" ht="15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</row>
    <row r="823" ht="15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</row>
    <row r="824" ht="15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</row>
    <row r="825" ht="15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</row>
    <row r="826" ht="15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</row>
    <row r="827" ht="15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</row>
    <row r="828" ht="15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</row>
    <row r="829" ht="15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</row>
    <row r="830" ht="15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</row>
    <row r="831" ht="15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</row>
    <row r="832" ht="15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</row>
    <row r="833" ht="15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</row>
    <row r="834" ht="15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</row>
    <row r="835" ht="15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</row>
    <row r="836" ht="15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</row>
    <row r="837" ht="15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</row>
    <row r="838" ht="15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</row>
    <row r="839" ht="15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</row>
    <row r="840" ht="15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</row>
    <row r="841" ht="15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</row>
    <row r="842" ht="15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</row>
    <row r="843" ht="15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</row>
    <row r="844" ht="15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</row>
    <row r="845" ht="15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</row>
    <row r="846" ht="15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</row>
    <row r="847" ht="15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</row>
    <row r="848" ht="15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</row>
    <row r="849" ht="15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</row>
    <row r="850" ht="15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</row>
    <row r="851" ht="15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</row>
    <row r="852" ht="15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</row>
    <row r="853" ht="15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</row>
    <row r="854" ht="15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</row>
    <row r="855" ht="15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</row>
    <row r="856" ht="15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</row>
    <row r="857" ht="15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</row>
    <row r="858" ht="15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</row>
    <row r="859" ht="15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</row>
    <row r="860" ht="15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</row>
    <row r="861" ht="15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</row>
    <row r="862" ht="15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</row>
    <row r="863" ht="15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</row>
    <row r="864" ht="15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</row>
    <row r="865" ht="15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</row>
    <row r="866" ht="15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</row>
    <row r="867" ht="15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</row>
    <row r="868" ht="15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</row>
    <row r="869" ht="15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</row>
    <row r="870" ht="15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</row>
    <row r="871" ht="15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</row>
    <row r="872" ht="15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</row>
    <row r="873" ht="15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</row>
    <row r="874" ht="15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</row>
    <row r="875" ht="15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</row>
    <row r="876" ht="15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</row>
    <row r="877" ht="15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</row>
    <row r="878" ht="15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</row>
    <row r="879" ht="15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</row>
    <row r="880" ht="15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</row>
    <row r="881" ht="15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</row>
    <row r="882" ht="15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</row>
    <row r="883" ht="15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</row>
    <row r="884" ht="15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</row>
    <row r="885" ht="15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</row>
    <row r="886" ht="15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</row>
    <row r="887" ht="15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</row>
    <row r="888" ht="15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</row>
    <row r="889" ht="15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</row>
    <row r="890" ht="15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</row>
    <row r="891" ht="15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</row>
    <row r="892" ht="15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</row>
    <row r="893" ht="15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</row>
    <row r="894" ht="15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</row>
    <row r="895" ht="15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</row>
    <row r="896" ht="15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</row>
    <row r="897" ht="15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</row>
    <row r="898" ht="15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</row>
    <row r="899" ht="15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</row>
    <row r="900" ht="15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</row>
    <row r="901" ht="15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</row>
    <row r="902" ht="15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</row>
    <row r="903" ht="15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</row>
    <row r="904" ht="15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</row>
    <row r="905" ht="15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</row>
    <row r="906" ht="15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</row>
    <row r="907" ht="15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</row>
    <row r="908" ht="15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</row>
    <row r="909" ht="15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</row>
    <row r="910" ht="15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</row>
    <row r="911" ht="15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</row>
    <row r="912" ht="15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</row>
    <row r="913" ht="15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</row>
    <row r="914" ht="15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</row>
    <row r="915" ht="15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</row>
    <row r="916" ht="15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</row>
    <row r="917" ht="15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</row>
    <row r="918" ht="15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</row>
    <row r="919" ht="15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</row>
    <row r="920" ht="15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</row>
    <row r="921" ht="15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</row>
    <row r="922" ht="15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</row>
    <row r="923" ht="15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</row>
    <row r="924" ht="15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</row>
    <row r="925" ht="15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</row>
    <row r="926" ht="15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</row>
    <row r="927" ht="15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</row>
    <row r="928" ht="15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</row>
    <row r="929" ht="15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</row>
    <row r="930" ht="15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</row>
    <row r="931" ht="15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</row>
    <row r="932" ht="15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</row>
    <row r="933" ht="15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</row>
    <row r="934" ht="15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</row>
    <row r="935" ht="15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</row>
    <row r="936" ht="15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</row>
    <row r="937" ht="15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</row>
    <row r="938" ht="15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</row>
    <row r="939" ht="15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</row>
    <row r="940" ht="15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</row>
    <row r="941" ht="15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</row>
    <row r="942" ht="15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</row>
    <row r="943" ht="15.7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</row>
    <row r="944" ht="15.7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</row>
    <row r="945" ht="15.7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</row>
    <row r="946" ht="15.7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</row>
    <row r="947" ht="15.7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</row>
    <row r="948" ht="15.7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</row>
    <row r="949" ht="15.7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</row>
    <row r="950" ht="15.7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</row>
    <row r="951" ht="15.7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</row>
    <row r="952" ht="15.7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</row>
    <row r="953" ht="15.7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</row>
    <row r="954" ht="15.7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</row>
    <row r="955" ht="15.7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</row>
    <row r="956" ht="15.7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</row>
    <row r="957" ht="15.7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</row>
    <row r="958" ht="15.7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</row>
    <row r="959" ht="15.7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</row>
    <row r="960" ht="15.7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</row>
    <row r="961" ht="15.7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</row>
    <row r="962" ht="15.7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</row>
    <row r="963" ht="15.7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</row>
    <row r="964" ht="15.7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</row>
    <row r="965" ht="15.7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</row>
    <row r="966" ht="15.7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</row>
    <row r="967" ht="15.7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</row>
    <row r="968" ht="15.7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</row>
    <row r="969" ht="15.7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</row>
    <row r="970" ht="15.7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</row>
    <row r="971" ht="15.7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</row>
    <row r="972" ht="15.7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</row>
    <row r="973" ht="15.7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</row>
    <row r="974" ht="15.7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</row>
    <row r="975" ht="15.7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</row>
    <row r="976" ht="15.7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</row>
    <row r="977" ht="15.7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</row>
    <row r="978" ht="15.7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</row>
    <row r="979" ht="15.7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</row>
    <row r="980" ht="15.7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</row>
    <row r="981" ht="15.7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</row>
    <row r="982" ht="15.7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</row>
    <row r="983" ht="15.7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</row>
    <row r="984" ht="15.7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</row>
    <row r="985" ht="15.7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</row>
    <row r="986" ht="15.7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</row>
    <row r="987" ht="15.7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</row>
    <row r="988" ht="15.7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</row>
    <row r="989" ht="15.7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</row>
    <row r="990" ht="15.7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</row>
    <row r="991" ht="15.7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</row>
    <row r="992" ht="15.7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</row>
    <row r="993" ht="15.7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</row>
    <row r="994" ht="15.7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</row>
    <row r="995" ht="15.7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</row>
    <row r="996" ht="15.7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</row>
    <row r="997" ht="15.7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</row>
  </sheetData>
  <mergeCells count="25">
    <mergeCell ref="B2:G2"/>
    <mergeCell ref="B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C29:D29"/>
    <mergeCell ref="C30:D30"/>
    <mergeCell ref="C31:D31"/>
    <mergeCell ref="E31:G31"/>
    <mergeCell ref="C26:D26"/>
    <mergeCell ref="E26:G26"/>
    <mergeCell ref="C27:D27"/>
    <mergeCell ref="E27:G27"/>
    <mergeCell ref="C28:D28"/>
    <mergeCell ref="E28:G28"/>
    <mergeCell ref="E29:G2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36.63"/>
    <col customWidth="1" min="3" max="3" width="13.0"/>
    <col customWidth="1" min="4" max="4" width="11.88"/>
    <col customWidth="1" min="5" max="6" width="12.63"/>
  </cols>
  <sheetData>
    <row r="1" ht="15.75" customHeight="1">
      <c r="A1" s="36"/>
      <c r="B1" s="36"/>
      <c r="C1" s="36"/>
      <c r="D1" s="36"/>
      <c r="E1" s="36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5.75" customHeight="1">
      <c r="A2" s="36"/>
      <c r="B2" s="116" t="s">
        <v>99</v>
      </c>
      <c r="C2" s="24"/>
      <c r="D2" s="24"/>
      <c r="E2" s="24"/>
      <c r="F2" s="25"/>
      <c r="G2" s="37"/>
      <c r="H2" s="117" t="s">
        <v>99</v>
      </c>
      <c r="I2" s="24"/>
      <c r="J2" s="24"/>
      <c r="K2" s="24"/>
      <c r="L2" s="118">
        <f>F12</f>
        <v>775000</v>
      </c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5.75" customHeight="1">
      <c r="A3" s="119"/>
      <c r="B3" s="120" t="s">
        <v>100</v>
      </c>
      <c r="C3" s="121" t="s">
        <v>101</v>
      </c>
      <c r="D3" s="122" t="s">
        <v>2</v>
      </c>
      <c r="E3" s="122" t="s">
        <v>3</v>
      </c>
      <c r="F3" s="122" t="s">
        <v>30</v>
      </c>
      <c r="G3" s="37"/>
      <c r="H3" s="117" t="s">
        <v>102</v>
      </c>
      <c r="I3" s="24"/>
      <c r="J3" s="24"/>
      <c r="K3" s="24"/>
      <c r="L3" s="123">
        <f>E26</f>
        <v>58985300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5.75" customHeight="1">
      <c r="A4" s="44"/>
      <c r="B4" s="45" t="s">
        <v>103</v>
      </c>
      <c r="C4" s="124" t="s">
        <v>104</v>
      </c>
      <c r="D4" s="45">
        <v>1.0</v>
      </c>
      <c r="E4" s="125">
        <v>0.0</v>
      </c>
      <c r="F4" s="49">
        <f t="shared" ref="F4:F11" si="1">E4*D4</f>
        <v>0</v>
      </c>
      <c r="G4" s="37"/>
      <c r="H4" s="117" t="s">
        <v>105</v>
      </c>
      <c r="I4" s="24"/>
      <c r="J4" s="24"/>
      <c r="K4" s="24"/>
      <c r="L4" s="123">
        <f>E30</f>
        <v>1300000</v>
      </c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5.75" customHeight="1">
      <c r="A5" s="44"/>
      <c r="B5" s="45" t="s">
        <v>106</v>
      </c>
      <c r="C5" s="124" t="s">
        <v>104</v>
      </c>
      <c r="D5" s="45">
        <v>1.0</v>
      </c>
      <c r="E5" s="125">
        <v>0.0</v>
      </c>
      <c r="F5" s="49">
        <f t="shared" si="1"/>
        <v>0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5.75" customHeight="1">
      <c r="A6" s="44"/>
      <c r="B6" s="45" t="s">
        <v>107</v>
      </c>
      <c r="C6" s="124" t="s">
        <v>104</v>
      </c>
      <c r="D6" s="45">
        <v>1.0</v>
      </c>
      <c r="E6" s="125">
        <v>7200.0</v>
      </c>
      <c r="F6" s="49">
        <f t="shared" si="1"/>
        <v>7200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5.75" customHeight="1">
      <c r="A7" s="44"/>
      <c r="B7" s="45" t="s">
        <v>108</v>
      </c>
      <c r="C7" s="124" t="s">
        <v>104</v>
      </c>
      <c r="D7" s="45">
        <v>1.0</v>
      </c>
      <c r="E7" s="125">
        <v>53000.0</v>
      </c>
      <c r="F7" s="49">
        <f t="shared" si="1"/>
        <v>53000</v>
      </c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5.75" customHeight="1">
      <c r="A8" s="44"/>
      <c r="B8" s="45" t="s">
        <v>109</v>
      </c>
      <c r="C8" s="124" t="s">
        <v>104</v>
      </c>
      <c r="D8" s="45">
        <v>1.0</v>
      </c>
      <c r="E8" s="125">
        <v>3600.0</v>
      </c>
      <c r="F8" s="49">
        <f t="shared" si="1"/>
        <v>3600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5.75" customHeight="1">
      <c r="A9" s="44"/>
      <c r="B9" s="45" t="s">
        <v>110</v>
      </c>
      <c r="C9" s="124" t="s">
        <v>104</v>
      </c>
      <c r="D9" s="45">
        <v>1.0</v>
      </c>
      <c r="E9" s="125">
        <v>7200.0</v>
      </c>
      <c r="F9" s="49">
        <f t="shared" si="1"/>
        <v>7200</v>
      </c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5.75" customHeight="1">
      <c r="A10" s="44"/>
      <c r="B10" s="45" t="s">
        <v>111</v>
      </c>
      <c r="C10" s="124" t="s">
        <v>104</v>
      </c>
      <c r="D10" s="45">
        <v>1.0</v>
      </c>
      <c r="E10" s="125">
        <v>18000.0</v>
      </c>
      <c r="F10" s="49">
        <f t="shared" si="1"/>
        <v>18000</v>
      </c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5.75" customHeight="1">
      <c r="A11" s="44"/>
      <c r="B11" s="45" t="s">
        <v>112</v>
      </c>
      <c r="C11" s="124" t="s">
        <v>113</v>
      </c>
      <c r="D11" s="45">
        <v>1.0</v>
      </c>
      <c r="E11" s="125">
        <v>686000.0</v>
      </c>
      <c r="F11" s="49">
        <f t="shared" si="1"/>
        <v>686000</v>
      </c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5.75" customHeight="1">
      <c r="A12" s="1"/>
      <c r="B12" s="126" t="s">
        <v>114</v>
      </c>
      <c r="C12" s="126"/>
      <c r="D12" s="126"/>
      <c r="E12" s="127">
        <f t="shared" ref="E12:F12" si="2">SUM(E4:E11)</f>
        <v>775000</v>
      </c>
      <c r="F12" s="127">
        <f t="shared" si="2"/>
        <v>775000</v>
      </c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5.75" customHeight="1">
      <c r="A13" s="128"/>
      <c r="B13" s="128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5.75" customHeight="1">
      <c r="A14" s="37"/>
      <c r="B14" s="129" t="s">
        <v>102</v>
      </c>
      <c r="C14" s="24"/>
      <c r="D14" s="24"/>
      <c r="E14" s="24"/>
      <c r="F14" s="25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5.75" customHeight="1">
      <c r="A15" s="37"/>
      <c r="B15" s="130" t="s">
        <v>1</v>
      </c>
      <c r="C15" s="131" t="s">
        <v>2</v>
      </c>
      <c r="D15" s="131" t="s">
        <v>3</v>
      </c>
      <c r="E15" s="132" t="s">
        <v>30</v>
      </c>
      <c r="F15" s="25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5.75" customHeight="1">
      <c r="A16" s="37"/>
      <c r="B16" s="133" t="s">
        <v>115</v>
      </c>
      <c r="C16" s="133">
        <v>1.0</v>
      </c>
      <c r="D16" s="125">
        <v>5000000.0</v>
      </c>
      <c r="E16" s="101">
        <f t="shared" ref="E16:E25" si="3">D16*C16</f>
        <v>5000000</v>
      </c>
      <c r="F16" s="25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5.75" customHeight="1">
      <c r="A17" s="37"/>
      <c r="B17" s="133" t="s">
        <v>116</v>
      </c>
      <c r="C17" s="133">
        <v>1.0</v>
      </c>
      <c r="D17" s="125">
        <v>2500000.0</v>
      </c>
      <c r="E17" s="101">
        <f t="shared" si="3"/>
        <v>2500000</v>
      </c>
      <c r="F17" s="25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5.75" customHeight="1">
      <c r="A18" s="37"/>
      <c r="B18" s="133" t="s">
        <v>117</v>
      </c>
      <c r="C18" s="133">
        <v>1.0</v>
      </c>
      <c r="D18" s="125">
        <v>200000.0</v>
      </c>
      <c r="E18" s="101">
        <f t="shared" si="3"/>
        <v>200000</v>
      </c>
      <c r="F18" s="25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5.75" customHeight="1">
      <c r="A19" s="37"/>
      <c r="B19" s="133" t="s">
        <v>118</v>
      </c>
      <c r="C19" s="133">
        <v>10.0</v>
      </c>
      <c r="D19" s="125">
        <v>250000.0</v>
      </c>
      <c r="E19" s="101">
        <f t="shared" si="3"/>
        <v>2500000</v>
      </c>
      <c r="F19" s="25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5.75" customHeight="1">
      <c r="A20" s="37"/>
      <c r="B20" s="133" t="s">
        <v>119</v>
      </c>
      <c r="C20" s="133">
        <v>10.0</v>
      </c>
      <c r="D20" s="125">
        <v>170000.0</v>
      </c>
      <c r="E20" s="101">
        <f t="shared" si="3"/>
        <v>1700000</v>
      </c>
      <c r="F20" s="25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5.75" customHeight="1">
      <c r="A21" s="37"/>
      <c r="B21" s="133" t="s">
        <v>120</v>
      </c>
      <c r="C21" s="133">
        <v>10.0</v>
      </c>
      <c r="D21" s="125">
        <v>2500000.0</v>
      </c>
      <c r="E21" s="101">
        <f t="shared" si="3"/>
        <v>25000000</v>
      </c>
      <c r="F21" s="25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5.75" customHeight="1">
      <c r="A22" s="37"/>
      <c r="B22" s="133" t="s">
        <v>121</v>
      </c>
      <c r="C22" s="133">
        <v>1.0</v>
      </c>
      <c r="D22" s="125">
        <v>4000000.0</v>
      </c>
      <c r="E22" s="101">
        <f t="shared" si="3"/>
        <v>4000000</v>
      </c>
      <c r="F22" s="25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5.75" customHeight="1">
      <c r="A23" s="37"/>
      <c r="B23" s="133" t="s">
        <v>122</v>
      </c>
      <c r="C23" s="133">
        <v>1.0</v>
      </c>
      <c r="D23" s="125">
        <v>3000000.0</v>
      </c>
      <c r="E23" s="101">
        <f t="shared" si="3"/>
        <v>3000000</v>
      </c>
      <c r="F23" s="25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5.75" customHeight="1">
      <c r="A24" s="37"/>
      <c r="B24" s="133" t="s">
        <v>123</v>
      </c>
      <c r="C24" s="133">
        <v>1.0</v>
      </c>
      <c r="D24" s="125">
        <v>5000000.0</v>
      </c>
      <c r="E24" s="101">
        <f t="shared" si="3"/>
        <v>5000000</v>
      </c>
      <c r="F24" s="25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5.75" customHeight="1">
      <c r="A25" s="37"/>
      <c r="B25" s="133" t="s">
        <v>124</v>
      </c>
      <c r="C25" s="133">
        <v>20.0</v>
      </c>
      <c r="D25" s="125">
        <v>504265.0</v>
      </c>
      <c r="E25" s="101">
        <f t="shared" si="3"/>
        <v>10085300</v>
      </c>
      <c r="F25" s="25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5.75" customHeight="1">
      <c r="A26" s="37"/>
      <c r="B26" s="134" t="s">
        <v>114</v>
      </c>
      <c r="C26" s="134"/>
      <c r="D26" s="127">
        <f t="shared" ref="D26:E26" si="4">SUM(D16:D25)</f>
        <v>23124265</v>
      </c>
      <c r="E26" s="135">
        <f t="shared" si="4"/>
        <v>58985300</v>
      </c>
      <c r="F26" s="25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5.75" customHeight="1">
      <c r="A27" s="37"/>
      <c r="B27" s="37"/>
      <c r="C27" s="37"/>
      <c r="D27" s="37"/>
      <c r="E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5.75" customHeight="1">
      <c r="A28" s="37"/>
      <c r="B28" s="136" t="s">
        <v>105</v>
      </c>
      <c r="C28" s="24"/>
      <c r="D28" s="24"/>
      <c r="E28" s="24"/>
      <c r="F28" s="25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5.75" customHeight="1">
      <c r="A29" s="37"/>
      <c r="B29" s="130" t="s">
        <v>1</v>
      </c>
      <c r="C29" s="131" t="s">
        <v>2</v>
      </c>
      <c r="D29" s="131" t="s">
        <v>3</v>
      </c>
      <c r="E29" s="132" t="s">
        <v>30</v>
      </c>
      <c r="F29" s="25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5.75" customHeight="1">
      <c r="A30" s="37"/>
      <c r="B30" s="133" t="s">
        <v>125</v>
      </c>
      <c r="C30" s="133">
        <v>1.0</v>
      </c>
      <c r="D30" s="137">
        <v>1300000.0</v>
      </c>
      <c r="E30" s="101">
        <f>D30*C30</f>
        <v>1300000</v>
      </c>
      <c r="F30" s="25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5.75" customHeight="1">
      <c r="A31" s="37"/>
      <c r="B31" s="37"/>
      <c r="C31" s="37"/>
      <c r="D31" s="37"/>
      <c r="E31" s="37"/>
      <c r="F31" s="37"/>
      <c r="G31" s="37"/>
      <c r="H31" s="48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5.75" customHeight="1">
      <c r="A32" s="37"/>
      <c r="B32" s="138" t="s">
        <v>114</v>
      </c>
      <c r="C32" s="25"/>
      <c r="D32" s="139">
        <f>SUM(F12+E26+E30)</f>
        <v>61060300</v>
      </c>
      <c r="E32" s="24"/>
      <c r="F32" s="25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5.75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5.7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5.7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5.75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5.75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5.75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5.7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5.75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5.75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5.7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5.7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5.7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5.7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5.7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5.7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5.7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5.7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5.7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5.7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5.7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5.7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5.7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5.7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5.7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5.7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5.7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5.7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5.7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5.7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5.7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5.7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5.7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5.7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5.7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5.7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5.7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5.7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5.7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5.7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5.7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5.7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5.7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5.7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5.7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5.7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5.7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5.7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5.7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5.7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5.7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5.7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5.7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5.7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5.7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5.7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5.7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5.7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5.7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5.7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5.7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5.7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5.7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5.7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5.7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5.7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5.7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5.7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5.7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5.7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5.7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5.7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5.7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5.7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5.7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5.7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5.7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5.7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5.7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5.7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5.7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5.7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5.7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5.7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5.7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5.7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5.7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5.7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5.7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5.7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5.7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5.7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5.7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5.7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5.7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5.7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5.7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5.7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5.7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5.7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5.7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5.7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5.7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5.7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5.7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5.7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5.7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5.7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5.7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5.7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5.7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5.7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5.7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5.7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5.7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5.7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5.7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5.7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5.7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5.7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5.7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5.7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5.7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5.7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5.7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5.7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5.7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5.7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5.7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5.7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5.7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5.7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5.7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5.7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5.7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5.7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5.7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5.7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5.7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5.7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5.7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5.7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5.7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5.7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5.7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5.7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5.7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5.7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5.7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5.7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5.7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5.7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5.7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5.7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5.7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5.7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5.7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5.7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5.7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5.7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5.7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5.7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5.7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5.7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5.7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5.7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5.7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5.7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5.7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5.7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5.7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5.7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5.7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5.7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5.7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5.7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5.7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5.7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5.7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5.7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5.7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5.7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5.7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5.7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5.7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5.7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5.7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5.7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5.7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5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5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5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5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5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5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5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5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5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5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5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5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5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5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5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5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5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5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5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5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5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5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5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5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5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5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5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5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5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5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5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5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5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5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5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5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5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5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5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5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5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5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5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5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5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5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5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5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5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5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5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5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5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5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5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5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5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5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5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5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5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5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5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5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5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5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5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5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5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5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5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5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5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5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5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5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5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5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5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5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5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5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5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5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5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5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5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5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5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5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5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5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5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5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5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5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5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5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5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5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5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5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5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5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5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5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5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5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5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5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5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5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5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5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5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5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5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5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5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5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5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5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5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5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5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5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5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5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5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5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5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5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5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5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5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5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5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5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5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5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5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5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5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5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5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5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5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5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5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5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5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5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5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5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5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5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5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5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5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5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5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5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5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5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5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5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5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5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5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5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5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5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5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5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5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5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5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5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5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5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5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5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5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5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5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5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5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5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5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5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5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5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5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5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5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5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5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5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5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5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5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5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5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5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5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5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5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5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5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5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5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5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5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5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5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5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5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5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5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5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5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5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5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5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5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5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5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5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5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5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5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5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5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5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5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5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5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5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5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5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5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5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5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5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5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5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5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5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5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5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5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5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5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5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5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5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5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5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5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5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5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5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5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5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5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5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5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5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5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5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5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5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5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5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5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5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5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5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5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5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5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5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5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5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5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5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5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5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5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5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5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5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5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5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5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5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5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5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5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5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5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5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5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5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5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5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5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5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5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5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5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5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5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5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5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5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5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5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5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5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5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5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5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5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5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5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5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5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5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5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5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5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5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5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5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5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5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5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5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5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5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5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5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5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5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5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5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5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5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5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5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5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5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5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5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5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5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5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5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5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5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5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5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5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5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5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5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5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5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5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5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5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5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5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5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5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5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5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5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5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5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5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5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5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5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5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5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5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5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5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5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5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5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5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5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5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5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5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5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5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5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5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5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5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5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5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5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5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5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5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5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5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5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5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5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5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5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5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5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5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5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5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5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5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5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5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5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5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5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5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5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5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5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5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5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5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5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5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5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5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5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5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5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5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5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5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5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5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5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5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5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5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5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5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5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5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5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5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5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5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5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5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5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5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5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5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5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5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5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5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5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5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5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5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5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5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5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5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5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5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5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5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5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5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5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5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5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5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5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5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5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5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5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5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5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5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5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5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5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5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5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5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5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5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5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5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5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5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5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5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5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5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5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5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5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5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5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5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5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5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5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5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5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5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5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5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5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5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5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5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5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5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5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5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5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5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5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5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5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5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5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5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5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5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5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5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5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5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5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5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5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5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5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5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5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5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5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5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5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5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5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5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5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5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5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5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5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5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5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5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5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5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5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5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5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5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5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5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5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5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5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5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5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5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5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5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5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5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5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5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5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5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5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5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5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5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5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5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5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5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5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5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5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5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5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5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5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5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5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5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5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5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5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5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5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5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5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5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5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5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5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5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5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5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5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5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5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5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5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5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5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5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5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5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5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5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5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5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5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5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5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5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5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5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5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5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5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5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5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5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5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5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5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5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5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5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5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5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5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5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5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5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5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5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5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5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5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5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5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5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5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5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5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5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5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5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5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5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5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5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5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5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5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5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5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5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5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5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5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5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5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5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5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5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5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5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5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5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5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5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5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5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5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5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5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5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5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5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5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5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5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5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5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5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5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5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5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5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5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5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5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5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5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5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5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5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5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5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5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5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5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5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5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5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5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5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5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5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5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5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5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5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5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5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5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5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5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5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5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5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5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5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5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5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5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5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5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5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5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5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5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5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5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5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</sheetData>
  <mergeCells count="23">
    <mergeCell ref="B2:F2"/>
    <mergeCell ref="H2:K2"/>
    <mergeCell ref="H3:K3"/>
    <mergeCell ref="H4:K4"/>
    <mergeCell ref="B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B32:C32"/>
    <mergeCell ref="D32:F32"/>
    <mergeCell ref="E24:F24"/>
    <mergeCell ref="E25:F25"/>
    <mergeCell ref="E26:F26"/>
    <mergeCell ref="E27:F27"/>
    <mergeCell ref="B28:F28"/>
    <mergeCell ref="E29:F29"/>
    <mergeCell ref="E30:F3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1.5"/>
    <col customWidth="1" min="5" max="5" width="32.5"/>
    <col customWidth="1" min="7" max="7" width="16.13"/>
    <col customWidth="1" min="8" max="8" width="14.63"/>
    <col customWidth="1" min="9" max="9" width="15.25"/>
  </cols>
  <sheetData>
    <row r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7"/>
      <c r="B2" s="140" t="s">
        <v>126</v>
      </c>
      <c r="C2" s="141" t="s">
        <v>127</v>
      </c>
      <c r="D2" s="37"/>
      <c r="E2" s="142" t="s">
        <v>128</v>
      </c>
      <c r="F2" s="24"/>
      <c r="G2" s="24"/>
      <c r="H2" s="24"/>
      <c r="I2" s="24"/>
      <c r="J2" s="24"/>
      <c r="K2" s="25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7"/>
      <c r="B3" s="133" t="s">
        <v>129</v>
      </c>
      <c r="C3" s="143">
        <v>0.15</v>
      </c>
      <c r="D3" s="37"/>
      <c r="E3" s="144" t="s">
        <v>1</v>
      </c>
      <c r="F3" s="145" t="s">
        <v>130</v>
      </c>
      <c r="G3" s="146" t="s">
        <v>131</v>
      </c>
      <c r="H3" s="146" t="s">
        <v>132</v>
      </c>
      <c r="I3" s="146" t="s">
        <v>133</v>
      </c>
      <c r="J3" s="146" t="s">
        <v>134</v>
      </c>
      <c r="K3" s="146" t="s">
        <v>135</v>
      </c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7"/>
      <c r="B4" s="133" t="s">
        <v>136</v>
      </c>
      <c r="C4" s="143">
        <v>0.1</v>
      </c>
      <c r="D4" s="37"/>
      <c r="E4" s="147" t="s">
        <v>137</v>
      </c>
      <c r="F4" s="148"/>
      <c r="G4" s="149">
        <f>'Opex inicial'!O5</f>
        <v>949.9320538</v>
      </c>
      <c r="H4" s="149">
        <f t="shared" ref="H4:K4" si="1">G4+(G4*$C$3)</f>
        <v>1092.421862</v>
      </c>
      <c r="I4" s="149">
        <f t="shared" si="1"/>
        <v>1256.285141</v>
      </c>
      <c r="J4" s="149">
        <f t="shared" si="1"/>
        <v>1444.727912</v>
      </c>
      <c r="K4" s="149">
        <f t="shared" si="1"/>
        <v>1661.437099</v>
      </c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7"/>
      <c r="B5" s="133" t="s">
        <v>138</v>
      </c>
      <c r="C5" s="143">
        <v>0.13</v>
      </c>
      <c r="D5" s="37"/>
      <c r="E5" s="147" t="s">
        <v>60</v>
      </c>
      <c r="F5" s="148"/>
      <c r="G5" s="150">
        <f>'Opex inicial'!C6</f>
        <v>462000</v>
      </c>
      <c r="H5" s="150">
        <f t="shared" ref="H5:K5" si="2">G5+(G5*$C$5)</f>
        <v>522060</v>
      </c>
      <c r="I5" s="150">
        <f t="shared" si="2"/>
        <v>589927.8</v>
      </c>
      <c r="J5" s="150">
        <f t="shared" si="2"/>
        <v>666618.414</v>
      </c>
      <c r="K5" s="150">
        <f t="shared" si="2"/>
        <v>753278.8078</v>
      </c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7"/>
      <c r="B6" s="133" t="s">
        <v>139</v>
      </c>
      <c r="C6" s="143">
        <v>0.35</v>
      </c>
      <c r="D6" s="37"/>
      <c r="E6" s="147" t="s">
        <v>61</v>
      </c>
      <c r="F6" s="148"/>
      <c r="G6" s="150">
        <f>'Opex inicial'!C7</f>
        <v>1200000</v>
      </c>
      <c r="H6" s="150">
        <f t="shared" ref="H6:K6" si="3">G6+(G6*$C$4)</f>
        <v>1320000</v>
      </c>
      <c r="I6" s="150">
        <f t="shared" si="3"/>
        <v>1452000</v>
      </c>
      <c r="J6" s="150">
        <f t="shared" si="3"/>
        <v>1597200</v>
      </c>
      <c r="K6" s="150">
        <f t="shared" si="3"/>
        <v>1756920</v>
      </c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7"/>
      <c r="B7" s="151" t="s">
        <v>140</v>
      </c>
      <c r="C7" s="152">
        <v>0.2</v>
      </c>
      <c r="D7" s="37"/>
      <c r="E7" s="147" t="s">
        <v>62</v>
      </c>
      <c r="F7" s="148"/>
      <c r="G7" s="150">
        <f>'Opex inicial'!O8</f>
        <v>1139918465</v>
      </c>
      <c r="H7" s="150">
        <f t="shared" ref="H7:K7" si="4">H6*H4</f>
        <v>1441996858</v>
      </c>
      <c r="I7" s="150">
        <f t="shared" si="4"/>
        <v>1824126025</v>
      </c>
      <c r="J7" s="150">
        <f t="shared" si="4"/>
        <v>2307519422</v>
      </c>
      <c r="K7" s="150">
        <f t="shared" si="4"/>
        <v>2919012068</v>
      </c>
      <c r="L7" s="153">
        <f>AVERAGE(G7:K7)</f>
        <v>1926514567</v>
      </c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7"/>
      <c r="B8" s="37"/>
      <c r="C8" s="37"/>
      <c r="D8" s="37"/>
      <c r="E8" s="147" t="s">
        <v>63</v>
      </c>
      <c r="F8" s="148"/>
      <c r="G8" s="150">
        <f>'Opex inicial'!O9</f>
        <v>610373813.1</v>
      </c>
      <c r="H8" s="150">
        <f t="shared" ref="H8:K8" si="5">H9+H10</f>
        <v>764110638</v>
      </c>
      <c r="I8" s="150">
        <f t="shared" si="5"/>
        <v>960112524.8</v>
      </c>
      <c r="J8" s="150">
        <f t="shared" si="5"/>
        <v>1210546574</v>
      </c>
      <c r="K8" s="150">
        <f t="shared" si="5"/>
        <v>1531160067</v>
      </c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7"/>
      <c r="B9" s="124" t="s">
        <v>141</v>
      </c>
      <c r="C9" s="154">
        <f>IRR(F28:K28)</f>
        <v>0.756090623</v>
      </c>
      <c r="D9" s="37"/>
      <c r="E9" s="147" t="s">
        <v>142</v>
      </c>
      <c r="F9" s="155"/>
      <c r="G9" s="150">
        <f>'Opex inicial'!O10</f>
        <v>171505204.3</v>
      </c>
      <c r="H9" s="150">
        <f>G9+($C$5*G9)</f>
        <v>193800880.8</v>
      </c>
      <c r="I9" s="150">
        <f>H9+(H9*$C$5)</f>
        <v>218994995.3</v>
      </c>
      <c r="J9" s="150">
        <f>I9+($C$5*I9)</f>
        <v>247464344.7</v>
      </c>
      <c r="K9" s="150">
        <f>J9+(J9*$C$5)</f>
        <v>279634709.6</v>
      </c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7"/>
      <c r="B10" s="124" t="s">
        <v>143</v>
      </c>
      <c r="C10" s="156">
        <f t="array" ref="C10">F28+NPV(C7,G28:K28)</f>
        <v>301202900.5</v>
      </c>
      <c r="D10" s="37"/>
      <c r="E10" s="147" t="s">
        <v>65</v>
      </c>
      <c r="F10" s="148"/>
      <c r="G10" s="150">
        <f>'Opex inicial'!O11</f>
        <v>438868608.9</v>
      </c>
      <c r="H10" s="150">
        <f t="shared" ref="H10:K10" si="6">H5*H4</f>
        <v>570309757.2</v>
      </c>
      <c r="I10" s="150">
        <f t="shared" si="6"/>
        <v>741117529.5</v>
      </c>
      <c r="J10" s="150">
        <f t="shared" si="6"/>
        <v>963082229.6</v>
      </c>
      <c r="K10" s="150">
        <f t="shared" si="6"/>
        <v>1251525357</v>
      </c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7"/>
      <c r="D11" s="37"/>
      <c r="E11" s="147" t="s">
        <v>66</v>
      </c>
      <c r="F11" s="148"/>
      <c r="G11" s="150">
        <f>'Opex inicial'!O12</f>
        <v>529544651.4</v>
      </c>
      <c r="H11" s="150">
        <f t="shared" ref="H11:K11" si="7">H7-H8</f>
        <v>677886219.6</v>
      </c>
      <c r="I11" s="150">
        <f t="shared" si="7"/>
        <v>864013500.1</v>
      </c>
      <c r="J11" s="150">
        <f t="shared" si="7"/>
        <v>1096972847</v>
      </c>
      <c r="K11" s="150">
        <f t="shared" si="7"/>
        <v>1387852001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7"/>
      <c r="D12" s="37"/>
      <c r="E12" s="147" t="s">
        <v>67</v>
      </c>
      <c r="F12" s="155"/>
      <c r="G12" s="150">
        <f>'Opex inicial'!O13</f>
        <v>508920000</v>
      </c>
      <c r="H12" s="150">
        <f t="shared" ref="H12:K12" si="8">G12+(G12*$C$5)</f>
        <v>575079600</v>
      </c>
      <c r="I12" s="150">
        <f t="shared" si="8"/>
        <v>649839948</v>
      </c>
      <c r="J12" s="150">
        <f t="shared" si="8"/>
        <v>734319141.2</v>
      </c>
      <c r="K12" s="150">
        <f t="shared" si="8"/>
        <v>829780629.6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7"/>
      <c r="B13" s="37"/>
      <c r="C13" s="37"/>
      <c r="D13" s="37"/>
      <c r="E13" s="147" t="s">
        <v>68</v>
      </c>
      <c r="F13" s="155"/>
      <c r="G13" s="150">
        <f>'Opex inicial'!O14</f>
        <v>20624651.42</v>
      </c>
      <c r="H13" s="150">
        <f t="shared" ref="H13:K13" si="9">H11-H12</f>
        <v>102806619.6</v>
      </c>
      <c r="I13" s="150">
        <f t="shared" si="9"/>
        <v>214173552.1</v>
      </c>
      <c r="J13" s="150">
        <f t="shared" si="9"/>
        <v>362653706</v>
      </c>
      <c r="K13" s="150">
        <f t="shared" si="9"/>
        <v>558071371.8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7"/>
      <c r="B14" s="37"/>
      <c r="C14" s="37"/>
      <c r="D14" s="37"/>
      <c r="E14" s="147" t="s">
        <v>144</v>
      </c>
      <c r="F14" s="148"/>
      <c r="G14" s="150">
        <f>'Depreciación '!G15</f>
        <v>6193204.278</v>
      </c>
      <c r="H14" s="150">
        <f>G14</f>
        <v>6193204.278</v>
      </c>
      <c r="I14" s="150">
        <f>G14</f>
        <v>6193204.278</v>
      </c>
      <c r="J14" s="150">
        <f>I14</f>
        <v>6193204.278</v>
      </c>
      <c r="K14" s="150">
        <f>I14</f>
        <v>6193204.278</v>
      </c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7"/>
      <c r="B15" s="37"/>
      <c r="C15" s="37"/>
      <c r="D15" s="37"/>
      <c r="E15" s="147" t="s">
        <v>145</v>
      </c>
      <c r="F15" s="148"/>
      <c r="G15" s="150">
        <f t="shared" ref="G15:K15" si="10">G13-G14</f>
        <v>14431447.14</v>
      </c>
      <c r="H15" s="150">
        <f t="shared" si="10"/>
        <v>96613415.34</v>
      </c>
      <c r="I15" s="150">
        <f t="shared" si="10"/>
        <v>207980347.8</v>
      </c>
      <c r="J15" s="150">
        <f t="shared" si="10"/>
        <v>356460501.7</v>
      </c>
      <c r="K15" s="150">
        <f t="shared" si="10"/>
        <v>551878167.5</v>
      </c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7"/>
      <c r="B16" s="37"/>
      <c r="C16" s="37"/>
      <c r="D16" s="37"/>
      <c r="E16" s="147" t="s">
        <v>146</v>
      </c>
      <c r="F16" s="148"/>
      <c r="G16" s="157"/>
      <c r="H16" s="157"/>
      <c r="I16" s="157"/>
      <c r="J16" s="157"/>
      <c r="K16" s="15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37"/>
      <c r="D17" s="37"/>
      <c r="E17" s="147" t="s">
        <v>147</v>
      </c>
      <c r="F17" s="158"/>
      <c r="G17" s="157"/>
      <c r="H17" s="159"/>
      <c r="I17" s="159"/>
      <c r="J17" s="159"/>
      <c r="K17" s="159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7"/>
      <c r="B18" s="37"/>
      <c r="C18" s="37"/>
      <c r="D18" s="37"/>
      <c r="E18" s="147" t="s">
        <v>148</v>
      </c>
      <c r="F18" s="158"/>
      <c r="G18" s="150">
        <f t="shared" ref="G18:K18" si="11">G15-G16+G17</f>
        <v>14431447.14</v>
      </c>
      <c r="H18" s="150">
        <f t="shared" si="11"/>
        <v>96613415.34</v>
      </c>
      <c r="I18" s="150">
        <f t="shared" si="11"/>
        <v>207980347.8</v>
      </c>
      <c r="J18" s="150">
        <f t="shared" si="11"/>
        <v>356460501.7</v>
      </c>
      <c r="K18" s="150">
        <f t="shared" si="11"/>
        <v>551878167.5</v>
      </c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7"/>
      <c r="B19" s="37"/>
      <c r="C19" s="37"/>
      <c r="D19" s="37"/>
      <c r="E19" s="147" t="s">
        <v>149</v>
      </c>
      <c r="F19" s="158"/>
      <c r="G19" s="157">
        <v>0.0</v>
      </c>
      <c r="H19" s="150">
        <f t="shared" ref="H19:K19" si="12">+IF(H18&gt;0,H18*$C$6,0)</f>
        <v>33814695.37</v>
      </c>
      <c r="I19" s="150">
        <f t="shared" si="12"/>
        <v>72793121.74</v>
      </c>
      <c r="J19" s="150">
        <f t="shared" si="12"/>
        <v>124761175.6</v>
      </c>
      <c r="K19" s="150">
        <f t="shared" si="12"/>
        <v>193157358.6</v>
      </c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7"/>
      <c r="B20" s="37"/>
      <c r="C20" s="37"/>
      <c r="D20" s="37"/>
      <c r="E20" s="147" t="s">
        <v>150</v>
      </c>
      <c r="F20" s="158"/>
      <c r="G20" s="150">
        <f t="shared" ref="G20:K20" si="13">G18-G19</f>
        <v>14431447.14</v>
      </c>
      <c r="H20" s="150">
        <f t="shared" si="13"/>
        <v>62798719.97</v>
      </c>
      <c r="I20" s="150">
        <f t="shared" si="13"/>
        <v>135187226.1</v>
      </c>
      <c r="J20" s="150">
        <f t="shared" si="13"/>
        <v>231699326.1</v>
      </c>
      <c r="K20" s="150">
        <f t="shared" si="13"/>
        <v>358720808.9</v>
      </c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37"/>
      <c r="C21" s="37"/>
      <c r="D21" s="37"/>
      <c r="E21" s="147" t="s">
        <v>151</v>
      </c>
      <c r="F21" s="148"/>
      <c r="G21" s="150">
        <f>G14</f>
        <v>6193204.278</v>
      </c>
      <c r="H21" s="150">
        <f t="shared" ref="H21:K21" si="14">G21</f>
        <v>6193204.278</v>
      </c>
      <c r="I21" s="150">
        <f t="shared" si="14"/>
        <v>6193204.278</v>
      </c>
      <c r="J21" s="150">
        <f t="shared" si="14"/>
        <v>6193204.278</v>
      </c>
      <c r="K21" s="150">
        <f t="shared" si="14"/>
        <v>6193204.278</v>
      </c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7"/>
      <c r="B22" s="37"/>
      <c r="C22" s="37"/>
      <c r="D22" s="37"/>
      <c r="E22" s="147" t="s">
        <v>152</v>
      </c>
      <c r="F22" s="148"/>
      <c r="G22" s="150"/>
      <c r="H22" s="150"/>
      <c r="I22" s="150"/>
      <c r="J22" s="150"/>
      <c r="K22" s="150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37"/>
      <c r="D23" s="37"/>
      <c r="E23" s="147" t="s">
        <v>153</v>
      </c>
      <c r="F23" s="148"/>
      <c r="G23" s="150"/>
      <c r="H23" s="150"/>
      <c r="I23" s="150"/>
      <c r="J23" s="150"/>
      <c r="K23" s="150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7"/>
      <c r="B24" s="37"/>
      <c r="C24" s="37"/>
      <c r="D24" s="37"/>
      <c r="E24" s="147" t="s">
        <v>154</v>
      </c>
      <c r="F24" s="53">
        <f>'Inversion - capex'!D32</f>
        <v>61060300</v>
      </c>
      <c r="G24" s="150"/>
      <c r="H24" s="150"/>
      <c r="I24" s="150"/>
      <c r="J24" s="150"/>
      <c r="K24" s="150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7"/>
      <c r="B25" s="37"/>
      <c r="C25" s="37"/>
      <c r="D25" s="37"/>
      <c r="E25" s="147" t="s">
        <v>155</v>
      </c>
      <c r="F25" s="150">
        <f>'Opex inicial'!C16</f>
        <v>-168148210.8</v>
      </c>
      <c r="G25" s="150"/>
      <c r="H25" s="150"/>
      <c r="I25" s="150"/>
      <c r="J25" s="150"/>
      <c r="K25" s="150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7"/>
      <c r="B26" s="37"/>
      <c r="C26" s="37"/>
      <c r="D26" s="37"/>
      <c r="E26" s="147" t="s">
        <v>156</v>
      </c>
      <c r="F26" s="148"/>
      <c r="G26" s="150"/>
      <c r="H26" s="150"/>
      <c r="I26" s="150"/>
      <c r="J26" s="150"/>
      <c r="K26" s="150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7"/>
      <c r="B27" s="37"/>
      <c r="C27" s="37"/>
      <c r="D27" s="37"/>
      <c r="E27" s="147" t="s">
        <v>157</v>
      </c>
      <c r="F27" s="148"/>
      <c r="G27" s="150"/>
      <c r="H27" s="150"/>
      <c r="I27" s="150"/>
      <c r="J27" s="150"/>
      <c r="K27" s="150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7"/>
      <c r="B28" s="37"/>
      <c r="C28" s="37"/>
      <c r="D28" s="37"/>
      <c r="E28" s="147" t="s">
        <v>158</v>
      </c>
      <c r="F28" s="53">
        <f>SUM(F24:F27)</f>
        <v>-107087910.8</v>
      </c>
      <c r="G28" s="150">
        <f t="shared" ref="G28:K28" si="15">G20+G21+G22-G24-G25+G26-G27</f>
        <v>20624651.42</v>
      </c>
      <c r="H28" s="150">
        <f t="shared" si="15"/>
        <v>68991924.25</v>
      </c>
      <c r="I28" s="150">
        <f t="shared" si="15"/>
        <v>141380430.4</v>
      </c>
      <c r="J28" s="150">
        <f t="shared" si="15"/>
        <v>237892530.4</v>
      </c>
      <c r="K28" s="150">
        <f t="shared" si="15"/>
        <v>364914013.2</v>
      </c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  <row r="100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</row>
    <row r="1002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</row>
    <row r="1003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</row>
  </sheetData>
  <mergeCells count="1">
    <mergeCell ref="E2:K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1.5"/>
    <col customWidth="1" min="5" max="5" width="19.0"/>
    <col customWidth="1" min="6" max="6" width="11.75"/>
    <col customWidth="1" min="7" max="7" width="13.38"/>
    <col customWidth="1" min="8" max="8" width="30.38"/>
    <col customWidth="1" min="9" max="9" width="15.25"/>
  </cols>
  <sheetData>
    <row r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7"/>
      <c r="B2" s="160" t="s">
        <v>126</v>
      </c>
      <c r="C2" s="161" t="s">
        <v>127</v>
      </c>
      <c r="D2" s="37"/>
      <c r="E2" s="37"/>
      <c r="F2" s="37"/>
      <c r="G2" s="37"/>
      <c r="H2" s="142" t="s">
        <v>128</v>
      </c>
      <c r="I2" s="24"/>
      <c r="J2" s="24"/>
      <c r="K2" s="24"/>
      <c r="L2" s="24"/>
      <c r="M2" s="24"/>
      <c r="N2" s="25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7"/>
      <c r="B3" s="133" t="s">
        <v>129</v>
      </c>
      <c r="C3" s="143">
        <v>0.15</v>
      </c>
      <c r="D3" s="37"/>
      <c r="E3" s="37"/>
      <c r="F3" s="37"/>
      <c r="G3" s="37"/>
      <c r="H3" s="144" t="s">
        <v>1</v>
      </c>
      <c r="I3" s="145" t="s">
        <v>130</v>
      </c>
      <c r="J3" s="146" t="s">
        <v>131</v>
      </c>
      <c r="K3" s="146" t="s">
        <v>132</v>
      </c>
      <c r="L3" s="146" t="s">
        <v>133</v>
      </c>
      <c r="M3" s="146" t="s">
        <v>134</v>
      </c>
      <c r="N3" s="146" t="s">
        <v>135</v>
      </c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7"/>
      <c r="B4" s="133" t="s">
        <v>136</v>
      </c>
      <c r="C4" s="143">
        <v>0.1</v>
      </c>
      <c r="D4" s="37"/>
      <c r="E4" s="37"/>
      <c r="F4" s="37"/>
      <c r="G4" s="37"/>
      <c r="H4" s="147" t="s">
        <v>137</v>
      </c>
      <c r="I4" s="148"/>
      <c r="J4" s="149">
        <f>'Opex inicial'!O5</f>
        <v>949.9320538</v>
      </c>
      <c r="K4" s="149">
        <f t="shared" ref="K4:N4" si="1">J4+(J4*$C$3)</f>
        <v>1092.421862</v>
      </c>
      <c r="L4" s="149">
        <f t="shared" si="1"/>
        <v>1256.285141</v>
      </c>
      <c r="M4" s="149">
        <f t="shared" si="1"/>
        <v>1444.727912</v>
      </c>
      <c r="N4" s="149">
        <f t="shared" si="1"/>
        <v>1661.437099</v>
      </c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7"/>
      <c r="B5" s="133" t="s">
        <v>138</v>
      </c>
      <c r="C5" s="143">
        <v>0.13</v>
      </c>
      <c r="D5" s="37"/>
      <c r="E5" s="37"/>
      <c r="F5" s="37"/>
      <c r="G5" s="37"/>
      <c r="H5" s="147" t="s">
        <v>60</v>
      </c>
      <c r="I5" s="148"/>
      <c r="J5" s="150">
        <f>'Opex inicial'!C6</f>
        <v>462000</v>
      </c>
      <c r="K5" s="150">
        <f t="shared" ref="K5:N5" si="2">J5+(J5*$C$5)</f>
        <v>522060</v>
      </c>
      <c r="L5" s="150">
        <f t="shared" si="2"/>
        <v>589927.8</v>
      </c>
      <c r="M5" s="150">
        <f t="shared" si="2"/>
        <v>666618.414</v>
      </c>
      <c r="N5" s="150">
        <f t="shared" si="2"/>
        <v>753278.8078</v>
      </c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7"/>
      <c r="B6" s="133" t="s">
        <v>139</v>
      </c>
      <c r="C6" s="143">
        <v>0.35</v>
      </c>
      <c r="D6" s="37"/>
      <c r="E6" s="37"/>
      <c r="F6" s="37"/>
      <c r="G6" s="37"/>
      <c r="H6" s="147" t="s">
        <v>61</v>
      </c>
      <c r="I6" s="148"/>
      <c r="J6" s="150">
        <f>'Opex inicial'!C7</f>
        <v>1200000</v>
      </c>
      <c r="K6" s="150">
        <f t="shared" ref="K6:N6" si="3">J6+(J6*$C$4)</f>
        <v>1320000</v>
      </c>
      <c r="L6" s="150">
        <f t="shared" si="3"/>
        <v>1452000</v>
      </c>
      <c r="M6" s="150">
        <f t="shared" si="3"/>
        <v>1597200</v>
      </c>
      <c r="N6" s="150">
        <f t="shared" si="3"/>
        <v>1756920</v>
      </c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7"/>
      <c r="B7" s="162" t="s">
        <v>143</v>
      </c>
      <c r="C7" s="163">
        <f t="array" ref="C7">+I28+NPV(C11/100,J28:N28)</f>
        <v>582485257.3</v>
      </c>
      <c r="D7" s="37"/>
      <c r="E7" s="37"/>
      <c r="F7" s="37"/>
      <c r="G7" s="37"/>
      <c r="H7" s="147" t="s">
        <v>62</v>
      </c>
      <c r="I7" s="148"/>
      <c r="J7" s="150">
        <f>'Opex inicial'!O8</f>
        <v>1139918465</v>
      </c>
      <c r="K7" s="150">
        <f t="shared" ref="K7:N7" si="4">K6*K4</f>
        <v>1441996858</v>
      </c>
      <c r="L7" s="150">
        <f t="shared" si="4"/>
        <v>1824126025</v>
      </c>
      <c r="M7" s="150">
        <f t="shared" si="4"/>
        <v>2307519422</v>
      </c>
      <c r="N7" s="150">
        <f t="shared" si="4"/>
        <v>2919012068</v>
      </c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7"/>
      <c r="B8" s="124" t="s">
        <v>141</v>
      </c>
      <c r="C8" s="154">
        <f>IRR(I28:N28)</f>
        <v>0.9188439816</v>
      </c>
      <c r="D8" s="37"/>
      <c r="E8" s="37"/>
      <c r="F8" s="37"/>
      <c r="G8" s="37"/>
      <c r="H8" s="147" t="s">
        <v>63</v>
      </c>
      <c r="I8" s="148"/>
      <c r="J8" s="150">
        <f>'Opex inicial'!O9</f>
        <v>610373813.1</v>
      </c>
      <c r="K8" s="150">
        <f t="shared" ref="K8:N8" si="5">K9+K10</f>
        <v>764110638</v>
      </c>
      <c r="L8" s="150">
        <f t="shared" si="5"/>
        <v>960112524.8</v>
      </c>
      <c r="M8" s="150">
        <f t="shared" si="5"/>
        <v>1210546574</v>
      </c>
      <c r="N8" s="150">
        <f t="shared" si="5"/>
        <v>1531160067</v>
      </c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7"/>
      <c r="B9" s="124" t="s">
        <v>159</v>
      </c>
      <c r="C9" s="164">
        <f>0.93*(1-1*(1-C6))</f>
        <v>0.3255</v>
      </c>
      <c r="D9" s="37"/>
      <c r="E9" s="37"/>
      <c r="F9" s="37"/>
      <c r="G9" s="37"/>
      <c r="H9" s="147" t="s">
        <v>142</v>
      </c>
      <c r="I9" s="155"/>
      <c r="J9" s="150">
        <f>'Opex inicial'!O10</f>
        <v>171505204.3</v>
      </c>
      <c r="K9" s="150">
        <f>J9+($C$5*J9)</f>
        <v>193800880.8</v>
      </c>
      <c r="L9" s="150">
        <f>K9+(K9*$C$5)</f>
        <v>218994995.3</v>
      </c>
      <c r="M9" s="150">
        <f>L9+($C$5*L9)</f>
        <v>247464344.7</v>
      </c>
      <c r="N9" s="150">
        <f>M9+(M9*$C$5)</f>
        <v>279634709.6</v>
      </c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7"/>
      <c r="B10" s="124" t="s">
        <v>160</v>
      </c>
      <c r="C10" s="164">
        <f>(1+13.49286)*(1+5.06%)- 1</f>
        <v>14.22619872</v>
      </c>
      <c r="D10" s="37"/>
      <c r="E10" s="37"/>
      <c r="F10" s="37"/>
      <c r="G10" s="37"/>
      <c r="H10" s="147" t="s">
        <v>65</v>
      </c>
      <c r="I10" s="148"/>
      <c r="J10" s="150">
        <f>'Opex inicial'!O11</f>
        <v>438868608.9</v>
      </c>
      <c r="K10" s="150">
        <f t="shared" ref="K10:N10" si="6">K5*K4</f>
        <v>570309757.2</v>
      </c>
      <c r="L10" s="150">
        <f t="shared" si="6"/>
        <v>741117529.5</v>
      </c>
      <c r="M10" s="150">
        <f t="shared" si="6"/>
        <v>963082229.6</v>
      </c>
      <c r="N10" s="150">
        <f t="shared" si="6"/>
        <v>1251525357</v>
      </c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7"/>
      <c r="B11" s="124" t="s">
        <v>161</v>
      </c>
      <c r="C11" s="164">
        <f>+C10*50%+C15*50%*(1-C6)</f>
        <v>7.175336858</v>
      </c>
      <c r="D11" s="37"/>
      <c r="E11" s="37"/>
      <c r="F11" s="37"/>
      <c r="G11" s="37"/>
      <c r="H11" s="147" t="s">
        <v>66</v>
      </c>
      <c r="I11" s="148"/>
      <c r="J11" s="150">
        <f>'Opex inicial'!O12</f>
        <v>529544651.4</v>
      </c>
      <c r="K11" s="150">
        <f t="shared" ref="K11:N11" si="7">K7-K8</f>
        <v>677886219.6</v>
      </c>
      <c r="L11" s="150">
        <f t="shared" si="7"/>
        <v>864013500.1</v>
      </c>
      <c r="M11" s="150">
        <f t="shared" si="7"/>
        <v>1096972847</v>
      </c>
      <c r="N11" s="150">
        <f t="shared" si="7"/>
        <v>1387852001</v>
      </c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7"/>
      <c r="B12" s="124" t="s">
        <v>162</v>
      </c>
      <c r="C12" s="143">
        <v>0.03</v>
      </c>
      <c r="D12" s="165"/>
      <c r="E12" s="37"/>
      <c r="F12" s="37"/>
      <c r="G12" s="37"/>
      <c r="H12" s="147" t="s">
        <v>67</v>
      </c>
      <c r="I12" s="155"/>
      <c r="J12" s="150">
        <f>'Opex inicial'!O13</f>
        <v>508920000</v>
      </c>
      <c r="K12" s="150">
        <f t="shared" ref="K12:N12" si="8">J12+(J12*$C$5)</f>
        <v>575079600</v>
      </c>
      <c r="L12" s="150">
        <f t="shared" si="8"/>
        <v>649839948</v>
      </c>
      <c r="M12" s="150">
        <f t="shared" si="8"/>
        <v>734319141.2</v>
      </c>
      <c r="N12" s="150">
        <f t="shared" si="8"/>
        <v>829780629.6</v>
      </c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7"/>
      <c r="B13" s="124" t="s">
        <v>163</v>
      </c>
      <c r="C13" s="166">
        <f>ABS('Inversion - capex'!D32)*50%</f>
        <v>30530150</v>
      </c>
      <c r="D13" s="37"/>
      <c r="E13" s="37"/>
      <c r="F13" s="37"/>
      <c r="G13" s="37"/>
      <c r="H13" s="147" t="s">
        <v>68</v>
      </c>
      <c r="I13" s="155"/>
      <c r="J13" s="150">
        <f>'Opex inicial'!O14</f>
        <v>20624651.42</v>
      </c>
      <c r="K13" s="150">
        <f t="shared" ref="K13:N13" si="9">K11-K12</f>
        <v>102806619.6</v>
      </c>
      <c r="L13" s="150">
        <f t="shared" si="9"/>
        <v>214173552.1</v>
      </c>
      <c r="M13" s="150">
        <f t="shared" si="9"/>
        <v>362653706</v>
      </c>
      <c r="N13" s="150">
        <f t="shared" si="9"/>
        <v>558071371.8</v>
      </c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7"/>
      <c r="B14" s="124" t="s">
        <v>164</v>
      </c>
      <c r="C14" s="124">
        <v>36.0</v>
      </c>
      <c r="D14" s="37"/>
      <c r="E14" s="37"/>
      <c r="F14" s="37"/>
      <c r="G14" s="37"/>
      <c r="H14" s="147" t="s">
        <v>144</v>
      </c>
      <c r="I14" s="148"/>
      <c r="J14" s="150">
        <f>'Depreciación '!G15</f>
        <v>6193204.278</v>
      </c>
      <c r="K14" s="150">
        <f>J14</f>
        <v>6193204.278</v>
      </c>
      <c r="L14" s="150">
        <f>J14</f>
        <v>6193204.278</v>
      </c>
      <c r="M14" s="150">
        <f>L14</f>
        <v>6193204.278</v>
      </c>
      <c r="N14" s="150">
        <f>L14</f>
        <v>6193204.278</v>
      </c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7"/>
      <c r="B15" s="124" t="s">
        <v>165</v>
      </c>
      <c r="C15" s="167">
        <v>0.1915</v>
      </c>
      <c r="D15" s="37"/>
      <c r="E15" s="37"/>
      <c r="F15" s="37"/>
      <c r="G15" s="37"/>
      <c r="H15" s="147" t="s">
        <v>145</v>
      </c>
      <c r="I15" s="148"/>
      <c r="J15" s="150">
        <f t="shared" ref="J15:N15" si="10">J13-J14</f>
        <v>14431447.14</v>
      </c>
      <c r="K15" s="150">
        <f t="shared" si="10"/>
        <v>96613415.34</v>
      </c>
      <c r="L15" s="150">
        <f t="shared" si="10"/>
        <v>207980347.8</v>
      </c>
      <c r="M15" s="150">
        <f t="shared" si="10"/>
        <v>356460501.7</v>
      </c>
      <c r="N15" s="150">
        <f t="shared" si="10"/>
        <v>551878167.5</v>
      </c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7"/>
      <c r="B16" s="124" t="s">
        <v>166</v>
      </c>
      <c r="C16" s="168">
        <f>((1+C15)^(1/12))-1</f>
        <v>0.01470820134</v>
      </c>
      <c r="D16" s="37"/>
      <c r="E16" s="37"/>
      <c r="F16" s="37"/>
      <c r="G16" s="37"/>
      <c r="H16" s="147" t="s">
        <v>146</v>
      </c>
      <c r="I16" s="148"/>
      <c r="J16" s="157"/>
      <c r="K16" s="157"/>
      <c r="L16" s="157"/>
      <c r="M16" s="157"/>
      <c r="N16" s="15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124" t="s">
        <v>167</v>
      </c>
      <c r="C17" s="166">
        <f>-PMT(C16,C14,C13)</f>
        <v>1098382.644</v>
      </c>
      <c r="D17" s="37"/>
      <c r="E17" s="37"/>
      <c r="F17" s="37"/>
      <c r="G17" s="37"/>
      <c r="H17" s="147" t="s">
        <v>147</v>
      </c>
      <c r="I17" s="158"/>
      <c r="J17" s="157"/>
      <c r="K17" s="159"/>
      <c r="L17" s="159"/>
      <c r="M17" s="159"/>
      <c r="N17" s="159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7"/>
      <c r="D18" s="37"/>
      <c r="E18" s="37"/>
      <c r="F18" s="37"/>
      <c r="G18" s="37"/>
      <c r="H18" s="147" t="s">
        <v>148</v>
      </c>
      <c r="I18" s="158"/>
      <c r="J18" s="150">
        <f t="shared" ref="J18:N18" si="11">J15-J16+J17</f>
        <v>14431447.14</v>
      </c>
      <c r="K18" s="150">
        <f t="shared" si="11"/>
        <v>96613415.34</v>
      </c>
      <c r="L18" s="150">
        <f t="shared" si="11"/>
        <v>207980347.8</v>
      </c>
      <c r="M18" s="150">
        <f t="shared" si="11"/>
        <v>356460501.7</v>
      </c>
      <c r="N18" s="150">
        <f t="shared" si="11"/>
        <v>551878167.5</v>
      </c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7"/>
      <c r="D19" s="37"/>
      <c r="E19" s="37"/>
      <c r="F19" s="37"/>
      <c r="G19" s="37"/>
      <c r="H19" s="147" t="s">
        <v>149</v>
      </c>
      <c r="I19" s="158"/>
      <c r="J19" s="157">
        <v>0.0</v>
      </c>
      <c r="K19" s="150">
        <f t="shared" ref="K19:N19" si="12">+IF(K18&gt;0,K18*$C$6,0)</f>
        <v>33814695.37</v>
      </c>
      <c r="L19" s="150">
        <f t="shared" si="12"/>
        <v>72793121.74</v>
      </c>
      <c r="M19" s="150">
        <f t="shared" si="12"/>
        <v>124761175.6</v>
      </c>
      <c r="N19" s="150">
        <f t="shared" si="12"/>
        <v>193157358.6</v>
      </c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7"/>
      <c r="B20" s="161" t="s">
        <v>168</v>
      </c>
      <c r="C20" s="161" t="s">
        <v>169</v>
      </c>
      <c r="D20" s="161" t="s">
        <v>170</v>
      </c>
      <c r="E20" s="160" t="s">
        <v>171</v>
      </c>
      <c r="F20" s="161" t="s">
        <v>172</v>
      </c>
      <c r="G20" s="37"/>
      <c r="H20" s="147" t="s">
        <v>150</v>
      </c>
      <c r="I20" s="158"/>
      <c r="J20" s="150">
        <f t="shared" ref="J20:N20" si="13">J18-J19</f>
        <v>14431447.14</v>
      </c>
      <c r="K20" s="150">
        <f t="shared" si="13"/>
        <v>62798719.97</v>
      </c>
      <c r="L20" s="150">
        <f t="shared" si="13"/>
        <v>135187226.1</v>
      </c>
      <c r="M20" s="150">
        <f t="shared" si="13"/>
        <v>231699326.1</v>
      </c>
      <c r="N20" s="150">
        <f t="shared" si="13"/>
        <v>358720808.9</v>
      </c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124">
        <v>0.0</v>
      </c>
      <c r="C21" s="164"/>
      <c r="D21" s="164"/>
      <c r="E21" s="164"/>
      <c r="F21" s="166">
        <f>C13</f>
        <v>30530150</v>
      </c>
      <c r="G21" s="37"/>
      <c r="H21" s="147" t="s">
        <v>151</v>
      </c>
      <c r="I21" s="148"/>
      <c r="J21" s="150">
        <f>J14</f>
        <v>6193204.278</v>
      </c>
      <c r="K21" s="150">
        <f t="shared" ref="K21:N21" si="14">J21</f>
        <v>6193204.278</v>
      </c>
      <c r="L21" s="150">
        <f t="shared" si="14"/>
        <v>6193204.278</v>
      </c>
      <c r="M21" s="150">
        <f t="shared" si="14"/>
        <v>6193204.278</v>
      </c>
      <c r="N21" s="150">
        <f t="shared" si="14"/>
        <v>6193204.278</v>
      </c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7"/>
      <c r="B22" s="124">
        <v>1.0</v>
      </c>
      <c r="C22" s="166">
        <f t="shared" ref="C22:C57" si="15">$C$17</f>
        <v>1098382.644</v>
      </c>
      <c r="D22" s="166">
        <f t="shared" ref="D22:D57" si="16">$C$16*F21</f>
        <v>449043.5931</v>
      </c>
      <c r="E22" s="166">
        <f t="shared" ref="E22:E57" si="17">C22-D22</f>
        <v>649339.0505</v>
      </c>
      <c r="F22" s="166">
        <f t="shared" ref="F22:F57" si="18">F21-E22</f>
        <v>29880810.95</v>
      </c>
      <c r="G22" s="37"/>
      <c r="H22" s="147" t="s">
        <v>152</v>
      </c>
      <c r="I22" s="148"/>
      <c r="J22" s="150"/>
      <c r="K22" s="150"/>
      <c r="L22" s="150"/>
      <c r="M22" s="150"/>
      <c r="N22" s="150">
        <f>+'Inversion - capex'!D32-SUM(J21:N21)+N30</f>
        <v>67640039.33</v>
      </c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124">
        <v>2.0</v>
      </c>
      <c r="C23" s="166">
        <f t="shared" si="15"/>
        <v>1098382.644</v>
      </c>
      <c r="D23" s="166">
        <f t="shared" si="16"/>
        <v>439492.9836</v>
      </c>
      <c r="E23" s="166">
        <f t="shared" si="17"/>
        <v>658889.66</v>
      </c>
      <c r="F23" s="166">
        <f t="shared" si="18"/>
        <v>29221921.29</v>
      </c>
      <c r="G23" s="37"/>
      <c r="H23" s="147" t="s">
        <v>153</v>
      </c>
      <c r="I23" s="148"/>
      <c r="J23" s="150"/>
      <c r="K23" s="150"/>
      <c r="L23" s="150"/>
      <c r="M23" s="150"/>
      <c r="N23" s="150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7"/>
      <c r="B24" s="124">
        <v>3.0</v>
      </c>
      <c r="C24" s="166">
        <f t="shared" si="15"/>
        <v>1098382.644</v>
      </c>
      <c r="D24" s="166">
        <f t="shared" si="16"/>
        <v>429801.9018</v>
      </c>
      <c r="E24" s="166">
        <f t="shared" si="17"/>
        <v>668580.7417</v>
      </c>
      <c r="F24" s="166">
        <f t="shared" si="18"/>
        <v>28553340.55</v>
      </c>
      <c r="G24" s="37"/>
      <c r="H24" s="147" t="s">
        <v>154</v>
      </c>
      <c r="I24" s="53">
        <f>'Inversion - capex'!D32</f>
        <v>61060300</v>
      </c>
      <c r="J24" s="150"/>
      <c r="K24" s="150"/>
      <c r="L24" s="150"/>
      <c r="M24" s="150"/>
      <c r="N24" s="150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7"/>
      <c r="B25" s="124">
        <v>4.0</v>
      </c>
      <c r="C25" s="166">
        <f t="shared" si="15"/>
        <v>1098382.644</v>
      </c>
      <c r="D25" s="166">
        <f t="shared" si="16"/>
        <v>419968.2817</v>
      </c>
      <c r="E25" s="166">
        <f t="shared" si="17"/>
        <v>678414.3619</v>
      </c>
      <c r="F25" s="166">
        <f t="shared" si="18"/>
        <v>27874926.19</v>
      </c>
      <c r="G25" s="37"/>
      <c r="H25" s="147" t="s">
        <v>155</v>
      </c>
      <c r="I25" s="150">
        <f>'Opex inicial'!C16</f>
        <v>-168148210.8</v>
      </c>
      <c r="J25" s="150"/>
      <c r="K25" s="150"/>
      <c r="L25" s="150"/>
      <c r="M25" s="150"/>
      <c r="N25" s="150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7"/>
      <c r="B26" s="124">
        <v>5.0</v>
      </c>
      <c r="C26" s="166">
        <f t="shared" si="15"/>
        <v>1098382.644</v>
      </c>
      <c r="D26" s="166">
        <f t="shared" si="16"/>
        <v>409990.0267</v>
      </c>
      <c r="E26" s="166">
        <f t="shared" si="17"/>
        <v>688392.6169</v>
      </c>
      <c r="F26" s="166">
        <f t="shared" si="18"/>
        <v>27186533.57</v>
      </c>
      <c r="G26" s="37"/>
      <c r="H26" s="147" t="s">
        <v>156</v>
      </c>
      <c r="I26" s="150">
        <f>C13</f>
        <v>30530150</v>
      </c>
      <c r="J26" s="150"/>
      <c r="K26" s="150"/>
      <c r="L26" s="150"/>
      <c r="M26" s="150"/>
      <c r="N26" s="150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7"/>
      <c r="B27" s="124">
        <v>6.0</v>
      </c>
      <c r="C27" s="166">
        <f t="shared" si="15"/>
        <v>1098382.644</v>
      </c>
      <c r="D27" s="166">
        <f t="shared" si="16"/>
        <v>399865.0095</v>
      </c>
      <c r="E27" s="166">
        <f t="shared" si="17"/>
        <v>698517.6341</v>
      </c>
      <c r="F27" s="166">
        <f t="shared" si="18"/>
        <v>26488015.93</v>
      </c>
      <c r="G27" s="37"/>
      <c r="H27" s="147" t="s">
        <v>157</v>
      </c>
      <c r="I27" s="148"/>
      <c r="J27" s="150">
        <f>SUM(E22:E33)</f>
        <v>8454359.938</v>
      </c>
      <c r="K27" s="150">
        <f>SUM(D34:D45)</f>
        <v>3107221.857</v>
      </c>
      <c r="L27" s="150">
        <f>SUM(C46:C57)</f>
        <v>13180591.72</v>
      </c>
      <c r="M27" s="150"/>
      <c r="N27" s="150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7"/>
      <c r="B28" s="124">
        <v>7.0</v>
      </c>
      <c r="C28" s="166">
        <f t="shared" si="15"/>
        <v>1098382.644</v>
      </c>
      <c r="D28" s="166">
        <f t="shared" si="16"/>
        <v>389591.0714</v>
      </c>
      <c r="E28" s="166">
        <f t="shared" si="17"/>
        <v>708791.5721</v>
      </c>
      <c r="F28" s="166">
        <f t="shared" si="18"/>
        <v>25779224.36</v>
      </c>
      <c r="G28" s="37"/>
      <c r="H28" s="147" t="s">
        <v>158</v>
      </c>
      <c r="I28" s="53">
        <f>SUM(I24:I27)</f>
        <v>-76557760.85</v>
      </c>
      <c r="J28" s="150">
        <f t="shared" ref="J28:N28" si="19">J20+J21+J22-J24-J25+J26-J27</f>
        <v>12170291.48</v>
      </c>
      <c r="K28" s="150">
        <f t="shared" si="19"/>
        <v>65884702.39</v>
      </c>
      <c r="L28" s="150">
        <f t="shared" si="19"/>
        <v>128199838.6</v>
      </c>
      <c r="M28" s="150">
        <f t="shared" si="19"/>
        <v>237892530.4</v>
      </c>
      <c r="N28" s="150">
        <f t="shared" si="19"/>
        <v>432554052.5</v>
      </c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7"/>
      <c r="B29" s="124">
        <v>8.0</v>
      </c>
      <c r="C29" s="166">
        <f t="shared" si="15"/>
        <v>1098382.644</v>
      </c>
      <c r="D29" s="166">
        <f t="shared" si="16"/>
        <v>379166.0223</v>
      </c>
      <c r="E29" s="166">
        <f t="shared" si="17"/>
        <v>719216.6213</v>
      </c>
      <c r="F29" s="166">
        <f t="shared" si="18"/>
        <v>25060007.74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124">
        <v>9.0</v>
      </c>
      <c r="C30" s="166">
        <f t="shared" si="15"/>
        <v>1098382.644</v>
      </c>
      <c r="D30" s="166">
        <f t="shared" si="16"/>
        <v>368587.6394</v>
      </c>
      <c r="E30" s="166">
        <f t="shared" si="17"/>
        <v>729795.0042</v>
      </c>
      <c r="F30" s="166">
        <f t="shared" si="18"/>
        <v>24330212.74</v>
      </c>
      <c r="G30" s="37"/>
      <c r="H30" s="124" t="s">
        <v>173</v>
      </c>
      <c r="I30" s="164"/>
      <c r="J30" s="166">
        <f t="shared" ref="J30:N30" si="20">$C$12*J4*J5</f>
        <v>13166058.27</v>
      </c>
      <c r="K30" s="166">
        <f t="shared" si="20"/>
        <v>17109292.72</v>
      </c>
      <c r="L30" s="166">
        <f t="shared" si="20"/>
        <v>22233525.88</v>
      </c>
      <c r="M30" s="166">
        <f t="shared" si="20"/>
        <v>28892466.89</v>
      </c>
      <c r="N30" s="166">
        <f t="shared" si="20"/>
        <v>37545760.72</v>
      </c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/>
      <c r="B31" s="124">
        <v>10.0</v>
      </c>
      <c r="C31" s="166">
        <f t="shared" si="15"/>
        <v>1098382.644</v>
      </c>
      <c r="D31" s="166">
        <f t="shared" si="16"/>
        <v>357853.6676</v>
      </c>
      <c r="E31" s="166">
        <f t="shared" si="17"/>
        <v>740528.976</v>
      </c>
      <c r="F31" s="166">
        <f t="shared" si="18"/>
        <v>23589683.76</v>
      </c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/>
      <c r="B32" s="124">
        <v>11.0</v>
      </c>
      <c r="C32" s="166">
        <f t="shared" si="15"/>
        <v>1098382.644</v>
      </c>
      <c r="D32" s="166">
        <f t="shared" si="16"/>
        <v>346961.8183</v>
      </c>
      <c r="E32" s="166">
        <f t="shared" si="17"/>
        <v>751420.8253</v>
      </c>
      <c r="F32" s="166">
        <f t="shared" si="18"/>
        <v>22838262.94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124">
        <v>12.0</v>
      </c>
      <c r="C33" s="166">
        <f t="shared" si="15"/>
        <v>1098382.644</v>
      </c>
      <c r="D33" s="166">
        <f t="shared" si="16"/>
        <v>335909.7695</v>
      </c>
      <c r="E33" s="166">
        <f t="shared" si="17"/>
        <v>762472.8741</v>
      </c>
      <c r="F33" s="166">
        <f t="shared" si="18"/>
        <v>22075790.06</v>
      </c>
      <c r="G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124">
        <v>13.0</v>
      </c>
      <c r="C34" s="166">
        <f t="shared" si="15"/>
        <v>1098382.644</v>
      </c>
      <c r="D34" s="166">
        <f t="shared" si="16"/>
        <v>324695.165</v>
      </c>
      <c r="E34" s="166">
        <f t="shared" si="17"/>
        <v>773687.4786</v>
      </c>
      <c r="F34" s="166">
        <f t="shared" si="18"/>
        <v>21302102.58</v>
      </c>
      <c r="G34" s="37"/>
      <c r="H34" s="37"/>
      <c r="I34" s="153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124">
        <v>14.0</v>
      </c>
      <c r="C35" s="166">
        <f t="shared" si="15"/>
        <v>1098382.644</v>
      </c>
      <c r="D35" s="166">
        <f t="shared" si="16"/>
        <v>313315.6137</v>
      </c>
      <c r="E35" s="166">
        <f t="shared" si="17"/>
        <v>785067.0298</v>
      </c>
      <c r="F35" s="166">
        <f t="shared" si="18"/>
        <v>20517035.55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124">
        <v>15.0</v>
      </c>
      <c r="C36" s="166">
        <f t="shared" si="15"/>
        <v>1098382.644</v>
      </c>
      <c r="D36" s="166">
        <f t="shared" si="16"/>
        <v>301768.6898</v>
      </c>
      <c r="E36" s="166">
        <f t="shared" si="17"/>
        <v>796613.9538</v>
      </c>
      <c r="F36" s="166">
        <f t="shared" si="18"/>
        <v>19720421.6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124">
        <v>16.0</v>
      </c>
      <c r="C37" s="166">
        <f t="shared" si="15"/>
        <v>1098382.644</v>
      </c>
      <c r="D37" s="166">
        <f t="shared" si="16"/>
        <v>290051.9314</v>
      </c>
      <c r="E37" s="166">
        <f t="shared" si="17"/>
        <v>808330.7122</v>
      </c>
      <c r="F37" s="166">
        <f t="shared" si="18"/>
        <v>18912090.89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124">
        <v>17.0</v>
      </c>
      <c r="C38" s="166">
        <f t="shared" si="15"/>
        <v>1098382.644</v>
      </c>
      <c r="D38" s="166">
        <f t="shared" si="16"/>
        <v>278162.8405</v>
      </c>
      <c r="E38" s="166">
        <f t="shared" si="17"/>
        <v>820219.8031</v>
      </c>
      <c r="F38" s="166">
        <f t="shared" si="18"/>
        <v>18091871.08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124">
        <v>18.0</v>
      </c>
      <c r="C39" s="166">
        <f t="shared" si="15"/>
        <v>1098382.644</v>
      </c>
      <c r="D39" s="166">
        <f t="shared" si="16"/>
        <v>266098.8825</v>
      </c>
      <c r="E39" s="166">
        <f t="shared" si="17"/>
        <v>832283.7611</v>
      </c>
      <c r="F39" s="166">
        <f t="shared" si="18"/>
        <v>17259587.32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124">
        <v>19.0</v>
      </c>
      <c r="C40" s="166">
        <f t="shared" si="15"/>
        <v>1098382.644</v>
      </c>
      <c r="D40" s="166">
        <f t="shared" si="16"/>
        <v>253857.4854</v>
      </c>
      <c r="E40" s="166">
        <f t="shared" si="17"/>
        <v>844525.1582</v>
      </c>
      <c r="F40" s="166">
        <f t="shared" si="18"/>
        <v>16415062.17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124">
        <v>20.0</v>
      </c>
      <c r="C41" s="166">
        <f t="shared" si="15"/>
        <v>1098382.644</v>
      </c>
      <c r="D41" s="166">
        <f t="shared" si="16"/>
        <v>241436.0393</v>
      </c>
      <c r="E41" s="166">
        <f t="shared" si="17"/>
        <v>856946.6043</v>
      </c>
      <c r="F41" s="166">
        <f t="shared" si="18"/>
        <v>15558115.56</v>
      </c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124">
        <v>21.0</v>
      </c>
      <c r="C42" s="166">
        <f t="shared" si="15"/>
        <v>1098382.644</v>
      </c>
      <c r="D42" s="166">
        <f t="shared" si="16"/>
        <v>228831.8961</v>
      </c>
      <c r="E42" s="166">
        <f t="shared" si="17"/>
        <v>869550.7475</v>
      </c>
      <c r="F42" s="166">
        <f t="shared" si="18"/>
        <v>14688564.81</v>
      </c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124">
        <v>22.0</v>
      </c>
      <c r="C43" s="166">
        <f t="shared" si="15"/>
        <v>1098382.644</v>
      </c>
      <c r="D43" s="166">
        <f t="shared" si="16"/>
        <v>216042.3687</v>
      </c>
      <c r="E43" s="166">
        <f t="shared" si="17"/>
        <v>882340.2749</v>
      </c>
      <c r="F43" s="166">
        <f t="shared" si="18"/>
        <v>13806224.54</v>
      </c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124">
        <v>23.0</v>
      </c>
      <c r="C44" s="166">
        <f t="shared" si="15"/>
        <v>1098382.644</v>
      </c>
      <c r="D44" s="166">
        <f t="shared" si="16"/>
        <v>203064.7302</v>
      </c>
      <c r="E44" s="166">
        <f t="shared" si="17"/>
        <v>895317.9133</v>
      </c>
      <c r="F44" s="166">
        <f t="shared" si="18"/>
        <v>12910906.63</v>
      </c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124">
        <v>24.0</v>
      </c>
      <c r="C45" s="166">
        <f t="shared" si="15"/>
        <v>1098382.644</v>
      </c>
      <c r="D45" s="166">
        <f t="shared" si="16"/>
        <v>189896.2141</v>
      </c>
      <c r="E45" s="166">
        <f t="shared" si="17"/>
        <v>908486.4295</v>
      </c>
      <c r="F45" s="166">
        <f t="shared" si="18"/>
        <v>12002420.2</v>
      </c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124">
        <v>25.0</v>
      </c>
      <c r="C46" s="166">
        <f t="shared" si="15"/>
        <v>1098382.644</v>
      </c>
      <c r="D46" s="166">
        <f t="shared" si="16"/>
        <v>176534.0128</v>
      </c>
      <c r="E46" s="166">
        <f t="shared" si="17"/>
        <v>921848.6308</v>
      </c>
      <c r="F46" s="166">
        <f t="shared" si="18"/>
        <v>11080571.56</v>
      </c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124">
        <v>26.0</v>
      </c>
      <c r="C47" s="166">
        <f t="shared" si="15"/>
        <v>1098382.644</v>
      </c>
      <c r="D47" s="166">
        <f t="shared" si="16"/>
        <v>162975.2775</v>
      </c>
      <c r="E47" s="166">
        <f t="shared" si="17"/>
        <v>935407.3661</v>
      </c>
      <c r="F47" s="166">
        <f t="shared" si="18"/>
        <v>10145164.2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124">
        <v>27.0</v>
      </c>
      <c r="C48" s="166">
        <f t="shared" si="15"/>
        <v>1098382.644</v>
      </c>
      <c r="D48" s="166">
        <f t="shared" si="16"/>
        <v>149217.1177</v>
      </c>
      <c r="E48" s="166">
        <f t="shared" si="17"/>
        <v>949165.5259</v>
      </c>
      <c r="F48" s="166">
        <f t="shared" si="18"/>
        <v>9195998.673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124">
        <v>28.0</v>
      </c>
      <c r="C49" s="166">
        <f t="shared" si="15"/>
        <v>1098382.644</v>
      </c>
      <c r="D49" s="166">
        <f t="shared" si="16"/>
        <v>135256.6</v>
      </c>
      <c r="E49" s="166">
        <f t="shared" si="17"/>
        <v>963126.0436</v>
      </c>
      <c r="F49" s="166">
        <f t="shared" si="18"/>
        <v>8232872.629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124">
        <v>29.0</v>
      </c>
      <c r="C50" s="166">
        <f t="shared" si="15"/>
        <v>1098382.644</v>
      </c>
      <c r="D50" s="166">
        <f t="shared" si="16"/>
        <v>121090.7482</v>
      </c>
      <c r="E50" s="166">
        <f t="shared" si="17"/>
        <v>977291.8954</v>
      </c>
      <c r="F50" s="166">
        <f t="shared" si="18"/>
        <v>7255580.734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124">
        <v>30.0</v>
      </c>
      <c r="C51" s="166">
        <f t="shared" si="15"/>
        <v>1098382.644</v>
      </c>
      <c r="D51" s="166">
        <f t="shared" si="16"/>
        <v>106716.5423</v>
      </c>
      <c r="E51" s="166">
        <f t="shared" si="17"/>
        <v>991666.1013</v>
      </c>
      <c r="F51" s="166">
        <f t="shared" si="18"/>
        <v>6263914.633</v>
      </c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124">
        <v>31.0</v>
      </c>
      <c r="C52" s="166">
        <f t="shared" si="15"/>
        <v>1098382.644</v>
      </c>
      <c r="D52" s="166">
        <f t="shared" si="16"/>
        <v>92130.91759</v>
      </c>
      <c r="E52" s="166">
        <f t="shared" si="17"/>
        <v>1006251.726</v>
      </c>
      <c r="F52" s="166">
        <f t="shared" si="18"/>
        <v>5257662.907</v>
      </c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124">
        <v>32.0</v>
      </c>
      <c r="C53" s="166">
        <f t="shared" si="15"/>
        <v>1098382.644</v>
      </c>
      <c r="D53" s="166">
        <f t="shared" si="16"/>
        <v>77330.7646</v>
      </c>
      <c r="E53" s="166">
        <f t="shared" si="17"/>
        <v>1021051.879</v>
      </c>
      <c r="F53" s="166">
        <f t="shared" si="18"/>
        <v>4236611.028</v>
      </c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124">
        <v>33.0</v>
      </c>
      <c r="C54" s="166">
        <f t="shared" si="15"/>
        <v>1098382.644</v>
      </c>
      <c r="D54" s="166">
        <f t="shared" si="16"/>
        <v>62312.92799</v>
      </c>
      <c r="E54" s="166">
        <f t="shared" si="17"/>
        <v>1036069.716</v>
      </c>
      <c r="F54" s="166">
        <f t="shared" si="18"/>
        <v>3200541.312</v>
      </c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124">
        <v>34.0</v>
      </c>
      <c r="C55" s="166">
        <f t="shared" si="15"/>
        <v>1098382.644</v>
      </c>
      <c r="D55" s="166">
        <f t="shared" si="16"/>
        <v>47074.20601</v>
      </c>
      <c r="E55" s="166">
        <f t="shared" si="17"/>
        <v>1051308.438</v>
      </c>
      <c r="F55" s="166">
        <f t="shared" si="18"/>
        <v>2149232.874</v>
      </c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124">
        <v>35.0</v>
      </c>
      <c r="C56" s="166">
        <f t="shared" si="15"/>
        <v>1098382.644</v>
      </c>
      <c r="D56" s="166">
        <f t="shared" si="16"/>
        <v>31611.34984</v>
      </c>
      <c r="E56" s="166">
        <f t="shared" si="17"/>
        <v>1066771.294</v>
      </c>
      <c r="F56" s="166">
        <f t="shared" si="18"/>
        <v>1082461.581</v>
      </c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124">
        <v>36.0</v>
      </c>
      <c r="C57" s="166">
        <f t="shared" si="15"/>
        <v>1098382.644</v>
      </c>
      <c r="D57" s="166">
        <f t="shared" si="16"/>
        <v>15921.06287</v>
      </c>
      <c r="E57" s="166">
        <f t="shared" si="17"/>
        <v>1082461.581</v>
      </c>
      <c r="F57" s="166">
        <f t="shared" si="18"/>
        <v>0.000000005820766091</v>
      </c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  <row r="100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</row>
    <row r="1002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</row>
    <row r="1003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</row>
  </sheetData>
  <mergeCells count="1">
    <mergeCell ref="H2:N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