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540"/>
  </bookViews>
  <sheets>
    <sheet name="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G43" i="1"/>
  <c r="F43" i="1"/>
  <c r="G42" i="1"/>
  <c r="F42" i="1"/>
  <c r="H33" i="1" l="1"/>
  <c r="H32" i="1"/>
  <c r="H18" i="1"/>
  <c r="H17" i="1" s="1"/>
  <c r="G34" i="1"/>
  <c r="F34" i="1"/>
  <c r="H38" i="1" l="1"/>
  <c r="H39" i="1" l="1"/>
  <c r="I39" i="1" s="1"/>
  <c r="J39" i="1" s="1"/>
  <c r="I38" i="1" l="1"/>
  <c r="J38" i="1" s="1"/>
  <c r="G17" i="1" l="1"/>
  <c r="G31" i="1" l="1"/>
  <c r="G30" i="1" l="1"/>
  <c r="I7" i="1" l="1"/>
  <c r="J7" i="1"/>
  <c r="J24" i="1" s="1"/>
  <c r="I8" i="1" l="1"/>
  <c r="I24" i="1"/>
  <c r="G7" i="1"/>
  <c r="H16" i="1" l="1"/>
  <c r="H15" i="1" l="1"/>
  <c r="H14" i="1" s="1"/>
  <c r="H12" i="1"/>
  <c r="H11" i="1" s="1"/>
  <c r="H36" i="1" s="1"/>
  <c r="I18" i="1" l="1"/>
  <c r="I17" i="1" s="1"/>
  <c r="I32" i="1"/>
  <c r="J8" i="1"/>
  <c r="J32" i="1" s="1"/>
  <c r="H40" i="1"/>
  <c r="I33" i="1"/>
  <c r="I12" i="1"/>
  <c r="I11" i="1" s="1"/>
  <c r="I36" i="1" s="1"/>
  <c r="H31" i="1"/>
  <c r="I15" i="1" l="1"/>
  <c r="I40" i="1"/>
  <c r="J18" i="1"/>
  <c r="J17" i="1" s="1"/>
  <c r="J33" i="1"/>
  <c r="I31" i="1"/>
  <c r="J12" i="1"/>
  <c r="J11" i="1" s="1"/>
  <c r="J36" i="1" s="1"/>
  <c r="J40" i="1" l="1"/>
  <c r="I16" i="1"/>
  <c r="J16" i="1" s="1"/>
  <c r="J15" i="1"/>
  <c r="J31" i="1"/>
  <c r="F31" i="1"/>
  <c r="F30" i="1" s="1"/>
  <c r="H35" i="1" l="1"/>
  <c r="H37" i="1"/>
  <c r="I14" i="1"/>
  <c r="I35" i="1" l="1"/>
  <c r="I37" i="1"/>
  <c r="J14" i="1"/>
  <c r="H34" i="1"/>
  <c r="H30" i="1" s="1"/>
  <c r="H42" i="1" s="1"/>
  <c r="H43" i="1" l="1"/>
  <c r="J35" i="1"/>
  <c r="J37" i="1"/>
  <c r="I34" i="1"/>
  <c r="I30" i="1" s="1"/>
  <c r="I42" i="1" l="1"/>
  <c r="I43" i="1" s="1"/>
  <c r="J34" i="1"/>
  <c r="J30" i="1" s="1"/>
  <c r="J42" i="1" l="1"/>
  <c r="J43" i="1" s="1"/>
</calcChain>
</file>

<file path=xl/sharedStrings.xml><?xml version="1.0" encoding="utf-8"?>
<sst xmlns="http://schemas.openxmlformats.org/spreadsheetml/2006/main" count="82" uniqueCount="64">
  <si>
    <t>MET</t>
  </si>
  <si>
    <t>Urals</t>
  </si>
  <si>
    <t>Units</t>
  </si>
  <si>
    <t>% YoY</t>
  </si>
  <si>
    <t>USD/bbl</t>
  </si>
  <si>
    <t>USDRUB</t>
  </si>
  <si>
    <t>Macro series</t>
  </si>
  <si>
    <t>Elasticities</t>
  </si>
  <si>
    <t>dImport/dUSDRUB</t>
  </si>
  <si>
    <t>dProfits/dUSDRUB</t>
  </si>
  <si>
    <t>Y*</t>
  </si>
  <si>
    <t>For reference</t>
  </si>
  <si>
    <t>Total revenues</t>
  </si>
  <si>
    <t>Total spending</t>
  </si>
  <si>
    <t>Assumptions</t>
  </si>
  <si>
    <t>Oil extraction</t>
  </si>
  <si>
    <t>Oil export</t>
  </si>
  <si>
    <t>Goods import</t>
  </si>
  <si>
    <t>IP: manufacturing</t>
  </si>
  <si>
    <t>Profits of profitable organisations</t>
  </si>
  <si>
    <t>GDP</t>
  </si>
  <si>
    <t>%</t>
  </si>
  <si>
    <t>Oil&amp;gas revenues</t>
  </si>
  <si>
    <t>Non-oil&amp;gas revenues</t>
  </si>
  <si>
    <t>VAT</t>
  </si>
  <si>
    <t xml:space="preserve">   Domestic VAT</t>
  </si>
  <si>
    <t xml:space="preserve">   Import VAT</t>
  </si>
  <si>
    <t xml:space="preserve">   Excise duties</t>
  </si>
  <si>
    <t xml:space="preserve">   Export duties</t>
  </si>
  <si>
    <t xml:space="preserve">   Other revenues</t>
  </si>
  <si>
    <t xml:space="preserve">   Property revenue</t>
  </si>
  <si>
    <t>USD bn</t>
  </si>
  <si>
    <t>2017F</t>
  </si>
  <si>
    <t>2018F</t>
  </si>
  <si>
    <t>2019F</t>
  </si>
  <si>
    <t>RUB bn, curr.prices</t>
  </si>
  <si>
    <t>RUB bn</t>
  </si>
  <si>
    <t>ExDutOil</t>
  </si>
  <si>
    <t>ExDut</t>
  </si>
  <si>
    <t>ExDut, const</t>
  </si>
  <si>
    <t>dUSDRUB/dOil</t>
  </si>
  <si>
    <t>Import VAT</t>
  </si>
  <si>
    <t>RUB tn</t>
  </si>
  <si>
    <t>Collection efficiency factors</t>
  </si>
  <si>
    <t>CPT</t>
  </si>
  <si>
    <t>Tax rates</t>
  </si>
  <si>
    <t>Kk (MET)</t>
  </si>
  <si>
    <t>ExpDut</t>
  </si>
  <si>
    <t>Other</t>
  </si>
  <si>
    <t>State dividends (excl. Rosneftegaz privatization dividends in 2016)</t>
  </si>
  <si>
    <t>Rosneftegaz privatization dividends in 2016</t>
  </si>
  <si>
    <t>ton mn</t>
  </si>
  <si>
    <t>RUB/ton</t>
  </si>
  <si>
    <t>CPI</t>
  </si>
  <si>
    <t>dCPI/dUSDRUB</t>
  </si>
  <si>
    <t>Nominal GDP</t>
  </si>
  <si>
    <t>Dec/Dec</t>
  </si>
  <si>
    <t>Other indicators either directly or indirectly depend on oil data (see 'Elasticities' section).</t>
  </si>
  <si>
    <t>% GDP</t>
  </si>
  <si>
    <t>Oil-linked series are the only fixed parameters (given in blue).</t>
  </si>
  <si>
    <t xml:space="preserve">Deficit </t>
  </si>
  <si>
    <t xml:space="preserve">   Corportate Profit Tax    </t>
  </si>
  <si>
    <t>avg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</si>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</sst>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0.0%"/>
    <numFmt numFmtId="166" formatCode="_-* #,##0.0_-;\-* #,##0.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theme="1"/>
      <name val="Arial Narrow"/>
      <family val="2"/>
      <charset val="204"/>
    </font>
    <font>
      <sz val="11"/>
      <color rgb="FF00B0F0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i/>
      <sz val="11"/>
      <color theme="1"/>
      <name val="Arial Narrow"/>
      <family val="2"/>
      <charset val="204"/>
    </font>
    <font>
      <sz val="11"/>
      <name val="Arial Narrow"/>
      <family val="2"/>
      <charset val="204"/>
    </font>
    <font>
      <sz val="11"/>
      <color rgb="FFC0000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164" fontId="5" fillId="0" borderId="0" xfId="0" applyNumberFormat="1" applyFont="1"/>
    <xf numFmtId="164" fontId="4" fillId="0" borderId="0" xfId="0" applyNumberFormat="1" applyFont="1"/>
    <xf numFmtId="0" fontId="8" fillId="0" borderId="0" xfId="0" applyFont="1"/>
    <xf numFmtId="2" fontId="8" fillId="0" borderId="0" xfId="0" applyNumberFormat="1" applyFont="1"/>
    <xf numFmtId="2" fontId="8" fillId="0" borderId="0" xfId="0" quotePrefix="1" applyNumberFormat="1" applyFont="1"/>
    <xf numFmtId="165" fontId="4" fillId="0" borderId="0" xfId="1" applyNumberFormat="1" applyFont="1"/>
    <xf numFmtId="2" fontId="9" fillId="0" borderId="0" xfId="0" applyNumberFormat="1" applyFont="1"/>
    <xf numFmtId="1" fontId="5" fillId="0" borderId="0" xfId="0" applyNumberFormat="1" applyFont="1"/>
    <xf numFmtId="0" fontId="4" fillId="0" borderId="0" xfId="0" quotePrefix="1" applyFont="1"/>
    <xf numFmtId="1" fontId="8" fillId="0" borderId="0" xfId="0" applyNumberFormat="1" applyFont="1"/>
    <xf numFmtId="1" fontId="9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0" fontId="9" fillId="0" borderId="0" xfId="0" applyFont="1"/>
    <xf numFmtId="0" fontId="4" fillId="0" borderId="0" xfId="0" applyFont="1" applyAlignment="1">
      <alignment wrapText="1"/>
    </xf>
    <xf numFmtId="3" fontId="8" fillId="0" borderId="0" xfId="0" applyNumberFormat="1" applyFont="1"/>
    <xf numFmtId="164" fontId="8" fillId="0" borderId="0" xfId="1" applyNumberFormat="1" applyFont="1"/>
    <xf numFmtId="4" fontId="4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  <xf numFmtId="0" fontId="6" fillId="0" borderId="0" xfId="0" applyFont="1"/>
    <xf numFmtId="3" fontId="7" fillId="0" borderId="0" xfId="0" applyNumberFormat="1" applyFont="1"/>
    <xf numFmtId="0" fontId="7" fillId="0" borderId="0" xfId="0" applyFont="1" applyAlignment="1">
      <alignment wrapText="1"/>
    </xf>
    <xf numFmtId="166" fontId="4" fillId="0" borderId="0" xfId="5" applyNumberFormat="1" applyFont="1"/>
    <xf numFmtId="2" fontId="4" fillId="0" borderId="0" xfId="0" applyNumberFormat="1" applyFont="1"/>
    <xf numFmtId="9" fontId="4" fillId="0" borderId="0" xfId="1" applyFont="1"/>
    <xf numFmtId="0" fontId="7" fillId="0" borderId="0" xfId="0" applyFont="1" applyAlignment="1">
      <alignment vertical="center"/>
    </xf>
    <xf numFmtId="0" fontId="4" fillId="0" borderId="0" xfId="1" applyNumberFormat="1" applyFont="1"/>
    <xf numFmtId="1" fontId="4" fillId="0" borderId="0" xfId="0" applyNumberFormat="1" applyFont="1"/>
    <xf numFmtId="0" fontId="4" fillId="0" borderId="0" xfId="0" applyFont="1" applyAlignment="1">
      <alignment horizontal="left" indent="1"/>
    </xf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7" fillId="2" borderId="0" xfId="0" applyFont="1" applyFill="1"/>
    <xf numFmtId="3" fontId="6" fillId="2" borderId="0" xfId="0" applyNumberFormat="1" applyFont="1" applyFill="1"/>
    <xf numFmtId="3" fontId="4" fillId="2" borderId="0" xfId="0" applyNumberFormat="1" applyFont="1" applyFill="1"/>
  </cellXfs>
  <cellStyles count="6">
    <cellStyle name="Comma" xfId="5" builtinId="3"/>
    <cellStyle name="Normal" xfId="0" builtinId="0"/>
    <cellStyle name="Normal 10 13" xfId="3"/>
    <cellStyle name="Normal 2" xfId="2"/>
    <cellStyle name="Percent" xfId="1" builtinId="5"/>
    <cellStyle name="Percent 1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80"/>
  <sheetViews>
    <sheetView tabSelected="1" zoomScale="85" zoomScaleNormal="85" workbookViewId="0">
      <selection activeCell="M15" sqref="M15:O24"/>
    </sheetView>
  </sheetViews>
  <sheetFormatPr defaultRowHeight="16.5" x14ac:dyDescent="0.3"/>
  <cols>
    <col min="1" max="2" width="9.140625" style="1"/>
    <col min="3" max="3" width="13.28515625" style="1" customWidth="1"/>
    <col min="4" max="4" width="21.7109375" style="1" customWidth="1"/>
    <col min="5" max="5" width="19.42578125" style="1" customWidth="1"/>
    <col min="6" max="6" width="10.7109375" style="1" bestFit="1" customWidth="1"/>
    <col min="7" max="7" width="9.5703125" style="1" bestFit="1" customWidth="1"/>
    <col min="8" max="8" width="9.42578125" style="1" customWidth="1"/>
    <col min="9" max="9" width="9.85546875" style="1" customWidth="1"/>
    <col min="10" max="10" width="10" style="1" customWidth="1"/>
    <col min="11" max="11" width="9.140625" style="1"/>
    <col min="12" max="12" width="9" style="1" customWidth="1"/>
    <col min="13" max="13" width="16" style="1" customWidth="1"/>
    <col min="14" max="14" width="10.28515625" style="1" customWidth="1"/>
    <col min="15" max="16384" width="9.140625" style="1"/>
  </cols>
  <sheetData>
    <row r="2" spans="3:15" x14ac:dyDescent="0.3">
      <c r="D2" s="1" t="s">
        <v>57</v>
      </c>
    </row>
    <row r="4" spans="3:15" s="34" customFormat="1" x14ac:dyDescent="0.3">
      <c r="D4" s="35" t="s">
        <v>14</v>
      </c>
      <c r="E4" s="35" t="s">
        <v>2</v>
      </c>
      <c r="F4" s="35">
        <v>2015</v>
      </c>
      <c r="G4" s="35">
        <v>2016</v>
      </c>
      <c r="H4" s="36" t="s">
        <v>32</v>
      </c>
      <c r="I4" s="36" t="s">
        <v>33</v>
      </c>
      <c r="J4" s="36" t="s">
        <v>34</v>
      </c>
    </row>
    <row r="5" spans="3:15" x14ac:dyDescent="0.3">
      <c r="C5" s="3" t="s">
        <v>6</v>
      </c>
    </row>
    <row r="6" spans="3:15" x14ac:dyDescent="0.3">
      <c r="D6" s="1" t="s">
        <v>1</v>
      </c>
      <c r="E6" s="1" t="s">
        <v>4</v>
      </c>
      <c r="F6" s="4">
        <v>53.4</v>
      </c>
      <c r="G6" s="4">
        <v>41.9</v>
      </c>
      <c r="H6" s="4">
        <v>50.4</v>
      </c>
      <c r="I6" s="4">
        <v>50.8</v>
      </c>
      <c r="J6" s="4">
        <v>50.4</v>
      </c>
    </row>
    <row r="7" spans="3:15" x14ac:dyDescent="0.3">
      <c r="D7" s="1" t="s">
        <v>1</v>
      </c>
      <c r="E7" s="1" t="s">
        <v>3</v>
      </c>
      <c r="F7" s="5">
        <v>-45.31443347357461</v>
      </c>
      <c r="G7" s="5">
        <f>100*(G6/F6-1)</f>
        <v>-21.535580524344567</v>
      </c>
      <c r="H7" s="5">
        <f>100*(H6/G6-1)</f>
        <v>20.286396181384259</v>
      </c>
      <c r="I7" s="5">
        <f t="shared" ref="I7" si="0">100*(I6/H6-1)</f>
        <v>0.79365079365079083</v>
      </c>
      <c r="J7" s="5">
        <f>100*(J6/I6-1)</f>
        <v>-0.78740157480314821</v>
      </c>
    </row>
    <row r="8" spans="3:15" x14ac:dyDescent="0.3">
      <c r="D8" s="1" t="s">
        <v>5</v>
      </c>
      <c r="E8" s="1" t="s">
        <v>62</v>
      </c>
      <c r="F8" s="6">
        <v>60.66</v>
      </c>
      <c r="G8" s="7">
        <v>66.900000000000006</v>
      </c>
      <c r="H8" s="8">
        <v>58.7</v>
      </c>
      <c r="I8" s="8">
        <f>H8*(1.015-I20*I7/100)</f>
        <v>59.440738095238096</v>
      </c>
      <c r="J8" s="7">
        <f>I8*(1.015-J20*J7/100)</f>
        <v>60.449358493625795</v>
      </c>
      <c r="L8" s="9"/>
      <c r="M8" s="10"/>
      <c r="N8" s="10"/>
      <c r="O8" s="10"/>
    </row>
    <row r="9" spans="3:15" x14ac:dyDescent="0.3">
      <c r="D9" s="1" t="s">
        <v>15</v>
      </c>
      <c r="E9" s="1" t="s">
        <v>51</v>
      </c>
      <c r="F9" s="11">
        <v>533.79160000000002</v>
      </c>
      <c r="G9" s="11">
        <v>550.32709299999999</v>
      </c>
      <c r="H9" s="11">
        <v>543.684664989</v>
      </c>
      <c r="I9" s="11">
        <v>543.684664989</v>
      </c>
      <c r="J9" s="11">
        <v>538.24781833911004</v>
      </c>
      <c r="M9" s="12"/>
    </row>
    <row r="10" spans="3:15" x14ac:dyDescent="0.3">
      <c r="D10" s="1" t="s">
        <v>16</v>
      </c>
      <c r="E10" s="1" t="s">
        <v>51</v>
      </c>
      <c r="F10" s="11">
        <v>244.5210893</v>
      </c>
      <c r="G10" s="11">
        <v>254.66255060000003</v>
      </c>
      <c r="H10" s="11">
        <v>246.30372840999996</v>
      </c>
      <c r="I10" s="11">
        <v>246.30372840999996</v>
      </c>
      <c r="J10" s="11">
        <v>243.84069112589998</v>
      </c>
    </row>
    <row r="11" spans="3:15" x14ac:dyDescent="0.3">
      <c r="D11" s="1" t="s">
        <v>17</v>
      </c>
      <c r="E11" s="1" t="s">
        <v>31</v>
      </c>
      <c r="F11" s="13">
        <v>182.71866969999999</v>
      </c>
      <c r="G11" s="13">
        <v>182.26708909999999</v>
      </c>
      <c r="H11" s="13">
        <f>G11*(1+H12/100)</f>
        <v>264.65154092613108</v>
      </c>
      <c r="I11" s="13">
        <f t="shared" ref="I11:J11" si="1">H11*(1+I12/100)</f>
        <v>259.04974997652806</v>
      </c>
      <c r="J11" s="13">
        <f t="shared" si="1"/>
        <v>249.62299076773664</v>
      </c>
      <c r="K11" s="5"/>
      <c r="M11" s="14"/>
      <c r="N11" s="14"/>
      <c r="O11" s="14"/>
    </row>
    <row r="12" spans="3:15" x14ac:dyDescent="0.3">
      <c r="D12" s="1" t="s">
        <v>17</v>
      </c>
      <c r="E12" s="1" t="s">
        <v>3</v>
      </c>
      <c r="F12" s="15">
        <v>-36.261466542135857</v>
      </c>
      <c r="G12" s="15">
        <v>-0.24714529759954917</v>
      </c>
      <c r="H12" s="15">
        <f>(H8/G8-1)*100*H22+H25</f>
        <v>45.199850523168905</v>
      </c>
      <c r="I12" s="15">
        <f>(I8/H8-1)*100*I22+I25</f>
        <v>-2.1166666666666361</v>
      </c>
      <c r="J12" s="15">
        <f>(J8/I8-1)*100*J22+J25</f>
        <v>-3.6389763779527202</v>
      </c>
      <c r="M12" s="16"/>
      <c r="N12" s="16"/>
      <c r="O12" s="16"/>
    </row>
    <row r="13" spans="3:15" x14ac:dyDescent="0.3">
      <c r="D13" s="1" t="s">
        <v>18</v>
      </c>
      <c r="E13" s="1" t="s">
        <v>3</v>
      </c>
      <c r="F13" s="6">
        <v>-1.3</v>
      </c>
      <c r="G13" s="6">
        <v>0.5</v>
      </c>
      <c r="H13" s="15">
        <v>1</v>
      </c>
      <c r="I13" s="15">
        <v>1</v>
      </c>
      <c r="J13" s="15">
        <v>1</v>
      </c>
      <c r="M13" s="16"/>
      <c r="N13" s="17"/>
      <c r="O13" s="17"/>
    </row>
    <row r="14" spans="3:15" ht="33" x14ac:dyDescent="0.3">
      <c r="D14" s="18" t="s">
        <v>19</v>
      </c>
      <c r="E14" s="1" t="s">
        <v>42</v>
      </c>
      <c r="F14" s="19">
        <v>11253.908105</v>
      </c>
      <c r="G14" s="19">
        <v>13195.438093000001</v>
      </c>
      <c r="H14" s="19">
        <f>G14*(1+H15/100)</f>
        <v>13536.862657110361</v>
      </c>
      <c r="I14" s="19">
        <f t="shared" ref="I14:J14" si="2">H14*(1+I15/100)</f>
        <v>14431.701021184297</v>
      </c>
      <c r="J14" s="19">
        <f t="shared" si="2"/>
        <v>15408.75340892157</v>
      </c>
    </row>
    <row r="15" spans="3:15" ht="33" x14ac:dyDescent="0.3">
      <c r="D15" s="18" t="s">
        <v>19</v>
      </c>
      <c r="E15" s="1" t="s">
        <v>3</v>
      </c>
      <c r="F15" s="15">
        <v>17.60424034903798</v>
      </c>
      <c r="G15" s="15">
        <v>17.252051197551509</v>
      </c>
      <c r="H15" s="15">
        <f>(H8/G8-1)*100*H23+H25+H18</f>
        <v>2.5874439461883414</v>
      </c>
      <c r="I15" s="15">
        <f>(I8/H8-1)*100*I23+I25+I18</f>
        <v>6.610382233610931</v>
      </c>
      <c r="J15" s="15">
        <f>(J8/I8-1)*100*J23+J25+J18</f>
        <v>6.7701817429771918</v>
      </c>
      <c r="M15" s="17"/>
      <c r="N15" s="17"/>
      <c r="O15" s="17"/>
    </row>
    <row r="16" spans="3:15" x14ac:dyDescent="0.3">
      <c r="D16" s="1" t="s">
        <v>20</v>
      </c>
      <c r="E16" s="1" t="s">
        <v>35</v>
      </c>
      <c r="F16" s="19">
        <v>83232.618401731204</v>
      </c>
      <c r="G16" s="19">
        <v>86043.648872227146</v>
      </c>
      <c r="H16" s="19">
        <f>G16*(1+H17/100)</f>
        <v>90975.64651728778</v>
      </c>
      <c r="I16" s="19">
        <f t="shared" ref="I16:J16" si="3">H16*(1+I17/100)</f>
        <v>96904.896835935549</v>
      </c>
      <c r="J16" s="19">
        <f t="shared" si="3"/>
        <v>103165.17229331854</v>
      </c>
    </row>
    <row r="17" spans="3:15" x14ac:dyDescent="0.3">
      <c r="D17" s="1" t="s">
        <v>55</v>
      </c>
      <c r="E17" s="1" t="s">
        <v>3</v>
      </c>
      <c r="F17" s="15">
        <v>5.0921430493092279</v>
      </c>
      <c r="G17" s="15">
        <f>100*(G16/F16-1)</f>
        <v>3.3773183211997404</v>
      </c>
      <c r="H17" s="20">
        <f>100*((1+H18/100)*(1+H24/100)-1)</f>
        <v>5.7319717488789168</v>
      </c>
      <c r="I17" s="20">
        <f>100*((1+I18/100)*(1+I24/100)-1)</f>
        <v>6.5174038829403091</v>
      </c>
      <c r="J17" s="20">
        <f>100*((1+J18/100)*(1+J24/100)-1)</f>
        <v>6.4602261204425249</v>
      </c>
      <c r="M17" s="16"/>
      <c r="N17" s="16"/>
      <c r="O17" s="16"/>
    </row>
    <row r="18" spans="3:15" x14ac:dyDescent="0.3">
      <c r="D18" s="1" t="s">
        <v>53</v>
      </c>
      <c r="E18" s="1" t="s">
        <v>56</v>
      </c>
      <c r="F18" s="15">
        <v>12.9</v>
      </c>
      <c r="G18" s="15">
        <v>5.4</v>
      </c>
      <c r="H18" s="15">
        <f>0.5*4+0.5*(G18+(H8/G8-1)*100*H21)</f>
        <v>3.9645739910313904</v>
      </c>
      <c r="I18" s="15">
        <f>0.5*4+0.5*(H18+(I8/H8-1)*100*I21)</f>
        <v>4.0580012812299806</v>
      </c>
      <c r="J18" s="15">
        <f>0.5*4+0.5*(I18+(J8/I8-1)*100*J21)</f>
        <v>4.1308116642370365</v>
      </c>
      <c r="M18" s="16"/>
      <c r="N18" s="16"/>
      <c r="O18" s="16"/>
    </row>
    <row r="19" spans="3:15" x14ac:dyDescent="0.3">
      <c r="C19" s="3" t="s">
        <v>7</v>
      </c>
    </row>
    <row r="20" spans="3:15" x14ac:dyDescent="0.3">
      <c r="D20" s="1" t="s">
        <v>40</v>
      </c>
      <c r="F20" s="21">
        <v>0.45</v>
      </c>
      <c r="G20" s="21">
        <v>0.42</v>
      </c>
      <c r="H20" s="21">
        <v>0.35</v>
      </c>
      <c r="I20" s="21">
        <v>0.3</v>
      </c>
      <c r="J20" s="21">
        <v>0.25</v>
      </c>
    </row>
    <row r="21" spans="3:15" x14ac:dyDescent="0.3">
      <c r="D21" s="1" t="s">
        <v>54</v>
      </c>
      <c r="F21" s="21">
        <v>0.12</v>
      </c>
      <c r="G21" s="21">
        <v>0.12</v>
      </c>
      <c r="H21" s="21">
        <v>0.12</v>
      </c>
      <c r="I21" s="21">
        <v>0.12</v>
      </c>
      <c r="J21" s="21">
        <v>0.12</v>
      </c>
    </row>
    <row r="22" spans="3:15" x14ac:dyDescent="0.3">
      <c r="D22" s="1" t="s">
        <v>8</v>
      </c>
      <c r="F22" s="1">
        <v>-3.5</v>
      </c>
      <c r="G22" s="1">
        <v>-3.5</v>
      </c>
      <c r="H22" s="1">
        <v>-3.5</v>
      </c>
      <c r="I22" s="1">
        <v>-3.5</v>
      </c>
      <c r="J22" s="1">
        <v>-3.5</v>
      </c>
    </row>
    <row r="23" spans="3:15" x14ac:dyDescent="0.3">
      <c r="D23" s="1" t="s">
        <v>9</v>
      </c>
      <c r="F23" s="1">
        <v>0.2</v>
      </c>
      <c r="G23" s="1">
        <v>0.2</v>
      </c>
      <c r="H23" s="1">
        <v>0.3</v>
      </c>
      <c r="I23" s="1">
        <v>0.2</v>
      </c>
      <c r="J23" s="1">
        <v>0.2</v>
      </c>
    </row>
    <row r="24" spans="3:15" x14ac:dyDescent="0.3">
      <c r="D24" s="1" t="s">
        <v>63</v>
      </c>
      <c r="E24" s="1" t="s">
        <v>21</v>
      </c>
      <c r="F24" s="21">
        <v>-2.8</v>
      </c>
      <c r="G24" s="21">
        <v>-0.2</v>
      </c>
      <c r="H24" s="21">
        <v>1.7</v>
      </c>
      <c r="I24" s="21">
        <f t="shared" ref="I24:J24" si="4">I7*0.08+I25</f>
        <v>2.3634920634920631</v>
      </c>
      <c r="J24" s="21">
        <f t="shared" si="4"/>
        <v>2.237007874015748</v>
      </c>
    </row>
    <row r="25" spans="3:15" x14ac:dyDescent="0.3">
      <c r="D25" s="1" t="s">
        <v>10</v>
      </c>
      <c r="E25" s="1" t="s">
        <v>21</v>
      </c>
      <c r="F25" s="1">
        <v>2.2999999999999998</v>
      </c>
      <c r="G25" s="1">
        <v>2.2999999999999998</v>
      </c>
      <c r="H25" s="1">
        <v>2.2999999999999998</v>
      </c>
      <c r="I25" s="1">
        <v>2.2999999999999998</v>
      </c>
      <c r="J25" s="1">
        <v>2.2999999999999998</v>
      </c>
    </row>
    <row r="26" spans="3:15" x14ac:dyDescent="0.3">
      <c r="D26" s="2" t="s">
        <v>59</v>
      </c>
      <c r="M26" s="22"/>
    </row>
    <row r="27" spans="3:15" x14ac:dyDescent="0.3">
      <c r="F27" s="22"/>
      <c r="G27" s="22"/>
    </row>
    <row r="28" spans="3:15" x14ac:dyDescent="0.3">
      <c r="F28" s="23"/>
      <c r="G28" s="23"/>
    </row>
    <row r="29" spans="3:15" s="34" customFormat="1" x14ac:dyDescent="0.3">
      <c r="D29" s="37" t="s">
        <v>36</v>
      </c>
      <c r="E29" s="35"/>
      <c r="F29" s="35">
        <v>2015</v>
      </c>
      <c r="G29" s="35">
        <v>2016</v>
      </c>
      <c r="H29" s="36" t="s">
        <v>32</v>
      </c>
      <c r="I29" s="36" t="s">
        <v>33</v>
      </c>
      <c r="J29" s="36" t="s">
        <v>34</v>
      </c>
    </row>
    <row r="30" spans="3:15" s="34" customFormat="1" x14ac:dyDescent="0.3">
      <c r="D30" s="35" t="s">
        <v>12</v>
      </c>
      <c r="F30" s="38">
        <f>F31+F34</f>
        <v>13655.66226237</v>
      </c>
      <c r="G30" s="38">
        <f t="shared" ref="G30:J30" si="5">G31+G34</f>
        <v>13460.136364880002</v>
      </c>
      <c r="H30" s="38">
        <f t="shared" si="5"/>
        <v>14690.726209769386</v>
      </c>
      <c r="I30" s="38">
        <f t="shared" si="5"/>
        <v>15190.003770300133</v>
      </c>
      <c r="J30" s="38">
        <f t="shared" si="5"/>
        <v>15549.899357392231</v>
      </c>
      <c r="K30" s="39"/>
    </row>
    <row r="31" spans="3:15" x14ac:dyDescent="0.3">
      <c r="D31" s="3" t="s">
        <v>22</v>
      </c>
      <c r="F31" s="25">
        <f>F32+F33</f>
        <v>5940.35915432</v>
      </c>
      <c r="G31" s="25">
        <f t="shared" ref="G31:J31" si="6">G32+G33</f>
        <v>4917.5643863900004</v>
      </c>
      <c r="H31" s="25">
        <f t="shared" si="6"/>
        <v>5505.4315572156793</v>
      </c>
      <c r="I31" s="25">
        <f t="shared" si="6"/>
        <v>5657.8215006224136</v>
      </c>
      <c r="J31" s="25">
        <f t="shared" si="6"/>
        <v>5668.7137776455902</v>
      </c>
      <c r="K31" s="22"/>
    </row>
    <row r="32" spans="3:15" x14ac:dyDescent="0.3">
      <c r="D32" s="33" t="s">
        <v>0</v>
      </c>
      <c r="F32" s="22">
        <v>3159.9919204100001</v>
      </c>
      <c r="G32" s="22">
        <v>2863.4976261800002</v>
      </c>
      <c r="H32" s="22">
        <f>$O$46*(H9*(H46*H8*(H6-15)/261+H47)/10^3)</f>
        <v>3838.9163556844987</v>
      </c>
      <c r="I32" s="22">
        <f>$O$46*(I9*(I46*I8*(I6-15)/261+I47)/10^3)</f>
        <v>3953.2612033931514</v>
      </c>
      <c r="J32" s="22">
        <f>$O$46*(J9*(J46*J8*(J6-15)/261+J47)/10^3)</f>
        <v>3970.0692140608803</v>
      </c>
      <c r="K32" s="22"/>
    </row>
    <row r="33" spans="3:15" x14ac:dyDescent="0.3">
      <c r="D33" s="1" t="s">
        <v>28</v>
      </c>
      <c r="F33" s="22">
        <v>2780.3672339099999</v>
      </c>
      <c r="G33" s="22">
        <v>2054.0667602100002</v>
      </c>
      <c r="H33" s="22">
        <f>$O$48+$O$49*$O$47*(29.5+H48*(H6*7.13-182))*H10*H8/10^3</f>
        <v>1666.5152015311803</v>
      </c>
      <c r="I33" s="22">
        <f>$O$48+$O$49*$O$47*(29.5+I48*(I6*7.13-182))*I10*I8/10^3</f>
        <v>1704.5602972292625</v>
      </c>
      <c r="J33" s="22">
        <f>$O$48+$O$49*$O$47*(29.5+J48*(J6*7.13-182))*J10*J8/10^3</f>
        <v>1698.6445635847099</v>
      </c>
      <c r="K33" s="22"/>
    </row>
    <row r="34" spans="3:15" ht="16.5" customHeight="1" x14ac:dyDescent="0.3">
      <c r="D34" s="26" t="s">
        <v>23</v>
      </c>
      <c r="F34" s="25">
        <f>SUM(F35:F40)</f>
        <v>7715.3031080500004</v>
      </c>
      <c r="G34" s="25">
        <f>SUM(G35:G40)</f>
        <v>8542.5719784900011</v>
      </c>
      <c r="H34" s="25">
        <f t="shared" ref="H34:J34" si="7">SUM(H35:H40)</f>
        <v>9185.2946525537063</v>
      </c>
      <c r="I34" s="25">
        <f t="shared" si="7"/>
        <v>9532.1822696777181</v>
      </c>
      <c r="J34" s="25">
        <f t="shared" si="7"/>
        <v>9881.1855797466415</v>
      </c>
      <c r="K34" s="22"/>
    </row>
    <row r="35" spans="3:15" x14ac:dyDescent="0.3">
      <c r="D35" s="1" t="s">
        <v>25</v>
      </c>
      <c r="F35" s="22">
        <v>2448.3483722699998</v>
      </c>
      <c r="G35" s="22">
        <v>2657.3952886900001</v>
      </c>
      <c r="H35" s="22">
        <f>H14*H49*$O$52</f>
        <v>3007.9531519781449</v>
      </c>
      <c r="I35" s="22">
        <f>I14*I49*$O$52</f>
        <v>3206.7903527318481</v>
      </c>
      <c r="J35" s="22">
        <f>J14*J49*$O$52</f>
        <v>3423.8958877280538</v>
      </c>
      <c r="K35" s="22"/>
    </row>
    <row r="36" spans="3:15" x14ac:dyDescent="0.3">
      <c r="D36" s="1" t="s">
        <v>26</v>
      </c>
      <c r="F36" s="22">
        <v>1785.2197779000001</v>
      </c>
      <c r="G36" s="22">
        <v>1913.56591974</v>
      </c>
      <c r="H36" s="22">
        <f>$O$50*H49*H11*H8</f>
        <v>2460.7511996544408</v>
      </c>
      <c r="I36" s="22">
        <f>$O$50*I49*I11*I8</f>
        <v>2439.0603613714879</v>
      </c>
      <c r="J36" s="22">
        <f>$O$50*J49*J11*J8</f>
        <v>2390.1846656957209</v>
      </c>
      <c r="K36" s="22"/>
    </row>
    <row r="37" spans="3:15" ht="16.5" customHeight="1" x14ac:dyDescent="0.3">
      <c r="D37" s="18" t="s">
        <v>61</v>
      </c>
      <c r="F37" s="22">
        <v>491.37987135999998</v>
      </c>
      <c r="G37" s="22">
        <v>491.02322543000002</v>
      </c>
      <c r="H37" s="22">
        <f>H14*H50*$O$51</f>
        <v>843.21388228393573</v>
      </c>
      <c r="I37" s="22">
        <f>I14*I50*$O$51</f>
        <v>898.95354294977415</v>
      </c>
      <c r="J37" s="22">
        <f>J14*J50*$O$51</f>
        <v>959.81433159240635</v>
      </c>
      <c r="K37" s="22"/>
    </row>
    <row r="38" spans="3:15" x14ac:dyDescent="0.3">
      <c r="D38" s="1" t="s">
        <v>30</v>
      </c>
      <c r="F38" s="22">
        <v>689.07565065999995</v>
      </c>
      <c r="G38" s="22">
        <v>1283.35823486</v>
      </c>
      <c r="H38" s="22">
        <f>(G38-G52)*(1+H51/100)</f>
        <v>580.11600356015219</v>
      </c>
      <c r="I38" s="22">
        <f>H38*(1+I51/100)</f>
        <v>579.88395715872821</v>
      </c>
      <c r="J38" s="22">
        <f>I38*(1+J51/100)</f>
        <v>579.4780383887171</v>
      </c>
      <c r="K38" s="22"/>
    </row>
    <row r="39" spans="3:15" x14ac:dyDescent="0.3">
      <c r="D39" s="1" t="s">
        <v>27</v>
      </c>
      <c r="F39" s="22">
        <v>527.88943586000005</v>
      </c>
      <c r="G39" s="22">
        <v>632.15630977000001</v>
      </c>
      <c r="H39" s="22">
        <f>G39*(1+H13/100)</f>
        <v>638.47787286770006</v>
      </c>
      <c r="I39" s="22">
        <f>H39*(1+I13/100)</f>
        <v>644.86265159637708</v>
      </c>
      <c r="J39" s="22">
        <f>I39*(1+J13/100)</f>
        <v>651.3112781123408</v>
      </c>
      <c r="K39" s="22"/>
    </row>
    <row r="40" spans="3:15" x14ac:dyDescent="0.3">
      <c r="D40" s="1" t="s">
        <v>29</v>
      </c>
      <c r="F40" s="22">
        <v>1773.39</v>
      </c>
      <c r="G40" s="22">
        <v>1565.0730000000001</v>
      </c>
      <c r="H40" s="22">
        <f>G40*(1+H17/100)</f>
        <v>1654.7825422093317</v>
      </c>
      <c r="I40" s="22">
        <f>H40*(1+I17/100)</f>
        <v>1762.6314038695011</v>
      </c>
      <c r="J40" s="22">
        <f>I40*(1+J17/100)</f>
        <v>1876.5013782294013</v>
      </c>
      <c r="K40" s="22"/>
    </row>
    <row r="41" spans="3:15" s="34" customFormat="1" x14ac:dyDescent="0.3">
      <c r="D41" s="35" t="s">
        <v>13</v>
      </c>
      <c r="F41" s="38">
        <v>15620.25</v>
      </c>
      <c r="G41" s="38">
        <v>16416.45</v>
      </c>
      <c r="H41" s="38">
        <v>16602.599999999999</v>
      </c>
      <c r="I41" s="38">
        <v>16039.7</v>
      </c>
      <c r="J41" s="38">
        <v>15987</v>
      </c>
      <c r="K41" s="39"/>
    </row>
    <row r="42" spans="3:15" s="34" customFormat="1" x14ac:dyDescent="0.3">
      <c r="D42" s="35" t="s">
        <v>60</v>
      </c>
      <c r="F42" s="39">
        <f>F30-F41</f>
        <v>-1964.5877376299995</v>
      </c>
      <c r="G42" s="39">
        <f t="shared" ref="G42:J42" si="8">G30-G41</f>
        <v>-2956.3136351199992</v>
      </c>
      <c r="H42" s="39">
        <f t="shared" si="8"/>
        <v>-1911.8737902306129</v>
      </c>
      <c r="I42" s="39">
        <f t="shared" si="8"/>
        <v>-849.69622969986813</v>
      </c>
      <c r="J42" s="39">
        <f t="shared" si="8"/>
        <v>-437.10064260776926</v>
      </c>
    </row>
    <row r="43" spans="3:15" x14ac:dyDescent="0.3">
      <c r="E43" s="1" t="s">
        <v>58</v>
      </c>
      <c r="F43" s="27">
        <f>100*F42/F16</f>
        <v>-2.3603579646475916</v>
      </c>
      <c r="G43" s="27">
        <f t="shared" ref="G43:J43" si="9">100*G42/G16</f>
        <v>-3.4358301558201667</v>
      </c>
      <c r="H43" s="27">
        <f>100*H42/H16</f>
        <v>-2.1015226199764423</v>
      </c>
      <c r="I43" s="27">
        <f>100*I42/I16</f>
        <v>-0.87683518319868081</v>
      </c>
      <c r="J43" s="27">
        <f t="shared" si="9"/>
        <v>-0.42369012031018338</v>
      </c>
    </row>
    <row r="45" spans="3:15" x14ac:dyDescent="0.3">
      <c r="D45" s="24" t="s">
        <v>11</v>
      </c>
      <c r="M45" s="24" t="s">
        <v>43</v>
      </c>
    </row>
    <row r="46" spans="3:15" x14ac:dyDescent="0.3">
      <c r="C46" s="3" t="s">
        <v>45</v>
      </c>
      <c r="D46" s="1" t="s">
        <v>0</v>
      </c>
      <c r="E46" s="1" t="s">
        <v>52</v>
      </c>
      <c r="F46" s="1">
        <v>766</v>
      </c>
      <c r="G46" s="1">
        <v>857</v>
      </c>
      <c r="H46" s="1">
        <v>919</v>
      </c>
      <c r="I46" s="1">
        <v>919</v>
      </c>
      <c r="J46" s="1">
        <v>919</v>
      </c>
      <c r="M46" s="1" t="s">
        <v>0</v>
      </c>
      <c r="O46" s="28">
        <v>0.92630000000000001</v>
      </c>
    </row>
    <row r="47" spans="3:15" x14ac:dyDescent="0.3">
      <c r="D47" s="1" t="s">
        <v>46</v>
      </c>
      <c r="E47" s="1" t="s">
        <v>52</v>
      </c>
      <c r="F47" s="1">
        <v>0</v>
      </c>
      <c r="G47" s="1">
        <v>0</v>
      </c>
      <c r="H47" s="1">
        <v>306</v>
      </c>
      <c r="I47" s="1">
        <v>357</v>
      </c>
      <c r="J47" s="1">
        <v>428</v>
      </c>
      <c r="M47" s="1" t="s">
        <v>37</v>
      </c>
      <c r="O47" s="28">
        <v>0.85281300000000004</v>
      </c>
    </row>
    <row r="48" spans="3:15" x14ac:dyDescent="0.3">
      <c r="D48" s="1" t="s">
        <v>47</v>
      </c>
      <c r="F48" s="29">
        <v>0.42</v>
      </c>
      <c r="G48" s="29">
        <v>0.42</v>
      </c>
      <c r="H48" s="29">
        <v>0.3</v>
      </c>
      <c r="I48" s="29">
        <v>0.3</v>
      </c>
      <c r="J48" s="29">
        <v>0.3</v>
      </c>
      <c r="M48" s="1" t="s">
        <v>39</v>
      </c>
      <c r="O48" s="28">
        <v>19.164899999999999</v>
      </c>
    </row>
    <row r="49" spans="3:15" x14ac:dyDescent="0.3">
      <c r="D49" s="1" t="s">
        <v>24</v>
      </c>
      <c r="F49" s="29">
        <v>0.18</v>
      </c>
      <c r="G49" s="29">
        <v>0.18</v>
      </c>
      <c r="H49" s="29">
        <v>0.18</v>
      </c>
      <c r="I49" s="29">
        <v>0.18</v>
      </c>
      <c r="J49" s="29">
        <v>0.18</v>
      </c>
      <c r="M49" s="1" t="s">
        <v>38</v>
      </c>
      <c r="O49" s="28">
        <v>1.6154299999999999</v>
      </c>
    </row>
    <row r="50" spans="3:15" x14ac:dyDescent="0.3">
      <c r="D50" s="1" t="s">
        <v>44</v>
      </c>
      <c r="F50" s="29">
        <v>0.02</v>
      </c>
      <c r="G50" s="29">
        <v>0.02</v>
      </c>
      <c r="H50" s="29">
        <v>0.03</v>
      </c>
      <c r="I50" s="29">
        <v>0.03</v>
      </c>
      <c r="J50" s="29">
        <v>0.03</v>
      </c>
      <c r="M50" s="1" t="s">
        <v>41</v>
      </c>
      <c r="O50" s="28">
        <v>0.88</v>
      </c>
    </row>
    <row r="51" spans="3:15" ht="57" customHeight="1" x14ac:dyDescent="0.3">
      <c r="C51" s="30" t="s">
        <v>48</v>
      </c>
      <c r="D51" s="18" t="s">
        <v>49</v>
      </c>
      <c r="F51" s="29">
        <v>0.18</v>
      </c>
      <c r="G51" s="29">
        <v>-0.2</v>
      </c>
      <c r="H51" s="29">
        <v>1.32</v>
      </c>
      <c r="I51" s="29">
        <v>-0.04</v>
      </c>
      <c r="J51" s="29">
        <v>-7.0000000000000007E-2</v>
      </c>
      <c r="M51" s="1" t="s">
        <v>44</v>
      </c>
      <c r="O51" s="28">
        <v>2.0763400000000001</v>
      </c>
    </row>
    <row r="52" spans="3:15" ht="33" x14ac:dyDescent="0.3">
      <c r="D52" s="18" t="s">
        <v>50</v>
      </c>
      <c r="E52" s="18" t="s">
        <v>36</v>
      </c>
      <c r="G52" s="31">
        <v>710.8</v>
      </c>
      <c r="M52" s="1" t="s">
        <v>24</v>
      </c>
      <c r="O52" s="28">
        <v>1.23447</v>
      </c>
    </row>
    <row r="53" spans="3:15" x14ac:dyDescent="0.3">
      <c r="E53" s="18"/>
      <c r="F53" s="9"/>
      <c r="G53" s="9"/>
      <c r="I53" s="9"/>
      <c r="J53" s="9"/>
    </row>
    <row r="67" spans="4:16" x14ac:dyDescent="0.3">
      <c r="G67" s="5"/>
      <c r="H67" s="5"/>
      <c r="I67" s="5"/>
      <c r="K67" s="28"/>
    </row>
    <row r="68" spans="4:16" x14ac:dyDescent="0.3">
      <c r="G68" s="5"/>
      <c r="H68" s="5"/>
      <c r="I68" s="5"/>
      <c r="J68" s="5"/>
      <c r="K68" s="28"/>
      <c r="M68" s="16"/>
      <c r="N68" s="16"/>
      <c r="O68" s="16"/>
      <c r="P68" s="5"/>
    </row>
    <row r="69" spans="4:16" x14ac:dyDescent="0.3">
      <c r="G69" s="16"/>
      <c r="H69" s="16"/>
      <c r="I69" s="16"/>
      <c r="J69" s="5"/>
    </row>
    <row r="71" spans="4:16" x14ac:dyDescent="0.3"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</row>
    <row r="73" spans="4:16" x14ac:dyDescent="0.3"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</row>
    <row r="75" spans="4:16" x14ac:dyDescent="0.3"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4:16" x14ac:dyDescent="0.3">
      <c r="E76" s="9"/>
      <c r="F76" s="9"/>
      <c r="G76" s="9"/>
      <c r="H76" s="9"/>
      <c r="I76" s="9"/>
      <c r="J76" s="9"/>
      <c r="K76" s="9"/>
      <c r="L76" s="9"/>
      <c r="M76" s="9"/>
      <c r="N76" s="9"/>
    </row>
    <row r="78" spans="4:16" x14ac:dyDescent="0.3">
      <c r="E78" s="28"/>
      <c r="F78" s="28"/>
      <c r="G78" s="28"/>
      <c r="H78" s="28"/>
      <c r="I78" s="28"/>
      <c r="J78" s="28"/>
      <c r="K78" s="28"/>
      <c r="L78" s="28"/>
      <c r="M78" s="28"/>
    </row>
    <row r="79" spans="4:16" x14ac:dyDescent="0.3"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4:16" x14ac:dyDescent="0.3">
      <c r="E80" s="28"/>
      <c r="F80" s="28"/>
      <c r="G80" s="28"/>
      <c r="H80" s="28"/>
      <c r="I80" s="28"/>
      <c r="J80" s="28"/>
      <c r="K80" s="28"/>
      <c r="L80" s="28"/>
      <c r="M80" s="28"/>
      <c r="N80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2017-09-28T15:42:46Z</dcterms:modified>
</cp:coreProperties>
</file>