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C:\Users\alexj\Desktop\Investing\"/>
    </mc:Choice>
  </mc:AlternateContent>
  <xr:revisionPtr revIDLastSave="0" documentId="13_ncr:1_{846E9B66-A007-4263-8A47-C7F2728FA616}" xr6:coauthVersionLast="47" xr6:coauthVersionMax="47" xr10:uidLastSave="{00000000-0000-0000-0000-000000000000}"/>
  <bookViews>
    <workbookView xWindow="-108" yWindow="-108" windowWidth="23256" windowHeight="12576" activeTab="5" xr2:uid="{00000000-000D-0000-FFFF-FFFF00000000}"/>
  </bookViews>
  <sheets>
    <sheet name="Income Statement" sheetId="1" r:id="rId1"/>
    <sheet name="Balance Sheet" sheetId="2" r:id="rId2"/>
    <sheet name="Cash Flow" sheetId="3" r:id="rId3"/>
    <sheet name="Peers" sheetId="4" r:id="rId4"/>
    <sheet name="Peer Summaries" sheetId="5" r:id="rId5"/>
    <sheet name="DCF"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6" l="1"/>
  <c r="D52" i="6"/>
  <c r="C52" i="6"/>
  <c r="I52" i="6" s="1"/>
  <c r="B52" i="6"/>
  <c r="G51" i="6"/>
  <c r="E51" i="6"/>
  <c r="I51" i="6" s="1"/>
  <c r="D51" i="6"/>
  <c r="H51" i="6" s="1"/>
  <c r="C51" i="6"/>
  <c r="G50" i="6" s="1"/>
  <c r="B51" i="6"/>
  <c r="E50" i="6"/>
  <c r="D50" i="6"/>
  <c r="C50" i="6"/>
  <c r="B50" i="6"/>
  <c r="C33" i="6"/>
  <c r="D28" i="6"/>
  <c r="D33" i="6" s="1"/>
  <c r="C28" i="6"/>
  <c r="C34" i="6" s="1"/>
  <c r="B20" i="6"/>
  <c r="B19" i="6"/>
  <c r="B18" i="6"/>
  <c r="B6" i="6"/>
  <c r="B7" i="6" s="1"/>
  <c r="H5" i="6"/>
  <c r="F5" i="6"/>
  <c r="E5" i="6"/>
  <c r="E6" i="6" s="1"/>
  <c r="H4" i="6"/>
  <c r="H6" i="6" l="1"/>
  <c r="B12" i="6" s="1"/>
  <c r="E28" i="6"/>
  <c r="D29" i="6"/>
  <c r="D32" i="6"/>
  <c r="H50" i="6"/>
  <c r="I50" i="6"/>
  <c r="G52" i="6"/>
  <c r="C29" i="6"/>
  <c r="C32" i="6"/>
  <c r="H52" i="6"/>
  <c r="D34" i="6"/>
  <c r="D30" i="6" l="1"/>
  <c r="D31" i="6" s="1"/>
  <c r="D35" i="6" s="1"/>
  <c r="D36" i="6" s="1"/>
  <c r="C30" i="6"/>
  <c r="C31" i="6" s="1"/>
  <c r="C35" i="6" s="1"/>
  <c r="C36" i="6" s="1"/>
  <c r="F28" i="6"/>
  <c r="E32" i="6"/>
  <c r="E29" i="6"/>
  <c r="E33" i="6"/>
  <c r="E34" i="6"/>
  <c r="E30" i="6" l="1"/>
  <c r="E31" i="6"/>
  <c r="E35" i="6" s="1"/>
  <c r="E36" i="6" s="1"/>
  <c r="F32" i="6"/>
  <c r="F29" i="6"/>
  <c r="F33" i="6"/>
  <c r="F34" i="6"/>
  <c r="G28" i="6"/>
  <c r="G32" i="6" l="1"/>
  <c r="G29" i="6"/>
  <c r="H28" i="6"/>
  <c r="G33" i="6"/>
  <c r="G34" i="6"/>
  <c r="F30" i="6"/>
  <c r="F31" i="6"/>
  <c r="F35" i="6" s="1"/>
  <c r="F36" i="6" s="1"/>
  <c r="H33" i="6" l="1"/>
  <c r="I28" i="6"/>
  <c r="H34" i="6"/>
  <c r="H32" i="6"/>
  <c r="H29" i="6"/>
  <c r="G30" i="6"/>
  <c r="G31" i="6"/>
  <c r="G35" i="6" s="1"/>
  <c r="G36" i="6" s="1"/>
  <c r="I34" i="6" l="1"/>
  <c r="I33" i="6"/>
  <c r="J28" i="6"/>
  <c r="I32" i="6"/>
  <c r="I29" i="6"/>
  <c r="H30" i="6"/>
  <c r="H31" i="6" s="1"/>
  <c r="H35" i="6" s="1"/>
  <c r="H36" i="6" s="1"/>
  <c r="I30" i="6" l="1"/>
  <c r="I31" i="6"/>
  <c r="I35" i="6" s="1"/>
  <c r="I36" i="6" s="1"/>
  <c r="J33" i="6"/>
  <c r="J34" i="6"/>
  <c r="J29" i="6"/>
  <c r="J32" i="6"/>
  <c r="J30" i="6" l="1"/>
  <c r="J31" i="6"/>
  <c r="J35" i="6" s="1"/>
  <c r="J36" i="6" s="1"/>
  <c r="J37" i="6" s="1"/>
  <c r="B42" i="6" s="1"/>
  <c r="B43" i="6" s="1"/>
  <c r="B44" i="6" s="1"/>
</calcChain>
</file>

<file path=xl/sharedStrings.xml><?xml version="1.0" encoding="utf-8"?>
<sst xmlns="http://schemas.openxmlformats.org/spreadsheetml/2006/main" count="358" uniqueCount="289">
  <si>
    <t>*In thousands, except per-share items</t>
  </si>
  <si>
    <t>INCOME STATEMENT</t>
  </si>
  <si>
    <t>TTM</t>
  </si>
  <si>
    <t>30 September 2021</t>
  </si>
  <si>
    <t>30 September 2020</t>
  </si>
  <si>
    <t>30 September 2019</t>
  </si>
  <si>
    <t>30 September 2018</t>
  </si>
  <si>
    <t>Total Revenue</t>
  </si>
  <si>
    <t>Operating Revenue</t>
  </si>
  <si>
    <t>Cost of Revenue</t>
  </si>
  <si>
    <t>Gross Profit</t>
  </si>
  <si>
    <t>Operating Expense</t>
  </si>
  <si>
    <t>Selling General and Administrative</t>
  </si>
  <si>
    <t>Research &amp; Development</t>
  </si>
  <si>
    <t>Operating Income</t>
  </si>
  <si>
    <t>Net Non Operating Interest Income Expense</t>
  </si>
  <si>
    <t>Interest Income Non Operating</t>
  </si>
  <si>
    <t>Interest Expense Non Operating</t>
  </si>
  <si>
    <t>Other Income Expense</t>
  </si>
  <si>
    <t>Other Non Operating Income Expenses</t>
  </si>
  <si>
    <t>Pretax Income</t>
  </si>
  <si>
    <t>Tax Provision</t>
  </si>
  <si>
    <t>Net Income Common Stockholders</t>
  </si>
  <si>
    <t>Net Income</t>
  </si>
  <si>
    <t>Net Income Including Non-Controlling Interests</t>
  </si>
  <si>
    <t>Net Income Continuous Operations</t>
  </si>
  <si>
    <t>Diluted NI Available to Com Stockholders</t>
  </si>
  <si>
    <t>-</t>
  </si>
  <si>
    <t>Basic EPS</t>
  </si>
  <si>
    <t>Diluted EPS</t>
  </si>
  <si>
    <t>Basic Average Shares</t>
  </si>
  <si>
    <t>Diluted Average Shares</t>
  </si>
  <si>
    <t>Total Operating Income as Reported</t>
  </si>
  <si>
    <t>Total Expenses</t>
  </si>
  <si>
    <t>Net Income from Continuing &amp; Discontinued Operation</t>
  </si>
  <si>
    <t>Normalized Income</t>
  </si>
  <si>
    <t>Interest Income</t>
  </si>
  <si>
    <t>Interest Expense</t>
  </si>
  <si>
    <t>Net Interest Income</t>
  </si>
  <si>
    <t>EBIT</t>
  </si>
  <si>
    <t>EBITDA</t>
  </si>
  <si>
    <t>Reconciled Cost of Revenue</t>
  </si>
  <si>
    <t>Reconciled Depreciation</t>
  </si>
  <si>
    <t>Net Income from Continuing Operation Net Minority Interest</t>
  </si>
  <si>
    <t>Normalized EBITDA</t>
  </si>
  <si>
    <t>Tax Rate for Calcs</t>
  </si>
  <si>
    <t>Tax Effect of Unusual Items</t>
  </si>
  <si>
    <t>BALANCE SHEET</t>
  </si>
  <si>
    <t>Total Assets</t>
  </si>
  <si>
    <t>Current Assets</t>
  </si>
  <si>
    <t>Cash, Cash Equivalents &amp; Short Term Investments</t>
  </si>
  <si>
    <t>Cash And Cash Equivalents</t>
  </si>
  <si>
    <t>Cash</t>
  </si>
  <si>
    <t>Cash Equivalents</t>
  </si>
  <si>
    <t>Other Short Term Investments</t>
  </si>
  <si>
    <t>Receivables</t>
  </si>
  <si>
    <t>Accounts receivable</t>
  </si>
  <si>
    <t>Other Receivables</t>
  </si>
  <si>
    <t>Inventory</t>
  </si>
  <si>
    <t>Other Current Assets</t>
  </si>
  <si>
    <t>Total non-current assets</t>
  </si>
  <si>
    <t>Net PPE</t>
  </si>
  <si>
    <t>Gross PPE</t>
  </si>
  <si>
    <t>Properties</t>
  </si>
  <si>
    <t>Land And Improvements</t>
  </si>
  <si>
    <t>Machinery Furniture Equipment</t>
  </si>
  <si>
    <t>Leases</t>
  </si>
  <si>
    <t>Accumulated Depreciation</t>
  </si>
  <si>
    <t>Investments And Advances</t>
  </si>
  <si>
    <t>Investment in Financial Assets</t>
  </si>
  <si>
    <t>Available for Sale Securities</t>
  </si>
  <si>
    <t>Other Non Current Assets</t>
  </si>
  <si>
    <t>Total Liabilities Net Minority Interest</t>
  </si>
  <si>
    <t>Current Liabilities</t>
  </si>
  <si>
    <t>Payables And Accrued Expenses</t>
  </si>
  <si>
    <t>Payables</t>
  </si>
  <si>
    <t>Accounts Payable</t>
  </si>
  <si>
    <t>Current Debt And Capital Lease Obligation</t>
  </si>
  <si>
    <t>Current Debt</t>
  </si>
  <si>
    <t>Commercial Paper</t>
  </si>
  <si>
    <t>Other Current Borrowings</t>
  </si>
  <si>
    <t>Current Deferred Liabilities</t>
  </si>
  <si>
    <t>Current Deferred Revenue</t>
  </si>
  <si>
    <t>Other Current Liabilities</t>
  </si>
  <si>
    <t>Total Non Current Liabilities Net Minority Interest</t>
  </si>
  <si>
    <t>Long Term Debt And Capital Lease Obligation</t>
  </si>
  <si>
    <t>Long Term Debt</t>
  </si>
  <si>
    <t>Non Current Deferred Liabilities</t>
  </si>
  <si>
    <t>Non Current Deferred Taxes Liabilities</t>
  </si>
  <si>
    <t>Non Current Deferred Revenue</t>
  </si>
  <si>
    <t>Tradeand Other Payables Non Current</t>
  </si>
  <si>
    <t>Other Non Current Liabilities</t>
  </si>
  <si>
    <t>Total Equity Gross Minority Interest</t>
  </si>
  <si>
    <t>Stockholders' Equity</t>
  </si>
  <si>
    <t>Capital Stock</t>
  </si>
  <si>
    <t>Common Stock</t>
  </si>
  <si>
    <t>Retained Earnings</t>
  </si>
  <si>
    <t>Gains Losses Not Affecting Retained Earnings</t>
  </si>
  <si>
    <t>Total Capitalization</t>
  </si>
  <si>
    <t>Common Stock Equity</t>
  </si>
  <si>
    <t>Net Tangible Assets</t>
  </si>
  <si>
    <t>Working Capital</t>
  </si>
  <si>
    <t>Invested Capital</t>
  </si>
  <si>
    <t>Tangible Book Value</t>
  </si>
  <si>
    <t>Total Debt</t>
  </si>
  <si>
    <t>Net Debt</t>
  </si>
  <si>
    <t>Share Issued</t>
  </si>
  <si>
    <t>Ordinary Shares Number</t>
  </si>
  <si>
    <t>CASH FLOW</t>
  </si>
  <si>
    <t>Operating Cash Flow</t>
  </si>
  <si>
    <t>Cash Flow from Continuing Operating Activities</t>
  </si>
  <si>
    <t>Net Income from Continuing Operations</t>
  </si>
  <si>
    <t>Depreciation Amortization Depletion</t>
  </si>
  <si>
    <t>Depreciation &amp; amortization</t>
  </si>
  <si>
    <t>Deferred Tax</t>
  </si>
  <si>
    <t>Deferred Income Tax</t>
  </si>
  <si>
    <t>Stock based compensation</t>
  </si>
  <si>
    <t>Other non-cash items</t>
  </si>
  <si>
    <t>Change in working capital</t>
  </si>
  <si>
    <t>Change in Receivables</t>
  </si>
  <si>
    <t>Changes in Account Receivables</t>
  </si>
  <si>
    <t>Change in Inventory</t>
  </si>
  <si>
    <t>Change in Payables And Accrued Expense</t>
  </si>
  <si>
    <t>Change in Payable</t>
  </si>
  <si>
    <t>Change in Account Payable</t>
  </si>
  <si>
    <t>Change in Other Current Assets</t>
  </si>
  <si>
    <t>Change in Other Current Liabilities</t>
  </si>
  <si>
    <t>Change in Other Working Capital</t>
  </si>
  <si>
    <t>Investing Cash Flow</t>
  </si>
  <si>
    <t>Cash Flow from Continuing Investing Activities</t>
  </si>
  <si>
    <t>Net PPE Purchase And Sale</t>
  </si>
  <si>
    <t>Purchase of PPE</t>
  </si>
  <si>
    <t>Net Business Purchase And Sale</t>
  </si>
  <si>
    <t>Purchase of Business</t>
  </si>
  <si>
    <t>Net Investment Purchase And Sale</t>
  </si>
  <si>
    <t>Purchase of Investment</t>
  </si>
  <si>
    <t>Sale of Investment</t>
  </si>
  <si>
    <t>Net Other Investing Changes</t>
  </si>
  <si>
    <t>Financing Cash Flow</t>
  </si>
  <si>
    <t>Cash Flow from Continuing Financing Activities</t>
  </si>
  <si>
    <t>Net Issuance Payments of Debt</t>
  </si>
  <si>
    <t>Net Long Term Debt Issuance</t>
  </si>
  <si>
    <t>Long Term Debt Issuance</t>
  </si>
  <si>
    <t>Long Term Debt Payments</t>
  </si>
  <si>
    <t>Net Short Term Debt Issuance</t>
  </si>
  <si>
    <t>Short Term Debt Payments</t>
  </si>
  <si>
    <t>Net Common Stock Issuance</t>
  </si>
  <si>
    <t>Common Stock Issuance</t>
  </si>
  <si>
    <t>Common Stock Payments</t>
  </si>
  <si>
    <t>Cash Dividends Paid</t>
  </si>
  <si>
    <t>Common Stock Dividend Paid</t>
  </si>
  <si>
    <t>Net Other Financing Charges</t>
  </si>
  <si>
    <t>End Cash Position</t>
  </si>
  <si>
    <t>Changes in Cash</t>
  </si>
  <si>
    <t>Beginning Cash Position</t>
  </si>
  <si>
    <t>Income Tax Paid Supplemental Data</t>
  </si>
  <si>
    <t>Interest Paid Supplemental Data</t>
  </si>
  <si>
    <t>Capital Expenditure</t>
  </si>
  <si>
    <t>Issuance of Capital Stock</t>
  </si>
  <si>
    <t>Issuance of Debt</t>
  </si>
  <si>
    <t>Repayment of Debt</t>
  </si>
  <si>
    <t>Repurchase of Capital Stock</t>
  </si>
  <si>
    <t>Free Cash Flow</t>
  </si>
  <si>
    <t>*Total share count and all monetary values are in thousands of USD where applicable, except per-share items</t>
  </si>
  <si>
    <t>Assumed tax rate:</t>
  </si>
  <si>
    <t>Peer</t>
  </si>
  <si>
    <t>P/E Ratio</t>
  </si>
  <si>
    <t>EV/Sales</t>
  </si>
  <si>
    <t>EV/EBITDA</t>
  </si>
  <si>
    <t>Market Cap</t>
  </si>
  <si>
    <t>Cash and Equivalents</t>
  </si>
  <si>
    <t>Enterprise Value</t>
  </si>
  <si>
    <t>Debt/Equity</t>
  </si>
  <si>
    <t>Bond Rating (S&amp;P)</t>
  </si>
  <si>
    <t>Bond Spread (10Y)</t>
  </si>
  <si>
    <t>Bond Spread (30Y)</t>
  </si>
  <si>
    <t>LTM Sales</t>
  </si>
  <si>
    <t>LTM EBITDA</t>
  </si>
  <si>
    <t>LTM Earnings</t>
  </si>
  <si>
    <t>Share Price</t>
  </si>
  <si>
    <t>Shares Outstanding</t>
  </si>
  <si>
    <t>Equity Beta</t>
  </si>
  <si>
    <t>Unlevered Beta</t>
  </si>
  <si>
    <t>Profit Margin</t>
  </si>
  <si>
    <t>Operating Margin</t>
  </si>
  <si>
    <t>Return on Assets</t>
  </si>
  <si>
    <t>Return on Equity</t>
  </si>
  <si>
    <t>Revenue Growth (1Y)</t>
  </si>
  <si>
    <t>Earnings Growth (1Y)</t>
  </si>
  <si>
    <t>Key Notes</t>
  </si>
  <si>
    <t>Apple Inc. (AAPL)</t>
  </si>
  <si>
    <t>AA+</t>
  </si>
  <si>
    <t>Sector</t>
  </si>
  <si>
    <t>Industry</t>
  </si>
  <si>
    <t>Employees</t>
  </si>
  <si>
    <t>Summary</t>
  </si>
  <si>
    <t>Link</t>
  </si>
  <si>
    <t>Technology</t>
  </si>
  <si>
    <t>Consumer Electronics</t>
  </si>
  <si>
    <t>154,000</t>
  </si>
  <si>
    <t>Apple Inc. designs, manufactures, and markets smartphones, personal computers, tablets, wearables, and accessories worldwide. It also sells various related services. In addition, the company offers iPhone, a line of smartphones; Mac, a line of personal computers; iPad, a line of multi-purpose tablets; AirPods Max, an over-ear wireless headphone; and wearables, home, and accessories comprising AirPods, Apple TV, Apple Watch, Beats products, HomePod, and iPod touch. Further, it provides AppleCare support services; cloud services store services; and operates various platforms, including the App Store that allow customers to discover and download applications and digital content, such as books, music, video, games, and podcasts. Additionally, the company offers various services, such as Apple Arcade, a game subscription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incorporated in 1977 and is headquartered in Cupertino, California.</t>
  </si>
  <si>
    <t>https://finance.yahoo.com/quote/AAPL</t>
  </si>
  <si>
    <t>Alphabet Inc. (GOOG)</t>
  </si>
  <si>
    <t>AA</t>
  </si>
  <si>
    <t>Communication Services</t>
  </si>
  <si>
    <t>Internet Content &amp; Information</t>
  </si>
  <si>
    <t>150,028</t>
  </si>
  <si>
    <t>Alphabet Inc. provides online advertising services in the United States, Europe, the Middle East, Africa, the Asia-Pacific, Canada, and Latin America. The company offers performance and brand advertising services. It operates through Google Services, Google Cloud, and Other Bets segments. The Google Services segment provides products and services, such as ads, Android, Chrome, hardware, Google Maps, Google Play, Search, and YouTube, as well as technical infrastructure; and digital content. The Google Cloud segment offers infrastructure and data analytics platforms, collaboration tools, and other services for enterprise customers. The Other Bets segment sells internet and TV services, as well as licensing and research and development services. The company was founded in 1998 and is headquartered in Mountain View, California.</t>
  </si>
  <si>
    <t>https://finance.yahoo.com/quote/GOOG</t>
  </si>
  <si>
    <t>Amazon.com, Inc. (AMZN)</t>
  </si>
  <si>
    <t>BBB</t>
  </si>
  <si>
    <t>Consumer Cyclical</t>
  </si>
  <si>
    <t>Internet Retail</t>
  </si>
  <si>
    <t>1,468,000</t>
  </si>
  <si>
    <t>Amazon.com, Inc. engages in the retail sale of consumer products and subscriptions in North America and internationally. The company operates through three segments: North America, International, and Amazon Web Services (AWS). It sells merchandise and content purchased for resale from third-party sellers through physical and online stores. The company also manufactures and sells electronic devices, including Kindle, Fire tablets, Fire TVs, Rings, and Echo and other devices; provides Kindle Direct Publishing, an online service that allows independent authors and publishers to make their books available in the Kindle Store; and develops and produces media content. In addition, it offers programs that enable sellers to sell their products on its websites, as well as its stores; and programs that allow authors, musicians, filmmakers, skill and app developers, and others to publish and sell content. Further, the company provides compute, storage, database, analytics, machine learning, and other services, as well as fulfillment, advertising, publishing, and digital content subscriptions. Additionally, it offers Amazon Prime, a membership program, which provides free shipping of various items; access to streaming of movies and TV episodes; and other services. The company serves consumers, sellers, developers, enterprises, and content creators. Amazon.com, Inc. was founded in 1994 and is headquartered in Seattle, Washington.</t>
  </si>
  <si>
    <t>https://finance.yahoo.com/quote/AMZN</t>
  </si>
  <si>
    <t>Meta Platforms, Inc. (FB)</t>
  </si>
  <si>
    <t>N/A</t>
  </si>
  <si>
    <t>68,177</t>
  </si>
  <si>
    <t>Meta Platforms, Inc. develops products that enable people to connect and share with friends and family through mobile devices, personal computers, virtual reality headsets, and in-home devices worldwide. It operates in two segments, Family of Apps and Facebook Reality Labs. The Family of Apps segment's products include Facebook, which enables people to connect, share, discover, and communicate with each other on mobile devices and personal computers; Instagram, a community for sharing photos, videos, and private messages; Messenger, a messaging application for people to connect with friends, family, groups, and businesses across platforms and devices; and WhatsApp, a messaging application that is used by people and businesses to communicate in a private way, as well as other services. The Facebook Reality Labs segment provides augmented and virtual reality related consumer hardware, software, and content that help people feel connected, anytime, and anywhere. The company was formerly known as Facebook, Inc. and changed its name to Meta Platforms, Inc. in October 2021. Meta Platforms, Inc. was founded in 2004 and is headquartered in Menlo Park, California.</t>
  </si>
  <si>
    <t>https://finance.yahoo.com/quote/FB</t>
  </si>
  <si>
    <t>Netflix, Inc. (NFLX)</t>
  </si>
  <si>
    <t>B+</t>
  </si>
  <si>
    <t>Netflix, Inc. provides entertainment services. It offers TV series, documentaries, and feature films across various genres and languages. The company provides members the ability to receive streaming content through a host of Internet-connected devices, including TVs, digital video players, television set-top boxes, and mobile devices. It also provides DVDs-by-mail membership services. The company has approximately 204 million paid members in 190 countries. Netflix, Inc. was founded in 1997 and is headquartered in Los Gatos, California.</t>
  </si>
  <si>
    <t>https://finance.yahoo.com/quote/NFLX</t>
  </si>
  <si>
    <t>Microsoft Corporation (MSFT)</t>
  </si>
  <si>
    <t>AAA</t>
  </si>
  <si>
    <t>Software—Infrastructure</t>
  </si>
  <si>
    <t>181,000</t>
  </si>
  <si>
    <t>Microsoft Corporation develops, licenses, and supports software, services, devices, and solutions worldwide. Its Productivity and Business Processes segment offers Office, Exchange, SharePoint, Microsoft Teams, Office 365 Security and Compliance, and Skype for Business, as well as related Client Access Licenses (CAL); Skype, Outlook.com, OneDrive, and LinkedIn; and Dynamics 365, a set of cloud-based and on-premises business solutions for organizations and enterprise divisions. Its Intelligent Cloud segment licenses SQL, Windows Servers, Visual Studio, System Center, and related CALs; GitHub that provides a collaboration platform and code hosting service for developers; and Azure, a cloud platform. It also offers support services and Microsoft consulting services to assist customers in developing, deploying, and managing Microsoft server and desktop solutions; and training and certification on Microsoft products. Its More Personal Computing segment provides Windows original equipment manufacturer (OEM) licensing and other non-volume licensing of the Windows operating system; Windows Commercial, such as volume licensing of the Windows operating system, Windows cloud services, and other Windows commercial offerings; patent licensing; Windows Internet of Things; and MSN advertising. It also offers Surface, PC accessories, PCs, tablets, gaming and entertainment consoles, and other devices; Gaming, including Xbox hardware, and Xbox content and services; video games and third-party video game royalties; and Search, including Bing and Microsoft advertising. It sells its products through OEMs, distributors, and resellers; and directly through digital marketplaces, online stores, and retail stores. It has collaborations with Dynatrace, Inc., Morgan Stanley, Micro Focus, WPP plc, ACI Worldwide, Inc., and iCIMS, Inc., as well as strategic relationships with Avaya Holdings Corp. and wejo Limited. Microsoft Corporation was founded in 1975 and is based in Redmond, Washington.</t>
  </si>
  <si>
    <t>https://finance.yahoo.com/quote/MSFT</t>
  </si>
  <si>
    <t>3D Systems Corporation (DDD)</t>
  </si>
  <si>
    <t>3D Systems Corporation, through its subsidiaries, provides 3D printing and digital manufacturing solutions in the Americas, Europe, the Middle East, Africa, and the Asia Pacific. The company offers 3D printers, such as stereolithography, selective laser sintering, direct metal printing, multi jet printing, and color jet printers that transform digital data input generated by 3D design software, computer aided design (CAD) software, or other 3D design tools into printed parts under the Accura, DuraForm, LaserForm, CastForm, and VisiJet brand names. It also develops, blends, and markets various print materials, such as plastic, nylon, metal, composite, elastomeric, wax, polymeric dental, and Class IV bio-compatible materials. In addition, the company provides digital design tools, including software, scanners, and haptic devices, as well as solutions for product design, mold and die design, 3D scan-to-print, reverse engineering, production machining, metrology, and inspection under the Geomagic brand. Further, it offers 3D Sprint and 3DXpert, a proprietary software to prepare and optimize CAD data and manage the additive manufacturing processes, which provides automated support building and placement, build platform management, and print queue management; and 3D virtual reality simulators and simulator modules for medical applications under the Simbionix brand, and digitizing scanners for medical and mechanical applications. Additionally, the company provides warranty, maintenance, and training services; on-demand manufacturing solutions; and software and precision healthcare services. It primarily serves companies and small and midsize businesses in medical, dental, automotive, aerospace, durable good, government, defense, technology, jewelry, electronic, education, consumer good, energy, and other industries through direct sales force, as well as partner channels and distributors. The company was founded in 1986 and is headquartered in Rock Hill, South Carolina.</t>
  </si>
  <si>
    <t>https://finance.yahoo.com/quote/DDD</t>
  </si>
  <si>
    <t>HP Inc. (HPQ)</t>
  </si>
  <si>
    <t>BB</t>
  </si>
  <si>
    <t>Computer Hardware</t>
  </si>
  <si>
    <t>51,000</t>
  </si>
  <si>
    <t>HP Inc. provides personal computing and other access devices, imaging and printing products, and related technologies, solutions, and services in the United States and internationally. The company operates through three segments: Personal Systems, Printing, and Corporate Investments. The Personal Systems segment offers commercial and consumer desktop and notebook personal computers, workstations, thin clients, commercial mobility devices, retail point-of-sale systems, displays and peripherals, software, support, and services. The Printing segment provides consumer and commercial printer hardware, supplies, solutions, and services. The Corporate Investments segment is involved in the HP Labs and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</si>
  <si>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https://finance.yahoo.com/quote/HPQ</t>
  </si>
  <si>
    <t>Lenovo Group Limited (LNVGY)</t>
  </si>
  <si>
    <t>52,000</t>
  </si>
  <si>
    <t>Lenovo Group Limited, an investment holding company, develops, manufactures, and markets technology products and services. It operates through Intelligent Devices Group and Data Center Group segments. The company offers commercial and consumer personal computers, as well as servers and workstations; and a family of mobile Internet devices, including tablets and smartphones. It also provides laptops, desktops, phones, accessories, monitors, data center solutions, systems, software, server and storage products, networking products, and replacement parts. In addition, the company manufactures and distributes IT products, computers, computer hardware, and peripheral equipment; and offers IT, business planning, management, supply chain, finance, administration support, procurement agency, data management, intellectual property, investment management, and computer hardware and software systems repair services. Further, it is involved in the retail and service business for consumer electronic products and related digital services; and development, ownership, licensing, and sale of communications hardware and software. The company operates in China, the Asia Pacific, Europe, the Middle East, Africa, and the Americas. Lenovo Group Limited was founded in 1984 and is based in Quarry Bay, Hong Kong.</t>
  </si>
  <si>
    <t>https://finance.yahoo.com/quote/LNVGY</t>
  </si>
  <si>
    <t>*in thousands, except per-share items. Next steps after generation: 1. Check that WACC inputs are correct (especially debt spread). 2. Update growth rates as desired. 3. Update all other DCF inputs as desired.</t>
  </si>
  <si>
    <t>Cost of Capital</t>
  </si>
  <si>
    <t>Cost of Equity</t>
  </si>
  <si>
    <t>Cost of Debt</t>
  </si>
  <si>
    <t>WACC</t>
  </si>
  <si>
    <t>Risk Free Rate</t>
  </si>
  <si>
    <t>Market Risk Premium</t>
  </si>
  <si>
    <t>Beta</t>
  </si>
  <si>
    <t>Spread</t>
  </si>
  <si>
    <t>Weight of Equity</t>
  </si>
  <si>
    <t>Weight of Debt</t>
  </si>
  <si>
    <t>DCF Model Inputs</t>
  </si>
  <si>
    <t>Terminal Growth Rate</t>
  </si>
  <si>
    <t>Tax Rate</t>
  </si>
  <si>
    <t>Dep &amp; Amort / Revenue</t>
  </si>
  <si>
    <t>CAPEX / Revenue</t>
  </si>
  <si>
    <t>Change in Net Working Capital / Revenue</t>
  </si>
  <si>
    <t>Current Debt Value</t>
  </si>
  <si>
    <t>Current Cash Value</t>
  </si>
  <si>
    <t>DCF Model</t>
  </si>
  <si>
    <t>2020 Actual</t>
  </si>
  <si>
    <t>Revenue Growth</t>
  </si>
  <si>
    <t>EBIT Margin</t>
  </si>
  <si>
    <t>Revenue</t>
  </si>
  <si>
    <t>Tax</t>
  </si>
  <si>
    <t>NOPAT</t>
  </si>
  <si>
    <t>Depreciation &amp; Amortization</t>
  </si>
  <si>
    <t>Capital Expenditures</t>
  </si>
  <si>
    <t>Increase in Working Capital</t>
  </si>
  <si>
    <t>Discounted FCF</t>
  </si>
  <si>
    <t>Terminal Value</t>
  </si>
  <si>
    <t>DCF Model Outputs</t>
  </si>
  <si>
    <t>Equity Value</t>
  </si>
  <si>
    <t>Equity Value per Share</t>
  </si>
  <si>
    <t>Peer Implied Valuations</t>
  </si>
  <si>
    <t>AAPL</t>
  </si>
  <si>
    <t>Peer Average</t>
  </si>
  <si>
    <t>Peer Minimum</t>
  </si>
  <si>
    <t>Peer Maximum</t>
  </si>
  <si>
    <t>Implied Valuation</t>
  </si>
  <si>
    <t>Implied Range Minimum</t>
  </si>
  <si>
    <t>Implied Range Maximum</t>
  </si>
  <si>
    <t>Price/Earnings</t>
  </si>
  <si>
    <t>Analyst Notes</t>
  </si>
  <si>
    <t xml:space="preserve">** Is the model not working? This may be due to Yahoo Finance changing their layout, affecting the application's web scraper. Please open an issue on Github, and I'll try to get to it as soon as possible. **
This Discounted Cash Flow model was computer-generated and relies on a number of generalized assumptions. It is highly recommended that the user of this model checks the assumptions listed below, and updates them as desired. These inputs are the ones that are most likely to require updates, but it is also recommended that you double-check that all the other inputs make sense as well. If you would like more information on how to use a DCF model, please consider referring to Investopedia's article on the topic: https://www.investopedia.com/terms/d/dcf.asp
1. (Row 25) The first two years of growth projections are based on analyst estimates. For the remaining years of the DCF projection, growth is based on an average of the previous three years and analyst estimates. If analyst projections were unavailable, growth for every year of the DCF projection period is based on the average of the most recent three-year growth. It is highly recommended that you ensure these assumptions are reasonable, especially for companies which experienced high three-year growth. Furthermore, it is recommended that you research and fully understand the reasoning behind the analysts' projections, and update them if you disagree with the reasoning.
2. (Row 26) The EBIT margin is assumed to be the same as the trailing twelve months. If the company has recently undergone significant operational changes, or is projected to do so in the near future, the generated value may not reflect the future performance.
3. (Cell E5) The bond spread is obtained from Macroaxis's record of the company's coupon rates less their given coupon benchmark. This number may not have been pulled correctly, so check that the bond spread under "Cost of Debt" in the DCF is accurate. Furthermore, this number uses historical bond prices, so if a company's risk profile has changed significantly, these figures may not be meaningful.
4. (Cells B4 and E4) The risk-free rate is the current US Treasury Bond 30 year yield (1.8%). Confirm that this number is up-to-date and makes sense for the given company (especially with respect to the company's operating region).
5. (Cell B5) The market risk premium is based on the average American market risk premium from 2011-2021. Make sure this number makes sense for the given company.
6. (Cell B6) The equity beta used to calculate the cost of equity is calculated by relevering the average of unlevered peer betas, not the current equity beta of the company. This is because both undervalued stocks as well as stocks that have undergone significant price discovery may have betas that do not reflect future price action. 
7. (Cell B13) The terminal growth rate is based on Pricewaterhousecooper's American GDP projections from 2016 to 2050. Confirm that this number is up-to-date and makes sense for the given company (especially with respect to the company's operating region).
8. (Cell B14) The tax rate is based on the TTM tax rate. Ensure that this year was not an outlier regarding taxes for the company.
9. (Cells B14:B17) These inputs are used to calculate the values added back or subtracted from the NOPAT to calculate the free cash flow. They are based on the three-year historical average of the given values, so if the company has recently undergone significant operational changes, or is projected to do so in the near future, the generated values may not reflect the future performance.
10. All financial data except certain debt-related items were obtained from Yahoo Finance. Bond ratings and bond spreads were obtained from Macroaxis. It is possible that any or all of this data was outdated or innaccurate, so you may want to validate key figures by viewing the company's most recent 10-Q or 10-K filings.
11. Visit the "Peers" and "Peer Summaries" tabs of this workbook, and confirm that the identified peers are comparable to the given company. This includes reading the peer summaries and removing peers that operate in different industries or have very different business models. This also includes removing peers who are outliers in terms of P/E, EV/EBITDA, EV/Revenue, Debt/Equity, and Equity Beta. This is not a comprehensive list; please validate company peers at your own disgression.
After updating the above assumptions, feel free to delete this message and use this space to record your own research notes on the company. Thank you for using my application! I hope you find it helpful.
DISCLAIMER
This model is provided for informational purposes only, and is not intended for trading or investing purposes. The creator of this application is not a licensed financial advisor or chartered financial analyst, and therefore offers no financial advice to the user. The model and its outputs are not indicative of the creator's opinion on any given security. The model and its outputs do not constitute a recommendation to buy or sell any given security. The creator of this application will not be liable for any financial losses occuring as a result of the use of the application. The creator of this application is not affiliated with Yahoo Finance, Macroaxis, or Investopedia and claims no ownership to any of their resources. The model and its outputs do no reflect the opinions of Yahoo Finance, Macroaxis, or Investopedia.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</si>
</sst>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5" x14ac:knownFonts="1">
    <font>
      <sz val="11"/>
      <color theme="1"/>
      <name val="Calibri"/>
      <family val="2"/>
      <scheme val="minor"/>
    </font>
    <font>
      <sz val="11"/>
      <color rgb="FFFFFFFF"/>
      <name val="Calibri"/>
      <family val="2"/>
      <scheme val="minor"/>
    </font>
    <font>
      <b/>
      <sz val="11"/>
      <color theme="1"/>
      <name val="Calibri"/>
      <family val="2"/>
      <scheme val="minor"/>
    </font>
    <font>
      <b/>
      <sz val="11"/>
      <color rgb="FFFFFFFF"/>
      <name val="Calibri"/>
      <family val="2"/>
      <scheme val="minor"/>
    </font>
    <font>
      <i/>
      <sz val="11"/>
      <color theme="1"/>
      <name val="Calibri"/>
      <family val="2"/>
      <scheme val="minor"/>
    </font>
  </fonts>
  <fills count="4">
    <fill>
      <patternFill patternType="none"/>
    </fill>
    <fill>
      <patternFill patternType="gray125"/>
    </fill>
    <fill>
      <patternFill patternType="solid">
        <fgColor rgb="FF034638"/>
        <bgColor indexed="64"/>
      </patternFill>
    </fill>
    <fill>
      <patternFill patternType="solid">
        <fgColor rgb="FFE7E6E6"/>
        <bgColor indexed="64"/>
      </patternFill>
    </fill>
  </fills>
  <borders count="6">
    <border>
      <left/>
      <right/>
      <top/>
      <bottom/>
      <diagonal/>
    </border>
    <border>
      <left/>
      <right/>
      <top style="thin">
        <color auto="1"/>
      </top>
      <bottom/>
      <diagonal/>
    </border>
    <border>
      <left/>
      <right/>
      <top style="thin">
        <color auto="1"/>
      </top>
      <bottom style="double">
        <color auto="1"/>
      </bottom>
      <diagonal/>
    </border>
    <border>
      <left/>
      <right/>
      <top style="thin">
        <color auto="1"/>
      </top>
      <bottom style="thin">
        <color auto="1"/>
      </bottom>
      <diagonal/>
    </border>
    <border>
      <left/>
      <right/>
      <top/>
      <bottom style="thin">
        <color auto="1"/>
      </bottom>
      <diagonal/>
    </border>
    <border>
      <left/>
      <right/>
      <top/>
      <bottom style="double">
        <color auto="1"/>
      </bottom>
      <diagonal/>
    </border>
  </borders>
  <cellStyleXfs count="1">
    <xf numFmtId="0" fontId="0" fillId="0" borderId="0"/>
  </cellStyleXfs>
  <cellXfs count="19">
    <xf numFmtId="0" fontId="0" fillId="0" borderId="0" xfId="0"/>
    <xf numFmtId="0" fontId="1" fillId="2" borderId="0" xfId="0" applyFont="1" applyFill="1"/>
    <xf numFmtId="0" fontId="0" fillId="0" borderId="0" xfId="0" applyAlignment="1">
      <alignment horizontal="left"/>
    </xf>
    <xf numFmtId="43" fontId="0" fillId="0" borderId="0" xfId="0" applyNumberFormat="1"/>
    <xf numFmtId="43" fontId="0" fillId="0" borderId="1" xfId="0" applyNumberFormat="1" applyBorder="1"/>
    <xf numFmtId="43" fontId="0" fillId="0" borderId="2" xfId="0" applyNumberFormat="1" applyBorder="1"/>
    <xf numFmtId="0" fontId="2" fillId="0" borderId="0" xfId="0" applyFont="1"/>
    <xf numFmtId="0" fontId="2" fillId="0" borderId="3" xfId="0" applyFont="1" applyBorder="1" applyAlignment="1">
      <alignment horizontal="center" vertical="center" wrapText="1"/>
    </xf>
    <xf numFmtId="43" fontId="0" fillId="3" borderId="3" xfId="0" applyNumberFormat="1" applyFill="1" applyBorder="1"/>
    <xf numFmtId="43" fontId="0" fillId="0" borderId="4" xfId="0" applyNumberFormat="1" applyBorder="1"/>
    <xf numFmtId="0" fontId="0" fillId="3" borderId="3" xfId="0" applyFill="1" applyBorder="1"/>
    <xf numFmtId="0" fontId="0" fillId="0" borderId="0" xfId="0"/>
    <xf numFmtId="0" fontId="0" fillId="0" borderId="4" xfId="0" applyBorder="1"/>
    <xf numFmtId="10" fontId="0" fillId="0" borderId="0" xfId="0" applyNumberFormat="1"/>
    <xf numFmtId="0" fontId="4" fillId="0" borderId="0" xfId="0" applyFont="1" applyAlignment="1">
      <alignment horizontal="left"/>
    </xf>
    <xf numFmtId="10" fontId="4" fillId="0" borderId="0" xfId="0" applyNumberFormat="1" applyFont="1"/>
    <xf numFmtId="43" fontId="0" fillId="0" borderId="5" xfId="0" applyNumberFormat="1" applyBorder="1"/>
    <xf numFmtId="0" fontId="3" fillId="2" borderId="0" xfId="0" applyFont="1" applyFill="1"/>
    <xf numFmtId="0" fontId="0" fillId="0" borderId="0" xfId="0"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hyperlink" Target="https://finance.yahoo.com/quote/HPQ" TargetMode="External"/><Relationship Id="rId3" Type="http://schemas.openxmlformats.org/officeDocument/2006/relationships/hyperlink" Target="https://finance.yahoo.com/quote/AMZN" TargetMode="External"/><Relationship Id="rId7" Type="http://schemas.openxmlformats.org/officeDocument/2006/relationships/hyperlink" Target="https://finance.yahoo.com/quote/DDD" TargetMode="External"/><Relationship Id="rId2" Type="http://schemas.openxmlformats.org/officeDocument/2006/relationships/hyperlink" Target="https://finance.yahoo.com/quote/GOOG" TargetMode="External"/><Relationship Id="rId1" Type="http://schemas.openxmlformats.org/officeDocument/2006/relationships/hyperlink" Target="https://finance.yahoo.com/quote/AAPL" TargetMode="External"/><Relationship Id="rId6" Type="http://schemas.openxmlformats.org/officeDocument/2006/relationships/hyperlink" Target="https://finance.yahoo.com/quote/MSFT" TargetMode="External"/><Relationship Id="rId5" Type="http://schemas.openxmlformats.org/officeDocument/2006/relationships/hyperlink" Target="https://finance.yahoo.com/quote/NFLX" TargetMode="External"/><Relationship Id="rId4" Type="http://schemas.openxmlformats.org/officeDocument/2006/relationships/hyperlink" Target="https://finance.yahoo.com/quote/FB" TargetMode="External"/><Relationship Id="rId9" Type="http://schemas.openxmlformats.org/officeDocument/2006/relationships/hyperlink" Target="https://finance.yahoo.com/quote/LNV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workbookViewId="0">
      <pane xSplit="1" ySplit="2" topLeftCell="B3" activePane="bottomRight" state="frozen"/>
      <selection pane="topRight" activeCell="B1" sqref="B1"/>
      <selection pane="bottomLeft" activeCell="A3" sqref="A3"/>
      <selection pane="bottomRight"/>
    </sheetView>
  </sheetViews>
  <sheetFormatPr defaultRowHeight="14.4" x14ac:dyDescent="0.3"/>
  <cols>
    <col min="1" max="1" width="61.6640625" customWidth="1"/>
    <col min="2" max="2" width="14.6640625" customWidth="1"/>
    <col min="3" max="6" width="20.6640625" customWidth="1"/>
  </cols>
  <sheetData>
    <row r="1" spans="1:6" x14ac:dyDescent="0.3">
      <c r="A1" t="s">
        <v>0</v>
      </c>
    </row>
    <row r="2" spans="1:6" x14ac:dyDescent="0.3">
      <c r="A2" s="1" t="s">
        <v>1</v>
      </c>
      <c r="B2" s="1" t="s">
        <v>2</v>
      </c>
      <c r="C2" s="1" t="s">
        <v>3</v>
      </c>
      <c r="D2" s="1" t="s">
        <v>4</v>
      </c>
      <c r="E2" s="1" t="s">
        <v>5</v>
      </c>
      <c r="F2" s="1" t="s">
        <v>6</v>
      </c>
    </row>
    <row r="3" spans="1:6" x14ac:dyDescent="0.3">
      <c r="A3" s="2" t="s">
        <v>7</v>
      </c>
      <c r="B3" s="3">
        <v>365817000</v>
      </c>
      <c r="C3" s="3">
        <v>365817000</v>
      </c>
      <c r="D3" s="3">
        <v>274515000</v>
      </c>
      <c r="E3" s="3">
        <v>260174000</v>
      </c>
      <c r="F3" s="3">
        <v>265595000</v>
      </c>
    </row>
    <row r="4" spans="1:6" x14ac:dyDescent="0.3">
      <c r="A4" s="2" t="s">
        <v>8</v>
      </c>
      <c r="B4" s="3">
        <v>365817000</v>
      </c>
      <c r="C4" s="3">
        <v>365817000</v>
      </c>
      <c r="D4" s="3">
        <v>274515000</v>
      </c>
      <c r="E4" s="3">
        <v>260174000</v>
      </c>
      <c r="F4" s="3">
        <v>265595000</v>
      </c>
    </row>
    <row r="5" spans="1:6" x14ac:dyDescent="0.3">
      <c r="A5" s="2" t="s">
        <v>9</v>
      </c>
      <c r="B5" s="3">
        <v>212981000</v>
      </c>
      <c r="C5" s="3">
        <v>212981000</v>
      </c>
      <c r="D5" s="3">
        <v>169559000</v>
      </c>
      <c r="E5" s="3">
        <v>161782000</v>
      </c>
      <c r="F5" s="3">
        <v>163756000</v>
      </c>
    </row>
    <row r="6" spans="1:6" x14ac:dyDescent="0.3">
      <c r="A6" s="2" t="s">
        <v>10</v>
      </c>
      <c r="B6" s="4">
        <v>152836000</v>
      </c>
      <c r="C6" s="4">
        <v>152836000</v>
      </c>
      <c r="D6" s="4">
        <v>104956000</v>
      </c>
      <c r="E6" s="4">
        <v>98392000</v>
      </c>
      <c r="F6" s="4">
        <v>101839000</v>
      </c>
    </row>
    <row r="8" spans="1:6" x14ac:dyDescent="0.3">
      <c r="A8" s="2" t="s">
        <v>11</v>
      </c>
      <c r="B8" s="3">
        <v>43887000</v>
      </c>
      <c r="C8" s="3">
        <v>43887000</v>
      </c>
      <c r="D8" s="3">
        <v>38668000</v>
      </c>
      <c r="E8" s="3">
        <v>34462000</v>
      </c>
      <c r="F8" s="3">
        <v>30941000</v>
      </c>
    </row>
    <row r="9" spans="1:6" x14ac:dyDescent="0.3">
      <c r="A9" s="2" t="s">
        <v>12</v>
      </c>
      <c r="B9" s="3">
        <v>21973000</v>
      </c>
      <c r="C9" s="3">
        <v>21973000</v>
      </c>
      <c r="D9" s="3">
        <v>19916000</v>
      </c>
      <c r="E9" s="3">
        <v>18245000</v>
      </c>
      <c r="F9" s="3">
        <v>16705000</v>
      </c>
    </row>
    <row r="10" spans="1:6" x14ac:dyDescent="0.3">
      <c r="A10" s="2" t="s">
        <v>13</v>
      </c>
      <c r="B10" s="3">
        <v>21914000</v>
      </c>
      <c r="C10" s="3">
        <v>21914000</v>
      </c>
      <c r="D10" s="3">
        <v>18752000</v>
      </c>
      <c r="E10" s="3">
        <v>16217000</v>
      </c>
      <c r="F10" s="3">
        <v>14236000</v>
      </c>
    </row>
    <row r="11" spans="1:6" x14ac:dyDescent="0.3">
      <c r="A11" s="2" t="s">
        <v>14</v>
      </c>
      <c r="B11" s="4">
        <v>108949000</v>
      </c>
      <c r="C11" s="4">
        <v>108949000</v>
      </c>
      <c r="D11" s="4">
        <v>66288000</v>
      </c>
      <c r="E11" s="4">
        <v>63930000</v>
      </c>
      <c r="F11" s="4">
        <v>70898000</v>
      </c>
    </row>
    <row r="13" spans="1:6" x14ac:dyDescent="0.3">
      <c r="A13" s="2" t="s">
        <v>15</v>
      </c>
      <c r="B13" s="3">
        <v>198000</v>
      </c>
      <c r="C13" s="3">
        <v>198000</v>
      </c>
      <c r="D13" s="3">
        <v>890000</v>
      </c>
      <c r="E13" s="3">
        <v>1385000</v>
      </c>
      <c r="F13" s="3">
        <v>2446000</v>
      </c>
    </row>
    <row r="14" spans="1:6" x14ac:dyDescent="0.3">
      <c r="A14" s="2" t="s">
        <v>16</v>
      </c>
      <c r="B14" s="3">
        <v>2843000</v>
      </c>
      <c r="C14" s="3">
        <v>2843000</v>
      </c>
      <c r="D14" s="3">
        <v>3763000</v>
      </c>
      <c r="E14" s="3">
        <v>4961000</v>
      </c>
      <c r="F14" s="3">
        <v>5686000</v>
      </c>
    </row>
    <row r="15" spans="1:6" x14ac:dyDescent="0.3">
      <c r="A15" s="2" t="s">
        <v>17</v>
      </c>
      <c r="B15" s="3">
        <v>2645000</v>
      </c>
      <c r="C15" s="3">
        <v>2645000</v>
      </c>
      <c r="D15" s="3">
        <v>2873000</v>
      </c>
      <c r="E15" s="3">
        <v>3576000</v>
      </c>
      <c r="F15" s="3">
        <v>3240000</v>
      </c>
    </row>
    <row r="16" spans="1:6" x14ac:dyDescent="0.3">
      <c r="A16" s="2" t="s">
        <v>18</v>
      </c>
      <c r="B16" s="3">
        <v>60000</v>
      </c>
      <c r="C16" s="3">
        <v>60000</v>
      </c>
      <c r="D16" s="3">
        <v>-87000</v>
      </c>
      <c r="E16" s="3">
        <v>422000</v>
      </c>
      <c r="F16" s="3">
        <v>-441000</v>
      </c>
    </row>
    <row r="17" spans="1:6" x14ac:dyDescent="0.3">
      <c r="A17" s="2" t="s">
        <v>19</v>
      </c>
      <c r="B17" s="3">
        <v>60000</v>
      </c>
      <c r="C17" s="3">
        <v>60000</v>
      </c>
      <c r="D17" s="3">
        <v>-87000</v>
      </c>
      <c r="E17" s="3">
        <v>422000</v>
      </c>
      <c r="F17" s="3">
        <v>-441000</v>
      </c>
    </row>
    <row r="18" spans="1:6" x14ac:dyDescent="0.3">
      <c r="A18" s="2" t="s">
        <v>20</v>
      </c>
      <c r="B18" s="4">
        <v>109207000</v>
      </c>
      <c r="C18" s="4">
        <v>109207000</v>
      </c>
      <c r="D18" s="4">
        <v>67091000</v>
      </c>
      <c r="E18" s="4">
        <v>65737000</v>
      </c>
      <c r="F18" s="4">
        <v>72903000</v>
      </c>
    </row>
    <row r="19" spans="1:6" x14ac:dyDescent="0.3">
      <c r="A19" s="2" t="s">
        <v>21</v>
      </c>
      <c r="B19" s="3">
        <v>14527000</v>
      </c>
      <c r="C19" s="3">
        <v>14527000</v>
      </c>
      <c r="D19" s="3">
        <v>9680000</v>
      </c>
      <c r="E19" s="3">
        <v>10481000</v>
      </c>
      <c r="F19" s="3">
        <v>13372000</v>
      </c>
    </row>
    <row r="20" spans="1:6" x14ac:dyDescent="0.3">
      <c r="A20" s="2" t="s">
        <v>22</v>
      </c>
      <c r="B20" s="5">
        <v>94680000</v>
      </c>
      <c r="C20" s="5">
        <v>94680000</v>
      </c>
      <c r="D20" s="5">
        <v>57411000</v>
      </c>
      <c r="E20" s="5">
        <v>55256000</v>
      </c>
      <c r="F20" s="5">
        <v>59531000</v>
      </c>
    </row>
    <row r="22" spans="1:6" x14ac:dyDescent="0.3">
      <c r="A22" s="2" t="s">
        <v>23</v>
      </c>
      <c r="B22" s="3">
        <v>94680000</v>
      </c>
      <c r="C22" s="3">
        <v>94680000</v>
      </c>
      <c r="D22" s="3">
        <v>57411000</v>
      </c>
      <c r="E22" s="3">
        <v>55256000</v>
      </c>
      <c r="F22" s="3">
        <v>59531000</v>
      </c>
    </row>
    <row r="23" spans="1:6" x14ac:dyDescent="0.3">
      <c r="A23" s="2" t="s">
        <v>24</v>
      </c>
      <c r="B23" s="3">
        <v>94680000</v>
      </c>
      <c r="C23" s="3">
        <v>94680000</v>
      </c>
      <c r="D23" s="3">
        <v>57411000</v>
      </c>
      <c r="E23" s="3">
        <v>55256000</v>
      </c>
      <c r="F23" s="3">
        <v>59531000</v>
      </c>
    </row>
    <row r="24" spans="1:6" x14ac:dyDescent="0.3">
      <c r="A24" s="2" t="s">
        <v>25</v>
      </c>
      <c r="B24" s="3">
        <v>94680000</v>
      </c>
      <c r="C24" s="3">
        <v>94680000</v>
      </c>
      <c r="D24" s="3">
        <v>57411000</v>
      </c>
      <c r="E24" s="3">
        <v>55256000</v>
      </c>
      <c r="F24" s="3">
        <v>59531000</v>
      </c>
    </row>
    <row r="25" spans="1:6" x14ac:dyDescent="0.3">
      <c r="A25" s="2" t="s">
        <v>26</v>
      </c>
      <c r="B25" s="3">
        <v>94680000</v>
      </c>
      <c r="C25" s="3">
        <v>94680000</v>
      </c>
      <c r="D25" s="3">
        <v>57411000</v>
      </c>
      <c r="E25" s="3">
        <v>55256000</v>
      </c>
      <c r="F25" s="3">
        <v>59531000</v>
      </c>
    </row>
    <row r="26" spans="1:6" x14ac:dyDescent="0.3">
      <c r="A26" s="2" t="s">
        <v>28</v>
      </c>
      <c r="B26" s="3" t="s">
        <v>27</v>
      </c>
      <c r="C26" s="3" t="s">
        <v>27</v>
      </c>
      <c r="D26" s="3">
        <v>3.31</v>
      </c>
      <c r="E26" s="3">
        <v>2.99</v>
      </c>
      <c r="F26" s="3">
        <v>3</v>
      </c>
    </row>
    <row r="27" spans="1:6" x14ac:dyDescent="0.3">
      <c r="A27" s="2" t="s">
        <v>29</v>
      </c>
      <c r="B27" s="3" t="s">
        <v>27</v>
      </c>
      <c r="C27" s="3" t="s">
        <v>27</v>
      </c>
      <c r="D27" s="3">
        <v>3.28</v>
      </c>
      <c r="E27" s="3">
        <v>2.97</v>
      </c>
      <c r="F27" s="3">
        <v>2.98</v>
      </c>
    </row>
    <row r="28" spans="1:6" x14ac:dyDescent="0.3">
      <c r="A28" s="2" t="s">
        <v>30</v>
      </c>
      <c r="B28" s="3" t="s">
        <v>27</v>
      </c>
      <c r="C28" s="3" t="s">
        <v>27</v>
      </c>
      <c r="D28" s="3">
        <v>17352119</v>
      </c>
      <c r="E28" s="3">
        <v>18471336</v>
      </c>
      <c r="F28" s="3">
        <v>19821508</v>
      </c>
    </row>
    <row r="29" spans="1:6" x14ac:dyDescent="0.3">
      <c r="A29" s="2" t="s">
        <v>31</v>
      </c>
      <c r="B29" s="3" t="s">
        <v>27</v>
      </c>
      <c r="C29" s="3" t="s">
        <v>27</v>
      </c>
      <c r="D29" s="3">
        <v>17528214</v>
      </c>
      <c r="E29" s="3">
        <v>18595652</v>
      </c>
      <c r="F29" s="3">
        <v>20000436</v>
      </c>
    </row>
    <row r="31" spans="1:6" x14ac:dyDescent="0.3">
      <c r="A31" s="2" t="s">
        <v>32</v>
      </c>
      <c r="B31" s="3">
        <v>108949000</v>
      </c>
      <c r="C31" s="3">
        <v>108949000</v>
      </c>
      <c r="D31" s="3">
        <v>66288000</v>
      </c>
      <c r="E31" s="3">
        <v>63930000</v>
      </c>
      <c r="F31" s="3">
        <v>70898000</v>
      </c>
    </row>
    <row r="32" spans="1:6" x14ac:dyDescent="0.3">
      <c r="A32" s="2" t="s">
        <v>33</v>
      </c>
      <c r="B32" s="3">
        <v>256868000</v>
      </c>
      <c r="C32" s="3">
        <v>256868000</v>
      </c>
      <c r="D32" s="3">
        <v>208227000</v>
      </c>
      <c r="E32" s="3">
        <v>196244000</v>
      </c>
      <c r="F32" s="3">
        <v>194697000</v>
      </c>
    </row>
    <row r="34" spans="1:6" x14ac:dyDescent="0.3">
      <c r="A34" s="2" t="s">
        <v>34</v>
      </c>
      <c r="B34" s="3">
        <v>94680000</v>
      </c>
      <c r="C34" s="3">
        <v>94680000</v>
      </c>
      <c r="D34" s="3">
        <v>57411000</v>
      </c>
      <c r="E34" s="3">
        <v>55256000</v>
      </c>
      <c r="F34" s="3">
        <v>59531000</v>
      </c>
    </row>
    <row r="35" spans="1:6" x14ac:dyDescent="0.3">
      <c r="A35" s="2" t="s">
        <v>35</v>
      </c>
      <c r="B35" s="3">
        <v>94680000</v>
      </c>
      <c r="C35" s="3">
        <v>94680000</v>
      </c>
      <c r="D35" s="3">
        <v>57411000</v>
      </c>
      <c r="E35" s="3">
        <v>55256000</v>
      </c>
      <c r="F35" s="3">
        <v>59531000</v>
      </c>
    </row>
    <row r="37" spans="1:6" x14ac:dyDescent="0.3">
      <c r="A37" s="2" t="s">
        <v>36</v>
      </c>
      <c r="B37" s="3">
        <v>2843000</v>
      </c>
      <c r="C37" s="3">
        <v>2843000</v>
      </c>
      <c r="D37" s="3">
        <v>3763000</v>
      </c>
      <c r="E37" s="3">
        <v>4961000</v>
      </c>
      <c r="F37" s="3">
        <v>5686000</v>
      </c>
    </row>
    <row r="38" spans="1:6" x14ac:dyDescent="0.3">
      <c r="A38" s="2" t="s">
        <v>37</v>
      </c>
      <c r="B38" s="3">
        <v>2645000</v>
      </c>
      <c r="C38" s="3">
        <v>2645000</v>
      </c>
      <c r="D38" s="3">
        <v>2873000</v>
      </c>
      <c r="E38" s="3">
        <v>3576000</v>
      </c>
      <c r="F38" s="3">
        <v>3240000</v>
      </c>
    </row>
    <row r="39" spans="1:6" x14ac:dyDescent="0.3">
      <c r="A39" s="2" t="s">
        <v>38</v>
      </c>
      <c r="B39" s="3">
        <v>198000</v>
      </c>
      <c r="C39" s="3">
        <v>198000</v>
      </c>
      <c r="D39" s="3">
        <v>890000</v>
      </c>
      <c r="E39" s="3">
        <v>1385000</v>
      </c>
      <c r="F39" s="3">
        <v>2446000</v>
      </c>
    </row>
    <row r="41" spans="1:6" x14ac:dyDescent="0.3">
      <c r="A41" s="2" t="s">
        <v>39</v>
      </c>
      <c r="B41" s="3">
        <v>111852000</v>
      </c>
      <c r="C41" s="3">
        <v>111852000</v>
      </c>
      <c r="D41" s="3">
        <v>69964000</v>
      </c>
      <c r="E41" s="3">
        <v>69313000</v>
      </c>
      <c r="F41" s="3">
        <v>76143000</v>
      </c>
    </row>
    <row r="42" spans="1:6" x14ac:dyDescent="0.3">
      <c r="A42" s="2" t="s">
        <v>40</v>
      </c>
      <c r="B42" s="3">
        <v>123136000</v>
      </c>
      <c r="C42" s="3" t="s">
        <v>27</v>
      </c>
      <c r="D42" s="3" t="s">
        <v>27</v>
      </c>
      <c r="E42" s="3" t="s">
        <v>27</v>
      </c>
      <c r="F42" s="3" t="s">
        <v>27</v>
      </c>
    </row>
    <row r="44" spans="1:6" x14ac:dyDescent="0.3">
      <c r="A44" s="2" t="s">
        <v>41</v>
      </c>
      <c r="B44" s="3">
        <v>212981000</v>
      </c>
      <c r="C44" s="3">
        <v>212981000</v>
      </c>
      <c r="D44" s="3">
        <v>169559000</v>
      </c>
      <c r="E44" s="3">
        <v>161782000</v>
      </c>
      <c r="F44" s="3">
        <v>163756000</v>
      </c>
    </row>
    <row r="45" spans="1:6" x14ac:dyDescent="0.3">
      <c r="A45" s="2" t="s">
        <v>42</v>
      </c>
      <c r="B45" s="3">
        <v>11284000</v>
      </c>
      <c r="C45" s="3">
        <v>11284000</v>
      </c>
      <c r="D45" s="3">
        <v>11056000</v>
      </c>
      <c r="E45" s="3">
        <v>12547000</v>
      </c>
      <c r="F45" s="3">
        <v>10903000</v>
      </c>
    </row>
    <row r="47" spans="1:6" x14ac:dyDescent="0.3">
      <c r="A47" s="2" t="s">
        <v>43</v>
      </c>
      <c r="B47" s="3">
        <v>94680000</v>
      </c>
      <c r="C47" s="3">
        <v>94680000</v>
      </c>
      <c r="D47" s="3">
        <v>57411000</v>
      </c>
      <c r="E47" s="3">
        <v>55256000</v>
      </c>
      <c r="F47" s="3">
        <v>59531000</v>
      </c>
    </row>
    <row r="48" spans="1:6" x14ac:dyDescent="0.3">
      <c r="A48" s="2" t="s">
        <v>44</v>
      </c>
      <c r="B48" s="3">
        <v>123136000</v>
      </c>
      <c r="C48" s="3">
        <v>123136000</v>
      </c>
      <c r="D48" s="3">
        <v>81020000</v>
      </c>
      <c r="E48" s="3">
        <v>81860000</v>
      </c>
      <c r="F48" s="3">
        <v>87046000</v>
      </c>
    </row>
    <row r="50" spans="1:6" x14ac:dyDescent="0.3">
      <c r="A50" s="2" t="s">
        <v>45</v>
      </c>
      <c r="B50" s="3">
        <v>0</v>
      </c>
      <c r="C50" s="3">
        <v>0</v>
      </c>
      <c r="D50" s="3">
        <v>0</v>
      </c>
      <c r="E50" s="3">
        <v>0</v>
      </c>
      <c r="F50" s="3">
        <v>0</v>
      </c>
    </row>
    <row r="51" spans="1:6" x14ac:dyDescent="0.3">
      <c r="A51" s="2" t="s">
        <v>46</v>
      </c>
      <c r="B51" s="3">
        <v>0</v>
      </c>
      <c r="C51" s="3">
        <v>0</v>
      </c>
      <c r="D51" s="3">
        <v>0</v>
      </c>
      <c r="E51" s="3">
        <v>0</v>
      </c>
      <c r="F51" s="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workbookViewId="0">
      <pane xSplit="1" ySplit="2" topLeftCell="B3" activePane="bottomRight" state="frozen"/>
      <selection pane="topRight" activeCell="B1" sqref="B1"/>
      <selection pane="bottomLeft" activeCell="A3" sqref="A3"/>
      <selection pane="bottomRight"/>
    </sheetView>
  </sheetViews>
  <sheetFormatPr defaultRowHeight="14.4" x14ac:dyDescent="0.3"/>
  <cols>
    <col min="1" max="1" width="54.6640625" customWidth="1"/>
    <col min="2" max="5" width="20.6640625" customWidth="1"/>
  </cols>
  <sheetData>
    <row r="1" spans="1:5" x14ac:dyDescent="0.3">
      <c r="A1" t="s">
        <v>0</v>
      </c>
    </row>
    <row r="2" spans="1:5" x14ac:dyDescent="0.3">
      <c r="A2" s="1" t="s">
        <v>47</v>
      </c>
      <c r="B2" s="1" t="s">
        <v>3</v>
      </c>
      <c r="C2" s="1" t="s">
        <v>4</v>
      </c>
      <c r="D2" s="1" t="s">
        <v>5</v>
      </c>
      <c r="E2" s="1" t="s">
        <v>6</v>
      </c>
    </row>
    <row r="3" spans="1:5" x14ac:dyDescent="0.3">
      <c r="A3" s="2" t="s">
        <v>48</v>
      </c>
      <c r="B3" s="4">
        <v>351002000</v>
      </c>
      <c r="C3" s="4">
        <v>323888000</v>
      </c>
      <c r="D3" s="4">
        <v>338516000</v>
      </c>
      <c r="E3" s="4">
        <v>365725000</v>
      </c>
    </row>
    <row r="5" spans="1:5" x14ac:dyDescent="0.3">
      <c r="A5" s="2" t="s">
        <v>49</v>
      </c>
      <c r="B5" s="3">
        <v>134836000</v>
      </c>
      <c r="C5" s="3">
        <v>143713000</v>
      </c>
      <c r="D5" s="3">
        <v>162819000</v>
      </c>
      <c r="E5" s="3">
        <v>131339000</v>
      </c>
    </row>
    <row r="6" spans="1:5" x14ac:dyDescent="0.3">
      <c r="A6" s="2" t="s">
        <v>50</v>
      </c>
      <c r="B6" s="3">
        <v>62639000</v>
      </c>
      <c r="C6" s="3">
        <v>90943000</v>
      </c>
      <c r="D6" s="3">
        <v>100557000</v>
      </c>
      <c r="E6" s="3">
        <v>66301000</v>
      </c>
    </row>
    <row r="7" spans="1:5" x14ac:dyDescent="0.3">
      <c r="A7" s="2" t="s">
        <v>51</v>
      </c>
      <c r="B7" s="3">
        <v>34940000</v>
      </c>
      <c r="C7" s="3">
        <v>38016000</v>
      </c>
      <c r="D7" s="3">
        <v>48844000</v>
      </c>
      <c r="E7" s="3">
        <v>25913000</v>
      </c>
    </row>
    <row r="9" spans="1:5" x14ac:dyDescent="0.3">
      <c r="A9" s="2" t="s">
        <v>52</v>
      </c>
      <c r="B9" s="3">
        <v>17305000</v>
      </c>
      <c r="C9" s="3">
        <v>17773000</v>
      </c>
      <c r="D9" s="3">
        <v>12204000</v>
      </c>
      <c r="E9" s="3">
        <v>11575000</v>
      </c>
    </row>
    <row r="10" spans="1:5" x14ac:dyDescent="0.3">
      <c r="A10" s="2" t="s">
        <v>53</v>
      </c>
      <c r="B10" s="3">
        <v>17635000</v>
      </c>
      <c r="C10" s="3">
        <v>20243000</v>
      </c>
      <c r="D10" s="3">
        <v>36640000</v>
      </c>
      <c r="E10" s="3">
        <v>14338000</v>
      </c>
    </row>
    <row r="11" spans="1:5" x14ac:dyDescent="0.3">
      <c r="A11" s="2" t="s">
        <v>54</v>
      </c>
      <c r="B11" s="3">
        <v>27699000</v>
      </c>
      <c r="C11" s="3">
        <v>52927000</v>
      </c>
      <c r="D11" s="3">
        <v>51713000</v>
      </c>
      <c r="E11" s="3">
        <v>40388000</v>
      </c>
    </row>
    <row r="12" spans="1:5" x14ac:dyDescent="0.3">
      <c r="A12" s="2" t="s">
        <v>55</v>
      </c>
      <c r="B12" s="3">
        <v>51506000</v>
      </c>
      <c r="C12" s="3">
        <v>37445000</v>
      </c>
      <c r="D12" s="3">
        <v>45804000</v>
      </c>
      <c r="E12" s="3">
        <v>48995000</v>
      </c>
    </row>
    <row r="13" spans="1:5" x14ac:dyDescent="0.3">
      <c r="A13" s="2" t="s">
        <v>56</v>
      </c>
      <c r="B13" s="3">
        <v>26278000</v>
      </c>
      <c r="C13" s="3">
        <v>16120000</v>
      </c>
      <c r="D13" s="3">
        <v>22926000</v>
      </c>
      <c r="E13" s="3">
        <v>23186000</v>
      </c>
    </row>
    <row r="14" spans="1:5" x14ac:dyDescent="0.3">
      <c r="A14" s="2" t="s">
        <v>57</v>
      </c>
      <c r="B14" s="3">
        <v>25228000</v>
      </c>
      <c r="C14" s="3">
        <v>21325000</v>
      </c>
      <c r="D14" s="3">
        <v>22878000</v>
      </c>
      <c r="E14" s="3">
        <v>25809000</v>
      </c>
    </row>
    <row r="15" spans="1:5" x14ac:dyDescent="0.3">
      <c r="A15" s="2" t="s">
        <v>58</v>
      </c>
      <c r="B15" s="3">
        <v>6580000</v>
      </c>
      <c r="C15" s="3">
        <v>4061000</v>
      </c>
      <c r="D15" s="3">
        <v>4106000</v>
      </c>
      <c r="E15" s="3">
        <v>3956000</v>
      </c>
    </row>
    <row r="16" spans="1:5" x14ac:dyDescent="0.3">
      <c r="A16" s="2" t="s">
        <v>59</v>
      </c>
      <c r="B16" s="3">
        <v>14111000</v>
      </c>
      <c r="C16" s="3">
        <v>11264000</v>
      </c>
      <c r="D16" s="3">
        <v>12352000</v>
      </c>
      <c r="E16" s="3">
        <v>12087000</v>
      </c>
    </row>
    <row r="17" spans="1:5" x14ac:dyDescent="0.3">
      <c r="A17" s="2" t="s">
        <v>60</v>
      </c>
      <c r="B17" s="3">
        <v>216166000</v>
      </c>
      <c r="C17" s="3">
        <v>180175000</v>
      </c>
      <c r="D17" s="3">
        <v>175697000</v>
      </c>
      <c r="E17" s="3">
        <v>234386000</v>
      </c>
    </row>
    <row r="18" spans="1:5" x14ac:dyDescent="0.3">
      <c r="A18" s="2" t="s">
        <v>61</v>
      </c>
      <c r="B18" s="3">
        <v>39440000</v>
      </c>
      <c r="C18" s="3">
        <v>36766000</v>
      </c>
      <c r="D18" s="3">
        <v>37378000</v>
      </c>
      <c r="E18" s="3">
        <v>41304000</v>
      </c>
    </row>
    <row r="19" spans="1:5" x14ac:dyDescent="0.3">
      <c r="A19" s="2" t="s">
        <v>62</v>
      </c>
      <c r="B19" s="3">
        <v>109723000</v>
      </c>
      <c r="C19" s="3">
        <v>103526000</v>
      </c>
      <c r="D19" s="3">
        <v>95957000</v>
      </c>
      <c r="E19" s="3">
        <v>90403000</v>
      </c>
    </row>
    <row r="20" spans="1:5" x14ac:dyDescent="0.3">
      <c r="A20" s="2" t="s">
        <v>63</v>
      </c>
      <c r="B20" s="3">
        <v>0</v>
      </c>
      <c r="C20" s="3">
        <v>0</v>
      </c>
      <c r="D20" s="3">
        <v>0</v>
      </c>
      <c r="E20" s="3">
        <v>0</v>
      </c>
    </row>
    <row r="21" spans="1:5" x14ac:dyDescent="0.3">
      <c r="A21" s="2" t="s">
        <v>64</v>
      </c>
      <c r="B21" s="3">
        <v>20041000</v>
      </c>
      <c r="C21" s="3">
        <v>17952000</v>
      </c>
      <c r="D21" s="3">
        <v>17085000</v>
      </c>
      <c r="E21" s="3">
        <v>16216000</v>
      </c>
    </row>
    <row r="22" spans="1:5" x14ac:dyDescent="0.3">
      <c r="A22" s="2" t="s">
        <v>65</v>
      </c>
      <c r="B22" s="3">
        <v>78659000</v>
      </c>
      <c r="C22" s="3">
        <v>75291000</v>
      </c>
      <c r="D22" s="3">
        <v>69797000</v>
      </c>
      <c r="E22" s="3">
        <v>65982000</v>
      </c>
    </row>
    <row r="23" spans="1:5" x14ac:dyDescent="0.3">
      <c r="A23" s="2" t="s">
        <v>66</v>
      </c>
      <c r="B23" s="3">
        <v>11023000</v>
      </c>
      <c r="C23" s="3">
        <v>10283000</v>
      </c>
      <c r="D23" s="3">
        <v>9075000</v>
      </c>
      <c r="E23" s="3">
        <v>8205000</v>
      </c>
    </row>
    <row r="24" spans="1:5" x14ac:dyDescent="0.3">
      <c r="A24" s="2" t="s">
        <v>67</v>
      </c>
      <c r="B24" s="3">
        <v>-70283000</v>
      </c>
      <c r="C24" s="3">
        <v>-66760000</v>
      </c>
      <c r="D24" s="3">
        <v>-58579000</v>
      </c>
      <c r="E24" s="3">
        <v>-49099000</v>
      </c>
    </row>
    <row r="26" spans="1:5" x14ac:dyDescent="0.3">
      <c r="A26" s="2" t="s">
        <v>68</v>
      </c>
      <c r="B26" s="3">
        <v>127877000</v>
      </c>
      <c r="C26" s="3">
        <v>100887000</v>
      </c>
      <c r="D26" s="3">
        <v>105341000</v>
      </c>
      <c r="E26" s="3">
        <v>170799000</v>
      </c>
    </row>
    <row r="27" spans="1:5" x14ac:dyDescent="0.3">
      <c r="A27" s="2" t="s">
        <v>69</v>
      </c>
      <c r="B27" s="3">
        <v>127877000</v>
      </c>
      <c r="C27" s="3">
        <v>100887000</v>
      </c>
      <c r="D27" s="3">
        <v>105341000</v>
      </c>
      <c r="E27" s="3">
        <v>170799000</v>
      </c>
    </row>
    <row r="28" spans="1:5" x14ac:dyDescent="0.3">
      <c r="A28" s="2" t="s">
        <v>70</v>
      </c>
      <c r="B28" s="3">
        <v>127877000</v>
      </c>
      <c r="C28" s="3">
        <v>100887000</v>
      </c>
      <c r="D28" s="3">
        <v>105341000</v>
      </c>
      <c r="E28" s="3">
        <v>170799000</v>
      </c>
    </row>
    <row r="29" spans="1:5" x14ac:dyDescent="0.3">
      <c r="A29" s="2" t="s">
        <v>71</v>
      </c>
      <c r="B29" s="3">
        <v>48849000</v>
      </c>
      <c r="C29" s="3">
        <v>42522000</v>
      </c>
      <c r="D29" s="3">
        <v>32978000</v>
      </c>
      <c r="E29" s="3">
        <v>22283000</v>
      </c>
    </row>
    <row r="30" spans="1:5" x14ac:dyDescent="0.3">
      <c r="A30" s="2" t="s">
        <v>72</v>
      </c>
      <c r="B30" s="4">
        <v>287912000</v>
      </c>
      <c r="C30" s="4">
        <v>258549000</v>
      </c>
      <c r="D30" s="4">
        <v>248028000</v>
      </c>
      <c r="E30" s="4">
        <v>258578000</v>
      </c>
    </row>
    <row r="32" spans="1:5" x14ac:dyDescent="0.3">
      <c r="A32" s="2" t="s">
        <v>73</v>
      </c>
      <c r="B32" s="3">
        <v>125481000</v>
      </c>
      <c r="C32" s="3">
        <v>105392000</v>
      </c>
      <c r="D32" s="3">
        <v>105718000</v>
      </c>
      <c r="E32" s="3">
        <v>116866000</v>
      </c>
    </row>
    <row r="33" spans="1:5" x14ac:dyDescent="0.3">
      <c r="A33" s="2" t="s">
        <v>74</v>
      </c>
      <c r="B33" s="3">
        <v>54763000</v>
      </c>
      <c r="C33" s="3">
        <v>42296000</v>
      </c>
      <c r="D33" s="3">
        <v>46236000</v>
      </c>
      <c r="E33" s="3">
        <v>55888000</v>
      </c>
    </row>
    <row r="34" spans="1:5" x14ac:dyDescent="0.3">
      <c r="A34" s="2" t="s">
        <v>75</v>
      </c>
      <c r="B34" s="3">
        <v>54763000</v>
      </c>
      <c r="C34" s="3">
        <v>42296000</v>
      </c>
      <c r="D34" s="3">
        <v>46236000</v>
      </c>
      <c r="E34" s="3">
        <v>55888000</v>
      </c>
    </row>
    <row r="35" spans="1:5" x14ac:dyDescent="0.3">
      <c r="A35" s="2" t="s">
        <v>76</v>
      </c>
      <c r="B35" s="3">
        <v>54763000</v>
      </c>
      <c r="C35" s="3">
        <v>42296000</v>
      </c>
      <c r="D35" s="3">
        <v>46236000</v>
      </c>
      <c r="E35" s="3">
        <v>55888000</v>
      </c>
    </row>
    <row r="37" spans="1:5" x14ac:dyDescent="0.3">
      <c r="A37" s="2" t="s">
        <v>77</v>
      </c>
      <c r="B37" s="3">
        <v>15613000</v>
      </c>
      <c r="C37" s="3">
        <v>13769000</v>
      </c>
      <c r="D37" s="3">
        <v>16240000</v>
      </c>
      <c r="E37" s="3">
        <v>20748000</v>
      </c>
    </row>
    <row r="38" spans="1:5" x14ac:dyDescent="0.3">
      <c r="A38" s="2" t="s">
        <v>78</v>
      </c>
      <c r="B38" s="3">
        <v>15613000</v>
      </c>
      <c r="C38" s="3">
        <v>13769000</v>
      </c>
      <c r="D38" s="3">
        <v>16240000</v>
      </c>
      <c r="E38" s="3">
        <v>20748000</v>
      </c>
    </row>
    <row r="40" spans="1:5" x14ac:dyDescent="0.3">
      <c r="A40" s="2" t="s">
        <v>79</v>
      </c>
      <c r="B40" s="3">
        <v>6000000</v>
      </c>
      <c r="C40" s="3">
        <v>4996000</v>
      </c>
      <c r="D40" s="3">
        <v>5980000</v>
      </c>
      <c r="E40" s="3">
        <v>11964000</v>
      </c>
    </row>
    <row r="41" spans="1:5" x14ac:dyDescent="0.3">
      <c r="A41" s="2" t="s">
        <v>80</v>
      </c>
      <c r="B41" s="3">
        <v>9613000</v>
      </c>
      <c r="C41" s="3">
        <v>8773000</v>
      </c>
      <c r="D41" s="3">
        <v>10260000</v>
      </c>
      <c r="E41" s="3">
        <v>8784000</v>
      </c>
    </row>
    <row r="42" spans="1:5" x14ac:dyDescent="0.3">
      <c r="A42" s="2" t="s">
        <v>81</v>
      </c>
      <c r="B42" s="3">
        <v>7612000</v>
      </c>
      <c r="C42" s="3">
        <v>6643000</v>
      </c>
      <c r="D42" s="3">
        <v>5522000</v>
      </c>
      <c r="E42" s="3">
        <v>7543000</v>
      </c>
    </row>
    <row r="43" spans="1:5" x14ac:dyDescent="0.3">
      <c r="A43" s="2" t="s">
        <v>82</v>
      </c>
      <c r="B43" s="3">
        <v>7612000</v>
      </c>
      <c r="C43" s="3">
        <v>6643000</v>
      </c>
      <c r="D43" s="3">
        <v>5522000</v>
      </c>
      <c r="E43" s="3">
        <v>7543000</v>
      </c>
    </row>
    <row r="44" spans="1:5" x14ac:dyDescent="0.3">
      <c r="A44" s="2" t="s">
        <v>83</v>
      </c>
      <c r="B44" s="3">
        <v>47493000</v>
      </c>
      <c r="C44" s="3">
        <v>42684000</v>
      </c>
      <c r="D44" s="3">
        <v>37720000</v>
      </c>
      <c r="E44" s="3">
        <v>32687000</v>
      </c>
    </row>
    <row r="45" spans="1:5" x14ac:dyDescent="0.3">
      <c r="A45" s="2" t="s">
        <v>84</v>
      </c>
      <c r="B45" s="3">
        <v>162431000</v>
      </c>
      <c r="C45" s="3">
        <v>153157000</v>
      </c>
      <c r="D45" s="3">
        <v>142310000</v>
      </c>
      <c r="E45" s="3">
        <v>141712000</v>
      </c>
    </row>
    <row r="47" spans="1:5" x14ac:dyDescent="0.3">
      <c r="A47" s="2" t="s">
        <v>85</v>
      </c>
      <c r="B47" s="3">
        <v>109106000</v>
      </c>
      <c r="C47" s="3">
        <v>98667000</v>
      </c>
      <c r="D47" s="3">
        <v>91807000</v>
      </c>
      <c r="E47" s="3">
        <v>93735000</v>
      </c>
    </row>
    <row r="48" spans="1:5" x14ac:dyDescent="0.3">
      <c r="A48" s="2" t="s">
        <v>86</v>
      </c>
      <c r="B48" s="3">
        <v>109106000</v>
      </c>
      <c r="C48" s="3">
        <v>98667000</v>
      </c>
      <c r="D48" s="3">
        <v>91807000</v>
      </c>
      <c r="E48" s="3">
        <v>93735000</v>
      </c>
    </row>
    <row r="50" spans="1:5" x14ac:dyDescent="0.3">
      <c r="A50" s="2" t="s">
        <v>87</v>
      </c>
      <c r="B50" s="3" t="s">
        <v>27</v>
      </c>
      <c r="C50" s="3" t="s">
        <v>27</v>
      </c>
      <c r="D50" s="3" t="s">
        <v>27</v>
      </c>
      <c r="E50" s="3">
        <v>3223000</v>
      </c>
    </row>
    <row r="51" spans="1:5" x14ac:dyDescent="0.3">
      <c r="A51" s="2" t="s">
        <v>88</v>
      </c>
      <c r="B51" s="3" t="s">
        <v>27</v>
      </c>
      <c r="C51" s="3" t="s">
        <v>27</v>
      </c>
      <c r="D51" s="3" t="s">
        <v>27</v>
      </c>
      <c r="E51" s="3">
        <v>426000</v>
      </c>
    </row>
    <row r="53" spans="1:5" x14ac:dyDescent="0.3">
      <c r="A53" s="2" t="s">
        <v>89</v>
      </c>
      <c r="B53" s="3" t="s">
        <v>27</v>
      </c>
      <c r="C53" s="3" t="s">
        <v>27</v>
      </c>
      <c r="D53" s="3" t="s">
        <v>27</v>
      </c>
      <c r="E53" s="3">
        <v>2797000</v>
      </c>
    </row>
    <row r="54" spans="1:5" x14ac:dyDescent="0.3">
      <c r="A54" s="2" t="s">
        <v>90</v>
      </c>
      <c r="B54" s="3">
        <v>24689000</v>
      </c>
      <c r="C54" s="3">
        <v>28170000</v>
      </c>
      <c r="D54" s="3">
        <v>29545000</v>
      </c>
      <c r="E54" s="3">
        <v>33589000</v>
      </c>
    </row>
    <row r="55" spans="1:5" x14ac:dyDescent="0.3">
      <c r="A55" s="2" t="s">
        <v>91</v>
      </c>
      <c r="B55" s="3">
        <v>28636000</v>
      </c>
      <c r="C55" s="3">
        <v>26320000</v>
      </c>
      <c r="D55" s="3">
        <v>20958000</v>
      </c>
      <c r="E55" s="3">
        <v>11165000</v>
      </c>
    </row>
    <row r="57" spans="1:5" x14ac:dyDescent="0.3">
      <c r="A57" s="2" t="s">
        <v>92</v>
      </c>
      <c r="B57" s="4">
        <v>63090000</v>
      </c>
      <c r="C57" s="4">
        <v>65339000</v>
      </c>
      <c r="D57" s="4">
        <v>90488000</v>
      </c>
      <c r="E57" s="4">
        <v>107147000</v>
      </c>
    </row>
    <row r="59" spans="1:5" x14ac:dyDescent="0.3">
      <c r="A59" s="2" t="s">
        <v>93</v>
      </c>
      <c r="B59" s="3">
        <v>63090000</v>
      </c>
      <c r="C59" s="3">
        <v>65339000</v>
      </c>
      <c r="D59" s="3">
        <v>90488000</v>
      </c>
      <c r="E59" s="3">
        <v>107147000</v>
      </c>
    </row>
    <row r="60" spans="1:5" x14ac:dyDescent="0.3">
      <c r="A60" s="2" t="s">
        <v>94</v>
      </c>
      <c r="B60" s="3">
        <v>57365000</v>
      </c>
      <c r="C60" s="3">
        <v>50779000</v>
      </c>
      <c r="D60" s="3">
        <v>45174000</v>
      </c>
      <c r="E60" s="3">
        <v>40201000</v>
      </c>
    </row>
    <row r="61" spans="1:5" x14ac:dyDescent="0.3">
      <c r="A61" s="2" t="s">
        <v>95</v>
      </c>
      <c r="B61" s="3">
        <v>57365000</v>
      </c>
      <c r="C61" s="3">
        <v>50779000</v>
      </c>
      <c r="D61" s="3">
        <v>45174000</v>
      </c>
      <c r="E61" s="3">
        <v>40201000</v>
      </c>
    </row>
    <row r="62" spans="1:5" x14ac:dyDescent="0.3">
      <c r="A62" s="2" t="s">
        <v>96</v>
      </c>
      <c r="B62" s="3">
        <v>5562000</v>
      </c>
      <c r="C62" s="3">
        <v>14966000</v>
      </c>
      <c r="D62" s="3">
        <v>45898000</v>
      </c>
      <c r="E62" s="3">
        <v>70400000</v>
      </c>
    </row>
    <row r="63" spans="1:5" x14ac:dyDescent="0.3">
      <c r="A63" s="2" t="s">
        <v>97</v>
      </c>
      <c r="B63" s="3">
        <v>163000</v>
      </c>
      <c r="C63" s="3">
        <v>-406000</v>
      </c>
      <c r="D63" s="3">
        <v>-584000</v>
      </c>
      <c r="E63" s="3">
        <v>-3454000</v>
      </c>
    </row>
    <row r="65" spans="1:5" x14ac:dyDescent="0.3">
      <c r="A65" s="2" t="s">
        <v>98</v>
      </c>
      <c r="B65" s="3">
        <v>172196000</v>
      </c>
      <c r="C65" s="3">
        <v>164006000</v>
      </c>
      <c r="D65" s="3">
        <v>182295000</v>
      </c>
      <c r="E65" s="3">
        <v>200882000</v>
      </c>
    </row>
    <row r="66" spans="1:5" x14ac:dyDescent="0.3">
      <c r="A66" s="2" t="s">
        <v>99</v>
      </c>
      <c r="B66" s="5">
        <v>63090000</v>
      </c>
      <c r="C66" s="5">
        <v>65339000</v>
      </c>
      <c r="D66" s="5">
        <v>90488000</v>
      </c>
      <c r="E66" s="5">
        <v>107147000</v>
      </c>
    </row>
    <row r="68" spans="1:5" x14ac:dyDescent="0.3">
      <c r="A68" s="2" t="s">
        <v>100</v>
      </c>
      <c r="B68" s="3">
        <v>63090000</v>
      </c>
      <c r="C68" s="3">
        <v>65339000</v>
      </c>
      <c r="D68" s="3">
        <v>90488000</v>
      </c>
      <c r="E68" s="3">
        <v>107147000</v>
      </c>
    </row>
    <row r="69" spans="1:5" x14ac:dyDescent="0.3">
      <c r="A69" s="2" t="s">
        <v>101</v>
      </c>
      <c r="B69" s="3">
        <v>9355000</v>
      </c>
      <c r="C69" s="3">
        <v>38321000</v>
      </c>
      <c r="D69" s="3">
        <v>57101000</v>
      </c>
      <c r="E69" s="3">
        <v>14473000</v>
      </c>
    </row>
    <row r="70" spans="1:5" x14ac:dyDescent="0.3">
      <c r="A70" s="2" t="s">
        <v>102</v>
      </c>
      <c r="B70" s="3">
        <v>187809000</v>
      </c>
      <c r="C70" s="3">
        <v>177775000</v>
      </c>
      <c r="D70" s="3">
        <v>198535000</v>
      </c>
      <c r="E70" s="3">
        <v>221630000</v>
      </c>
    </row>
    <row r="71" spans="1:5" x14ac:dyDescent="0.3">
      <c r="A71" s="2" t="s">
        <v>103</v>
      </c>
      <c r="B71" s="3">
        <v>63090000</v>
      </c>
      <c r="C71" s="3">
        <v>65339000</v>
      </c>
      <c r="D71" s="3">
        <v>90488000</v>
      </c>
      <c r="E71" s="3">
        <v>107147000</v>
      </c>
    </row>
    <row r="73" spans="1:5" x14ac:dyDescent="0.3">
      <c r="A73" s="2" t="s">
        <v>104</v>
      </c>
      <c r="B73" s="3">
        <v>124719000</v>
      </c>
      <c r="C73" s="3">
        <v>112436000</v>
      </c>
      <c r="D73" s="3">
        <v>108047000</v>
      </c>
      <c r="E73" s="3">
        <v>114483000</v>
      </c>
    </row>
    <row r="74" spans="1:5" x14ac:dyDescent="0.3">
      <c r="A74" s="2" t="s">
        <v>105</v>
      </c>
      <c r="B74" s="3">
        <v>89779000</v>
      </c>
      <c r="C74" s="3">
        <v>74420000</v>
      </c>
      <c r="D74" s="3">
        <v>59203000</v>
      </c>
      <c r="E74" s="3">
        <v>88570000</v>
      </c>
    </row>
    <row r="76" spans="1:5" x14ac:dyDescent="0.3">
      <c r="A76" s="2" t="s">
        <v>106</v>
      </c>
      <c r="B76" s="3">
        <v>16426786</v>
      </c>
      <c r="C76" s="3">
        <v>16976763</v>
      </c>
      <c r="D76" s="3">
        <v>17772944</v>
      </c>
      <c r="E76" s="3">
        <v>19019944</v>
      </c>
    </row>
    <row r="77" spans="1:5" x14ac:dyDescent="0.3">
      <c r="A77" s="2" t="s">
        <v>107</v>
      </c>
      <c r="B77" s="3">
        <v>16426786</v>
      </c>
      <c r="C77" s="3">
        <v>16976763</v>
      </c>
      <c r="D77" s="3">
        <v>17772944</v>
      </c>
      <c r="E77" s="3">
        <v>19019944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9"/>
  <sheetViews>
    <sheetView workbookViewId="0">
      <pane xSplit="1" ySplit="2" topLeftCell="B3" activePane="bottomRight" state="frozen"/>
      <selection pane="topRight" activeCell="B1" sqref="B1"/>
      <selection pane="bottomLeft" activeCell="A3" sqref="A3"/>
      <selection pane="bottomRight"/>
    </sheetView>
  </sheetViews>
  <sheetFormatPr defaultRowHeight="14.4" x14ac:dyDescent="0.3"/>
  <cols>
    <col min="1" max="1" width="49.6640625" customWidth="1"/>
    <col min="2" max="2" width="15.6640625" customWidth="1"/>
    <col min="3" max="6" width="20.6640625" customWidth="1"/>
  </cols>
  <sheetData>
    <row r="1" spans="1:6" x14ac:dyDescent="0.3">
      <c r="A1" t="s">
        <v>0</v>
      </c>
    </row>
    <row r="2" spans="1:6" x14ac:dyDescent="0.3">
      <c r="A2" s="1" t="s">
        <v>108</v>
      </c>
      <c r="B2" s="1" t="s">
        <v>2</v>
      </c>
      <c r="C2" s="1" t="s">
        <v>3</v>
      </c>
      <c r="D2" s="1" t="s">
        <v>4</v>
      </c>
      <c r="E2" s="1" t="s">
        <v>5</v>
      </c>
      <c r="F2" s="1" t="s">
        <v>6</v>
      </c>
    </row>
    <row r="3" spans="1:6" x14ac:dyDescent="0.3">
      <c r="A3" s="2" t="s">
        <v>109</v>
      </c>
      <c r="B3" s="3">
        <v>104038000</v>
      </c>
      <c r="C3" s="3">
        <v>104038000</v>
      </c>
      <c r="D3" s="3">
        <v>80674000</v>
      </c>
      <c r="E3" s="3">
        <v>69391000</v>
      </c>
      <c r="F3" s="3">
        <v>77434000</v>
      </c>
    </row>
    <row r="4" spans="1:6" x14ac:dyDescent="0.3">
      <c r="A4" s="2" t="s">
        <v>110</v>
      </c>
      <c r="B4" s="3">
        <v>104038000</v>
      </c>
      <c r="C4" s="3">
        <v>104038000</v>
      </c>
      <c r="D4" s="3">
        <v>80674000</v>
      </c>
      <c r="E4" s="3">
        <v>69391000</v>
      </c>
      <c r="F4" s="3">
        <v>77434000</v>
      </c>
    </row>
    <row r="5" spans="1:6" x14ac:dyDescent="0.3">
      <c r="A5" s="2" t="s">
        <v>111</v>
      </c>
      <c r="B5" s="3">
        <v>94680000</v>
      </c>
      <c r="C5" s="3">
        <v>94680000</v>
      </c>
      <c r="D5" s="3">
        <v>57411000</v>
      </c>
      <c r="E5" s="3">
        <v>55256000</v>
      </c>
      <c r="F5" s="3">
        <v>59531000</v>
      </c>
    </row>
    <row r="6" spans="1:6" x14ac:dyDescent="0.3">
      <c r="A6" s="2" t="s">
        <v>112</v>
      </c>
      <c r="B6" s="3">
        <v>11284000</v>
      </c>
      <c r="C6" s="3">
        <v>11284000</v>
      </c>
      <c r="D6" s="3">
        <v>11056000</v>
      </c>
      <c r="E6" s="3">
        <v>12547000</v>
      </c>
      <c r="F6" s="3">
        <v>10903000</v>
      </c>
    </row>
    <row r="7" spans="1:6" x14ac:dyDescent="0.3">
      <c r="A7" s="2" t="s">
        <v>113</v>
      </c>
      <c r="B7" s="3">
        <v>11284000</v>
      </c>
      <c r="C7" s="3">
        <v>11284000</v>
      </c>
      <c r="D7" s="3">
        <v>11056000</v>
      </c>
      <c r="E7" s="3">
        <v>12547000</v>
      </c>
      <c r="F7" s="3">
        <v>10903000</v>
      </c>
    </row>
    <row r="8" spans="1:6" x14ac:dyDescent="0.3">
      <c r="A8" s="2" t="s">
        <v>114</v>
      </c>
      <c r="B8" s="3">
        <v>-4774000</v>
      </c>
      <c r="C8" s="3">
        <v>-4774000</v>
      </c>
      <c r="D8" s="3">
        <v>-215000</v>
      </c>
      <c r="E8" s="3">
        <v>-340000</v>
      </c>
      <c r="F8" s="3">
        <v>-32590000</v>
      </c>
    </row>
    <row r="9" spans="1:6" x14ac:dyDescent="0.3">
      <c r="A9" s="2" t="s">
        <v>115</v>
      </c>
      <c r="B9" s="3">
        <v>-4774000</v>
      </c>
      <c r="C9" s="3">
        <v>-4774000</v>
      </c>
      <c r="D9" s="3">
        <v>-215000</v>
      </c>
      <c r="E9" s="3">
        <v>-340000</v>
      </c>
      <c r="F9" s="3">
        <v>-32590000</v>
      </c>
    </row>
    <row r="10" spans="1:6" x14ac:dyDescent="0.3">
      <c r="A10" s="2" t="s">
        <v>116</v>
      </c>
      <c r="B10" s="3">
        <v>7906000</v>
      </c>
      <c r="C10" s="3">
        <v>7906000</v>
      </c>
      <c r="D10" s="3">
        <v>6829000</v>
      </c>
      <c r="E10" s="3">
        <v>6068000</v>
      </c>
      <c r="F10" s="3">
        <v>5340000</v>
      </c>
    </row>
    <row r="11" spans="1:6" x14ac:dyDescent="0.3">
      <c r="A11" s="2" t="s">
        <v>117</v>
      </c>
      <c r="B11" s="3">
        <v>-147000</v>
      </c>
      <c r="C11" s="3">
        <v>-147000</v>
      </c>
      <c r="D11" s="3">
        <v>-97000</v>
      </c>
      <c r="E11" s="3">
        <v>-652000</v>
      </c>
      <c r="F11" s="3">
        <v>-444000</v>
      </c>
    </row>
    <row r="12" spans="1:6" x14ac:dyDescent="0.3">
      <c r="A12" s="2" t="s">
        <v>118</v>
      </c>
      <c r="B12" s="3">
        <v>-4911000</v>
      </c>
      <c r="C12" s="3">
        <v>-4911000</v>
      </c>
      <c r="D12" s="3">
        <v>5690000</v>
      </c>
      <c r="E12" s="3">
        <v>-3488000</v>
      </c>
      <c r="F12" s="3">
        <v>34694000</v>
      </c>
    </row>
    <row r="13" spans="1:6" x14ac:dyDescent="0.3">
      <c r="A13" s="2" t="s">
        <v>119</v>
      </c>
      <c r="B13" s="3">
        <v>-14028000</v>
      </c>
      <c r="C13" s="3">
        <v>-14028000</v>
      </c>
      <c r="D13" s="3">
        <v>8470000</v>
      </c>
      <c r="E13" s="3">
        <v>3176000</v>
      </c>
      <c r="F13" s="3">
        <v>-13332000</v>
      </c>
    </row>
    <row r="14" spans="1:6" x14ac:dyDescent="0.3">
      <c r="A14" s="2" t="s">
        <v>120</v>
      </c>
      <c r="B14" s="3">
        <v>-10125000</v>
      </c>
      <c r="C14" s="3">
        <v>-10125000</v>
      </c>
      <c r="D14" s="3">
        <v>6917000</v>
      </c>
      <c r="E14" s="3">
        <v>245000</v>
      </c>
      <c r="F14" s="3">
        <v>-5322000</v>
      </c>
    </row>
    <row r="15" spans="1:6" x14ac:dyDescent="0.3">
      <c r="A15" s="2" t="s">
        <v>121</v>
      </c>
      <c r="B15" s="3">
        <v>-2642000</v>
      </c>
      <c r="C15" s="3">
        <v>-2642000</v>
      </c>
      <c r="D15" s="3">
        <v>-127000</v>
      </c>
      <c r="E15" s="3">
        <v>-289000</v>
      </c>
      <c r="F15" s="3">
        <v>828000</v>
      </c>
    </row>
    <row r="16" spans="1:6" x14ac:dyDescent="0.3">
      <c r="A16" s="2" t="s">
        <v>122</v>
      </c>
      <c r="B16" s="3">
        <v>12326000</v>
      </c>
      <c r="C16" s="3">
        <v>12326000</v>
      </c>
      <c r="D16" s="3">
        <v>-4062000</v>
      </c>
      <c r="E16" s="3">
        <v>-1923000</v>
      </c>
      <c r="F16" s="3">
        <v>9175000</v>
      </c>
    </row>
    <row r="17" spans="1:6" x14ac:dyDescent="0.3">
      <c r="A17" s="2" t="s">
        <v>123</v>
      </c>
      <c r="B17" s="3">
        <v>12326000</v>
      </c>
      <c r="C17" s="3">
        <v>12326000</v>
      </c>
      <c r="D17" s="3">
        <v>-4062000</v>
      </c>
      <c r="E17" s="3">
        <v>-1923000</v>
      </c>
      <c r="F17" s="3">
        <v>9175000</v>
      </c>
    </row>
    <row r="18" spans="1:6" x14ac:dyDescent="0.3">
      <c r="A18" s="2" t="s">
        <v>124</v>
      </c>
      <c r="B18" s="3">
        <v>12326000</v>
      </c>
      <c r="C18" s="3">
        <v>12326000</v>
      </c>
      <c r="D18" s="3">
        <v>-4062000</v>
      </c>
      <c r="E18" s="3">
        <v>-1923000</v>
      </c>
      <c r="F18" s="3">
        <v>9175000</v>
      </c>
    </row>
    <row r="19" spans="1:6" x14ac:dyDescent="0.3">
      <c r="A19" s="2" t="s">
        <v>125</v>
      </c>
      <c r="B19" s="3">
        <v>-8042000</v>
      </c>
      <c r="C19" s="3">
        <v>-8042000</v>
      </c>
      <c r="D19" s="3">
        <v>-9588000</v>
      </c>
      <c r="E19" s="3">
        <v>873000</v>
      </c>
      <c r="F19" s="3">
        <v>-423000</v>
      </c>
    </row>
    <row r="20" spans="1:6" x14ac:dyDescent="0.3">
      <c r="A20" s="2" t="s">
        <v>126</v>
      </c>
      <c r="B20" s="3">
        <v>5799000</v>
      </c>
      <c r="C20" s="3">
        <v>5799000</v>
      </c>
      <c r="D20" s="3">
        <v>8916000</v>
      </c>
      <c r="E20" s="3">
        <v>-4700000</v>
      </c>
      <c r="F20" s="3">
        <v>38490000</v>
      </c>
    </row>
    <row r="21" spans="1:6" x14ac:dyDescent="0.3">
      <c r="A21" s="2" t="s">
        <v>127</v>
      </c>
      <c r="B21" s="3">
        <v>1676000</v>
      </c>
      <c r="C21" s="3">
        <v>1676000</v>
      </c>
      <c r="D21" s="3">
        <v>2081000</v>
      </c>
      <c r="E21" s="3">
        <v>-625000</v>
      </c>
      <c r="F21" s="3">
        <v>-44000</v>
      </c>
    </row>
    <row r="23" spans="1:6" x14ac:dyDescent="0.3">
      <c r="A23" s="2" t="s">
        <v>128</v>
      </c>
      <c r="B23" s="4">
        <v>-14545000</v>
      </c>
      <c r="C23" s="4">
        <v>-14545000</v>
      </c>
      <c r="D23" s="4">
        <v>-4289000</v>
      </c>
      <c r="E23" s="4">
        <v>45896000</v>
      </c>
      <c r="F23" s="4">
        <v>16066000</v>
      </c>
    </row>
    <row r="24" spans="1:6" x14ac:dyDescent="0.3">
      <c r="A24" s="2" t="s">
        <v>129</v>
      </c>
      <c r="B24" s="3">
        <v>-14545000</v>
      </c>
      <c r="C24" s="3">
        <v>-14545000</v>
      </c>
      <c r="D24" s="3">
        <v>-4289000</v>
      </c>
      <c r="E24" s="3">
        <v>45896000</v>
      </c>
      <c r="F24" s="3">
        <v>16066000</v>
      </c>
    </row>
    <row r="25" spans="1:6" x14ac:dyDescent="0.3">
      <c r="A25" s="2" t="s">
        <v>130</v>
      </c>
      <c r="B25" s="3">
        <v>-11085000</v>
      </c>
      <c r="C25" s="3">
        <v>-11085000</v>
      </c>
      <c r="D25" s="3">
        <v>-7309000</v>
      </c>
      <c r="E25" s="3">
        <v>-10495000</v>
      </c>
      <c r="F25" s="3">
        <v>-13313000</v>
      </c>
    </row>
    <row r="26" spans="1:6" x14ac:dyDescent="0.3">
      <c r="A26" s="2" t="s">
        <v>131</v>
      </c>
      <c r="B26" s="3">
        <v>-11085000</v>
      </c>
      <c r="C26" s="3">
        <v>-11085000</v>
      </c>
      <c r="D26" s="3">
        <v>-7309000</v>
      </c>
      <c r="E26" s="3">
        <v>-10495000</v>
      </c>
      <c r="F26" s="3">
        <v>-13313000</v>
      </c>
    </row>
    <row r="27" spans="1:6" x14ac:dyDescent="0.3">
      <c r="A27" s="2" t="s">
        <v>132</v>
      </c>
      <c r="B27" s="3">
        <v>-33000</v>
      </c>
      <c r="C27" s="3">
        <v>-33000</v>
      </c>
      <c r="D27" s="3">
        <v>-1524000</v>
      </c>
      <c r="E27" s="3">
        <v>-624000</v>
      </c>
      <c r="F27" s="3">
        <v>-721000</v>
      </c>
    </row>
    <row r="28" spans="1:6" x14ac:dyDescent="0.3">
      <c r="A28" s="2" t="s">
        <v>133</v>
      </c>
      <c r="B28" s="3">
        <v>-33000</v>
      </c>
      <c r="C28" s="3">
        <v>-33000</v>
      </c>
      <c r="D28" s="3">
        <v>-1524000</v>
      </c>
      <c r="E28" s="3">
        <v>-624000</v>
      </c>
      <c r="F28" s="3">
        <v>-721000</v>
      </c>
    </row>
    <row r="30" spans="1:6" x14ac:dyDescent="0.3">
      <c r="A30" s="2" t="s">
        <v>134</v>
      </c>
      <c r="B30" s="3">
        <v>-2819000</v>
      </c>
      <c r="C30" s="3">
        <v>-2819000</v>
      </c>
      <c r="D30" s="3">
        <v>5335000</v>
      </c>
      <c r="E30" s="3">
        <v>58093000</v>
      </c>
      <c r="F30" s="3">
        <v>30845000</v>
      </c>
    </row>
    <row r="31" spans="1:6" x14ac:dyDescent="0.3">
      <c r="A31" s="2" t="s">
        <v>135</v>
      </c>
      <c r="B31" s="3">
        <v>-109689000</v>
      </c>
      <c r="C31" s="3">
        <v>-109689000</v>
      </c>
      <c r="D31" s="3">
        <v>-115148000</v>
      </c>
      <c r="E31" s="3">
        <v>-40631000</v>
      </c>
      <c r="F31" s="3">
        <v>-73227000</v>
      </c>
    </row>
    <row r="32" spans="1:6" x14ac:dyDescent="0.3">
      <c r="A32" s="2" t="s">
        <v>136</v>
      </c>
      <c r="B32" s="3">
        <v>106870000</v>
      </c>
      <c r="C32" s="3">
        <v>106870000</v>
      </c>
      <c r="D32" s="3">
        <v>120483000</v>
      </c>
      <c r="E32" s="3">
        <v>98724000</v>
      </c>
      <c r="F32" s="3">
        <v>104072000</v>
      </c>
    </row>
    <row r="33" spans="1:6" x14ac:dyDescent="0.3">
      <c r="A33" s="2" t="s">
        <v>137</v>
      </c>
      <c r="B33" s="3">
        <v>-608000</v>
      </c>
      <c r="C33" s="3">
        <v>-608000</v>
      </c>
      <c r="D33" s="3">
        <v>-791000</v>
      </c>
      <c r="E33" s="3">
        <v>-1078000</v>
      </c>
      <c r="F33" s="3">
        <v>-745000</v>
      </c>
    </row>
    <row r="34" spans="1:6" x14ac:dyDescent="0.3">
      <c r="A34" s="2" t="s">
        <v>138</v>
      </c>
      <c r="B34" s="4">
        <v>-93353000</v>
      </c>
      <c r="C34" s="4">
        <v>-93353000</v>
      </c>
      <c r="D34" s="4">
        <v>-86820000</v>
      </c>
      <c r="E34" s="4">
        <v>-90976000</v>
      </c>
      <c r="F34" s="4">
        <v>-87876000</v>
      </c>
    </row>
    <row r="35" spans="1:6" x14ac:dyDescent="0.3">
      <c r="A35" s="2" t="s">
        <v>139</v>
      </c>
      <c r="B35" s="3">
        <v>-93353000</v>
      </c>
      <c r="C35" s="3">
        <v>-93353000</v>
      </c>
      <c r="D35" s="3">
        <v>-86820000</v>
      </c>
      <c r="E35" s="3">
        <v>-90976000</v>
      </c>
      <c r="F35" s="3">
        <v>-87876000</v>
      </c>
    </row>
    <row r="36" spans="1:6" x14ac:dyDescent="0.3">
      <c r="A36" s="2" t="s">
        <v>140</v>
      </c>
      <c r="B36" s="3">
        <v>12665000</v>
      </c>
      <c r="C36" s="3">
        <v>12665000</v>
      </c>
      <c r="D36" s="3">
        <v>2499000</v>
      </c>
      <c r="E36" s="3">
        <v>-7819000</v>
      </c>
      <c r="F36" s="3">
        <v>432000</v>
      </c>
    </row>
    <row r="37" spans="1:6" x14ac:dyDescent="0.3">
      <c r="A37" s="2" t="s">
        <v>141</v>
      </c>
      <c r="B37" s="3">
        <v>11643000</v>
      </c>
      <c r="C37" s="3">
        <v>11643000</v>
      </c>
      <c r="D37" s="3">
        <v>3462000</v>
      </c>
      <c r="E37" s="3">
        <v>-1842000</v>
      </c>
      <c r="F37" s="3">
        <v>469000</v>
      </c>
    </row>
    <row r="38" spans="1:6" x14ac:dyDescent="0.3">
      <c r="A38" s="2" t="s">
        <v>142</v>
      </c>
      <c r="B38" s="3">
        <v>20393000</v>
      </c>
      <c r="C38" s="3">
        <v>20393000</v>
      </c>
      <c r="D38" s="3">
        <v>16091000</v>
      </c>
      <c r="E38" s="3">
        <v>6963000</v>
      </c>
      <c r="F38" s="3">
        <v>6969000</v>
      </c>
    </row>
    <row r="39" spans="1:6" x14ac:dyDescent="0.3">
      <c r="A39" s="2" t="s">
        <v>143</v>
      </c>
      <c r="B39" s="3">
        <v>-8750000</v>
      </c>
      <c r="C39" s="3">
        <v>-8750000</v>
      </c>
      <c r="D39" s="3">
        <v>-12629000</v>
      </c>
      <c r="E39" s="3">
        <v>-8805000</v>
      </c>
      <c r="F39" s="3">
        <v>-6500000</v>
      </c>
    </row>
    <row r="40" spans="1:6" x14ac:dyDescent="0.3">
      <c r="A40" s="2" t="s">
        <v>144</v>
      </c>
      <c r="B40" s="3">
        <v>1022000</v>
      </c>
      <c r="C40" s="3">
        <v>1022000</v>
      </c>
      <c r="D40" s="3">
        <v>-963000</v>
      </c>
      <c r="E40" s="3">
        <v>-5977000</v>
      </c>
      <c r="F40" s="3">
        <v>-37000</v>
      </c>
    </row>
    <row r="41" spans="1:6" x14ac:dyDescent="0.3">
      <c r="A41" s="2" t="s">
        <v>145</v>
      </c>
      <c r="B41" s="3" t="s">
        <v>27</v>
      </c>
      <c r="C41" s="3" t="s">
        <v>27</v>
      </c>
      <c r="D41" s="3">
        <v>-963000</v>
      </c>
      <c r="E41" s="3" t="s">
        <v>27</v>
      </c>
      <c r="F41" s="3" t="s">
        <v>27</v>
      </c>
    </row>
    <row r="42" spans="1:6" x14ac:dyDescent="0.3">
      <c r="A42" s="2" t="s">
        <v>146</v>
      </c>
      <c r="B42" s="3">
        <v>-84866000</v>
      </c>
      <c r="C42" s="3">
        <v>-84866000</v>
      </c>
      <c r="D42" s="3">
        <v>-71478000</v>
      </c>
      <c r="E42" s="3">
        <v>-66116000</v>
      </c>
      <c r="F42" s="3">
        <v>-72069000</v>
      </c>
    </row>
    <row r="43" spans="1:6" x14ac:dyDescent="0.3">
      <c r="A43" s="2" t="s">
        <v>147</v>
      </c>
      <c r="B43" s="3">
        <v>1105000</v>
      </c>
      <c r="C43" s="3">
        <v>1105000</v>
      </c>
      <c r="D43" s="3">
        <v>880000</v>
      </c>
      <c r="E43" s="3">
        <v>781000</v>
      </c>
      <c r="F43" s="3">
        <v>669000</v>
      </c>
    </row>
    <row r="44" spans="1:6" x14ac:dyDescent="0.3">
      <c r="A44" s="2" t="s">
        <v>148</v>
      </c>
      <c r="B44" s="3">
        <v>-85971000</v>
      </c>
      <c r="C44" s="3">
        <v>-85971000</v>
      </c>
      <c r="D44" s="3">
        <v>-72358000</v>
      </c>
      <c r="E44" s="3">
        <v>-66897000</v>
      </c>
      <c r="F44" s="3">
        <v>-72738000</v>
      </c>
    </row>
    <row r="45" spans="1:6" x14ac:dyDescent="0.3">
      <c r="A45" s="2" t="s">
        <v>149</v>
      </c>
      <c r="B45" s="3">
        <v>-14467000</v>
      </c>
      <c r="C45" s="3">
        <v>-14467000</v>
      </c>
      <c r="D45" s="3">
        <v>-14081000</v>
      </c>
      <c r="E45" s="3">
        <v>-14119000</v>
      </c>
      <c r="F45" s="3">
        <v>-13712000</v>
      </c>
    </row>
    <row r="46" spans="1:6" x14ac:dyDescent="0.3">
      <c r="A46" s="2" t="s">
        <v>150</v>
      </c>
      <c r="B46" s="3" t="s">
        <v>27</v>
      </c>
      <c r="C46" s="3" t="s">
        <v>27</v>
      </c>
      <c r="D46" s="3">
        <v>-14081000</v>
      </c>
      <c r="E46" s="3">
        <v>-14119000</v>
      </c>
      <c r="F46" s="3">
        <v>-13712000</v>
      </c>
    </row>
    <row r="47" spans="1:6" x14ac:dyDescent="0.3">
      <c r="A47" s="2" t="s">
        <v>151</v>
      </c>
      <c r="B47" s="3">
        <v>-6685000</v>
      </c>
      <c r="C47" s="3">
        <v>-6685000</v>
      </c>
      <c r="D47" s="3">
        <v>-3760000</v>
      </c>
      <c r="E47" s="3">
        <v>-2922000</v>
      </c>
      <c r="F47" s="3">
        <v>-2527000</v>
      </c>
    </row>
    <row r="48" spans="1:6" x14ac:dyDescent="0.3">
      <c r="A48" s="2" t="s">
        <v>152</v>
      </c>
      <c r="B48" s="5">
        <v>35929000</v>
      </c>
      <c r="C48" s="5">
        <v>35929000</v>
      </c>
      <c r="D48" s="5">
        <v>39789000</v>
      </c>
      <c r="E48" s="5">
        <v>50224000</v>
      </c>
      <c r="F48" s="5">
        <v>25913000</v>
      </c>
    </row>
    <row r="50" spans="1:6" x14ac:dyDescent="0.3">
      <c r="A50" s="2" t="s">
        <v>153</v>
      </c>
      <c r="B50" s="3">
        <v>-3860000</v>
      </c>
      <c r="C50" s="3">
        <v>-3860000</v>
      </c>
      <c r="D50" s="3">
        <v>-10435000</v>
      </c>
      <c r="E50" s="3">
        <v>24311000</v>
      </c>
      <c r="F50" s="3">
        <v>5624000</v>
      </c>
    </row>
    <row r="51" spans="1:6" x14ac:dyDescent="0.3">
      <c r="A51" s="2" t="s">
        <v>154</v>
      </c>
      <c r="B51" s="3">
        <v>39789000</v>
      </c>
      <c r="C51" s="3">
        <v>39789000</v>
      </c>
      <c r="D51" s="3">
        <v>50224000</v>
      </c>
      <c r="E51" s="3">
        <v>25913000</v>
      </c>
      <c r="F51" s="3">
        <v>20289000</v>
      </c>
    </row>
    <row r="52" spans="1:6" x14ac:dyDescent="0.3">
      <c r="A52" s="2" t="s">
        <v>155</v>
      </c>
      <c r="B52" s="3">
        <v>25385000</v>
      </c>
      <c r="C52" s="3">
        <v>25385000</v>
      </c>
      <c r="D52" s="3">
        <v>9501000</v>
      </c>
      <c r="E52" s="3">
        <v>15263000</v>
      </c>
      <c r="F52" s="3">
        <v>10417000</v>
      </c>
    </row>
    <row r="53" spans="1:6" x14ac:dyDescent="0.3">
      <c r="A53" s="2" t="s">
        <v>156</v>
      </c>
      <c r="B53" s="3">
        <v>2687000</v>
      </c>
      <c r="C53" s="3">
        <v>2687000</v>
      </c>
      <c r="D53" s="3">
        <v>3002000</v>
      </c>
      <c r="E53" s="3">
        <v>3423000</v>
      </c>
      <c r="F53" s="3">
        <v>3022000</v>
      </c>
    </row>
    <row r="54" spans="1:6" x14ac:dyDescent="0.3">
      <c r="A54" s="2" t="s">
        <v>157</v>
      </c>
      <c r="B54" s="3">
        <v>-11085000</v>
      </c>
      <c r="C54" s="3">
        <v>-11085000</v>
      </c>
      <c r="D54" s="3">
        <v>-7309000</v>
      </c>
      <c r="E54" s="3">
        <v>-10495000</v>
      </c>
      <c r="F54" s="3">
        <v>-13313000</v>
      </c>
    </row>
    <row r="55" spans="1:6" x14ac:dyDescent="0.3">
      <c r="A55" s="2" t="s">
        <v>158</v>
      </c>
      <c r="B55" s="3">
        <v>1105000</v>
      </c>
      <c r="C55" s="3">
        <v>1105000</v>
      </c>
      <c r="D55" s="3">
        <v>880000</v>
      </c>
      <c r="E55" s="3">
        <v>781000</v>
      </c>
      <c r="F55" s="3">
        <v>669000</v>
      </c>
    </row>
    <row r="56" spans="1:6" x14ac:dyDescent="0.3">
      <c r="A56" s="2" t="s">
        <v>159</v>
      </c>
      <c r="B56" s="3">
        <v>20393000</v>
      </c>
      <c r="C56" s="3">
        <v>20393000</v>
      </c>
      <c r="D56" s="3">
        <v>16091000</v>
      </c>
      <c r="E56" s="3">
        <v>6963000</v>
      </c>
      <c r="F56" s="3">
        <v>6969000</v>
      </c>
    </row>
    <row r="57" spans="1:6" x14ac:dyDescent="0.3">
      <c r="A57" s="2" t="s">
        <v>160</v>
      </c>
      <c r="B57" s="3">
        <v>-8750000</v>
      </c>
      <c r="C57" s="3">
        <v>-8750000</v>
      </c>
      <c r="D57" s="3">
        <v>-12629000</v>
      </c>
      <c r="E57" s="3">
        <v>-8805000</v>
      </c>
      <c r="F57" s="3">
        <v>-6500000</v>
      </c>
    </row>
    <row r="58" spans="1:6" x14ac:dyDescent="0.3">
      <c r="A58" s="2" t="s">
        <v>161</v>
      </c>
      <c r="B58" s="3">
        <v>-85971000</v>
      </c>
      <c r="C58" s="3">
        <v>-85971000</v>
      </c>
      <c r="D58" s="3">
        <v>-72358000</v>
      </c>
      <c r="E58" s="3">
        <v>-66897000</v>
      </c>
      <c r="F58" s="3">
        <v>-72738000</v>
      </c>
    </row>
    <row r="59" spans="1:6" x14ac:dyDescent="0.3">
      <c r="A59" s="2" t="s">
        <v>162</v>
      </c>
      <c r="B59" s="3">
        <v>92953000</v>
      </c>
      <c r="C59" s="3">
        <v>92953000</v>
      </c>
      <c r="D59" s="3">
        <v>73365000</v>
      </c>
      <c r="E59" s="3">
        <v>58896000</v>
      </c>
      <c r="F59" s="3">
        <v>64121000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2"/>
  <sheetViews>
    <sheetView workbookViewId="0">
      <pane xSplit="1" ySplit="4" topLeftCell="B5" activePane="bottomRight" state="frozen"/>
      <selection pane="topRight" activeCell="B1" sqref="B1"/>
      <selection pane="bottomLeft" activeCell="A5" sqref="A5"/>
      <selection pane="bottomRight"/>
    </sheetView>
  </sheetViews>
  <sheetFormatPr defaultRowHeight="14.4" x14ac:dyDescent="0.3"/>
  <cols>
    <col min="1" max="1" width="32.6640625" customWidth="1"/>
    <col min="2" max="4" width="16.6640625" customWidth="1"/>
    <col min="5" max="5" width="4.6640625" customWidth="1"/>
    <col min="6" max="9" width="16.6640625" customWidth="1"/>
    <col min="10" max="10" width="4.6640625" customWidth="1"/>
    <col min="11" max="14" width="16.6640625" customWidth="1"/>
    <col min="15" max="15" width="4.6640625" customWidth="1"/>
    <col min="16" max="18" width="16.6640625" customWidth="1"/>
    <col min="19" max="19" width="4.6640625" customWidth="1"/>
    <col min="20" max="23" width="16.6640625" customWidth="1"/>
    <col min="24" max="24" width="4.6640625" customWidth="1"/>
    <col min="25" max="31" width="16.6640625" customWidth="1"/>
  </cols>
  <sheetData>
    <row r="1" spans="1:31" x14ac:dyDescent="0.3">
      <c r="A1" t="s">
        <v>163</v>
      </c>
    </row>
    <row r="2" spans="1:31" x14ac:dyDescent="0.3">
      <c r="A2" s="6" t="s">
        <v>164</v>
      </c>
      <c r="B2" s="6">
        <v>0.1330226084408509</v>
      </c>
    </row>
    <row r="3" spans="1:31" ht="52.8" customHeight="1" x14ac:dyDescent="0.3">
      <c r="A3" s="7" t="s">
        <v>165</v>
      </c>
      <c r="B3" s="7" t="s">
        <v>166</v>
      </c>
      <c r="C3" s="7" t="s">
        <v>167</v>
      </c>
      <c r="D3" s="7" t="s">
        <v>168</v>
      </c>
      <c r="E3" s="7"/>
      <c r="F3" s="7" t="s">
        <v>169</v>
      </c>
      <c r="G3" s="7" t="s">
        <v>104</v>
      </c>
      <c r="H3" s="7" t="s">
        <v>170</v>
      </c>
      <c r="I3" s="7" t="s">
        <v>171</v>
      </c>
      <c r="J3" s="7"/>
      <c r="K3" s="7" t="s">
        <v>172</v>
      </c>
      <c r="L3" s="7" t="s">
        <v>173</v>
      </c>
      <c r="M3" s="7" t="s">
        <v>174</v>
      </c>
      <c r="N3" s="7" t="s">
        <v>175</v>
      </c>
      <c r="O3" s="7"/>
      <c r="P3" s="7" t="s">
        <v>176</v>
      </c>
      <c r="Q3" s="7" t="s">
        <v>177</v>
      </c>
      <c r="R3" s="7" t="s">
        <v>178</v>
      </c>
      <c r="S3" s="7"/>
      <c r="T3" s="7" t="s">
        <v>179</v>
      </c>
      <c r="U3" s="7" t="s">
        <v>180</v>
      </c>
      <c r="V3" s="7" t="s">
        <v>181</v>
      </c>
      <c r="W3" s="7" t="s">
        <v>182</v>
      </c>
      <c r="X3" s="7"/>
      <c r="Y3" s="7" t="s">
        <v>183</v>
      </c>
      <c r="Z3" s="7" t="s">
        <v>184</v>
      </c>
      <c r="AA3" s="7" t="s">
        <v>185</v>
      </c>
      <c r="AB3" s="7" t="s">
        <v>186</v>
      </c>
      <c r="AC3" s="7" t="s">
        <v>187</v>
      </c>
      <c r="AD3" s="7" t="s">
        <v>188</v>
      </c>
      <c r="AE3" s="7" t="s">
        <v>189</v>
      </c>
    </row>
    <row r="4" spans="1:31" x14ac:dyDescent="0.3">
      <c r="A4" s="8" t="s">
        <v>190</v>
      </c>
      <c r="B4" s="8">
        <v>29.662097591888472</v>
      </c>
      <c r="C4" s="8">
        <v>7.8789770925591824</v>
      </c>
      <c r="D4" s="8">
        <v>23.97311319970057</v>
      </c>
      <c r="E4" s="8"/>
      <c r="F4" s="8">
        <v>2808407400</v>
      </c>
      <c r="G4" s="8">
        <v>136520000</v>
      </c>
      <c r="H4" s="8">
        <v>62640000</v>
      </c>
      <c r="I4" s="8">
        <v>2882287400</v>
      </c>
      <c r="J4" s="8"/>
      <c r="K4" s="8">
        <v>4.8611180842209729E-2</v>
      </c>
      <c r="L4" s="8" t="s">
        <v>191</v>
      </c>
      <c r="M4" s="8">
        <v>7.6250000000000007E-3</v>
      </c>
      <c r="N4" s="8">
        <v>1.2812499999999999E-2</v>
      </c>
      <c r="O4" s="8"/>
      <c r="P4" s="8">
        <v>365820000</v>
      </c>
      <c r="Q4" s="8">
        <v>120230000</v>
      </c>
      <c r="R4" s="8">
        <v>94680000</v>
      </c>
      <c r="S4" s="8"/>
      <c r="T4" s="8">
        <v>171.14</v>
      </c>
      <c r="U4" s="8">
        <v>16410000</v>
      </c>
      <c r="V4" s="8">
        <v>1.2</v>
      </c>
      <c r="W4" s="8">
        <v>1.151471471167377</v>
      </c>
      <c r="X4" s="8"/>
      <c r="Y4" s="8">
        <v>0.25879999999999997</v>
      </c>
      <c r="Z4" s="8">
        <v>0.29780000000000001</v>
      </c>
      <c r="AA4" s="8">
        <v>0.20180000000000001</v>
      </c>
      <c r="AB4" s="8">
        <v>1.4743999999999999</v>
      </c>
      <c r="AC4" s="8">
        <v>0.28799999999999998</v>
      </c>
      <c r="AD4" s="8">
        <v>0.622</v>
      </c>
      <c r="AE4" s="8"/>
    </row>
    <row r="5" spans="1:31" x14ac:dyDescent="0.3">
      <c r="A5" s="3" t="s">
        <v>202</v>
      </c>
      <c r="B5" s="3">
        <v>12.85024786745964</v>
      </c>
      <c r="C5" s="3">
        <v>3.317564083441328</v>
      </c>
      <c r="D5" s="3">
        <v>9.314489488262911</v>
      </c>
      <c r="E5" s="3"/>
      <c r="F5" s="3">
        <v>907484504.39999998</v>
      </c>
      <c r="G5" s="3">
        <v>28110000</v>
      </c>
      <c r="H5" s="3">
        <v>142000000</v>
      </c>
      <c r="I5" s="3">
        <v>793594504.39999998</v>
      </c>
      <c r="J5" s="3"/>
      <c r="K5" s="3">
        <v>3.09757355235343E-2</v>
      </c>
      <c r="L5" s="3" t="s">
        <v>203</v>
      </c>
      <c r="M5" s="3">
        <v>1.125E-2</v>
      </c>
      <c r="N5" s="3"/>
      <c r="O5" s="3"/>
      <c r="P5" s="3">
        <v>239210000</v>
      </c>
      <c r="Q5" s="3">
        <v>85200000</v>
      </c>
      <c r="R5" s="3">
        <v>70620000</v>
      </c>
      <c r="S5" s="3"/>
      <c r="T5" s="3">
        <v>2856.06</v>
      </c>
      <c r="U5" s="3">
        <v>317740</v>
      </c>
      <c r="V5" s="3">
        <v>1.07</v>
      </c>
      <c r="W5" s="3">
        <v>1.042016376790958</v>
      </c>
      <c r="X5" s="3"/>
      <c r="Y5" s="3">
        <v>0.29520000000000002</v>
      </c>
      <c r="Z5" s="3">
        <v>0.30299999999999999</v>
      </c>
      <c r="AA5" s="3">
        <v>0.1401</v>
      </c>
      <c r="AB5" s="3">
        <v>0.30869999999999997</v>
      </c>
      <c r="AC5" s="3">
        <v>0.41</v>
      </c>
      <c r="AD5" s="3">
        <v>0.68400000000000005</v>
      </c>
      <c r="AE5" s="3"/>
    </row>
    <row r="6" spans="1:31" x14ac:dyDescent="0.3">
      <c r="A6" s="3" t="s">
        <v>209</v>
      </c>
      <c r="B6" s="3">
        <v>65.669744954303127</v>
      </c>
      <c r="C6" s="3">
        <v>3.890511392667642</v>
      </c>
      <c r="D6" s="3">
        <v>29.498965273178811</v>
      </c>
      <c r="E6" s="3"/>
      <c r="F6" s="3">
        <v>1724487502.5</v>
      </c>
      <c r="G6" s="3">
        <v>136240000</v>
      </c>
      <c r="H6" s="3">
        <v>78990000</v>
      </c>
      <c r="I6" s="3">
        <v>1781737502.5</v>
      </c>
      <c r="J6" s="3"/>
      <c r="K6" s="3">
        <v>7.9003181990296864E-2</v>
      </c>
      <c r="L6" s="3" t="s">
        <v>210</v>
      </c>
      <c r="M6" s="3">
        <v>8.9999999999999993E-3</v>
      </c>
      <c r="N6" s="3">
        <v>1.95E-2</v>
      </c>
      <c r="O6" s="3"/>
      <c r="P6" s="3">
        <v>457970000</v>
      </c>
      <c r="Q6" s="3">
        <v>60400000</v>
      </c>
      <c r="R6" s="3">
        <v>26260000</v>
      </c>
      <c r="S6" s="3"/>
      <c r="T6" s="3">
        <v>3400.35</v>
      </c>
      <c r="U6" s="3">
        <v>507150</v>
      </c>
      <c r="V6" s="3">
        <v>1.1299999999999999</v>
      </c>
      <c r="W6" s="3">
        <v>1.05756328901025</v>
      </c>
      <c r="X6" s="3"/>
      <c r="Y6" s="3">
        <v>5.74E-2</v>
      </c>
      <c r="Z6" s="3">
        <v>6.1799999999999987E-2</v>
      </c>
      <c r="AA6" s="3">
        <v>5.3199999999999997E-2</v>
      </c>
      <c r="AB6" s="3">
        <v>0.25829999999999997</v>
      </c>
      <c r="AC6" s="3">
        <v>0.153</v>
      </c>
      <c r="AD6" s="3">
        <v>-0.502</v>
      </c>
      <c r="AE6" s="3"/>
    </row>
    <row r="7" spans="1:31" x14ac:dyDescent="0.3">
      <c r="A7" s="3" t="s">
        <v>216</v>
      </c>
      <c r="B7" s="3">
        <v>19.62983374689826</v>
      </c>
      <c r="C7" s="3">
        <v>6.6431256120359654</v>
      </c>
      <c r="D7" s="3">
        <v>13.62714207450694</v>
      </c>
      <c r="E7" s="3"/>
      <c r="F7" s="3">
        <v>791082300</v>
      </c>
      <c r="G7" s="3">
        <v>13220000</v>
      </c>
      <c r="H7" s="3">
        <v>58080000</v>
      </c>
      <c r="I7" s="3">
        <v>746222300</v>
      </c>
      <c r="J7" s="3"/>
      <c r="K7" s="3">
        <v>1.6711282757811668E-2</v>
      </c>
      <c r="L7" s="3" t="s">
        <v>217</v>
      </c>
      <c r="M7" s="3"/>
      <c r="N7" s="3"/>
      <c r="O7" s="3"/>
      <c r="P7" s="3">
        <v>112330000</v>
      </c>
      <c r="Q7" s="3">
        <v>54760000</v>
      </c>
      <c r="R7" s="3">
        <v>40300000</v>
      </c>
      <c r="S7" s="3"/>
      <c r="T7" s="3">
        <v>333.79</v>
      </c>
      <c r="U7" s="3">
        <v>2370000</v>
      </c>
      <c r="V7" s="3">
        <v>1.29</v>
      </c>
      <c r="W7" s="3">
        <v>1.2715770053609741</v>
      </c>
      <c r="X7" s="3"/>
      <c r="Y7" s="3">
        <v>0.35880000000000001</v>
      </c>
      <c r="Z7" s="3">
        <v>0.41789999999999999</v>
      </c>
      <c r="AA7" s="3">
        <v>0.1857</v>
      </c>
      <c r="AB7" s="3">
        <v>0.32100000000000001</v>
      </c>
      <c r="AC7" s="3">
        <v>0.35099999999999998</v>
      </c>
      <c r="AD7" s="3">
        <v>0.17199999999999999</v>
      </c>
      <c r="AE7" s="3"/>
    </row>
    <row r="8" spans="1:31" x14ac:dyDescent="0.3">
      <c r="A8" s="3" t="s">
        <v>221</v>
      </c>
      <c r="B8" s="3">
        <v>51.463772970297029</v>
      </c>
      <c r="C8" s="3">
        <v>9.4436623646524627</v>
      </c>
      <c r="D8" s="3">
        <v>40.414357772795213</v>
      </c>
      <c r="E8" s="3"/>
      <c r="F8" s="3">
        <v>259892053.5</v>
      </c>
      <c r="G8" s="3">
        <v>18010000</v>
      </c>
      <c r="H8" s="3">
        <v>7530000</v>
      </c>
      <c r="I8" s="3">
        <v>270372053.5</v>
      </c>
      <c r="J8" s="3"/>
      <c r="K8" s="3">
        <v>6.9298001833672837E-2</v>
      </c>
      <c r="L8" s="3" t="s">
        <v>222</v>
      </c>
      <c r="M8" s="3">
        <v>3.7499999999999999E-2</v>
      </c>
      <c r="N8" s="3"/>
      <c r="O8" s="3"/>
      <c r="P8" s="3">
        <v>28630000</v>
      </c>
      <c r="Q8" s="3">
        <v>6690000</v>
      </c>
      <c r="R8" s="3">
        <v>5050000</v>
      </c>
      <c r="S8" s="3"/>
      <c r="T8" s="3">
        <v>586.73</v>
      </c>
      <c r="U8" s="3">
        <v>442950</v>
      </c>
      <c r="V8" s="3">
        <v>0.85</v>
      </c>
      <c r="W8" s="3">
        <v>0.8018264278806142</v>
      </c>
      <c r="X8" s="3"/>
      <c r="Y8" s="3">
        <v>0.1764</v>
      </c>
      <c r="Z8" s="3">
        <v>0.2276</v>
      </c>
      <c r="AA8" s="3">
        <v>0.10009999999999999</v>
      </c>
      <c r="AB8" s="3">
        <v>0.39389999999999997</v>
      </c>
      <c r="AC8" s="3">
        <v>0.16300000000000001</v>
      </c>
      <c r="AD8" s="3">
        <v>0.83400000000000007</v>
      </c>
      <c r="AE8" s="3"/>
    </row>
    <row r="9" spans="1:31" x14ac:dyDescent="0.3">
      <c r="A9" s="3" t="s">
        <v>225</v>
      </c>
      <c r="B9" s="3">
        <v>35.824071891573382</v>
      </c>
      <c r="C9" s="3">
        <v>13.504045390070919</v>
      </c>
      <c r="D9" s="3">
        <v>27.756128279883381</v>
      </c>
      <c r="E9" s="3"/>
      <c r="F9" s="3">
        <v>2431738000</v>
      </c>
      <c r="G9" s="3">
        <v>78930000</v>
      </c>
      <c r="H9" s="3">
        <v>130580000</v>
      </c>
      <c r="I9" s="3">
        <v>2380088000</v>
      </c>
      <c r="J9" s="3"/>
      <c r="K9" s="3">
        <v>3.2458266474431043E-2</v>
      </c>
      <c r="L9" s="3" t="s">
        <v>226</v>
      </c>
      <c r="M9" s="3">
        <v>5.8125000000000008E-3</v>
      </c>
      <c r="N9" s="3">
        <v>1.142857142857143E-2</v>
      </c>
      <c r="O9" s="3"/>
      <c r="P9" s="3">
        <v>176250000</v>
      </c>
      <c r="Q9" s="3">
        <v>85750000</v>
      </c>
      <c r="R9" s="3">
        <v>67879999.999999985</v>
      </c>
      <c r="S9" s="3"/>
      <c r="T9" s="3">
        <v>323.8</v>
      </c>
      <c r="U9" s="3">
        <v>7510000</v>
      </c>
      <c r="V9" s="3">
        <v>0.87</v>
      </c>
      <c r="W9" s="3">
        <v>0.84618778230702141</v>
      </c>
      <c r="X9" s="3"/>
      <c r="Y9" s="3">
        <v>0.3851</v>
      </c>
      <c r="Z9" s="3">
        <v>0.4214</v>
      </c>
      <c r="AA9" s="3">
        <v>0.1459</v>
      </c>
      <c r="AB9" s="3">
        <v>0.49299999999999999</v>
      </c>
      <c r="AC9" s="3">
        <v>0.22</v>
      </c>
      <c r="AD9" s="3">
        <v>0.47599999999999998</v>
      </c>
      <c r="AE9" s="3"/>
    </row>
    <row r="10" spans="1:31" x14ac:dyDescent="0.3">
      <c r="A10" s="3" t="s">
        <v>231</v>
      </c>
      <c r="B10" s="3">
        <v>9.0917044938719904</v>
      </c>
      <c r="C10" s="3">
        <v>3.6946181481597682</v>
      </c>
      <c r="D10" s="3">
        <v>116.3549160079051</v>
      </c>
      <c r="E10" s="3"/>
      <c r="F10" s="3">
        <v>2804063.5</v>
      </c>
      <c r="G10" s="3">
        <v>53710</v>
      </c>
      <c r="H10" s="3">
        <v>502750</v>
      </c>
      <c r="I10" s="3">
        <v>2355023.5</v>
      </c>
      <c r="J10" s="3"/>
      <c r="K10" s="3">
        <v>1.9154345113796462E-2</v>
      </c>
      <c r="L10" s="3" t="s">
        <v>217</v>
      </c>
      <c r="M10" s="3"/>
      <c r="N10" s="3"/>
      <c r="O10" s="3"/>
      <c r="P10" s="3">
        <v>637420</v>
      </c>
      <c r="Q10" s="3">
        <v>20240</v>
      </c>
      <c r="R10" s="3">
        <v>308420</v>
      </c>
      <c r="S10" s="3"/>
      <c r="T10" s="3">
        <v>21.83</v>
      </c>
      <c r="U10" s="3">
        <v>128450</v>
      </c>
      <c r="V10" s="3">
        <v>1.18</v>
      </c>
      <c r="W10" s="3">
        <v>1.160724562014843</v>
      </c>
      <c r="X10" s="3"/>
      <c r="Y10" s="3">
        <v>0.4839</v>
      </c>
      <c r="Z10" s="3">
        <v>-2.4799999999999999E-2</v>
      </c>
      <c r="AA10" s="3">
        <v>-1.15E-2</v>
      </c>
      <c r="AB10" s="3">
        <v>0.52380000000000004</v>
      </c>
      <c r="AC10" s="3">
        <v>0.14599999999999999</v>
      </c>
      <c r="AD10" s="3" t="s">
        <v>217</v>
      </c>
      <c r="AE10" s="3"/>
    </row>
    <row r="11" spans="1:31" x14ac:dyDescent="0.3">
      <c r="A11" s="3" t="s">
        <v>234</v>
      </c>
      <c r="B11" s="3">
        <v>6.0762461538461539</v>
      </c>
      <c r="C11" s="3">
        <v>0.69295322097968182</v>
      </c>
      <c r="D11" s="3">
        <v>6.6660000000000004</v>
      </c>
      <c r="E11" s="3"/>
      <c r="F11" s="3">
        <v>39495600</v>
      </c>
      <c r="G11" s="3">
        <v>8800000</v>
      </c>
      <c r="H11" s="3">
        <v>4300000</v>
      </c>
      <c r="I11" s="3">
        <v>43995600</v>
      </c>
      <c r="J11" s="3"/>
      <c r="K11" s="3">
        <v>0.22280962942707541</v>
      </c>
      <c r="L11" s="3" t="s">
        <v>235</v>
      </c>
      <c r="M11" s="3">
        <v>2.0500000000000001E-2</v>
      </c>
      <c r="N11" s="3">
        <v>4.5666666666666661E-2</v>
      </c>
      <c r="O11" s="3"/>
      <c r="P11" s="3">
        <v>63490000</v>
      </c>
      <c r="Q11" s="3">
        <v>6600000</v>
      </c>
      <c r="R11" s="3">
        <v>6500000</v>
      </c>
      <c r="S11" s="3"/>
      <c r="T11" s="3">
        <v>36.57</v>
      </c>
      <c r="U11" s="3">
        <v>1080000</v>
      </c>
      <c r="V11" s="3">
        <v>1.01</v>
      </c>
      <c r="W11" s="3">
        <v>0.84648392816582274</v>
      </c>
      <c r="X11" s="3"/>
      <c r="Y11" s="3">
        <v>0.1024</v>
      </c>
      <c r="Z11" s="3">
        <v>9.1499999999999998E-2</v>
      </c>
      <c r="AA11" s="3">
        <v>9.9100000000000008E-2</v>
      </c>
      <c r="AB11" s="3" t="s">
        <v>217</v>
      </c>
      <c r="AC11" s="3">
        <v>9.3000000000000013E-2</v>
      </c>
      <c r="AD11" s="3">
        <v>3.6389999999999998</v>
      </c>
      <c r="AE11" s="3"/>
    </row>
    <row r="12" spans="1:31" x14ac:dyDescent="0.3">
      <c r="A12" s="9" t="s">
        <v>240</v>
      </c>
      <c r="B12" s="9">
        <v>8.4291200000000011</v>
      </c>
      <c r="C12" s="9">
        <v>0.20307818531106839</v>
      </c>
      <c r="D12" s="9">
        <v>3.550982118863049</v>
      </c>
      <c r="E12" s="9"/>
      <c r="F12" s="9">
        <v>13402300.800000001</v>
      </c>
      <c r="G12" s="9">
        <v>4250000</v>
      </c>
      <c r="H12" s="9">
        <v>3910000</v>
      </c>
      <c r="I12" s="9">
        <v>13742300.800000001</v>
      </c>
      <c r="J12" s="9"/>
      <c r="K12" s="9">
        <v>0.31710973089038558</v>
      </c>
      <c r="L12" s="9" t="s">
        <v>217</v>
      </c>
      <c r="M12" s="9"/>
      <c r="N12" s="9"/>
      <c r="O12" s="9"/>
      <c r="P12" s="9">
        <v>67670000</v>
      </c>
      <c r="Q12" s="9">
        <v>3870000</v>
      </c>
      <c r="R12" s="9">
        <v>1590000</v>
      </c>
      <c r="S12" s="9"/>
      <c r="T12" s="9">
        <v>22.26</v>
      </c>
      <c r="U12" s="9">
        <v>602080</v>
      </c>
      <c r="V12" s="9">
        <v>1.1299999999999999</v>
      </c>
      <c r="W12" s="9">
        <v>0.88632527898487534</v>
      </c>
      <c r="X12" s="9"/>
      <c r="Y12" s="9">
        <v>2.4199999999999999E-2</v>
      </c>
      <c r="Z12" s="9">
        <v>4.4299999999999999E-2</v>
      </c>
      <c r="AA12" s="9">
        <v>4.8300000000000003E-2</v>
      </c>
      <c r="AB12" s="9">
        <v>0.4093</v>
      </c>
      <c r="AC12" s="9">
        <v>0.23100000000000001</v>
      </c>
      <c r="AD12" s="9">
        <v>0.58200000000000007</v>
      </c>
      <c r="AE12"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pane xSplit="1" ySplit="1" topLeftCell="B2" activePane="bottomRight" state="frozen"/>
      <selection pane="topRight" activeCell="B1" sqref="B1"/>
      <selection pane="bottomLeft" activeCell="A2" sqref="A2"/>
      <selection pane="bottomRight"/>
    </sheetView>
  </sheetViews>
  <sheetFormatPr defaultRowHeight="14.4" x14ac:dyDescent="0.3"/>
  <cols>
    <col min="1" max="1" width="32.6640625" customWidth="1"/>
    <col min="2" max="6" width="16.6640625" customWidth="1"/>
  </cols>
  <sheetData>
    <row r="1" spans="1:6" x14ac:dyDescent="0.3">
      <c r="A1" s="7" t="s">
        <v>165</v>
      </c>
      <c r="B1" s="7" t="s">
        <v>192</v>
      </c>
      <c r="C1" s="7" t="s">
        <v>193</v>
      </c>
      <c r="D1" s="7" t="s">
        <v>194</v>
      </c>
      <c r="E1" s="7" t="s">
        <v>195</v>
      </c>
      <c r="F1" s="7" t="s">
        <v>196</v>
      </c>
    </row>
    <row r="2" spans="1:6" x14ac:dyDescent="0.3">
      <c r="A2" s="10" t="s">
        <v>190</v>
      </c>
      <c r="B2" s="10" t="s">
        <v>197</v>
      </c>
      <c r="C2" s="10" t="s">
        <v>198</v>
      </c>
      <c r="D2" s="10" t="s">
        <v>199</v>
      </c>
      <c r="E2" s="10" t="s">
        <v>200</v>
      </c>
      <c r="F2" s="10" t="s">
        <v>201</v>
      </c>
    </row>
    <row r="3" spans="1:6" x14ac:dyDescent="0.3">
      <c r="A3" s="11" t="s">
        <v>202</v>
      </c>
      <c r="B3" s="11" t="s">
        <v>204</v>
      </c>
      <c r="C3" s="11" t="s">
        <v>205</v>
      </c>
      <c r="D3" s="11" t="s">
        <v>206</v>
      </c>
      <c r="E3" s="11" t="s">
        <v>207</v>
      </c>
      <c r="F3" s="11" t="s">
        <v>208</v>
      </c>
    </row>
    <row r="4" spans="1:6" x14ac:dyDescent="0.3">
      <c r="A4" s="11" t="s">
        <v>209</v>
      </c>
      <c r="B4" s="11" t="s">
        <v>211</v>
      </c>
      <c r="C4" s="11" t="s">
        <v>212</v>
      </c>
      <c r="D4" s="11" t="s">
        <v>213</v>
      </c>
      <c r="E4" s="11" t="s">
        <v>214</v>
      </c>
      <c r="F4" s="11" t="s">
        <v>215</v>
      </c>
    </row>
    <row r="5" spans="1:6" x14ac:dyDescent="0.3">
      <c r="A5" s="11" t="s">
        <v>216</v>
      </c>
      <c r="B5" s="11" t="s">
        <v>204</v>
      </c>
      <c r="C5" s="11" t="s">
        <v>205</v>
      </c>
      <c r="D5" s="11" t="s">
        <v>218</v>
      </c>
      <c r="E5" s="11" t="s">
        <v>219</v>
      </c>
      <c r="F5" s="11" t="s">
        <v>220</v>
      </c>
    </row>
    <row r="6" spans="1:6" x14ac:dyDescent="0.3">
      <c r="A6" s="11" t="s">
        <v>221</v>
      </c>
      <c r="B6" s="11"/>
      <c r="C6" s="11"/>
      <c r="D6" s="11"/>
      <c r="E6" s="11" t="s">
        <v>223</v>
      </c>
      <c r="F6" s="11" t="s">
        <v>224</v>
      </c>
    </row>
    <row r="7" spans="1:6" x14ac:dyDescent="0.3">
      <c r="A7" s="11" t="s">
        <v>225</v>
      </c>
      <c r="B7" s="11" t="s">
        <v>197</v>
      </c>
      <c r="C7" s="11" t="s">
        <v>227</v>
      </c>
      <c r="D7" s="11" t="s">
        <v>228</v>
      </c>
      <c r="E7" s="11" t="s">
        <v>229</v>
      </c>
      <c r="F7" s="11" t="s">
        <v>230</v>
      </c>
    </row>
    <row r="8" spans="1:6" x14ac:dyDescent="0.3">
      <c r="A8" s="11" t="s">
        <v>231</v>
      </c>
      <c r="B8" s="11"/>
      <c r="C8" s="11"/>
      <c r="D8" s="11"/>
      <c r="E8" s="11" t="s">
        <v>232</v>
      </c>
      <c r="F8" s="11" t="s">
        <v>233</v>
      </c>
    </row>
    <row r="9" spans="1:6" x14ac:dyDescent="0.3">
      <c r="A9" s="11" t="s">
        <v>234</v>
      </c>
      <c r="B9" s="11" t="s">
        <v>197</v>
      </c>
      <c r="C9" s="11" t="s">
        <v>236</v>
      </c>
      <c r="D9" s="11" t="s">
        <v>237</v>
      </c>
      <c r="E9" s="11" t="s">
        <v>238</v>
      </c>
      <c r="F9" s="11" t="s">
        <v>239</v>
      </c>
    </row>
    <row r="10" spans="1:6" x14ac:dyDescent="0.3">
      <c r="A10" s="12" t="s">
        <v>240</v>
      </c>
      <c r="B10" s="12" t="s">
        <v>197</v>
      </c>
      <c r="C10" s="12" t="s">
        <v>236</v>
      </c>
      <c r="D10" s="12" t="s">
        <v>241</v>
      </c>
      <c r="E10" s="12" t="s">
        <v>242</v>
      </c>
      <c r="F10" s="12" t="s">
        <v>243</v>
      </c>
    </row>
  </sheetData>
  <hyperlinks>
    <hyperlink ref="F2" r:id="rId1" xr:uid="{00000000-0004-0000-0400-000000000000}"/>
    <hyperlink ref="F3" r:id="rId2" xr:uid="{00000000-0004-0000-0400-000001000000}"/>
    <hyperlink ref="F4" r:id="rId3" xr:uid="{00000000-0004-0000-0400-000002000000}"/>
    <hyperlink ref="F5" r:id="rId4" xr:uid="{00000000-0004-0000-0400-000003000000}"/>
    <hyperlink ref="F6" r:id="rId5" xr:uid="{00000000-0004-0000-0400-000004000000}"/>
    <hyperlink ref="F7" r:id="rId6" xr:uid="{00000000-0004-0000-0400-000005000000}"/>
    <hyperlink ref="F8" r:id="rId7" xr:uid="{00000000-0004-0000-0400-000006000000}"/>
    <hyperlink ref="F9" r:id="rId8" xr:uid="{00000000-0004-0000-0400-000007000000}"/>
    <hyperlink ref="F10" r:id="rId9" xr:uid="{00000000-0004-0000-0400-00000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7"/>
  <sheetViews>
    <sheetView tabSelected="1" topLeftCell="A22" workbookViewId="0">
      <selection activeCell="G45" sqref="G45"/>
    </sheetView>
  </sheetViews>
  <sheetFormatPr defaultRowHeight="14.4" x14ac:dyDescent="0.3"/>
  <cols>
    <col min="1" max="1" width="35" bestFit="1" customWidth="1"/>
    <col min="2" max="2" width="16.33203125" bestFit="1" customWidth="1"/>
    <col min="3" max="6" width="14.88671875" bestFit="1" customWidth="1"/>
    <col min="7" max="7" width="16" bestFit="1" customWidth="1"/>
    <col min="8" max="8" width="22" bestFit="1" customWidth="1"/>
    <col min="9" max="9" width="22.33203125" bestFit="1" customWidth="1"/>
    <col min="10" max="10" width="16.33203125" bestFit="1" customWidth="1"/>
  </cols>
  <sheetData>
    <row r="1" spans="1:10" x14ac:dyDescent="0.3">
      <c r="A1" t="s">
        <v>244</v>
      </c>
    </row>
    <row r="2" spans="1:10" x14ac:dyDescent="0.3">
      <c r="A2" s="17" t="s">
        <v>245</v>
      </c>
      <c r="B2" s="17"/>
      <c r="C2" s="17"/>
      <c r="D2" s="17"/>
      <c r="E2" s="17"/>
      <c r="F2" s="17"/>
      <c r="G2" s="17"/>
      <c r="H2" s="17"/>
      <c r="I2" s="17"/>
      <c r="J2" s="17"/>
    </row>
    <row r="3" spans="1:10" x14ac:dyDescent="0.3">
      <c r="A3" s="6" t="s">
        <v>246</v>
      </c>
      <c r="D3" s="6" t="s">
        <v>247</v>
      </c>
      <c r="G3" s="6" t="s">
        <v>248</v>
      </c>
    </row>
    <row r="4" spans="1:10" x14ac:dyDescent="0.3">
      <c r="A4" s="2" t="s">
        <v>249</v>
      </c>
      <c r="B4" s="13">
        <v>1.8180000000000002E-2</v>
      </c>
      <c r="D4" s="2" t="s">
        <v>249</v>
      </c>
      <c r="E4" s="13">
        <v>1.8180000000000002E-2</v>
      </c>
      <c r="G4" s="2" t="s">
        <v>253</v>
      </c>
      <c r="H4" s="13">
        <f>Peers!$F$4/(Peers!$F$4 + Peers!$G$4)</f>
        <v>0.95364232069014676</v>
      </c>
    </row>
    <row r="5" spans="1:10" x14ac:dyDescent="0.3">
      <c r="A5" s="2" t="s">
        <v>250</v>
      </c>
      <c r="B5" s="13">
        <v>5.5E-2</v>
      </c>
      <c r="D5" s="2" t="s">
        <v>252</v>
      </c>
      <c r="E5" s="13">
        <f>IF(ISBLANK(Peers!$N$4), Peers!$M$4, Peers!$N$4)</f>
        <v>1.2812499999999999E-2</v>
      </c>
      <c r="F5" s="2" t="str">
        <f>IF(ISBLANK(Peers!$N$4), IF(ISBLANK(Peers!$M$4), "NEEDS TO BE UPDATED", "10Y spread"), "30Y spread")</f>
        <v>30Y spread</v>
      </c>
      <c r="G5" s="2" t="s">
        <v>254</v>
      </c>
      <c r="H5" s="13">
        <f>Peers!$G$4/(Peers!$F$4 + Peers!$G$4)</f>
        <v>4.6357679309853274E-2</v>
      </c>
    </row>
    <row r="6" spans="1:10" x14ac:dyDescent="0.3">
      <c r="A6" s="2" t="s">
        <v>251</v>
      </c>
      <c r="B6" s="3">
        <f>AVERAGE(Peers!$W$5:$W$12) * (1 + (1-$B$14) * Peers!$K$4)</f>
        <v>1.0307729955080889</v>
      </c>
      <c r="D6" s="2" t="s">
        <v>247</v>
      </c>
      <c r="E6" s="13">
        <f>E4+E5</f>
        <v>3.0992499999999999E-2</v>
      </c>
      <c r="G6" s="2" t="s">
        <v>248</v>
      </c>
      <c r="H6" s="13">
        <f>B7 * H4 + E6 * H5</f>
        <v>7.283833910091625E-2</v>
      </c>
    </row>
    <row r="7" spans="1:10" x14ac:dyDescent="0.3">
      <c r="A7" s="2" t="s">
        <v>246</v>
      </c>
      <c r="B7" s="13">
        <f>B4+B5*B6</f>
        <v>7.4872514752944888E-2</v>
      </c>
    </row>
    <row r="11" spans="1:10" x14ac:dyDescent="0.3">
      <c r="A11" s="17" t="s">
        <v>255</v>
      </c>
      <c r="B11" s="17"/>
      <c r="C11" s="17"/>
      <c r="D11" s="17"/>
      <c r="E11" s="17"/>
      <c r="F11" s="17"/>
      <c r="G11" s="17"/>
      <c r="H11" s="17"/>
      <c r="I11" s="17"/>
      <c r="J11" s="17"/>
    </row>
    <row r="12" spans="1:10" x14ac:dyDescent="0.3">
      <c r="A12" s="2" t="s">
        <v>245</v>
      </c>
      <c r="B12" s="13">
        <f>H6</f>
        <v>7.283833910091625E-2</v>
      </c>
    </row>
    <row r="13" spans="1:10" x14ac:dyDescent="0.3">
      <c r="A13" s="2" t="s">
        <v>256</v>
      </c>
      <c r="B13" s="13">
        <v>1.8050371999999999E-2</v>
      </c>
    </row>
    <row r="14" spans="1:10" x14ac:dyDescent="0.3">
      <c r="A14" s="2" t="s">
        <v>257</v>
      </c>
      <c r="B14" s="13">
        <v>0.1330226084408509</v>
      </c>
    </row>
    <row r="15" spans="1:10" x14ac:dyDescent="0.3">
      <c r="A15" s="2" t="s">
        <v>258</v>
      </c>
      <c r="B15" s="13">
        <v>4.009933332930881E-2</v>
      </c>
    </row>
    <row r="16" spans="1:10" x14ac:dyDescent="0.3">
      <c r="A16" s="2" t="s">
        <v>259</v>
      </c>
      <c r="B16" s="13">
        <v>3.6847688669857909E-2</v>
      </c>
    </row>
    <row r="17" spans="1:10" x14ac:dyDescent="0.3">
      <c r="A17" s="2" t="s">
        <v>260</v>
      </c>
      <c r="B17" s="13">
        <v>-3.1130941527952691E-2</v>
      </c>
    </row>
    <row r="18" spans="1:10" x14ac:dyDescent="0.3">
      <c r="A18" s="2" t="s">
        <v>261</v>
      </c>
      <c r="B18" s="3">
        <f>Peers!$G$4</f>
        <v>136520000</v>
      </c>
    </row>
    <row r="19" spans="1:10" x14ac:dyDescent="0.3">
      <c r="A19" s="2" t="s">
        <v>262</v>
      </c>
      <c r="B19" s="3">
        <f>Peers!$H$4</f>
        <v>62640000</v>
      </c>
    </row>
    <row r="20" spans="1:10" x14ac:dyDescent="0.3">
      <c r="A20" s="2" t="s">
        <v>180</v>
      </c>
      <c r="B20" s="3">
        <f>Peers!$U$4</f>
        <v>16410000</v>
      </c>
    </row>
    <row r="24" spans="1:10" x14ac:dyDescent="0.3">
      <c r="A24" s="17" t="s">
        <v>263</v>
      </c>
      <c r="B24" s="17"/>
      <c r="C24" s="17"/>
      <c r="D24" s="17"/>
      <c r="E24" s="17"/>
      <c r="F24" s="17"/>
      <c r="G24" s="17"/>
      <c r="H24" s="17"/>
      <c r="I24" s="17"/>
      <c r="J24" s="17"/>
    </row>
    <row r="25" spans="1:10" x14ac:dyDescent="0.3">
      <c r="A25" s="14" t="s">
        <v>265</v>
      </c>
      <c r="C25" s="15">
        <v>4.2999999999999997E-2</v>
      </c>
      <c r="D25" s="15">
        <v>5.0999999999999997E-2</v>
      </c>
      <c r="E25" s="15">
        <v>9.2260775059052877E-2</v>
      </c>
      <c r="F25" s="15">
        <v>9.2260775059052877E-2</v>
      </c>
      <c r="G25" s="15">
        <v>9.2260775059052877E-2</v>
      </c>
      <c r="H25" s="15">
        <v>9.2260775059052877E-2</v>
      </c>
      <c r="I25" s="15">
        <v>9.2260775059052877E-2</v>
      </c>
      <c r="J25" s="15">
        <v>9.2260775059052877E-2</v>
      </c>
    </row>
    <row r="26" spans="1:10" x14ac:dyDescent="0.3">
      <c r="A26" s="14" t="s">
        <v>266</v>
      </c>
      <c r="C26" s="15">
        <v>0.305759437095597</v>
      </c>
      <c r="D26" s="15">
        <v>0.305759437095597</v>
      </c>
      <c r="E26" s="15">
        <v>0.305759437095597</v>
      </c>
      <c r="F26" s="15">
        <v>0.305759437095597</v>
      </c>
      <c r="G26" s="15">
        <v>0.305759437095597</v>
      </c>
      <c r="H26" s="15">
        <v>0.305759437095597</v>
      </c>
      <c r="I26" s="15">
        <v>0.305759437095597</v>
      </c>
      <c r="J26" s="15">
        <v>0.305759437095597</v>
      </c>
    </row>
    <row r="27" spans="1:10" x14ac:dyDescent="0.3">
      <c r="B27" s="6" t="s">
        <v>264</v>
      </c>
      <c r="C27" s="6">
        <v>2021</v>
      </c>
      <c r="D27" s="6">
        <v>2022</v>
      </c>
      <c r="E27" s="6">
        <v>2023</v>
      </c>
      <c r="F27" s="6">
        <v>2024</v>
      </c>
      <c r="G27" s="6">
        <v>2025</v>
      </c>
      <c r="H27" s="6">
        <v>2026</v>
      </c>
      <c r="I27" s="6">
        <v>2027</v>
      </c>
      <c r="J27" s="6">
        <v>2028</v>
      </c>
    </row>
    <row r="28" spans="1:10" x14ac:dyDescent="0.3">
      <c r="A28" s="2" t="s">
        <v>267</v>
      </c>
      <c r="B28" s="4">
        <v>365817000</v>
      </c>
      <c r="C28" s="4">
        <f t="shared" ref="C28:J28" si="0">B28 * (C25 + 1)</f>
        <v>381547131</v>
      </c>
      <c r="D28" s="4">
        <f t="shared" si="0"/>
        <v>401006034.68099999</v>
      </c>
      <c r="E28" s="4">
        <f t="shared" si="0"/>
        <v>438003162.24402654</v>
      </c>
      <c r="F28" s="4">
        <f t="shared" si="0"/>
        <v>478413673.47097653</v>
      </c>
      <c r="G28" s="4">
        <f t="shared" si="0"/>
        <v>522552489.78425753</v>
      </c>
      <c r="H28" s="4">
        <f t="shared" si="0"/>
        <v>570763587.50079095</v>
      </c>
      <c r="I28" s="4">
        <f t="shared" si="0"/>
        <v>623422678.45909953</v>
      </c>
      <c r="J28" s="4">
        <f t="shared" si="0"/>
        <v>680940137.96312678</v>
      </c>
    </row>
    <row r="29" spans="1:10" x14ac:dyDescent="0.3">
      <c r="A29" s="2" t="s">
        <v>39</v>
      </c>
      <c r="B29" s="3">
        <v>111852000</v>
      </c>
      <c r="C29" s="3">
        <f t="shared" ref="C29:J29" si="1">C28 * C26</f>
        <v>116661636</v>
      </c>
      <c r="D29" s="3">
        <f t="shared" si="1"/>
        <v>122611379.436</v>
      </c>
      <c r="E29" s="3">
        <f t="shared" si="1"/>
        <v>133923600.33382499</v>
      </c>
      <c r="F29" s="3">
        <f t="shared" si="1"/>
        <v>146279495.49932253</v>
      </c>
      <c r="G29" s="3">
        <f t="shared" si="1"/>
        <v>159775355.12933728</v>
      </c>
      <c r="H29" s="3">
        <f t="shared" si="1"/>
        <v>174516353.22890535</v>
      </c>
      <c r="I29" s="3">
        <f t="shared" si="1"/>
        <v>190617367.23828363</v>
      </c>
      <c r="J29" s="3">
        <f t="shared" si="1"/>
        <v>208203873.27940381</v>
      </c>
    </row>
    <row r="30" spans="1:10" x14ac:dyDescent="0.3">
      <c r="A30" s="2" t="s">
        <v>268</v>
      </c>
      <c r="C30" s="3">
        <f t="shared" ref="C30:J30" si="2">C29 * $B$14</f>
        <v>15518635.125697074</v>
      </c>
      <c r="D30" s="3">
        <f t="shared" si="2"/>
        <v>16310085.517107626</v>
      </c>
      <c r="E30" s="3">
        <f t="shared" si="2"/>
        <v>17814866.648195412</v>
      </c>
      <c r="F30" s="3">
        <f t="shared" si="2"/>
        <v>19458480.052731592</v>
      </c>
      <c r="G30" s="3">
        <f t="shared" si="2"/>
        <v>21253734.50386773</v>
      </c>
      <c r="H30" s="3">
        <f t="shared" si="2"/>
        <v>23214620.522093903</v>
      </c>
      <c r="I30" s="3">
        <f t="shared" si="2"/>
        <v>25356419.404164083</v>
      </c>
      <c r="J30" s="3">
        <f t="shared" si="2"/>
        <v>27695822.311114673</v>
      </c>
    </row>
    <row r="31" spans="1:10" x14ac:dyDescent="0.3">
      <c r="A31" s="2" t="s">
        <v>269</v>
      </c>
      <c r="C31" s="3">
        <f t="shared" ref="C31:J31" si="3">C29 - C30</f>
        <v>101143000.87430292</v>
      </c>
      <c r="D31" s="3">
        <f t="shared" si="3"/>
        <v>106301293.91889238</v>
      </c>
      <c r="E31" s="3">
        <f t="shared" si="3"/>
        <v>116108733.68562958</v>
      </c>
      <c r="F31" s="3">
        <f t="shared" si="3"/>
        <v>126821015.44659095</v>
      </c>
      <c r="G31" s="3">
        <f t="shared" si="3"/>
        <v>138521620.62546957</v>
      </c>
      <c r="H31" s="3">
        <f t="shared" si="3"/>
        <v>151301732.70681146</v>
      </c>
      <c r="I31" s="3">
        <f t="shared" si="3"/>
        <v>165260947.83411956</v>
      </c>
      <c r="J31" s="3">
        <f t="shared" si="3"/>
        <v>180508050.96828914</v>
      </c>
    </row>
    <row r="32" spans="1:10" x14ac:dyDescent="0.3">
      <c r="A32" s="2" t="s">
        <v>270</v>
      </c>
      <c r="C32" s="3">
        <f t="shared" ref="C32:J32" si="4">C28 * $B$15</f>
        <v>15299785.586810455</v>
      </c>
      <c r="D32" s="3">
        <f t="shared" si="4"/>
        <v>16080074.651737787</v>
      </c>
      <c r="E32" s="3">
        <f t="shared" si="4"/>
        <v>17563634.802114546</v>
      </c>
      <c r="F32" s="3">
        <f t="shared" si="4"/>
        <v>19184069.361811791</v>
      </c>
      <c r="G32" s="3">
        <f t="shared" si="4"/>
        <v>20954006.469919179</v>
      </c>
      <c r="H32" s="3">
        <f t="shared" si="4"/>
        <v>22887239.347426333</v>
      </c>
      <c r="I32" s="3">
        <f t="shared" si="4"/>
        <v>24998833.788581941</v>
      </c>
      <c r="J32" s="3">
        <f t="shared" si="4"/>
        <v>27305245.56948895</v>
      </c>
    </row>
    <row r="33" spans="1:10" x14ac:dyDescent="0.3">
      <c r="A33" s="2" t="s">
        <v>271</v>
      </c>
      <c r="C33" s="3">
        <f t="shared" ref="C33:J33" si="5">C28 * $B$16</f>
        <v>14059129.89596549</v>
      </c>
      <c r="D33" s="3">
        <f t="shared" si="5"/>
        <v>14776145.520659732</v>
      </c>
      <c r="E33" s="3">
        <f t="shared" si="5"/>
        <v>16139404.158781152</v>
      </c>
      <c r="F33" s="3">
        <f t="shared" si="5"/>
        <v>17628438.095461603</v>
      </c>
      <c r="G33" s="3">
        <f t="shared" si="5"/>
        <v>19254851.457229428</v>
      </c>
      <c r="H33" s="3">
        <f t="shared" si="5"/>
        <v>21031318.976320349</v>
      </c>
      <c r="I33" s="3">
        <f t="shared" si="5"/>
        <v>22971684.765589833</v>
      </c>
      <c r="J33" s="3">
        <f t="shared" si="5"/>
        <v>25091070.206475388</v>
      </c>
    </row>
    <row r="34" spans="1:10" x14ac:dyDescent="0.3">
      <c r="A34" s="2" t="s">
        <v>272</v>
      </c>
      <c r="C34" s="3">
        <f t="shared" ref="C34:J34" si="6">C28 * $B$17</f>
        <v>-11877921.425319105</v>
      </c>
      <c r="D34" s="3">
        <f t="shared" si="6"/>
        <v>-12483695.41801038</v>
      </c>
      <c r="E34" s="3">
        <f t="shared" si="6"/>
        <v>-13635450.832877167</v>
      </c>
      <c r="F34" s="3">
        <f t="shared" si="6"/>
        <v>-14893468.094998023</v>
      </c>
      <c r="G34" s="3">
        <f t="shared" si="6"/>
        <v>-16267551.004759816</v>
      </c>
      <c r="H34" s="3">
        <f t="shared" si="6"/>
        <v>-17768407.868771631</v>
      </c>
      <c r="I34" s="3">
        <f t="shared" si="6"/>
        <v>-19407734.95030988</v>
      </c>
      <c r="J34" s="3">
        <f t="shared" si="6"/>
        <v>-21198307.61896614</v>
      </c>
    </row>
    <row r="35" spans="1:10" x14ac:dyDescent="0.3">
      <c r="A35" s="2" t="s">
        <v>162</v>
      </c>
      <c r="B35" s="4"/>
      <c r="C35" s="4">
        <f t="shared" ref="C35:J35" si="7">C31 + C32 - C33 - C34</f>
        <v>114261577.990467</v>
      </c>
      <c r="D35" s="4">
        <f t="shared" si="7"/>
        <v>120088918.46798082</v>
      </c>
      <c r="E35" s="4">
        <f t="shared" si="7"/>
        <v>131168415.16184014</v>
      </c>
      <c r="F35" s="4">
        <f t="shared" si="7"/>
        <v>143270114.80793917</v>
      </c>
      <c r="G35" s="4">
        <f t="shared" si="7"/>
        <v>156488326.64291912</v>
      </c>
      <c r="H35" s="4">
        <f t="shared" si="7"/>
        <v>170926060.94668907</v>
      </c>
      <c r="I35" s="4">
        <f t="shared" si="7"/>
        <v>186695831.80742154</v>
      </c>
      <c r="J35" s="4">
        <f t="shared" si="7"/>
        <v>203920533.95026883</v>
      </c>
    </row>
    <row r="36" spans="1:10" x14ac:dyDescent="0.3">
      <c r="A36" s="2" t="s">
        <v>273</v>
      </c>
      <c r="C36" s="3">
        <f>C35 / ((1+$B$12) ^ 1)</f>
        <v>106504003.28368486</v>
      </c>
      <c r="D36" s="3">
        <f>D35 / ((1+$B$12) ^ 2)</f>
        <v>104336043.345505</v>
      </c>
      <c r="E36" s="3">
        <f>E35 / ((1+$B$12) ^ 3)</f>
        <v>106224920.77106543</v>
      </c>
      <c r="F36" s="3">
        <f>F35 / ((1+$B$12) ^ 4)</f>
        <v>108147994.02976643</v>
      </c>
      <c r="G36" s="3">
        <f>G35 / ((1+$B$12) ^ 5)</f>
        <v>110105882.1956614</v>
      </c>
      <c r="H36" s="3">
        <f>H35 / ((1+$B$12) ^ 6)</f>
        <v>112099215.55038801</v>
      </c>
      <c r="I36" s="3">
        <f>I35 / ((1+$B$12) ^ 7)</f>
        <v>114128635.78606807</v>
      </c>
      <c r="J36" s="3">
        <f>J35 / ((1+$B$12) ^ 8)</f>
        <v>116194796.21188027</v>
      </c>
    </row>
    <row r="37" spans="1:10" x14ac:dyDescent="0.3">
      <c r="A37" s="2" t="s">
        <v>274</v>
      </c>
      <c r="J37" s="3">
        <f>J36 / (1+$B$12) / ($B$12 - $B$13)</f>
        <v>1976820368.1350577</v>
      </c>
    </row>
    <row r="41" spans="1:10" x14ac:dyDescent="0.3">
      <c r="A41" s="17" t="s">
        <v>275</v>
      </c>
      <c r="B41" s="17"/>
      <c r="C41" s="17"/>
      <c r="D41" s="17"/>
      <c r="E41" s="17"/>
      <c r="F41" s="17"/>
      <c r="G41" s="17"/>
      <c r="H41" s="17"/>
      <c r="I41" s="17"/>
      <c r="J41" s="17"/>
    </row>
    <row r="42" spans="1:10" x14ac:dyDescent="0.3">
      <c r="A42" s="2" t="s">
        <v>171</v>
      </c>
      <c r="B42" s="3">
        <f>SUM($C$36:$J$37)</f>
        <v>2854561859.3090773</v>
      </c>
    </row>
    <row r="43" spans="1:10" x14ac:dyDescent="0.3">
      <c r="A43" s="2" t="s">
        <v>276</v>
      </c>
      <c r="B43" s="3">
        <f>$B$42 - $B$18 + $B$19</f>
        <v>2780681859.3090773</v>
      </c>
    </row>
    <row r="44" spans="1:10" x14ac:dyDescent="0.3">
      <c r="A44" s="2" t="s">
        <v>277</v>
      </c>
      <c r="B44" s="16">
        <f>$B$43 / $B$20</f>
        <v>169.45044846490416</v>
      </c>
    </row>
    <row r="48" spans="1:10" x14ac:dyDescent="0.3">
      <c r="A48" s="17" t="s">
        <v>278</v>
      </c>
      <c r="B48" s="17"/>
      <c r="C48" s="17"/>
      <c r="D48" s="17"/>
      <c r="E48" s="17"/>
      <c r="F48" s="17"/>
      <c r="G48" s="17"/>
      <c r="H48" s="17"/>
      <c r="I48" s="17"/>
      <c r="J48" s="17"/>
    </row>
    <row r="49" spans="1:10" x14ac:dyDescent="0.3">
      <c r="B49" s="6" t="s">
        <v>279</v>
      </c>
      <c r="C49" s="6" t="s">
        <v>280</v>
      </c>
      <c r="D49" s="6" t="s">
        <v>281</v>
      </c>
      <c r="E49" s="6" t="s">
        <v>282</v>
      </c>
      <c r="G49" s="6" t="s">
        <v>283</v>
      </c>
      <c r="H49" s="6" t="s">
        <v>284</v>
      </c>
      <c r="I49" s="6" t="s">
        <v>285</v>
      </c>
    </row>
    <row r="50" spans="1:10" x14ac:dyDescent="0.3">
      <c r="A50" s="2" t="s">
        <v>286</v>
      </c>
      <c r="B50">
        <f>Peers!$B$4</f>
        <v>29.662097591888472</v>
      </c>
      <c r="C50" s="3">
        <f>AVERAGEIF(Peers!$B$5:$B$12, "&gt;0", Peers!$B$5:$B$12)</f>
        <v>26.129342759781199</v>
      </c>
      <c r="D50" s="3">
        <f>_xlfn.MINIFS(Peers!$B$5:$B$12, Peers!$B$5:$B$12, "&gt;0")</f>
        <v>6.0762461538461539</v>
      </c>
      <c r="E50" s="3">
        <f>MAX(Peers!$B$5:$B$12)</f>
        <v>65.669744954303127</v>
      </c>
      <c r="G50" s="3">
        <f>IF(C51 &gt; 0, C50 * Peers!$R$4 / $B$20, "")</f>
        <v>150.75723171822571</v>
      </c>
      <c r="H50" s="3">
        <f>IF(C51 &gt; 0, D50 * Peers!$R$4 / $B$20, "")</f>
        <v>35.05782972858951</v>
      </c>
      <c r="I50" s="3">
        <f>IF(C51 &gt; 0, E50 * Peers!$R$4 / $B$20, "")</f>
        <v>378.89161805444365</v>
      </c>
    </row>
    <row r="51" spans="1:10" x14ac:dyDescent="0.3">
      <c r="A51" s="2" t="s">
        <v>167</v>
      </c>
      <c r="B51">
        <f>Peers!$C$4</f>
        <v>7.8789770925591824</v>
      </c>
      <c r="C51" s="3">
        <f>AVERAGEIF(Peers!$C$5:$C$12, "&gt;0", Peers!$C$5:$C$12)</f>
        <v>5.1736947996648555</v>
      </c>
      <c r="D51" s="3">
        <f>_xlfn.MINIFS(Peers!$C$5:$C$12, Peers!$C$5:$C$12, "&gt;0")</f>
        <v>0.20307818531106839</v>
      </c>
      <c r="E51" s="3">
        <f>MAX(Peers!$C$5:$C$12)</f>
        <v>13.504045390070919</v>
      </c>
      <c r="G51" s="3">
        <f>IF(C51 &gt; 0, ($B$19 - $B$18 + C51 * Peers!$P$4) / $B$20, "")</f>
        <v>110.83248212147456</v>
      </c>
      <c r="H51" s="3">
        <f>IF(C51 &gt; 0, ($B$19 - $B$18 + D51 * Peers!$P$4) / $B$20, "")</f>
        <v>2.4988528366546709E-2</v>
      </c>
      <c r="I51" s="3">
        <f>IF(C51 &gt; 0, ($B$19 - $B$18 + E51 * Peers!$P$4) / $B$20, "")</f>
        <v>296.53686073100209</v>
      </c>
    </row>
    <row r="52" spans="1:10" x14ac:dyDescent="0.3">
      <c r="A52" s="2" t="s">
        <v>168</v>
      </c>
      <c r="B52">
        <f>Peers!$D$4</f>
        <v>23.97311319970057</v>
      </c>
      <c r="C52" s="3">
        <f>AVERAGEIF(Peers!$D$5:$D$12, "&gt;0", Peers!$D$5:$D$12)</f>
        <v>30.897872626924428</v>
      </c>
      <c r="D52" s="3">
        <f>_xlfn.MINIFS(Peers!$D$5:$D$12, Peers!$D$5:$D$12, "&gt;0")</f>
        <v>3.550982118863049</v>
      </c>
      <c r="E52" s="3">
        <f>MAX(Peers!$D$5:$D$12)</f>
        <v>116.3549160079051</v>
      </c>
      <c r="G52" s="3">
        <f>IF(C52 &gt; 0, ($B$19 - $B$18 + C52 * Peers!$Q$4) / $B$20, "")</f>
        <v>221.87515087965411</v>
      </c>
      <c r="H52" s="3">
        <f>IF(C52 &gt; 0, ($B$19 - $B$18 + D52 * Peers!$Q$4) / $B$20, "")</f>
        <v>21.514599643565166</v>
      </c>
      <c r="I52" s="3">
        <f>IF(C52 &gt; 0, ($B$19 - $B$18 + E52 * Peers!$Q$4) / $B$20, "")</f>
        <v>847.98729747900245</v>
      </c>
    </row>
    <row r="56" spans="1:10" x14ac:dyDescent="0.3">
      <c r="A56" s="17" t="s">
        <v>287</v>
      </c>
      <c r="B56" s="17"/>
      <c r="C56" s="17"/>
      <c r="D56" s="17"/>
      <c r="E56" s="17"/>
      <c r="F56" s="17"/>
      <c r="G56" s="17"/>
      <c r="H56" s="17"/>
      <c r="I56" s="17"/>
      <c r="J56" s="17"/>
    </row>
    <row r="57" spans="1:10" x14ac:dyDescent="0.3">
      <c r="A57" s="18" t="s">
        <v>288</v>
      </c>
      <c r="B57" s="18"/>
      <c r="C57" s="18"/>
      <c r="D57" s="18"/>
      <c r="E57" s="18"/>
      <c r="F57" s="18"/>
      <c r="G57" s="18"/>
      <c r="H57" s="18"/>
      <c r="I57" s="18"/>
      <c r="J57" s="18"/>
    </row>
    <row r="58" spans="1:10" x14ac:dyDescent="0.3">
      <c r="A58" s="18"/>
      <c r="B58" s="18"/>
      <c r="C58" s="18"/>
      <c r="D58" s="18"/>
      <c r="E58" s="18"/>
      <c r="F58" s="18"/>
      <c r="G58" s="18"/>
      <c r="H58" s="18"/>
      <c r="I58" s="18"/>
      <c r="J58" s="18"/>
    </row>
    <row r="59" spans="1:10" x14ac:dyDescent="0.3">
      <c r="A59" s="18"/>
      <c r="B59" s="18"/>
      <c r="C59" s="18"/>
      <c r="D59" s="18"/>
      <c r="E59" s="18"/>
      <c r="F59" s="18"/>
      <c r="G59" s="18"/>
      <c r="H59" s="18"/>
      <c r="I59" s="18"/>
      <c r="J59" s="18"/>
    </row>
    <row r="60" spans="1:10" x14ac:dyDescent="0.3">
      <c r="A60" s="18"/>
      <c r="B60" s="18"/>
      <c r="C60" s="18"/>
      <c r="D60" s="18"/>
      <c r="E60" s="18"/>
      <c r="F60" s="18"/>
      <c r="G60" s="18"/>
      <c r="H60" s="18"/>
      <c r="I60" s="18"/>
      <c r="J60" s="18"/>
    </row>
    <row r="61" spans="1:10" x14ac:dyDescent="0.3">
      <c r="A61" s="18"/>
      <c r="B61" s="18"/>
      <c r="C61" s="18"/>
      <c r="D61" s="18"/>
      <c r="E61" s="18"/>
      <c r="F61" s="18"/>
      <c r="G61" s="18"/>
      <c r="H61" s="18"/>
      <c r="I61" s="18"/>
      <c r="J61" s="18"/>
    </row>
    <row r="62" spans="1:10" x14ac:dyDescent="0.3">
      <c r="A62" s="18"/>
      <c r="B62" s="18"/>
      <c r="C62" s="18"/>
      <c r="D62" s="18"/>
      <c r="E62" s="18"/>
      <c r="F62" s="18"/>
      <c r="G62" s="18"/>
      <c r="H62" s="18"/>
      <c r="I62" s="18"/>
      <c r="J62" s="18"/>
    </row>
    <row r="63" spans="1:10" x14ac:dyDescent="0.3">
      <c r="A63" s="18"/>
      <c r="B63" s="18"/>
      <c r="C63" s="18"/>
      <c r="D63" s="18"/>
      <c r="E63" s="18"/>
      <c r="F63" s="18"/>
      <c r="G63" s="18"/>
      <c r="H63" s="18"/>
      <c r="I63" s="18"/>
      <c r="J63" s="18"/>
    </row>
    <row r="64" spans="1:10" x14ac:dyDescent="0.3">
      <c r="A64" s="18"/>
      <c r="B64" s="18"/>
      <c r="C64" s="18"/>
      <c r="D64" s="18"/>
      <c r="E64" s="18"/>
      <c r="F64" s="18"/>
      <c r="G64" s="18"/>
      <c r="H64" s="18"/>
      <c r="I64" s="18"/>
      <c r="J64" s="18"/>
    </row>
    <row r="65" spans="1:10" x14ac:dyDescent="0.3">
      <c r="A65" s="18"/>
      <c r="B65" s="18"/>
      <c r="C65" s="18"/>
      <c r="D65" s="18"/>
      <c r="E65" s="18"/>
      <c r="F65" s="18"/>
      <c r="G65" s="18"/>
      <c r="H65" s="18"/>
      <c r="I65" s="18"/>
      <c r="J65" s="18"/>
    </row>
    <row r="66" spans="1:10" x14ac:dyDescent="0.3">
      <c r="A66" s="18"/>
      <c r="B66" s="18"/>
      <c r="C66" s="18"/>
      <c r="D66" s="18"/>
      <c r="E66" s="18"/>
      <c r="F66" s="18"/>
      <c r="G66" s="18"/>
      <c r="H66" s="18"/>
      <c r="I66" s="18"/>
      <c r="J66" s="18"/>
    </row>
    <row r="67" spans="1:10" x14ac:dyDescent="0.3">
      <c r="A67" s="18"/>
      <c r="B67" s="18"/>
      <c r="C67" s="18"/>
      <c r="D67" s="18"/>
      <c r="E67" s="18"/>
      <c r="F67" s="18"/>
      <c r="G67" s="18"/>
      <c r="H67" s="18"/>
      <c r="I67" s="18"/>
      <c r="J67" s="18"/>
    </row>
    <row r="68" spans="1:10" x14ac:dyDescent="0.3">
      <c r="A68" s="18"/>
      <c r="B68" s="18"/>
      <c r="C68" s="18"/>
      <c r="D68" s="18"/>
      <c r="E68" s="18"/>
      <c r="F68" s="18"/>
      <c r="G68" s="18"/>
      <c r="H68" s="18"/>
      <c r="I68" s="18"/>
      <c r="J68" s="18"/>
    </row>
    <row r="69" spans="1:10" x14ac:dyDescent="0.3">
      <c r="A69" s="18"/>
      <c r="B69" s="18"/>
      <c r="C69" s="18"/>
      <c r="D69" s="18"/>
      <c r="E69" s="18"/>
      <c r="F69" s="18"/>
      <c r="G69" s="18"/>
      <c r="H69" s="18"/>
      <c r="I69" s="18"/>
      <c r="J69" s="18"/>
    </row>
    <row r="70" spans="1:10" x14ac:dyDescent="0.3">
      <c r="A70" s="18"/>
      <c r="B70" s="18"/>
      <c r="C70" s="18"/>
      <c r="D70" s="18"/>
      <c r="E70" s="18"/>
      <c r="F70" s="18"/>
      <c r="G70" s="18"/>
      <c r="H70" s="18"/>
      <c r="I70" s="18"/>
      <c r="J70" s="18"/>
    </row>
    <row r="71" spans="1:10" x14ac:dyDescent="0.3">
      <c r="A71" s="18"/>
      <c r="B71" s="18"/>
      <c r="C71" s="18"/>
      <c r="D71" s="18"/>
      <c r="E71" s="18"/>
      <c r="F71" s="18"/>
      <c r="G71" s="18"/>
      <c r="H71" s="18"/>
      <c r="I71" s="18"/>
      <c r="J71" s="18"/>
    </row>
    <row r="72" spans="1:10" x14ac:dyDescent="0.3">
      <c r="A72" s="18"/>
      <c r="B72" s="18"/>
      <c r="C72" s="18"/>
      <c r="D72" s="18"/>
      <c r="E72" s="18"/>
      <c r="F72" s="18"/>
      <c r="G72" s="18"/>
      <c r="H72" s="18"/>
      <c r="I72" s="18"/>
      <c r="J72" s="18"/>
    </row>
    <row r="73" spans="1:10" x14ac:dyDescent="0.3">
      <c r="A73" s="18"/>
      <c r="B73" s="18"/>
      <c r="C73" s="18"/>
      <c r="D73" s="18"/>
      <c r="E73" s="18"/>
      <c r="F73" s="18"/>
      <c r="G73" s="18"/>
      <c r="H73" s="18"/>
      <c r="I73" s="18"/>
      <c r="J73" s="18"/>
    </row>
    <row r="74" spans="1:10" x14ac:dyDescent="0.3">
      <c r="A74" s="18"/>
      <c r="B74" s="18"/>
      <c r="C74" s="18"/>
      <c r="D74" s="18"/>
      <c r="E74" s="18"/>
      <c r="F74" s="18"/>
      <c r="G74" s="18"/>
      <c r="H74" s="18"/>
      <c r="I74" s="18"/>
      <c r="J74" s="18"/>
    </row>
    <row r="75" spans="1:10" x14ac:dyDescent="0.3">
      <c r="A75" s="18"/>
      <c r="B75" s="18"/>
      <c r="C75" s="18"/>
      <c r="D75" s="18"/>
      <c r="E75" s="18"/>
      <c r="F75" s="18"/>
      <c r="G75" s="18"/>
      <c r="H75" s="18"/>
      <c r="I75" s="18"/>
      <c r="J75" s="18"/>
    </row>
    <row r="76" spans="1:10" x14ac:dyDescent="0.3">
      <c r="A76" s="18"/>
      <c r="B76" s="18"/>
      <c r="C76" s="18"/>
      <c r="D76" s="18"/>
      <c r="E76" s="18"/>
      <c r="F76" s="18"/>
      <c r="G76" s="18"/>
      <c r="H76" s="18"/>
      <c r="I76" s="18"/>
      <c r="J76" s="18"/>
    </row>
    <row r="77" spans="1:10" x14ac:dyDescent="0.3">
      <c r="A77" s="18"/>
      <c r="B77" s="18"/>
      <c r="C77" s="18"/>
      <c r="D77" s="18"/>
      <c r="E77" s="18"/>
      <c r="F77" s="18"/>
      <c r="G77" s="18"/>
      <c r="H77" s="18"/>
      <c r="I77" s="18"/>
      <c r="J77" s="18"/>
    </row>
    <row r="78" spans="1:10" x14ac:dyDescent="0.3">
      <c r="A78" s="18"/>
      <c r="B78" s="18"/>
      <c r="C78" s="18"/>
      <c r="D78" s="18"/>
      <c r="E78" s="18"/>
      <c r="F78" s="18"/>
      <c r="G78" s="18"/>
      <c r="H78" s="18"/>
      <c r="I78" s="18"/>
      <c r="J78" s="18"/>
    </row>
    <row r="79" spans="1:10" x14ac:dyDescent="0.3">
      <c r="A79" s="18"/>
      <c r="B79" s="18"/>
      <c r="C79" s="18"/>
      <c r="D79" s="18"/>
      <c r="E79" s="18"/>
      <c r="F79" s="18"/>
      <c r="G79" s="18"/>
      <c r="H79" s="18"/>
      <c r="I79" s="18"/>
      <c r="J79" s="18"/>
    </row>
    <row r="80" spans="1:10" x14ac:dyDescent="0.3">
      <c r="A80" s="18"/>
      <c r="B80" s="18"/>
      <c r="C80" s="18"/>
      <c r="D80" s="18"/>
      <c r="E80" s="18"/>
      <c r="F80" s="18"/>
      <c r="G80" s="18"/>
      <c r="H80" s="18"/>
      <c r="I80" s="18"/>
      <c r="J80" s="18"/>
    </row>
    <row r="81" spans="1:10" x14ac:dyDescent="0.3">
      <c r="A81" s="18"/>
      <c r="B81" s="18"/>
      <c r="C81" s="18"/>
      <c r="D81" s="18"/>
      <c r="E81" s="18"/>
      <c r="F81" s="18"/>
      <c r="G81" s="18"/>
      <c r="H81" s="18"/>
      <c r="I81" s="18"/>
      <c r="J81" s="18"/>
    </row>
    <row r="82" spans="1:10" x14ac:dyDescent="0.3">
      <c r="A82" s="18"/>
      <c r="B82" s="18"/>
      <c r="C82" s="18"/>
      <c r="D82" s="18"/>
      <c r="E82" s="18"/>
      <c r="F82" s="18"/>
      <c r="G82" s="18"/>
      <c r="H82" s="18"/>
      <c r="I82" s="18"/>
      <c r="J82" s="18"/>
    </row>
    <row r="83" spans="1:10" x14ac:dyDescent="0.3">
      <c r="A83" s="18"/>
      <c r="B83" s="18"/>
      <c r="C83" s="18"/>
      <c r="D83" s="18"/>
      <c r="E83" s="18"/>
      <c r="F83" s="18"/>
      <c r="G83" s="18"/>
      <c r="H83" s="18"/>
      <c r="I83" s="18"/>
      <c r="J83" s="18"/>
    </row>
    <row r="84" spans="1:10" x14ac:dyDescent="0.3">
      <c r="A84" s="18"/>
      <c r="B84" s="18"/>
      <c r="C84" s="18"/>
      <c r="D84" s="18"/>
      <c r="E84" s="18"/>
      <c r="F84" s="18"/>
      <c r="G84" s="18"/>
      <c r="H84" s="18"/>
      <c r="I84" s="18"/>
      <c r="J84" s="18"/>
    </row>
    <row r="85" spans="1:10" x14ac:dyDescent="0.3">
      <c r="A85" s="18"/>
      <c r="B85" s="18"/>
      <c r="C85" s="18"/>
      <c r="D85" s="18"/>
      <c r="E85" s="18"/>
      <c r="F85" s="18"/>
      <c r="G85" s="18"/>
      <c r="H85" s="18"/>
      <c r="I85" s="18"/>
      <c r="J85" s="18"/>
    </row>
    <row r="86" spans="1:10" x14ac:dyDescent="0.3">
      <c r="A86" s="18"/>
      <c r="B86" s="18"/>
      <c r="C86" s="18"/>
      <c r="D86" s="18"/>
      <c r="E86" s="18"/>
      <c r="F86" s="18"/>
      <c r="G86" s="18"/>
      <c r="H86" s="18"/>
      <c r="I86" s="18"/>
      <c r="J86" s="18"/>
    </row>
    <row r="87" spans="1:10" x14ac:dyDescent="0.3">
      <c r="A87" s="18"/>
      <c r="B87" s="18"/>
      <c r="C87" s="18"/>
      <c r="D87" s="18"/>
      <c r="E87" s="18"/>
      <c r="F87" s="18"/>
      <c r="G87" s="18"/>
      <c r="H87" s="18"/>
      <c r="I87" s="18"/>
      <c r="J87" s="18"/>
    </row>
    <row r="88" spans="1:10" x14ac:dyDescent="0.3">
      <c r="A88" s="18"/>
      <c r="B88" s="18"/>
      <c r="C88" s="18"/>
      <c r="D88" s="18"/>
      <c r="E88" s="18"/>
      <c r="F88" s="18"/>
      <c r="G88" s="18"/>
      <c r="H88" s="18"/>
      <c r="I88" s="18"/>
      <c r="J88" s="18"/>
    </row>
    <row r="89" spans="1:10" x14ac:dyDescent="0.3">
      <c r="A89" s="18"/>
      <c r="B89" s="18"/>
      <c r="C89" s="18"/>
      <c r="D89" s="18"/>
      <c r="E89" s="18"/>
      <c r="F89" s="18"/>
      <c r="G89" s="18"/>
      <c r="H89" s="18"/>
      <c r="I89" s="18"/>
      <c r="J89" s="18"/>
    </row>
    <row r="90" spans="1:10" x14ac:dyDescent="0.3">
      <c r="A90" s="18"/>
      <c r="B90" s="18"/>
      <c r="C90" s="18"/>
      <c r="D90" s="18"/>
      <c r="E90" s="18"/>
      <c r="F90" s="18"/>
      <c r="G90" s="18"/>
      <c r="H90" s="18"/>
      <c r="I90" s="18"/>
      <c r="J90" s="18"/>
    </row>
    <row r="91" spans="1:10" x14ac:dyDescent="0.3">
      <c r="A91" s="18"/>
      <c r="B91" s="18"/>
      <c r="C91" s="18"/>
      <c r="D91" s="18"/>
      <c r="E91" s="18"/>
      <c r="F91" s="18"/>
      <c r="G91" s="18"/>
      <c r="H91" s="18"/>
      <c r="I91" s="18"/>
      <c r="J91" s="18"/>
    </row>
    <row r="92" spans="1:10" x14ac:dyDescent="0.3">
      <c r="A92" s="18"/>
      <c r="B92" s="18"/>
      <c r="C92" s="18"/>
      <c r="D92" s="18"/>
      <c r="E92" s="18"/>
      <c r="F92" s="18"/>
      <c r="G92" s="18"/>
      <c r="H92" s="18"/>
      <c r="I92" s="18"/>
      <c r="J92" s="18"/>
    </row>
    <row r="93" spans="1:10" x14ac:dyDescent="0.3">
      <c r="A93" s="18"/>
      <c r="B93" s="18"/>
      <c r="C93" s="18"/>
      <c r="D93" s="18"/>
      <c r="E93" s="18"/>
      <c r="F93" s="18"/>
      <c r="G93" s="18"/>
      <c r="H93" s="18"/>
      <c r="I93" s="18"/>
      <c r="J93" s="18"/>
    </row>
    <row r="94" spans="1:10" x14ac:dyDescent="0.3">
      <c r="A94" s="18"/>
      <c r="B94" s="18"/>
      <c r="C94" s="18"/>
      <c r="D94" s="18"/>
      <c r="E94" s="18"/>
      <c r="F94" s="18"/>
      <c r="G94" s="18"/>
      <c r="H94" s="18"/>
      <c r="I94" s="18"/>
      <c r="J94" s="18"/>
    </row>
    <row r="95" spans="1:10" x14ac:dyDescent="0.3">
      <c r="A95" s="18"/>
      <c r="B95" s="18"/>
      <c r="C95" s="18"/>
      <c r="D95" s="18"/>
      <c r="E95" s="18"/>
      <c r="F95" s="18"/>
      <c r="G95" s="18"/>
      <c r="H95" s="18"/>
      <c r="I95" s="18"/>
      <c r="J95" s="18"/>
    </row>
    <row r="96" spans="1:10" x14ac:dyDescent="0.3">
      <c r="A96" s="18"/>
      <c r="B96" s="18"/>
      <c r="C96" s="18"/>
      <c r="D96" s="18"/>
      <c r="E96" s="18"/>
      <c r="F96" s="18"/>
      <c r="G96" s="18"/>
      <c r="H96" s="18"/>
      <c r="I96" s="18"/>
      <c r="J96" s="18"/>
    </row>
    <row r="97" spans="1:10" x14ac:dyDescent="0.3">
      <c r="A97" s="18"/>
      <c r="B97" s="18"/>
      <c r="C97" s="18"/>
      <c r="D97" s="18"/>
      <c r="E97" s="18"/>
      <c r="F97" s="18"/>
      <c r="G97" s="18"/>
      <c r="H97" s="18"/>
      <c r="I97" s="18"/>
      <c r="J97" s="18"/>
    </row>
    <row r="98" spans="1:10" x14ac:dyDescent="0.3">
      <c r="A98" s="18"/>
      <c r="B98" s="18"/>
      <c r="C98" s="18"/>
      <c r="D98" s="18"/>
      <c r="E98" s="18"/>
      <c r="F98" s="18"/>
      <c r="G98" s="18"/>
      <c r="H98" s="18"/>
      <c r="I98" s="18"/>
      <c r="J98" s="18"/>
    </row>
    <row r="99" spans="1:10" x14ac:dyDescent="0.3">
      <c r="A99" s="18"/>
      <c r="B99" s="18"/>
      <c r="C99" s="18"/>
      <c r="D99" s="18"/>
      <c r="E99" s="18"/>
      <c r="F99" s="18"/>
      <c r="G99" s="18"/>
      <c r="H99" s="18"/>
      <c r="I99" s="18"/>
      <c r="J99" s="18"/>
    </row>
    <row r="100" spans="1:10" x14ac:dyDescent="0.3">
      <c r="A100" s="18"/>
      <c r="B100" s="18"/>
      <c r="C100" s="18"/>
      <c r="D100" s="18"/>
      <c r="E100" s="18"/>
      <c r="F100" s="18"/>
      <c r="G100" s="18"/>
      <c r="H100" s="18"/>
      <c r="I100" s="18"/>
      <c r="J100" s="18"/>
    </row>
    <row r="101" spans="1:10" x14ac:dyDescent="0.3">
      <c r="A101" s="18"/>
      <c r="B101" s="18"/>
      <c r="C101" s="18"/>
      <c r="D101" s="18"/>
      <c r="E101" s="18"/>
      <c r="F101" s="18"/>
      <c r="G101" s="18"/>
      <c r="H101" s="18"/>
      <c r="I101" s="18"/>
      <c r="J101" s="18"/>
    </row>
    <row r="102" spans="1:10" x14ac:dyDescent="0.3">
      <c r="A102" s="18"/>
      <c r="B102" s="18"/>
      <c r="C102" s="18"/>
      <c r="D102" s="18"/>
      <c r="E102" s="18"/>
      <c r="F102" s="18"/>
      <c r="G102" s="18"/>
      <c r="H102" s="18"/>
      <c r="I102" s="18"/>
      <c r="J102" s="18"/>
    </row>
    <row r="103" spans="1:10" x14ac:dyDescent="0.3">
      <c r="A103" s="18"/>
      <c r="B103" s="18"/>
      <c r="C103" s="18"/>
      <c r="D103" s="18"/>
      <c r="E103" s="18"/>
      <c r="F103" s="18"/>
      <c r="G103" s="18"/>
      <c r="H103" s="18"/>
      <c r="I103" s="18"/>
      <c r="J103" s="18"/>
    </row>
    <row r="104" spans="1:10" x14ac:dyDescent="0.3">
      <c r="A104" s="18"/>
      <c r="B104" s="18"/>
      <c r="C104" s="18"/>
      <c r="D104" s="18"/>
      <c r="E104" s="18"/>
      <c r="F104" s="18"/>
      <c r="G104" s="18"/>
      <c r="H104" s="18"/>
      <c r="I104" s="18"/>
      <c r="J104" s="18"/>
    </row>
    <row r="105" spans="1:10" x14ac:dyDescent="0.3">
      <c r="A105" s="18"/>
      <c r="B105" s="18"/>
      <c r="C105" s="18"/>
      <c r="D105" s="18"/>
      <c r="E105" s="18"/>
      <c r="F105" s="18"/>
      <c r="G105" s="18"/>
      <c r="H105" s="18"/>
      <c r="I105" s="18"/>
      <c r="J105" s="18"/>
    </row>
    <row r="106" spans="1:10" x14ac:dyDescent="0.3">
      <c r="A106" s="18"/>
      <c r="B106" s="18"/>
      <c r="C106" s="18"/>
      <c r="D106" s="18"/>
      <c r="E106" s="18"/>
      <c r="F106" s="18"/>
      <c r="G106" s="18"/>
      <c r="H106" s="18"/>
      <c r="I106" s="18"/>
      <c r="J106" s="18"/>
    </row>
    <row r="107" spans="1:10" x14ac:dyDescent="0.3">
      <c r="A107" s="18"/>
      <c r="B107" s="18"/>
      <c r="C107" s="18"/>
      <c r="D107" s="18"/>
      <c r="E107" s="18"/>
      <c r="F107" s="18"/>
      <c r="G107" s="18"/>
      <c r="H107" s="18"/>
      <c r="I107" s="18"/>
      <c r="J107" s="18"/>
    </row>
  </sheetData>
  <mergeCells count="7">
    <mergeCell ref="A56:J56"/>
    <mergeCell ref="A57:J107"/>
    <mergeCell ref="A2:J2"/>
    <mergeCell ref="A11:J11"/>
    <mergeCell ref="A24:J24"/>
    <mergeCell ref="A41:J41"/>
    <mergeCell ref="A48:J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Income Statement</vt:lpstr>
      <vt:lpstr>Balance Sheet</vt:lpstr>
      <vt:lpstr>Cash Flow</vt:lpstr>
      <vt:lpstr>Peers</vt:lpstr>
      <vt:lpstr>Peer Summaries</vt:lpstr>
      <vt:lpstr>DCF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 Nelson</cp:lastModifiedBy>
  <dcterms:created xsi:type="dcterms:W3CDTF">2021-12-19T03:30:41Z</dcterms:created>
  <dcterms:modified xsi:type="dcterms:W3CDTF">2021-12-19T03:31:07Z</dcterms:modified>
</cp:coreProperties>
</file>