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RID LCoE Calculation" sheetId="1" r:id="rId1"/>
    <sheet name="MG Hydro" sheetId="2" r:id="rId2"/>
    <sheet name="MG Wind" sheetId="3" r:id="rId3"/>
    <sheet name="MG PV" sheetId="4" r:id="rId4"/>
    <sheet name="MG Diese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22" i="5"/>
  <c r="F52" i="5" l="1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K22" i="5" s="1"/>
  <c r="F10" i="5"/>
  <c r="F3" i="5"/>
  <c r="F4" i="5" s="1"/>
  <c r="B3" i="4"/>
  <c r="I55" i="4"/>
  <c r="F55" i="4"/>
  <c r="I54" i="4"/>
  <c r="F54" i="4"/>
  <c r="I53" i="4"/>
  <c r="F53" i="4"/>
  <c r="I52" i="4"/>
  <c r="F52" i="4"/>
  <c r="I51" i="4"/>
  <c r="F51" i="4"/>
  <c r="I50" i="4"/>
  <c r="F50" i="4"/>
  <c r="I49" i="4"/>
  <c r="F49" i="4"/>
  <c r="I48" i="4"/>
  <c r="F48" i="4"/>
  <c r="I47" i="4"/>
  <c r="F47" i="4"/>
  <c r="I46" i="4"/>
  <c r="F46" i="4"/>
  <c r="I45" i="4"/>
  <c r="F45" i="4"/>
  <c r="I44" i="4"/>
  <c r="F44" i="4"/>
  <c r="I43" i="4"/>
  <c r="F43" i="4"/>
  <c r="I42" i="4"/>
  <c r="F42" i="4"/>
  <c r="I41" i="4"/>
  <c r="F41" i="4"/>
  <c r="I40" i="4"/>
  <c r="F40" i="4"/>
  <c r="I39" i="4"/>
  <c r="F39" i="4"/>
  <c r="I38" i="4"/>
  <c r="F38" i="4"/>
  <c r="I37" i="4"/>
  <c r="F37" i="4"/>
  <c r="I36" i="4"/>
  <c r="F36" i="4"/>
  <c r="I35" i="4"/>
  <c r="F35" i="4"/>
  <c r="I34" i="4"/>
  <c r="F34" i="4"/>
  <c r="I33" i="4"/>
  <c r="F33" i="4"/>
  <c r="I32" i="4"/>
  <c r="F32" i="4"/>
  <c r="I31" i="4"/>
  <c r="F31" i="4"/>
  <c r="I30" i="4"/>
  <c r="F30" i="4"/>
  <c r="I29" i="4"/>
  <c r="F29" i="4"/>
  <c r="I28" i="4"/>
  <c r="F28" i="4"/>
  <c r="I27" i="4"/>
  <c r="F27" i="4"/>
  <c r="I26" i="4"/>
  <c r="F26" i="4"/>
  <c r="F25" i="4"/>
  <c r="K25" i="4" s="1"/>
  <c r="F10" i="4"/>
  <c r="F3" i="4"/>
  <c r="F4" i="4" s="1"/>
  <c r="I53" i="3"/>
  <c r="F53" i="3"/>
  <c r="I52" i="3"/>
  <c r="F52" i="3"/>
  <c r="I51" i="3"/>
  <c r="F51" i="3"/>
  <c r="I50" i="3"/>
  <c r="F50" i="3"/>
  <c r="I49" i="3"/>
  <c r="F49" i="3"/>
  <c r="I48" i="3"/>
  <c r="F48" i="3"/>
  <c r="I47" i="3"/>
  <c r="F47" i="3"/>
  <c r="I46" i="3"/>
  <c r="F46" i="3"/>
  <c r="I45" i="3"/>
  <c r="F45" i="3"/>
  <c r="I44" i="3"/>
  <c r="F44" i="3"/>
  <c r="I43" i="3"/>
  <c r="F43" i="3"/>
  <c r="I42" i="3"/>
  <c r="F42" i="3"/>
  <c r="I41" i="3"/>
  <c r="F41" i="3"/>
  <c r="I40" i="3"/>
  <c r="F40" i="3"/>
  <c r="I39" i="3"/>
  <c r="F39" i="3"/>
  <c r="I38" i="3"/>
  <c r="F38" i="3"/>
  <c r="I37" i="3"/>
  <c r="F37" i="3"/>
  <c r="I36" i="3"/>
  <c r="F36" i="3"/>
  <c r="I35" i="3"/>
  <c r="F35" i="3"/>
  <c r="I34" i="3"/>
  <c r="F34" i="3"/>
  <c r="I33" i="3"/>
  <c r="F33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K23" i="3"/>
  <c r="F23" i="3"/>
  <c r="F10" i="3"/>
  <c r="F3" i="3"/>
  <c r="F4" i="3" s="1"/>
  <c r="F5" i="3" s="1"/>
  <c r="F14" i="3" s="1"/>
  <c r="F15" i="3" s="1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24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3" i="2"/>
  <c r="K23" i="2" s="1"/>
  <c r="F5" i="5" l="1"/>
  <c r="F14" i="5" s="1"/>
  <c r="F15" i="5" s="1"/>
  <c r="F17" i="5"/>
  <c r="E23" i="5" s="1"/>
  <c r="F5" i="4"/>
  <c r="F14" i="4" s="1"/>
  <c r="F15" i="4" s="1"/>
  <c r="F17" i="4"/>
  <c r="E26" i="4" s="1"/>
  <c r="F17" i="3"/>
  <c r="E24" i="3" s="1"/>
  <c r="K23" i="5" l="1"/>
  <c r="E24" i="5"/>
  <c r="E27" i="4"/>
  <c r="K26" i="4"/>
  <c r="K24" i="3"/>
  <c r="E25" i="3"/>
  <c r="K24" i="5" l="1"/>
  <c r="E25" i="5"/>
  <c r="K27" i="4"/>
  <c r="E28" i="4"/>
  <c r="K25" i="3"/>
  <c r="E26" i="3"/>
  <c r="K25" i="5" l="1"/>
  <c r="E26" i="5"/>
  <c r="K28" i="4"/>
  <c r="E29" i="4"/>
  <c r="K26" i="3"/>
  <c r="E27" i="3"/>
  <c r="K26" i="5" l="1"/>
  <c r="E27" i="5"/>
  <c r="K29" i="4"/>
  <c r="E30" i="4"/>
  <c r="K27" i="3"/>
  <c r="E28" i="3"/>
  <c r="K27" i="5" l="1"/>
  <c r="E28" i="5"/>
  <c r="E31" i="4"/>
  <c r="K30" i="4"/>
  <c r="K28" i="3"/>
  <c r="E29" i="3"/>
  <c r="K28" i="5" l="1"/>
  <c r="E29" i="5"/>
  <c r="K31" i="4"/>
  <c r="E32" i="4"/>
  <c r="K29" i="3"/>
  <c r="E30" i="3"/>
  <c r="K29" i="5" l="1"/>
  <c r="E30" i="5"/>
  <c r="K32" i="4"/>
  <c r="E33" i="4"/>
  <c r="K30" i="3"/>
  <c r="E31" i="3"/>
  <c r="K30" i="5" l="1"/>
  <c r="E31" i="5"/>
  <c r="E34" i="4"/>
  <c r="K33" i="4"/>
  <c r="K31" i="3"/>
  <c r="E32" i="3"/>
  <c r="K31" i="5" l="1"/>
  <c r="E32" i="5"/>
  <c r="E35" i="4"/>
  <c r="K34" i="4"/>
  <c r="K32" i="3"/>
  <c r="E33" i="3"/>
  <c r="K32" i="5" l="1"/>
  <c r="E33" i="5"/>
  <c r="K35" i="4"/>
  <c r="E36" i="4"/>
  <c r="K33" i="3"/>
  <c r="E34" i="3"/>
  <c r="K33" i="5" l="1"/>
  <c r="E34" i="5"/>
  <c r="E37" i="4"/>
  <c r="K36" i="4"/>
  <c r="K34" i="3"/>
  <c r="E35" i="3"/>
  <c r="K34" i="5" l="1"/>
  <c r="E35" i="5"/>
  <c r="E38" i="4"/>
  <c r="K37" i="4"/>
  <c r="K35" i="3"/>
  <c r="E36" i="3"/>
  <c r="K35" i="5" l="1"/>
  <c r="E36" i="5"/>
  <c r="E39" i="4"/>
  <c r="K38" i="4"/>
  <c r="K36" i="3"/>
  <c r="E37" i="3"/>
  <c r="K36" i="5" l="1"/>
  <c r="E37" i="5"/>
  <c r="E40" i="4"/>
  <c r="K39" i="4"/>
  <c r="K37" i="3"/>
  <c r="E38" i="3"/>
  <c r="K37" i="5" l="1"/>
  <c r="E38" i="5"/>
  <c r="K40" i="4"/>
  <c r="E41" i="4"/>
  <c r="K38" i="3"/>
  <c r="E39" i="3"/>
  <c r="K38" i="5" l="1"/>
  <c r="E39" i="5"/>
  <c r="K41" i="4"/>
  <c r="E42" i="4"/>
  <c r="K39" i="3"/>
  <c r="E40" i="3"/>
  <c r="K39" i="5" l="1"/>
  <c r="E40" i="5"/>
  <c r="E43" i="4"/>
  <c r="K42" i="4"/>
  <c r="K40" i="3"/>
  <c r="E41" i="3"/>
  <c r="K40" i="5" l="1"/>
  <c r="E41" i="5"/>
  <c r="E44" i="4"/>
  <c r="K43" i="4"/>
  <c r="E42" i="3"/>
  <c r="K41" i="3"/>
  <c r="K41" i="5" l="1"/>
  <c r="E42" i="5"/>
  <c r="E45" i="4"/>
  <c r="K44" i="4"/>
  <c r="K42" i="3"/>
  <c r="E43" i="3"/>
  <c r="K42" i="5" l="1"/>
  <c r="E43" i="5"/>
  <c r="E46" i="4"/>
  <c r="K45" i="4"/>
  <c r="E44" i="3"/>
  <c r="K43" i="3"/>
  <c r="K43" i="5" l="1"/>
  <c r="E44" i="5"/>
  <c r="K46" i="4"/>
  <c r="E47" i="4"/>
  <c r="K44" i="3"/>
  <c r="E45" i="3"/>
  <c r="K44" i="5" l="1"/>
  <c r="E45" i="5"/>
  <c r="K47" i="4"/>
  <c r="E48" i="4"/>
  <c r="K45" i="3"/>
  <c r="E46" i="3"/>
  <c r="K45" i="5" l="1"/>
  <c r="E46" i="5"/>
  <c r="E49" i="4"/>
  <c r="K48" i="4"/>
  <c r="E47" i="3"/>
  <c r="K46" i="3"/>
  <c r="K46" i="5" l="1"/>
  <c r="E47" i="5"/>
  <c r="E50" i="4"/>
  <c r="K49" i="4"/>
  <c r="K47" i="3"/>
  <c r="E48" i="3"/>
  <c r="K47" i="5" l="1"/>
  <c r="E48" i="5"/>
  <c r="E51" i="4"/>
  <c r="K50" i="4"/>
  <c r="K48" i="3"/>
  <c r="E49" i="3"/>
  <c r="K48" i="5" l="1"/>
  <c r="E49" i="5"/>
  <c r="K51" i="4"/>
  <c r="E52" i="4"/>
  <c r="K49" i="3"/>
  <c r="E50" i="3"/>
  <c r="K49" i="5" l="1"/>
  <c r="E50" i="5"/>
  <c r="E53" i="4"/>
  <c r="K52" i="4"/>
  <c r="K50" i="3"/>
  <c r="E51" i="3"/>
  <c r="K50" i="5" l="1"/>
  <c r="E51" i="5"/>
  <c r="E54" i="4"/>
  <c r="K53" i="4"/>
  <c r="E52" i="3"/>
  <c r="K51" i="3"/>
  <c r="K51" i="5" l="1"/>
  <c r="E52" i="5"/>
  <c r="K52" i="5" s="1"/>
  <c r="E55" i="4"/>
  <c r="K55" i="4" s="1"/>
  <c r="K54" i="4"/>
  <c r="K52" i="3"/>
  <c r="E53" i="3"/>
  <c r="K53" i="3" s="1"/>
  <c r="F10" i="2" l="1"/>
  <c r="F3" i="2" l="1"/>
  <c r="F4" i="2" l="1"/>
  <c r="F5" i="2" l="1"/>
  <c r="F14" i="2" s="1"/>
  <c r="F17" i="2"/>
  <c r="E24" i="2" s="1"/>
  <c r="Q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6" i="1"/>
  <c r="L25" i="1"/>
  <c r="K24" i="2" l="1"/>
  <c r="E25" i="2"/>
  <c r="F15" i="2"/>
  <c r="F14" i="1"/>
  <c r="K25" i="2" l="1"/>
  <c r="E26" i="2"/>
  <c r="F3" i="1"/>
  <c r="K26" i="1" s="1"/>
  <c r="O26" i="1" s="1"/>
  <c r="K26" i="2" l="1"/>
  <c r="E27" i="2"/>
  <c r="F4" i="1"/>
  <c r="F5" i="1" s="1"/>
  <c r="K27" i="2" l="1"/>
  <c r="E28" i="2"/>
  <c r="F8" i="1"/>
  <c r="F11" i="1" s="1"/>
  <c r="F9" i="1"/>
  <c r="K27" i="1"/>
  <c r="O27" i="1" s="1"/>
  <c r="Q26" i="1"/>
  <c r="F10" i="1" l="1"/>
  <c r="K28" i="2"/>
  <c r="E29" i="2"/>
  <c r="F17" i="1"/>
  <c r="F19" i="1" s="1"/>
  <c r="F20" i="1" s="1"/>
  <c r="K28" i="1"/>
  <c r="O28" i="1" s="1"/>
  <c r="Q27" i="1"/>
  <c r="F12" i="1"/>
  <c r="F13" i="1" s="1"/>
  <c r="F15" i="1" s="1"/>
  <c r="F16" i="1" s="1"/>
  <c r="F9" i="5" l="1"/>
  <c r="F11" i="5" s="1"/>
  <c r="F12" i="5" s="1"/>
  <c r="F9" i="4"/>
  <c r="F11" i="4" s="1"/>
  <c r="F12" i="4" s="1"/>
  <c r="F9" i="3"/>
  <c r="F11" i="3" s="1"/>
  <c r="F12" i="3" s="1"/>
  <c r="F9" i="2"/>
  <c r="F11" i="2" s="1"/>
  <c r="F12" i="2" s="1"/>
  <c r="K29" i="2"/>
  <c r="E30" i="2"/>
  <c r="F18" i="1"/>
  <c r="K29" i="1"/>
  <c r="O29" i="1" s="1"/>
  <c r="Q28" i="1"/>
  <c r="F21" i="1"/>
  <c r="F16" i="3" l="1"/>
  <c r="G23" i="3" s="1"/>
  <c r="F13" i="3"/>
  <c r="H24" i="3" s="1"/>
  <c r="F13" i="2"/>
  <c r="H24" i="2" s="1"/>
  <c r="F16" i="2"/>
  <c r="G23" i="2" s="1"/>
  <c r="F16" i="4"/>
  <c r="G25" i="4" s="1"/>
  <c r="F13" i="4"/>
  <c r="H26" i="4" s="1"/>
  <c r="F13" i="5"/>
  <c r="H23" i="5" s="1"/>
  <c r="F16" i="5"/>
  <c r="G22" i="5" s="1"/>
  <c r="K30" i="2"/>
  <c r="E31" i="2"/>
  <c r="F24" i="1"/>
  <c r="M25" i="1" s="1"/>
  <c r="Q29" i="1"/>
  <c r="K30" i="1"/>
  <c r="O30" i="1" s="1"/>
  <c r="J23" i="5" l="1"/>
  <c r="H24" i="5"/>
  <c r="J24" i="2"/>
  <c r="H25" i="2"/>
  <c r="J24" i="3"/>
  <c r="H25" i="3"/>
  <c r="J22" i="5"/>
  <c r="L22" i="5"/>
  <c r="J23" i="2"/>
  <c r="L23" i="2"/>
  <c r="H27" i="4"/>
  <c r="J26" i="4"/>
  <c r="L25" i="4"/>
  <c r="J25" i="4"/>
  <c r="J23" i="3"/>
  <c r="L23" i="3"/>
  <c r="K31" i="2"/>
  <c r="E32" i="2"/>
  <c r="F25" i="1"/>
  <c r="N26" i="1" s="1"/>
  <c r="P26" i="1" s="1"/>
  <c r="Q30" i="1"/>
  <c r="K31" i="1"/>
  <c r="O31" i="1" s="1"/>
  <c r="P25" i="1"/>
  <c r="R25" i="1"/>
  <c r="M22" i="5" l="1"/>
  <c r="L23" i="5"/>
  <c r="H28" i="4"/>
  <c r="J27" i="4"/>
  <c r="L24" i="3"/>
  <c r="M23" i="3"/>
  <c r="L24" i="2"/>
  <c r="M23" i="2"/>
  <c r="H26" i="3"/>
  <c r="J25" i="3"/>
  <c r="J24" i="5"/>
  <c r="H25" i="5"/>
  <c r="H26" i="2"/>
  <c r="J25" i="2"/>
  <c r="M25" i="4"/>
  <c r="L26" i="4"/>
  <c r="K32" i="2"/>
  <c r="E33" i="2"/>
  <c r="N27" i="1"/>
  <c r="P27" i="1" s="1"/>
  <c r="S25" i="1"/>
  <c r="R26" i="1"/>
  <c r="K32" i="1"/>
  <c r="O32" i="1" s="1"/>
  <c r="Q31" i="1"/>
  <c r="L25" i="2" l="1"/>
  <c r="M24" i="2"/>
  <c r="J28" i="4"/>
  <c r="H29" i="4"/>
  <c r="J25" i="5"/>
  <c r="H26" i="5"/>
  <c r="L24" i="5"/>
  <c r="M23" i="5"/>
  <c r="L27" i="4"/>
  <c r="M26" i="4"/>
  <c r="H27" i="2"/>
  <c r="J26" i="2"/>
  <c r="J26" i="3"/>
  <c r="H27" i="3"/>
  <c r="M24" i="3"/>
  <c r="L25" i="3"/>
  <c r="K33" i="2"/>
  <c r="E34" i="2"/>
  <c r="N28" i="1"/>
  <c r="P28" i="1" s="1"/>
  <c r="R27" i="1"/>
  <c r="S26" i="1"/>
  <c r="K33" i="1"/>
  <c r="O33" i="1" s="1"/>
  <c r="Q32" i="1"/>
  <c r="H28" i="2" l="1"/>
  <c r="J27" i="2"/>
  <c r="M24" i="5"/>
  <c r="L25" i="5"/>
  <c r="H28" i="3"/>
  <c r="J27" i="3"/>
  <c r="H27" i="5"/>
  <c r="J26" i="5"/>
  <c r="L28" i="4"/>
  <c r="M27" i="4"/>
  <c r="L26" i="2"/>
  <c r="M25" i="2"/>
  <c r="L26" i="3"/>
  <c r="M25" i="3"/>
  <c r="H30" i="4"/>
  <c r="J29" i="4"/>
  <c r="K34" i="2"/>
  <c r="E35" i="2"/>
  <c r="N29" i="1"/>
  <c r="P29" i="1" s="1"/>
  <c r="S27" i="1"/>
  <c r="R28" i="1"/>
  <c r="K34" i="1"/>
  <c r="O34" i="1" s="1"/>
  <c r="Q33" i="1"/>
  <c r="L27" i="2" l="1"/>
  <c r="M26" i="2"/>
  <c r="J27" i="5"/>
  <c r="H28" i="5"/>
  <c r="M26" i="3"/>
  <c r="L27" i="3"/>
  <c r="M28" i="4"/>
  <c r="L29" i="4"/>
  <c r="H29" i="3"/>
  <c r="J28" i="3"/>
  <c r="H29" i="2"/>
  <c r="J28" i="2"/>
  <c r="H31" i="4"/>
  <c r="J30" i="4"/>
  <c r="M25" i="5"/>
  <c r="L26" i="5"/>
  <c r="K35" i="2"/>
  <c r="E36" i="2"/>
  <c r="N30" i="1"/>
  <c r="P30" i="1" s="1"/>
  <c r="S28" i="1"/>
  <c r="R29" i="1"/>
  <c r="K35" i="1"/>
  <c r="O35" i="1" s="1"/>
  <c r="Q34" i="1"/>
  <c r="H32" i="4" l="1"/>
  <c r="J31" i="4"/>
  <c r="H30" i="3"/>
  <c r="J29" i="3"/>
  <c r="L28" i="2"/>
  <c r="M27" i="2"/>
  <c r="M26" i="5"/>
  <c r="L27" i="5"/>
  <c r="M29" i="4"/>
  <c r="L30" i="4"/>
  <c r="J28" i="5"/>
  <c r="H29" i="5"/>
  <c r="H30" i="2"/>
  <c r="J29" i="2"/>
  <c r="M27" i="3"/>
  <c r="L28" i="3"/>
  <c r="K36" i="2"/>
  <c r="E37" i="2"/>
  <c r="N31" i="1"/>
  <c r="N32" i="1" s="1"/>
  <c r="R30" i="1"/>
  <c r="S29" i="1"/>
  <c r="K36" i="1"/>
  <c r="O36" i="1" s="1"/>
  <c r="Q35" i="1"/>
  <c r="H31" i="2" l="1"/>
  <c r="J30" i="2"/>
  <c r="L29" i="2"/>
  <c r="M28" i="2"/>
  <c r="H33" i="4"/>
  <c r="J32" i="4"/>
  <c r="M28" i="3"/>
  <c r="L29" i="3"/>
  <c r="J29" i="5"/>
  <c r="H30" i="5"/>
  <c r="M27" i="5"/>
  <c r="L28" i="5"/>
  <c r="H31" i="3"/>
  <c r="J30" i="3"/>
  <c r="L31" i="4"/>
  <c r="M30" i="4"/>
  <c r="K37" i="2"/>
  <c r="E38" i="2"/>
  <c r="P31" i="1"/>
  <c r="R31" i="1"/>
  <c r="S30" i="1"/>
  <c r="K37" i="1"/>
  <c r="O37" i="1" s="1"/>
  <c r="Q36" i="1"/>
  <c r="N33" i="1"/>
  <c r="P32" i="1"/>
  <c r="M28" i="5" l="1"/>
  <c r="L29" i="5"/>
  <c r="M29" i="3"/>
  <c r="L30" i="3"/>
  <c r="L32" i="4"/>
  <c r="M31" i="4"/>
  <c r="L30" i="2"/>
  <c r="M29" i="2"/>
  <c r="J30" i="5"/>
  <c r="H31" i="5"/>
  <c r="H32" i="3"/>
  <c r="J31" i="3"/>
  <c r="J33" i="4"/>
  <c r="H34" i="4"/>
  <c r="H32" i="2"/>
  <c r="J31" i="2"/>
  <c r="K38" i="2"/>
  <c r="E39" i="2"/>
  <c r="R32" i="1"/>
  <c r="S31" i="1"/>
  <c r="K38" i="1"/>
  <c r="O38" i="1" s="1"/>
  <c r="Q37" i="1"/>
  <c r="N34" i="1"/>
  <c r="P33" i="1"/>
  <c r="M32" i="4" l="1"/>
  <c r="L33" i="4"/>
  <c r="M30" i="3"/>
  <c r="L31" i="3"/>
  <c r="H33" i="2"/>
  <c r="J32" i="2"/>
  <c r="H33" i="3"/>
  <c r="J32" i="3"/>
  <c r="M30" i="2"/>
  <c r="L31" i="2"/>
  <c r="H35" i="4"/>
  <c r="J34" i="4"/>
  <c r="H32" i="5"/>
  <c r="J31" i="5"/>
  <c r="M29" i="5"/>
  <c r="L30" i="5"/>
  <c r="K39" i="2"/>
  <c r="E40" i="2"/>
  <c r="R33" i="1"/>
  <c r="S32" i="1"/>
  <c r="K39" i="1"/>
  <c r="O39" i="1" s="1"/>
  <c r="Q38" i="1"/>
  <c r="N35" i="1"/>
  <c r="P34" i="1"/>
  <c r="J32" i="5" l="1"/>
  <c r="H33" i="5"/>
  <c r="H34" i="2"/>
  <c r="J33" i="2"/>
  <c r="M30" i="5"/>
  <c r="L31" i="5"/>
  <c r="M31" i="3"/>
  <c r="L32" i="3"/>
  <c r="H36" i="4"/>
  <c r="J35" i="4"/>
  <c r="H34" i="3"/>
  <c r="J33" i="3"/>
  <c r="L32" i="2"/>
  <c r="M31" i="2"/>
  <c r="L34" i="4"/>
  <c r="M33" i="4"/>
  <c r="E41" i="2"/>
  <c r="K40" i="2"/>
  <c r="R34" i="1"/>
  <c r="S33" i="1"/>
  <c r="K40" i="1"/>
  <c r="O40" i="1" s="1"/>
  <c r="Q39" i="1"/>
  <c r="N36" i="1"/>
  <c r="P35" i="1"/>
  <c r="M32" i="2" l="1"/>
  <c r="L33" i="2"/>
  <c r="H37" i="4"/>
  <c r="J36" i="4"/>
  <c r="M32" i="3"/>
  <c r="L33" i="3"/>
  <c r="M34" i="4"/>
  <c r="L35" i="4"/>
  <c r="H35" i="3"/>
  <c r="J34" i="3"/>
  <c r="H35" i="2"/>
  <c r="J34" i="2"/>
  <c r="M31" i="5"/>
  <c r="L32" i="5"/>
  <c r="H34" i="5"/>
  <c r="J33" i="5"/>
  <c r="K41" i="2"/>
  <c r="E42" i="2"/>
  <c r="R35" i="1"/>
  <c r="S34" i="1"/>
  <c r="K41" i="1"/>
  <c r="O41" i="1" s="1"/>
  <c r="Q40" i="1"/>
  <c r="N37" i="1"/>
  <c r="P36" i="1"/>
  <c r="H36" i="3" l="1"/>
  <c r="J35" i="3"/>
  <c r="L36" i="4"/>
  <c r="M35" i="4"/>
  <c r="J34" i="5"/>
  <c r="H35" i="5"/>
  <c r="H36" i="2"/>
  <c r="J35" i="2"/>
  <c r="H38" i="4"/>
  <c r="J37" i="4"/>
  <c r="M32" i="5"/>
  <c r="L33" i="5"/>
  <c r="M33" i="3"/>
  <c r="L34" i="3"/>
  <c r="M33" i="2"/>
  <c r="L34" i="2"/>
  <c r="K42" i="2"/>
  <c r="E43" i="2"/>
  <c r="R36" i="1"/>
  <c r="S35" i="1"/>
  <c r="K42" i="1"/>
  <c r="O42" i="1" s="1"/>
  <c r="Q41" i="1"/>
  <c r="N38" i="1"/>
  <c r="P37" i="1"/>
  <c r="H39" i="4" l="1"/>
  <c r="J38" i="4"/>
  <c r="H37" i="3"/>
  <c r="J36" i="3"/>
  <c r="L35" i="2"/>
  <c r="M34" i="2"/>
  <c r="M33" i="5"/>
  <c r="L34" i="5"/>
  <c r="H37" i="2"/>
  <c r="J36" i="2"/>
  <c r="M36" i="4"/>
  <c r="L37" i="4"/>
  <c r="M34" i="3"/>
  <c r="L35" i="3"/>
  <c r="J35" i="5"/>
  <c r="H36" i="5"/>
  <c r="E44" i="2"/>
  <c r="K43" i="2"/>
  <c r="R37" i="1"/>
  <c r="S36" i="1"/>
  <c r="K43" i="1"/>
  <c r="O43" i="1" s="1"/>
  <c r="Q42" i="1"/>
  <c r="N39" i="1"/>
  <c r="P38" i="1"/>
  <c r="J37" i="2" l="1"/>
  <c r="H38" i="2"/>
  <c r="M35" i="2"/>
  <c r="L36" i="2"/>
  <c r="H40" i="4"/>
  <c r="J39" i="4"/>
  <c r="J36" i="5"/>
  <c r="H37" i="5"/>
  <c r="M37" i="4"/>
  <c r="L38" i="4"/>
  <c r="M34" i="5"/>
  <c r="L35" i="5"/>
  <c r="H38" i="3"/>
  <c r="J37" i="3"/>
  <c r="M35" i="3"/>
  <c r="L36" i="3"/>
  <c r="K44" i="2"/>
  <c r="E45" i="2"/>
  <c r="R38" i="1"/>
  <c r="S37" i="1"/>
  <c r="K44" i="1"/>
  <c r="O44" i="1" s="1"/>
  <c r="Q43" i="1"/>
  <c r="N40" i="1"/>
  <c r="P39" i="1"/>
  <c r="H39" i="3" l="1"/>
  <c r="J38" i="3"/>
  <c r="H41" i="4"/>
  <c r="J40" i="4"/>
  <c r="M36" i="3"/>
  <c r="L37" i="3"/>
  <c r="M35" i="5"/>
  <c r="L36" i="5"/>
  <c r="J37" i="5"/>
  <c r="H38" i="5"/>
  <c r="M36" i="2"/>
  <c r="L37" i="2"/>
  <c r="L39" i="4"/>
  <c r="M38" i="4"/>
  <c r="H39" i="2"/>
  <c r="J38" i="2"/>
  <c r="K45" i="2"/>
  <c r="E46" i="2"/>
  <c r="R39" i="1"/>
  <c r="S38" i="1"/>
  <c r="K45" i="1"/>
  <c r="O45" i="1" s="1"/>
  <c r="Q44" i="1"/>
  <c r="N41" i="1"/>
  <c r="P40" i="1"/>
  <c r="H40" i="3" l="1"/>
  <c r="J39" i="3"/>
  <c r="L38" i="2"/>
  <c r="M37" i="2"/>
  <c r="M36" i="5"/>
  <c r="L37" i="5"/>
  <c r="L40" i="4"/>
  <c r="M39" i="4"/>
  <c r="J39" i="2"/>
  <c r="H40" i="2"/>
  <c r="J41" i="4"/>
  <c r="H42" i="4"/>
  <c r="J38" i="5"/>
  <c r="H39" i="5"/>
  <c r="M37" i="3"/>
  <c r="L38" i="3"/>
  <c r="K46" i="2"/>
  <c r="E47" i="2"/>
  <c r="R40" i="1"/>
  <c r="S39" i="1"/>
  <c r="K46" i="1"/>
  <c r="O46" i="1" s="1"/>
  <c r="Q45" i="1"/>
  <c r="N42" i="1"/>
  <c r="P41" i="1"/>
  <c r="M38" i="3" l="1"/>
  <c r="L39" i="3"/>
  <c r="M40" i="4"/>
  <c r="L41" i="4"/>
  <c r="M38" i="2"/>
  <c r="L39" i="2"/>
  <c r="J42" i="4"/>
  <c r="H43" i="4"/>
  <c r="J39" i="5"/>
  <c r="H40" i="5"/>
  <c r="J40" i="2"/>
  <c r="H41" i="2"/>
  <c r="L38" i="5"/>
  <c r="M37" i="5"/>
  <c r="F18" i="5" s="1"/>
  <c r="H41" i="3"/>
  <c r="J40" i="3"/>
  <c r="K47" i="2"/>
  <c r="E48" i="2"/>
  <c r="R41" i="1"/>
  <c r="S40" i="1"/>
  <c r="K47" i="1"/>
  <c r="O47" i="1" s="1"/>
  <c r="Q46" i="1"/>
  <c r="N43" i="1"/>
  <c r="P42" i="1"/>
  <c r="H42" i="3" l="1"/>
  <c r="J41" i="3"/>
  <c r="M38" i="5"/>
  <c r="L39" i="5"/>
  <c r="J41" i="2"/>
  <c r="H42" i="2"/>
  <c r="J43" i="4"/>
  <c r="H44" i="4"/>
  <c r="M41" i="4"/>
  <c r="L42" i="4"/>
  <c r="J40" i="5"/>
  <c r="H41" i="5"/>
  <c r="M39" i="2"/>
  <c r="L40" i="2"/>
  <c r="L40" i="3"/>
  <c r="M39" i="3"/>
  <c r="K48" i="2"/>
  <c r="E49" i="2"/>
  <c r="R42" i="1"/>
  <c r="S41" i="1"/>
  <c r="K48" i="1"/>
  <c r="O48" i="1" s="1"/>
  <c r="Q47" i="1"/>
  <c r="N44" i="1"/>
  <c r="P43" i="1"/>
  <c r="J41" i="5" l="1"/>
  <c r="H42" i="5"/>
  <c r="H45" i="4"/>
  <c r="J44" i="4"/>
  <c r="M39" i="5"/>
  <c r="L40" i="5"/>
  <c r="M40" i="3"/>
  <c r="L41" i="3"/>
  <c r="L41" i="2"/>
  <c r="M40" i="2"/>
  <c r="M42" i="4"/>
  <c r="L43" i="4"/>
  <c r="H43" i="2"/>
  <c r="J42" i="2"/>
  <c r="H43" i="3"/>
  <c r="J42" i="3"/>
  <c r="K49" i="2"/>
  <c r="E50" i="2"/>
  <c r="R43" i="1"/>
  <c r="S42" i="1"/>
  <c r="K49" i="1"/>
  <c r="O49" i="1" s="1"/>
  <c r="Q48" i="1"/>
  <c r="N45" i="1"/>
  <c r="P44" i="1"/>
  <c r="L44" i="4" l="1"/>
  <c r="M43" i="4"/>
  <c r="L42" i="3"/>
  <c r="M41" i="3"/>
  <c r="H44" i="3"/>
  <c r="J43" i="3"/>
  <c r="H46" i="4"/>
  <c r="J45" i="4"/>
  <c r="L41" i="5"/>
  <c r="M40" i="5"/>
  <c r="J42" i="5"/>
  <c r="H43" i="5"/>
  <c r="J43" i="2"/>
  <c r="H44" i="2"/>
  <c r="M41" i="2"/>
  <c r="L42" i="2"/>
  <c r="K50" i="2"/>
  <c r="E51" i="2"/>
  <c r="R44" i="1"/>
  <c r="S43" i="1"/>
  <c r="K50" i="1"/>
  <c r="O50" i="1" s="1"/>
  <c r="Q49" i="1"/>
  <c r="N46" i="1"/>
  <c r="P45" i="1"/>
  <c r="M42" i="2" l="1"/>
  <c r="L43" i="2"/>
  <c r="H44" i="5"/>
  <c r="J43" i="5"/>
  <c r="J46" i="4"/>
  <c r="H47" i="4"/>
  <c r="M42" i="3"/>
  <c r="L43" i="3"/>
  <c r="J44" i="2"/>
  <c r="H45" i="2"/>
  <c r="M41" i="5"/>
  <c r="L42" i="5"/>
  <c r="H45" i="3"/>
  <c r="J44" i="3"/>
  <c r="L45" i="4"/>
  <c r="M44" i="4"/>
  <c r="K51" i="2"/>
  <c r="E52" i="2"/>
  <c r="R45" i="1"/>
  <c r="S44" i="1"/>
  <c r="K51" i="1"/>
  <c r="O51" i="1" s="1"/>
  <c r="Q50" i="1"/>
  <c r="N47" i="1"/>
  <c r="P46" i="1"/>
  <c r="L43" i="5" l="1"/>
  <c r="M42" i="5"/>
  <c r="M43" i="3"/>
  <c r="F18" i="3" s="1"/>
  <c r="L44" i="3"/>
  <c r="M45" i="4"/>
  <c r="F18" i="4" s="1"/>
  <c r="L46" i="4"/>
  <c r="J44" i="5"/>
  <c r="H45" i="5"/>
  <c r="H46" i="2"/>
  <c r="J45" i="2"/>
  <c r="J47" i="4"/>
  <c r="H48" i="4"/>
  <c r="M43" i="2"/>
  <c r="L44" i="2"/>
  <c r="H46" i="3"/>
  <c r="J45" i="3"/>
  <c r="K52" i="2"/>
  <c r="E53" i="2"/>
  <c r="K53" i="2" s="1"/>
  <c r="R46" i="1"/>
  <c r="S45" i="1"/>
  <c r="K52" i="1"/>
  <c r="O52" i="1" s="1"/>
  <c r="Q51" i="1"/>
  <c r="N48" i="1"/>
  <c r="P47" i="1"/>
  <c r="H47" i="3" l="1"/>
  <c r="J46" i="3"/>
  <c r="J48" i="4"/>
  <c r="H49" i="4"/>
  <c r="H46" i="5"/>
  <c r="J45" i="5"/>
  <c r="M44" i="3"/>
  <c r="L45" i="3"/>
  <c r="M44" i="2"/>
  <c r="L45" i="2"/>
  <c r="M46" i="4"/>
  <c r="L47" i="4"/>
  <c r="J46" i="2"/>
  <c r="H47" i="2"/>
  <c r="M43" i="5"/>
  <c r="L44" i="5"/>
  <c r="R47" i="1"/>
  <c r="S46" i="1"/>
  <c r="K53" i="1"/>
  <c r="O53" i="1" s="1"/>
  <c r="Q52" i="1"/>
  <c r="N49" i="1"/>
  <c r="P48" i="1"/>
  <c r="M44" i="5" l="1"/>
  <c r="L45" i="5"/>
  <c r="M47" i="4"/>
  <c r="L48" i="4"/>
  <c r="M45" i="3"/>
  <c r="L46" i="3"/>
  <c r="J49" i="4"/>
  <c r="H50" i="4"/>
  <c r="L46" i="2"/>
  <c r="M45" i="2"/>
  <c r="H48" i="2"/>
  <c r="J47" i="2"/>
  <c r="J46" i="5"/>
  <c r="H47" i="5"/>
  <c r="H48" i="3"/>
  <c r="J47" i="3"/>
  <c r="R48" i="1"/>
  <c r="S47" i="1"/>
  <c r="K54" i="1"/>
  <c r="O54" i="1" s="1"/>
  <c r="Q53" i="1"/>
  <c r="N50" i="1"/>
  <c r="P49" i="1"/>
  <c r="H51" i="4" l="1"/>
  <c r="J50" i="4"/>
  <c r="M48" i="4"/>
  <c r="L49" i="4"/>
  <c r="J48" i="3"/>
  <c r="H49" i="3"/>
  <c r="J47" i="5"/>
  <c r="H48" i="5"/>
  <c r="M46" i="3"/>
  <c r="L47" i="3"/>
  <c r="M45" i="5"/>
  <c r="L46" i="5"/>
  <c r="J48" i="2"/>
  <c r="H49" i="2"/>
  <c r="L47" i="2"/>
  <c r="M46" i="2"/>
  <c r="R49" i="1"/>
  <c r="S48" i="1"/>
  <c r="K55" i="1"/>
  <c r="Q54" i="1"/>
  <c r="N51" i="1"/>
  <c r="P50" i="1"/>
  <c r="M46" i="5" l="1"/>
  <c r="L47" i="5"/>
  <c r="H49" i="5"/>
  <c r="J48" i="5"/>
  <c r="M49" i="4"/>
  <c r="L50" i="4"/>
  <c r="L48" i="2"/>
  <c r="M47" i="2"/>
  <c r="H50" i="2"/>
  <c r="J49" i="2"/>
  <c r="M47" i="3"/>
  <c r="L48" i="3"/>
  <c r="H50" i="3"/>
  <c r="J49" i="3"/>
  <c r="H52" i="4"/>
  <c r="J51" i="4"/>
  <c r="Q55" i="1"/>
  <c r="O55" i="1"/>
  <c r="R50" i="1"/>
  <c r="S49" i="1"/>
  <c r="N52" i="1"/>
  <c r="P51" i="1"/>
  <c r="M48" i="3" l="1"/>
  <c r="L49" i="3"/>
  <c r="J52" i="4"/>
  <c r="H53" i="4"/>
  <c r="L49" i="2"/>
  <c r="M48" i="2"/>
  <c r="H50" i="5"/>
  <c r="J49" i="5"/>
  <c r="M50" i="4"/>
  <c r="L51" i="4"/>
  <c r="L48" i="5"/>
  <c r="M47" i="5"/>
  <c r="H51" i="3"/>
  <c r="J50" i="3"/>
  <c r="H51" i="2"/>
  <c r="J50" i="2"/>
  <c r="R51" i="1"/>
  <c r="S50" i="1"/>
  <c r="N53" i="1"/>
  <c r="P52" i="1"/>
  <c r="H54" i="4" l="1"/>
  <c r="J53" i="4"/>
  <c r="M48" i="5"/>
  <c r="L49" i="5"/>
  <c r="H51" i="5"/>
  <c r="J50" i="5"/>
  <c r="H52" i="2"/>
  <c r="J51" i="2"/>
  <c r="L52" i="4"/>
  <c r="M51" i="4"/>
  <c r="M49" i="3"/>
  <c r="L50" i="3"/>
  <c r="J51" i="3"/>
  <c r="H52" i="3"/>
  <c r="L50" i="2"/>
  <c r="M49" i="2"/>
  <c r="R52" i="1"/>
  <c r="S51" i="1"/>
  <c r="N54" i="1"/>
  <c r="P53" i="1"/>
  <c r="M50" i="3" l="1"/>
  <c r="L51" i="3"/>
  <c r="M49" i="5"/>
  <c r="L50" i="5"/>
  <c r="L51" i="2"/>
  <c r="M50" i="2"/>
  <c r="H53" i="2"/>
  <c r="J53" i="2" s="1"/>
  <c r="J52" i="2"/>
  <c r="J52" i="3"/>
  <c r="H53" i="3"/>
  <c r="J53" i="3" s="1"/>
  <c r="M52" i="4"/>
  <c r="L53" i="4"/>
  <c r="J51" i="5"/>
  <c r="H52" i="5"/>
  <c r="J52" i="5" s="1"/>
  <c r="H55" i="4"/>
  <c r="J55" i="4" s="1"/>
  <c r="J54" i="4"/>
  <c r="R53" i="1"/>
  <c r="S52" i="1"/>
  <c r="N55" i="1"/>
  <c r="P55" i="1" s="1"/>
  <c r="P54" i="1"/>
  <c r="F26" i="1" l="1"/>
  <c r="L54" i="4"/>
  <c r="M53" i="4"/>
  <c r="M50" i="5"/>
  <c r="L51" i="5"/>
  <c r="M51" i="3"/>
  <c r="L52" i="3"/>
  <c r="L52" i="2"/>
  <c r="M51" i="2"/>
  <c r="R54" i="1"/>
  <c r="S53" i="1"/>
  <c r="L52" i="5" l="1"/>
  <c r="M52" i="5" s="1"/>
  <c r="M51" i="5"/>
  <c r="M52" i="3"/>
  <c r="L53" i="3"/>
  <c r="M53" i="3" s="1"/>
  <c r="L53" i="2"/>
  <c r="M53" i="2" s="1"/>
  <c r="F18" i="2" s="1"/>
  <c r="M52" i="2"/>
  <c r="M54" i="4"/>
  <c r="L55" i="4"/>
  <c r="M55" i="4" s="1"/>
  <c r="R55" i="1"/>
  <c r="S55" i="1" s="1"/>
  <c r="S54" i="1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a critical value for this analysis. An iteration with OSeMOSYS would probably give a more representative cost of grid electricity based on the specific generation characteristics of the studied country. 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Percentage under which the MV cost increases every 5 km. 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You can choose up to 5 tiers. According to the World Bank the tiers can be:
Tier 1 - 5 kWh/hh/year
Tier 2 - 224 kWh/hh/year
Tier 3 - 695 kWh/hh/year
Tier 4 - 1800 kWh/hh/year
Tier 5 - 2195 kWh/hh/year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population threshold can be changed according to the resolution required.
In this case a step of 1000 people was set, looking up to 400000 people per grid cell.
That is, 4000 people per sq.km (grid cell 100 sq.km)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the electrification analysis it is assumed that the grid extension is an economically feasile solution for settlements located up to 50 km from the existing/planned grid.
However, here one has the possibility of generating extension costs up to 80 km. 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should be changed according to the resolution used in the analusis. Here we used 10x10 km grid cells.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You can choose up to 5 tiers. According to the World Bank the tiers can be:
Tier 1 - 5 kWh/hh/year
Tier 2 - 224 kWh/hh/year
Tier 3 - 695 kWh/hh/year
Tier 4 - 1800 kWh/hh/year
Tier 5 - 2195 kWh/hh/year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population threshold can be changed according to the resolution required.
In this case a step of 1000 people was set, looking up to 400000 people per grid cell.
That is, 4000 people per sq.km (grid cell 100 sq.km)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the electrification analysis it is assumed that the grid extension is an economically feasile solution for settlements located up to 50 km from the existing/planned grid.
However, here one has the possibility of generating extension costs up to 80 km. 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should be changed according to the resolution used in the analusis. Here we used 10x10 km grid cells.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You can choose up to 5 tiers. According to the World Bank the tiers can be:
Tier 1 - 5 kWh/hh/year
Tier 2 - 224 kWh/hh/year
Tier 3 - 695 kWh/hh/year
Tier 4 - 1800 kWh/hh/year
Tier 5 - 2195 kWh/hh/year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population threshold can be changed according to the resolution required.
In this case a step of 1000 people was set, looking up to 400000 people per grid cell.
That is, 4000 people per sq.km (grid cell 100 sq.km)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the electrification analysis it is assumed that the grid extension is an economically feasile solution for settlements located up to 50 km from the existing/planned grid.
However, here one has the possibility of generating extension costs up to 80 km. 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should be changed according to the resolution used in the analusis. Here we used 10x10 km grid cells.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Calculated based on the irradiation (Emperical formula by Francesco).
 So values are different for low/high irradiation.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You can choose up to 5 tiers. According to the World Bank the tiers can be:
Tier 1 - 5 kWh/hh/year
Tier 2 - 224 kWh/hh/year
Tier 3 - 695 kWh/hh/year
Tier 4 - 1800 kWh/hh/year
Tier 5 - 2195 kWh/hh/year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population threshold can be changed according to the resolution required.
In this case a step of 1000 people was set, looking up to 400000 people per grid cell.
That is, 4000 people per sq.km (grid cell 100 sq.km)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the electrification analysis it is assumed that the grid extension is an economically feasile solution for settlements located up to 50 km from the existing/planned grid.
However, here one has the possibility of generating extension costs up to 80 km. 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should be changed according to the resolution used in the analusis. Here we used 10x10 km grid cells.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You can choose up to 5 tiers. According to the World Bank the tiers can be:
Tier 1 - 5 kWh/hh/year
Tier 2 - 224 kWh/hh/year
Tier 3 - 695 kWh/hh/year
Tier 4 - 1800 kWh/hh/year
Tier 5 - 2195 kWh/hh/year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population threshold can be changed according to the resolution required.
In this case a step of 1000 people was set, looking up to 400000 people per grid cell.
That is, 4000 people per sq.km (grid cell 100 sq.km)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the electrification analysis it is assumed that the grid extension is an economically feasile solution for settlements located up to 50 km from the existing/planned grid.
However, here one has the possibility of generating extension costs up to 80 km. 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should be changed according to the resolution used in the analusis. Here we used 10x10 km grid cells.</t>
        </r>
      </text>
    </comment>
  </commentList>
</comments>
</file>

<file path=xl/sharedStrings.xml><?xml version="1.0" encoding="utf-8"?>
<sst xmlns="http://schemas.openxmlformats.org/spreadsheetml/2006/main" count="313" uniqueCount="92">
  <si>
    <t>Grid related costs</t>
  </si>
  <si>
    <t>Grid cost of electricity ($/kWh)</t>
  </si>
  <si>
    <t>HV line cost ($/km) (108 kV)</t>
  </si>
  <si>
    <t>MV line cost ($/km) (33 kV)</t>
  </si>
  <si>
    <t>LV line cost ($/km) (0.2 kV)</t>
  </si>
  <si>
    <t>Transmission losses (%)</t>
  </si>
  <si>
    <t>Connection cost per HH ($)</t>
  </si>
  <si>
    <t>HV/LV transformer cost ($/unit)</t>
  </si>
  <si>
    <t>Base to Peak load ratio</t>
  </si>
  <si>
    <t>O&amp;M of TD lines (as % of investment)</t>
  </si>
  <si>
    <t>Discount rate (%)</t>
  </si>
  <si>
    <t>System life (years)</t>
  </si>
  <si>
    <t>Number of people</t>
  </si>
  <si>
    <t>per household</t>
  </si>
  <si>
    <t>Target energy access level</t>
  </si>
  <si>
    <t>People</t>
  </si>
  <si>
    <t xml:space="preserve"> Additional MV line length</t>
  </si>
  <si>
    <t>Consumption</t>
  </si>
  <si>
    <t>Average Load</t>
  </si>
  <si>
    <t>Peak Load</t>
  </si>
  <si>
    <t>kWh</t>
  </si>
  <si>
    <t>kW</t>
  </si>
  <si>
    <t>Load Estimation</t>
  </si>
  <si>
    <t>Transmission Calculation</t>
  </si>
  <si>
    <t>Grid cell area (sq. km)</t>
  </si>
  <si>
    <t>MV line capacity (KW/line)</t>
  </si>
  <si>
    <t>LV line capacity (kW/line)</t>
  </si>
  <si>
    <t>No of LV lines</t>
  </si>
  <si>
    <t>LV network per SWER</t>
  </si>
  <si>
    <t>No of MV lines (SWER)</t>
  </si>
  <si>
    <t>Limited by capacity</t>
  </si>
  <si>
    <t>MV line max length (km)</t>
  </si>
  <si>
    <t>LV line max length (km)</t>
  </si>
  <si>
    <t>Limited by lenght</t>
  </si>
  <si>
    <t>Actual LV lines per SWER</t>
  </si>
  <si>
    <t>HH per LV network</t>
  </si>
  <si>
    <t>km</t>
  </si>
  <si>
    <t>LV unit length</t>
  </si>
  <si>
    <t>LV lines length per LV network</t>
  </si>
  <si>
    <t>Total LV lines length</t>
  </si>
  <si>
    <t>SWER line reach</t>
  </si>
  <si>
    <t>Total length of SWER lines</t>
  </si>
  <si>
    <t>Additional HV lines</t>
  </si>
  <si>
    <t>HV lines total length</t>
  </si>
  <si>
    <t>Number of transformers</t>
  </si>
  <si>
    <t>??????</t>
  </si>
  <si>
    <t>devision by 10?</t>
  </si>
  <si>
    <t>Investment Cost</t>
  </si>
  <si>
    <t>MV line cost increase rate (%)</t>
  </si>
  <si>
    <t>T&amp;D Investment cost</t>
  </si>
  <si>
    <t>T&amp;D O&amp;M cost</t>
  </si>
  <si>
    <t>$/year</t>
  </si>
  <si>
    <t>$</t>
  </si>
  <si>
    <t>Year</t>
  </si>
  <si>
    <t>(1+r)^t</t>
  </si>
  <si>
    <t>El. Generation (MWh)</t>
  </si>
  <si>
    <t>Mt ($/year)</t>
  </si>
  <si>
    <t>It ($)</t>
  </si>
  <si>
    <t>Ft ($/year)</t>
  </si>
  <si>
    <t>LCoE</t>
  </si>
  <si>
    <t>Upper</t>
  </si>
  <si>
    <t>Lower</t>
  </si>
  <si>
    <t>Salvage value ($)</t>
  </si>
  <si>
    <t>Discounted Salvage value ($)</t>
  </si>
  <si>
    <t>Not used if N=whole lifetime (30 years)</t>
  </si>
  <si>
    <t>MW</t>
  </si>
  <si>
    <t>Hydro MG related costs</t>
  </si>
  <si>
    <t>Plant Capacity (kW)</t>
  </si>
  <si>
    <t>Distribution losses (%)</t>
  </si>
  <si>
    <t>Capital cost ($/kW)</t>
  </si>
  <si>
    <t>O&amp;M costs (as % of capital cost/year)</t>
  </si>
  <si>
    <t>MV line length (33 kV)</t>
  </si>
  <si>
    <t>LV line length</t>
  </si>
  <si>
    <t>MV line cost</t>
  </si>
  <si>
    <t>LV line cost</t>
  </si>
  <si>
    <t>O&amp;M of T&amp;D</t>
  </si>
  <si>
    <t>Installed capacity</t>
  </si>
  <si>
    <t>USD</t>
  </si>
  <si>
    <t>Capacity factor</t>
  </si>
  <si>
    <t>Capital investment</t>
  </si>
  <si>
    <t>Investment Cost T&amp;D</t>
  </si>
  <si>
    <t>It - Total Investment cost</t>
  </si>
  <si>
    <t>Electricity generation per year</t>
  </si>
  <si>
    <t>MWh</t>
  </si>
  <si>
    <t>$/kWh</t>
  </si>
  <si>
    <t>Wind MG related costs</t>
  </si>
  <si>
    <t>PV MG related costs</t>
  </si>
  <si>
    <t>High Irradiation values (kWh/m2/y)</t>
  </si>
  <si>
    <t>Low Irradiation values (kWh/m2/y)</t>
  </si>
  <si>
    <t>Diesel MG related costs</t>
  </si>
  <si>
    <t>Efficiency</t>
  </si>
  <si>
    <t>Fuel cost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</si>
</sst>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"/>
    <numFmt numFmtId="167" formatCode="#,##0.0"/>
    <numFmt numFmtId="168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7" fontId="3" fillId="0" borderId="0" xfId="1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/>
    </xf>
    <xf numFmtId="3" fontId="3" fillId="0" borderId="4" xfId="1" applyNumberFormat="1" applyFont="1" applyBorder="1" applyAlignment="1">
      <alignment horizontal="center"/>
    </xf>
    <xf numFmtId="3" fontId="0" fillId="0" borderId="0" xfId="0" applyNumberFormat="1"/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9" fontId="3" fillId="4" borderId="4" xfId="1" applyFont="1" applyFill="1" applyBorder="1" applyAlignment="1">
      <alignment horizontal="center"/>
    </xf>
    <xf numFmtId="0" fontId="0" fillId="0" borderId="0" xfId="0" applyFill="1" applyBorder="1"/>
    <xf numFmtId="9" fontId="3" fillId="0" borderId="0" xfId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6" xfId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16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/>
    </xf>
    <xf numFmtId="3" fontId="2" fillId="4" borderId="4" xfId="0" applyNumberFormat="1" applyFont="1" applyFill="1" applyBorder="1" applyAlignment="1">
      <alignment horizontal="center" vertical="center"/>
    </xf>
    <xf numFmtId="4" fontId="3" fillId="4" borderId="4" xfId="0" applyNumberFormat="1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3" fillId="4" borderId="4" xfId="1" applyNumberFormat="1" applyFont="1" applyFill="1" applyBorder="1" applyAlignment="1">
      <alignment horizontal="center"/>
    </xf>
    <xf numFmtId="9" fontId="3" fillId="4" borderId="6" xfId="1" applyFont="1" applyFill="1" applyBorder="1" applyAlignment="1">
      <alignment horizontal="center"/>
    </xf>
    <xf numFmtId="167" fontId="3" fillId="4" borderId="4" xfId="0" applyNumberFormat="1" applyFont="1" applyFill="1" applyBorder="1" applyAlignment="1">
      <alignment horizontal="center"/>
    </xf>
    <xf numFmtId="16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tabSelected="1" topLeftCell="A13" workbookViewId="0">
      <selection activeCell="F29" sqref="F29"/>
    </sheetView>
  </sheetViews>
  <sheetFormatPr defaultRowHeight="15" x14ac:dyDescent="0.25"/>
  <cols>
    <col min="1" max="1" width="31.85546875" bestFit="1" customWidth="1"/>
    <col min="2" max="2" width="9.140625" customWidth="1"/>
    <col min="3" max="3" width="5.85546875" customWidth="1"/>
    <col min="4" max="4" width="9.140625" style="14"/>
    <col min="5" max="5" width="24.85546875" style="24" bestFit="1" customWidth="1"/>
    <col min="6" max="6" width="12.85546875" style="14" bestFit="1" customWidth="1"/>
    <col min="7" max="8" width="9.140625" style="14"/>
    <col min="9" max="9" width="13.140625" style="14" bestFit="1" customWidth="1"/>
    <col min="10" max="10" width="9.140625" style="14"/>
    <col min="11" max="11" width="18" style="14" bestFit="1" customWidth="1"/>
    <col min="12" max="12" width="9.140625" style="14"/>
    <col min="13" max="13" width="10.85546875" style="14" customWidth="1"/>
    <col min="14" max="14" width="9.140625" style="14"/>
    <col min="15" max="15" width="10.85546875" style="14" customWidth="1"/>
    <col min="16" max="17" width="9.140625" style="14"/>
    <col min="18" max="18" width="14.140625" style="19" bestFit="1" customWidth="1"/>
    <col min="19" max="19" width="23.7109375" style="19" bestFit="1" customWidth="1"/>
  </cols>
  <sheetData>
    <row r="1" spans="1:10" x14ac:dyDescent="0.25">
      <c r="A1" s="69" t="s">
        <v>0</v>
      </c>
      <c r="B1" s="70"/>
    </row>
    <row r="2" spans="1:10" x14ac:dyDescent="0.25">
      <c r="A2" s="1" t="s">
        <v>1</v>
      </c>
      <c r="B2" s="2">
        <v>0.05</v>
      </c>
      <c r="E2" s="25" t="s">
        <v>22</v>
      </c>
      <c r="F2" s="25"/>
      <c r="G2" s="25"/>
    </row>
    <row r="3" spans="1:10" x14ac:dyDescent="0.25">
      <c r="A3" s="3" t="s">
        <v>2</v>
      </c>
      <c r="B3" s="4">
        <v>53000</v>
      </c>
      <c r="D3" s="14">
        <v>1</v>
      </c>
      <c r="E3" s="24" t="s">
        <v>17</v>
      </c>
      <c r="F3" s="27">
        <f>(A27/A21)*A24</f>
        <v>735600</v>
      </c>
      <c r="G3" s="14" t="s">
        <v>20</v>
      </c>
    </row>
    <row r="4" spans="1:10" x14ac:dyDescent="0.25">
      <c r="A4" s="3" t="s">
        <v>48</v>
      </c>
      <c r="B4" s="5">
        <v>0.1</v>
      </c>
      <c r="D4" s="14">
        <v>2</v>
      </c>
      <c r="E4" s="24" t="s">
        <v>18</v>
      </c>
      <c r="F4" s="27">
        <f>F3*(1+B11)/8760</f>
        <v>92.369863013698648</v>
      </c>
      <c r="G4" s="14" t="s">
        <v>21</v>
      </c>
    </row>
    <row r="5" spans="1:10" x14ac:dyDescent="0.25">
      <c r="A5" s="3" t="s">
        <v>3</v>
      </c>
      <c r="B5" s="4">
        <v>9000</v>
      </c>
      <c r="D5" s="14">
        <v>3</v>
      </c>
      <c r="E5" s="24" t="s">
        <v>19</v>
      </c>
      <c r="F5" s="27">
        <f>F4/B14</f>
        <v>184.7397260273973</v>
      </c>
      <c r="G5" s="14" t="s">
        <v>21</v>
      </c>
    </row>
    <row r="6" spans="1:10" x14ac:dyDescent="0.25">
      <c r="A6" s="3" t="s">
        <v>25</v>
      </c>
      <c r="B6" s="4">
        <v>50</v>
      </c>
      <c r="C6" t="s">
        <v>65</v>
      </c>
      <c r="J6" s="18"/>
    </row>
    <row r="7" spans="1:10" x14ac:dyDescent="0.25">
      <c r="A7" s="3" t="s">
        <v>31</v>
      </c>
      <c r="B7" s="4">
        <v>50</v>
      </c>
      <c r="E7" s="25" t="s">
        <v>23</v>
      </c>
      <c r="F7" s="25"/>
      <c r="G7" s="25"/>
    </row>
    <row r="8" spans="1:10" x14ac:dyDescent="0.25">
      <c r="A8" s="3" t="s">
        <v>4</v>
      </c>
      <c r="B8" s="4">
        <v>5000</v>
      </c>
      <c r="D8" s="14">
        <v>4</v>
      </c>
      <c r="E8" s="24" t="s">
        <v>29</v>
      </c>
      <c r="F8" s="22">
        <f>CEILING(F5/B6,1)</f>
        <v>4</v>
      </c>
    </row>
    <row r="9" spans="1:10" x14ac:dyDescent="0.25">
      <c r="A9" s="3" t="s">
        <v>26</v>
      </c>
      <c r="B9" s="4">
        <v>10</v>
      </c>
      <c r="D9" s="14">
        <v>5</v>
      </c>
      <c r="E9" s="24" t="s">
        <v>27</v>
      </c>
      <c r="F9" s="22">
        <f>CEILING(F5/B9,1)</f>
        <v>19</v>
      </c>
    </row>
    <row r="10" spans="1:10" x14ac:dyDescent="0.25">
      <c r="A10" s="3" t="s">
        <v>32</v>
      </c>
      <c r="B10" s="4">
        <v>30</v>
      </c>
      <c r="D10" s="14">
        <v>6</v>
      </c>
      <c r="E10" s="24" t="s">
        <v>28</v>
      </c>
      <c r="F10" s="22">
        <f>F9/F8</f>
        <v>4.75</v>
      </c>
      <c r="G10" s="68" t="s">
        <v>30</v>
      </c>
      <c r="H10" s="68"/>
    </row>
    <row r="11" spans="1:10" x14ac:dyDescent="0.25">
      <c r="A11" s="3" t="s">
        <v>5</v>
      </c>
      <c r="B11" s="5">
        <v>0.1</v>
      </c>
      <c r="D11" s="14">
        <v>7</v>
      </c>
      <c r="E11" s="24" t="s">
        <v>28</v>
      </c>
      <c r="F11" s="22">
        <f>((A33/F8)/(B10/SQRT(2))^2)</f>
        <v>5.5555555555555566E-4</v>
      </c>
      <c r="G11" s="68" t="s">
        <v>33</v>
      </c>
      <c r="H11" s="68"/>
    </row>
    <row r="12" spans="1:10" x14ac:dyDescent="0.25">
      <c r="A12" s="3" t="s">
        <v>6</v>
      </c>
      <c r="B12" s="4">
        <v>125</v>
      </c>
      <c r="D12" s="14">
        <v>8</v>
      </c>
      <c r="E12" s="24" t="s">
        <v>34</v>
      </c>
      <c r="F12" s="14">
        <f>CEILING(MIN(A27/A21,MAX(F10,F11)),1)</f>
        <v>5</v>
      </c>
    </row>
    <row r="13" spans="1:10" x14ac:dyDescent="0.25">
      <c r="A13" s="3" t="s">
        <v>7</v>
      </c>
      <c r="B13" s="4">
        <v>5000</v>
      </c>
      <c r="D13" s="14">
        <v>9</v>
      </c>
      <c r="E13" s="24" t="s">
        <v>35</v>
      </c>
      <c r="F13" s="22">
        <f>(A27/A21)/(F12*F8)</f>
        <v>10</v>
      </c>
    </row>
    <row r="14" spans="1:10" x14ac:dyDescent="0.25">
      <c r="A14" s="3" t="s">
        <v>8</v>
      </c>
      <c r="B14" s="4">
        <v>0.5</v>
      </c>
      <c r="D14" s="14">
        <v>10</v>
      </c>
      <c r="E14" s="24" t="s">
        <v>37</v>
      </c>
      <c r="F14" s="16">
        <f>SQRT(A33/(A27/A21))*SQRT(2)/2</f>
        <v>0.05</v>
      </c>
      <c r="G14" s="14" t="s">
        <v>36</v>
      </c>
    </row>
    <row r="15" spans="1:10" x14ac:dyDescent="0.25">
      <c r="A15" s="3" t="s">
        <v>9</v>
      </c>
      <c r="B15" s="5">
        <v>0.03</v>
      </c>
      <c r="D15" s="14">
        <v>11</v>
      </c>
      <c r="E15" s="24" t="s">
        <v>38</v>
      </c>
      <c r="F15" s="18">
        <f>1.333*F13*F14</f>
        <v>0.66650000000000009</v>
      </c>
      <c r="G15" s="14" t="s">
        <v>36</v>
      </c>
    </row>
    <row r="16" spans="1:10" ht="15.75" thickBot="1" x14ac:dyDescent="0.3">
      <c r="A16" s="3" t="s">
        <v>10</v>
      </c>
      <c r="B16" s="5">
        <v>0.08</v>
      </c>
      <c r="D16" s="14">
        <v>12</v>
      </c>
      <c r="E16" s="30" t="s">
        <v>39</v>
      </c>
      <c r="F16" s="31">
        <f>F15*F12*F8</f>
        <v>13.330000000000002</v>
      </c>
      <c r="G16" s="32" t="s">
        <v>36</v>
      </c>
    </row>
    <row r="17" spans="1:19" ht="15.75" thickTop="1" x14ac:dyDescent="0.25">
      <c r="A17" s="6" t="s">
        <v>11</v>
      </c>
      <c r="B17" s="7">
        <v>30</v>
      </c>
      <c r="D17" s="14">
        <v>13</v>
      </c>
      <c r="E17" s="24" t="s">
        <v>40</v>
      </c>
      <c r="F17" s="17">
        <f>(A33/F8)/(2*SQRT(A33/F9))</f>
        <v>0.54486236794258414</v>
      </c>
      <c r="G17" s="14" t="s">
        <v>36</v>
      </c>
    </row>
    <row r="18" spans="1:19" ht="15.75" thickBot="1" x14ac:dyDescent="0.3">
      <c r="D18" s="14">
        <v>14</v>
      </c>
      <c r="E18" s="30" t="s">
        <v>41</v>
      </c>
      <c r="F18" s="33">
        <f>MIN(F17,B7)*F8</f>
        <v>2.1794494717703365</v>
      </c>
      <c r="G18" s="32" t="s">
        <v>36</v>
      </c>
    </row>
    <row r="19" spans="1:19" ht="15.75" thickTop="1" x14ac:dyDescent="0.25">
      <c r="A19" s="8" t="s">
        <v>12</v>
      </c>
      <c r="D19" s="14">
        <v>15</v>
      </c>
      <c r="E19" s="24" t="s">
        <v>42</v>
      </c>
      <c r="F19" s="16">
        <f>MAX(0,ROUNDUP(SQRT(A33)/(2*MIN(F17,B7))/10,3)-1,0)</f>
        <v>0</v>
      </c>
      <c r="I19" s="18"/>
      <c r="J19" s="23"/>
    </row>
    <row r="20" spans="1:19" ht="15.75" thickBot="1" x14ac:dyDescent="0.3">
      <c r="A20" s="9" t="s">
        <v>13</v>
      </c>
      <c r="D20" s="14">
        <v>16</v>
      </c>
      <c r="E20" s="30" t="s">
        <v>43</v>
      </c>
      <c r="F20" s="31">
        <f>(SQRT(A33)/2)*F19*SQRT(A33)</f>
        <v>0</v>
      </c>
      <c r="G20" s="32" t="s">
        <v>36</v>
      </c>
      <c r="H20" s="14" t="s">
        <v>45</v>
      </c>
      <c r="I20" s="14" t="s">
        <v>46</v>
      </c>
    </row>
    <row r="21" spans="1:19" ht="15.75" thickTop="1" x14ac:dyDescent="0.25">
      <c r="A21" s="10">
        <v>5</v>
      </c>
      <c r="D21" s="14">
        <v>17</v>
      </c>
      <c r="E21" s="24" t="s">
        <v>44</v>
      </c>
      <c r="F21" s="14">
        <f>CEILING(F19+F8+(F12*F8),1)</f>
        <v>24</v>
      </c>
    </row>
    <row r="22" spans="1:19" x14ac:dyDescent="0.25">
      <c r="G22" s="16"/>
    </row>
    <row r="23" spans="1:19" x14ac:dyDescent="0.25">
      <c r="A23" s="1" t="s">
        <v>14</v>
      </c>
      <c r="E23" s="25" t="s">
        <v>47</v>
      </c>
      <c r="O23" s="29"/>
      <c r="R23" s="71" t="s">
        <v>64</v>
      </c>
      <c r="S23" s="71"/>
    </row>
    <row r="24" spans="1:19" x14ac:dyDescent="0.25">
      <c r="A24" s="11">
        <v>3678</v>
      </c>
      <c r="D24" s="14">
        <v>18</v>
      </c>
      <c r="E24" s="24" t="s">
        <v>49</v>
      </c>
      <c r="F24" s="26">
        <f>F20*B3+F18*B5+F16*B8+F21*B13+(A27/A21)*B12+IF(A30=5,A30*B5,(A30*(B5*(1+B4)^((A30/5)-1))))</f>
        <v>1292341.5061959338</v>
      </c>
      <c r="G24" s="14" t="s">
        <v>52</v>
      </c>
      <c r="J24" s="14" t="s">
        <v>53</v>
      </c>
      <c r="K24" s="14" t="s">
        <v>55</v>
      </c>
      <c r="L24" s="14" t="s">
        <v>54</v>
      </c>
      <c r="M24" s="14" t="s">
        <v>57</v>
      </c>
      <c r="N24" s="14" t="s">
        <v>56</v>
      </c>
      <c r="O24" s="14" t="s">
        <v>58</v>
      </c>
      <c r="P24" s="14" t="s">
        <v>60</v>
      </c>
      <c r="Q24" s="14" t="s">
        <v>61</v>
      </c>
      <c r="R24" s="19" t="s">
        <v>62</v>
      </c>
      <c r="S24" s="19" t="s">
        <v>63</v>
      </c>
    </row>
    <row r="25" spans="1:19" x14ac:dyDescent="0.25">
      <c r="D25" s="14">
        <v>19</v>
      </c>
      <c r="E25" s="24" t="s">
        <v>50</v>
      </c>
      <c r="F25" s="15">
        <f>F24*B15</f>
        <v>38770.245185878011</v>
      </c>
      <c r="G25" s="14" t="s">
        <v>51</v>
      </c>
      <c r="J25" s="14">
        <v>0</v>
      </c>
      <c r="K25" s="18">
        <v>0</v>
      </c>
      <c r="L25" s="14">
        <f>(1+$B$16)^J25</f>
        <v>1</v>
      </c>
      <c r="M25" s="28">
        <f>F24</f>
        <v>1292341.5061959338</v>
      </c>
      <c r="N25" s="14">
        <v>0</v>
      </c>
      <c r="O25" s="14">
        <v>0</v>
      </c>
      <c r="P25" s="14">
        <f>(M25+N25+O25)/L25</f>
        <v>1292341.5061959338</v>
      </c>
      <c r="Q25" s="14">
        <f>K25/L25</f>
        <v>0</v>
      </c>
      <c r="R25" s="28">
        <f>M25</f>
        <v>1292341.5061959338</v>
      </c>
      <c r="S25" s="28">
        <f>R25*L25</f>
        <v>1292341.5061959338</v>
      </c>
    </row>
    <row r="26" spans="1:19" x14ac:dyDescent="0.25">
      <c r="A26" s="12" t="s">
        <v>15</v>
      </c>
      <c r="D26" s="14">
        <v>20</v>
      </c>
      <c r="E26" s="24" t="s">
        <v>59</v>
      </c>
      <c r="F26" s="17">
        <f>SUM(P25:P55)/SUM(Q25:Q55)/1000</f>
        <v>0.23978400346174372</v>
      </c>
      <c r="J26" s="14">
        <v>1</v>
      </c>
      <c r="K26" s="15">
        <f>F3*(1+B11)/1000</f>
        <v>809.16000000000008</v>
      </c>
      <c r="L26" s="17">
        <f>(1+$B$16)^J26</f>
        <v>1.08</v>
      </c>
      <c r="M26" s="14">
        <v>0</v>
      </c>
      <c r="N26" s="15">
        <f>F25</f>
        <v>38770.245185878011</v>
      </c>
      <c r="O26" s="15">
        <f>K26*$B$2*1000</f>
        <v>40458.000000000007</v>
      </c>
      <c r="P26" s="19">
        <f t="shared" ref="P26:P55" si="0">(M26+N26+O26)/L26</f>
        <v>73359.48628322038</v>
      </c>
      <c r="Q26" s="19">
        <f t="shared" ref="Q26:Q55" si="1">K26/L26</f>
        <v>749.22222222222229</v>
      </c>
      <c r="R26" s="28">
        <f>R25-($R$25/$B$17)</f>
        <v>1249263.4559894027</v>
      </c>
      <c r="S26" s="28">
        <f>R26/L26</f>
        <v>1156725.4222124098</v>
      </c>
    </row>
    <row r="27" spans="1:19" x14ac:dyDescent="0.25">
      <c r="A27" s="13">
        <v>1000</v>
      </c>
      <c r="J27" s="14">
        <v>2</v>
      </c>
      <c r="K27" s="15">
        <f>K26</f>
        <v>809.16000000000008</v>
      </c>
      <c r="L27" s="17">
        <f t="shared" ref="L27:L55" si="2">(1+$B$16)^J27</f>
        <v>1.1664000000000001</v>
      </c>
      <c r="M27" s="19">
        <v>0</v>
      </c>
      <c r="N27" s="15">
        <f>N26</f>
        <v>38770.245185878011</v>
      </c>
      <c r="O27" s="15">
        <f t="shared" ref="O27:O55" si="3">K27*$B$2*1000</f>
        <v>40458.000000000007</v>
      </c>
      <c r="P27" s="19">
        <f t="shared" si="0"/>
        <v>67925.450262241095</v>
      </c>
      <c r="Q27" s="19">
        <f t="shared" si="1"/>
        <v>693.72427983539092</v>
      </c>
      <c r="R27" s="28">
        <f t="shared" ref="R27:R55" si="4">R26-($R$25/$B$17)</f>
        <v>1206185.4057828716</v>
      </c>
      <c r="S27" s="28">
        <f t="shared" ref="S27:S55" si="5">R27/L27</f>
        <v>1034109.5728591149</v>
      </c>
    </row>
    <row r="28" spans="1:19" x14ac:dyDescent="0.25">
      <c r="J28" s="19">
        <v>3</v>
      </c>
      <c r="K28" s="15">
        <f t="shared" ref="K28:K55" si="6">K27</f>
        <v>809.16000000000008</v>
      </c>
      <c r="L28" s="17">
        <f t="shared" si="2"/>
        <v>1.2597120000000002</v>
      </c>
      <c r="M28" s="19">
        <v>0</v>
      </c>
      <c r="N28" s="15">
        <f t="shared" ref="N28:N55" si="7">N27</f>
        <v>38770.245185878011</v>
      </c>
      <c r="O28" s="15">
        <f t="shared" si="3"/>
        <v>40458.000000000007</v>
      </c>
      <c r="P28" s="19">
        <f t="shared" si="0"/>
        <v>62893.935428001001</v>
      </c>
      <c r="Q28" s="19">
        <f t="shared" si="1"/>
        <v>642.33729614388051</v>
      </c>
      <c r="R28" s="28">
        <f t="shared" si="4"/>
        <v>1163107.3555763406</v>
      </c>
      <c r="S28" s="28">
        <f t="shared" si="5"/>
        <v>923312.11862420966</v>
      </c>
    </row>
    <row r="29" spans="1:19" x14ac:dyDescent="0.25">
      <c r="A29" s="1" t="s">
        <v>16</v>
      </c>
      <c r="J29" s="19">
        <v>4</v>
      </c>
      <c r="K29" s="15">
        <f t="shared" si="6"/>
        <v>809.16000000000008</v>
      </c>
      <c r="L29" s="17">
        <f t="shared" si="2"/>
        <v>1.3604889600000003</v>
      </c>
      <c r="M29" s="19">
        <v>0</v>
      </c>
      <c r="N29" s="15">
        <f t="shared" si="7"/>
        <v>38770.245185878011</v>
      </c>
      <c r="O29" s="15">
        <f t="shared" si="3"/>
        <v>40458.000000000007</v>
      </c>
      <c r="P29" s="19">
        <f t="shared" si="0"/>
        <v>58235.125396297219</v>
      </c>
      <c r="Q29" s="19">
        <f t="shared" si="1"/>
        <v>594.75675568877818</v>
      </c>
      <c r="R29" s="28">
        <f t="shared" si="4"/>
        <v>1120029.3053698095</v>
      </c>
      <c r="S29" s="28">
        <f t="shared" si="5"/>
        <v>823254.97545368492</v>
      </c>
    </row>
    <row r="30" spans="1:19" x14ac:dyDescent="0.25">
      <c r="A30" s="11">
        <v>50</v>
      </c>
      <c r="J30" s="19">
        <v>5</v>
      </c>
      <c r="K30" s="15">
        <f t="shared" si="6"/>
        <v>809.16000000000008</v>
      </c>
      <c r="L30" s="17">
        <f t="shared" si="2"/>
        <v>1.4693280768000003</v>
      </c>
      <c r="M30" s="19">
        <v>0</v>
      </c>
      <c r="N30" s="15">
        <f t="shared" si="7"/>
        <v>38770.245185878011</v>
      </c>
      <c r="O30" s="15">
        <f t="shared" si="3"/>
        <v>40458.000000000007</v>
      </c>
      <c r="P30" s="19">
        <f t="shared" si="0"/>
        <v>53921.412403978909</v>
      </c>
      <c r="Q30" s="19">
        <f t="shared" si="1"/>
        <v>550.70069971183159</v>
      </c>
      <c r="R30" s="28">
        <f t="shared" si="4"/>
        <v>1076951.2551632784</v>
      </c>
      <c r="S30" s="28">
        <f t="shared" si="5"/>
        <v>732954.92828853719</v>
      </c>
    </row>
    <row r="31" spans="1:19" x14ac:dyDescent="0.25">
      <c r="J31" s="19">
        <v>6</v>
      </c>
      <c r="K31" s="15">
        <f t="shared" si="6"/>
        <v>809.16000000000008</v>
      </c>
      <c r="L31" s="17">
        <f t="shared" si="2"/>
        <v>1.5868743229440005</v>
      </c>
      <c r="M31" s="19">
        <v>0</v>
      </c>
      <c r="N31" s="15">
        <f t="shared" si="7"/>
        <v>38770.245185878011</v>
      </c>
      <c r="O31" s="15">
        <f t="shared" si="3"/>
        <v>40458.000000000007</v>
      </c>
      <c r="P31" s="19">
        <f t="shared" si="0"/>
        <v>49927.233707387873</v>
      </c>
      <c r="Q31" s="19">
        <f t="shared" si="1"/>
        <v>509.90805528873295</v>
      </c>
      <c r="R31" s="28">
        <f t="shared" si="4"/>
        <v>1033873.2049567474</v>
      </c>
      <c r="S31" s="28">
        <f t="shared" si="5"/>
        <v>651515.491812033</v>
      </c>
    </row>
    <row r="32" spans="1:19" x14ac:dyDescent="0.25">
      <c r="A32" s="20" t="s">
        <v>24</v>
      </c>
      <c r="J32" s="19">
        <v>7</v>
      </c>
      <c r="K32" s="15">
        <f t="shared" si="6"/>
        <v>809.16000000000008</v>
      </c>
      <c r="L32" s="17">
        <f t="shared" si="2"/>
        <v>1.7138242687795207</v>
      </c>
      <c r="M32" s="19">
        <v>0</v>
      </c>
      <c r="N32" s="15">
        <f t="shared" si="7"/>
        <v>38770.245185878011</v>
      </c>
      <c r="O32" s="15">
        <f t="shared" si="3"/>
        <v>40458.000000000007</v>
      </c>
      <c r="P32" s="19">
        <f t="shared" si="0"/>
        <v>46228.920099433213</v>
      </c>
      <c r="Q32" s="19">
        <f t="shared" si="1"/>
        <v>472.13708823030828</v>
      </c>
      <c r="R32" s="28">
        <f t="shared" si="4"/>
        <v>990795.15475021629</v>
      </c>
      <c r="S32" s="28">
        <f t="shared" si="5"/>
        <v>578119.45646901079</v>
      </c>
    </row>
    <row r="33" spans="1:19" x14ac:dyDescent="0.25">
      <c r="A33" s="21">
        <v>1</v>
      </c>
      <c r="J33" s="19">
        <v>8</v>
      </c>
      <c r="K33" s="15">
        <f t="shared" si="6"/>
        <v>809.16000000000008</v>
      </c>
      <c r="L33" s="17">
        <f t="shared" si="2"/>
        <v>1.8509302102818823</v>
      </c>
      <c r="M33" s="19">
        <v>0</v>
      </c>
      <c r="N33" s="15">
        <f t="shared" si="7"/>
        <v>38770.245185878011</v>
      </c>
      <c r="O33" s="15">
        <f t="shared" si="3"/>
        <v>40458.000000000007</v>
      </c>
      <c r="P33" s="19">
        <f t="shared" si="0"/>
        <v>42804.555647623347</v>
      </c>
      <c r="Q33" s="19">
        <f t="shared" si="1"/>
        <v>437.16397058361878</v>
      </c>
      <c r="R33" s="28">
        <f t="shared" si="4"/>
        <v>947717.10454368521</v>
      </c>
      <c r="S33" s="28">
        <f t="shared" si="5"/>
        <v>512022.06289525918</v>
      </c>
    </row>
    <row r="34" spans="1:19" x14ac:dyDescent="0.25">
      <c r="J34" s="19">
        <v>9</v>
      </c>
      <c r="K34" s="15">
        <f t="shared" si="6"/>
        <v>809.16000000000008</v>
      </c>
      <c r="L34" s="17">
        <f t="shared" si="2"/>
        <v>1.9990046271044331</v>
      </c>
      <c r="M34" s="19">
        <v>0</v>
      </c>
      <c r="N34" s="15">
        <f t="shared" si="7"/>
        <v>38770.245185878011</v>
      </c>
      <c r="O34" s="15">
        <f t="shared" si="3"/>
        <v>40458.000000000007</v>
      </c>
      <c r="P34" s="19">
        <f t="shared" si="0"/>
        <v>39633.847821873467</v>
      </c>
      <c r="Q34" s="19">
        <f t="shared" si="1"/>
        <v>404.78145424409144</v>
      </c>
      <c r="R34" s="28">
        <f t="shared" si="4"/>
        <v>904639.05433715414</v>
      </c>
      <c r="S34" s="28">
        <f t="shared" si="5"/>
        <v>452544.7525589412</v>
      </c>
    </row>
    <row r="35" spans="1:19" x14ac:dyDescent="0.25">
      <c r="J35" s="19">
        <v>10</v>
      </c>
      <c r="K35" s="15">
        <f t="shared" si="6"/>
        <v>809.16000000000008</v>
      </c>
      <c r="L35" s="17">
        <f t="shared" si="2"/>
        <v>2.1589249972727877</v>
      </c>
      <c r="M35" s="19">
        <v>0</v>
      </c>
      <c r="N35" s="15">
        <f t="shared" si="7"/>
        <v>38770.245185878011</v>
      </c>
      <c r="O35" s="15">
        <f t="shared" si="3"/>
        <v>40458.000000000007</v>
      </c>
      <c r="P35" s="19">
        <f t="shared" si="0"/>
        <v>36698.007242475433</v>
      </c>
      <c r="Q35" s="19">
        <f t="shared" si="1"/>
        <v>374.79764281860315</v>
      </c>
      <c r="R35" s="28">
        <f t="shared" si="4"/>
        <v>861561.00413062307</v>
      </c>
      <c r="S35" s="28">
        <f t="shared" si="5"/>
        <v>399069.44670100638</v>
      </c>
    </row>
    <row r="36" spans="1:19" x14ac:dyDescent="0.25">
      <c r="J36" s="19">
        <v>11</v>
      </c>
      <c r="K36" s="15">
        <f t="shared" si="6"/>
        <v>809.16000000000008</v>
      </c>
      <c r="L36" s="17">
        <f t="shared" si="2"/>
        <v>2.3316389970546108</v>
      </c>
      <c r="M36" s="19">
        <v>0</v>
      </c>
      <c r="N36" s="15">
        <f t="shared" si="7"/>
        <v>38770.245185878011</v>
      </c>
      <c r="O36" s="15">
        <f t="shared" si="3"/>
        <v>40458.000000000007</v>
      </c>
      <c r="P36" s="19">
        <f t="shared" si="0"/>
        <v>33979.636335625401</v>
      </c>
      <c r="Q36" s="19">
        <f t="shared" si="1"/>
        <v>347.03485446166957</v>
      </c>
      <c r="R36" s="28">
        <f t="shared" si="4"/>
        <v>818482.953924092</v>
      </c>
      <c r="S36" s="28">
        <f t="shared" si="5"/>
        <v>351033.30959810747</v>
      </c>
    </row>
    <row r="37" spans="1:19" x14ac:dyDescent="0.25">
      <c r="J37" s="19">
        <v>12</v>
      </c>
      <c r="K37" s="15">
        <f t="shared" si="6"/>
        <v>809.16000000000008</v>
      </c>
      <c r="L37" s="17">
        <f t="shared" si="2"/>
        <v>2.5181701168189798</v>
      </c>
      <c r="M37" s="19">
        <v>0</v>
      </c>
      <c r="N37" s="15">
        <f t="shared" si="7"/>
        <v>38770.245185878011</v>
      </c>
      <c r="O37" s="15">
        <f t="shared" si="3"/>
        <v>40458.000000000007</v>
      </c>
      <c r="P37" s="19">
        <f t="shared" si="0"/>
        <v>31462.626236690179</v>
      </c>
      <c r="Q37" s="19">
        <f t="shared" si="1"/>
        <v>321.32856894599036</v>
      </c>
      <c r="R37" s="28">
        <f t="shared" si="4"/>
        <v>775404.90371756093</v>
      </c>
      <c r="S37" s="28">
        <f t="shared" si="5"/>
        <v>307923.95578781358</v>
      </c>
    </row>
    <row r="38" spans="1:19" x14ac:dyDescent="0.25">
      <c r="J38" s="19">
        <v>13</v>
      </c>
      <c r="K38" s="15">
        <f t="shared" si="6"/>
        <v>809.16000000000008</v>
      </c>
      <c r="L38" s="17">
        <f t="shared" si="2"/>
        <v>2.7196237261644982</v>
      </c>
      <c r="M38" s="19">
        <v>0</v>
      </c>
      <c r="N38" s="15">
        <f t="shared" si="7"/>
        <v>38770.245185878011</v>
      </c>
      <c r="O38" s="15">
        <f t="shared" si="3"/>
        <v>40458.000000000007</v>
      </c>
      <c r="P38" s="19">
        <f t="shared" si="0"/>
        <v>29132.061330268687</v>
      </c>
      <c r="Q38" s="19">
        <f t="shared" si="1"/>
        <v>297.5264527277688</v>
      </c>
      <c r="R38" s="28">
        <f t="shared" si="4"/>
        <v>732326.85351102985</v>
      </c>
      <c r="S38" s="28">
        <f t="shared" si="5"/>
        <v>269275.06421773828</v>
      </c>
    </row>
    <row r="39" spans="1:19" x14ac:dyDescent="0.25">
      <c r="J39" s="19">
        <v>14</v>
      </c>
      <c r="K39" s="15">
        <f t="shared" si="6"/>
        <v>809.16000000000008</v>
      </c>
      <c r="L39" s="17">
        <f t="shared" si="2"/>
        <v>2.9371936242576586</v>
      </c>
      <c r="M39" s="19">
        <v>0</v>
      </c>
      <c r="N39" s="15">
        <f t="shared" si="7"/>
        <v>38770.245185878011</v>
      </c>
      <c r="O39" s="15">
        <f t="shared" si="3"/>
        <v>40458.000000000007</v>
      </c>
      <c r="P39" s="19">
        <f t="shared" si="0"/>
        <v>26974.130861359889</v>
      </c>
      <c r="Q39" s="19">
        <f t="shared" si="1"/>
        <v>275.4874562294155</v>
      </c>
      <c r="R39" s="28">
        <f t="shared" si="4"/>
        <v>689248.80330449878</v>
      </c>
      <c r="S39" s="28">
        <f t="shared" si="5"/>
        <v>234662.36533136229</v>
      </c>
    </row>
    <row r="40" spans="1:19" x14ac:dyDescent="0.25">
      <c r="J40" s="19">
        <v>15</v>
      </c>
      <c r="K40" s="15">
        <f t="shared" si="6"/>
        <v>809.16000000000008</v>
      </c>
      <c r="L40" s="17">
        <f t="shared" si="2"/>
        <v>3.1721691141982715</v>
      </c>
      <c r="M40" s="19">
        <v>0</v>
      </c>
      <c r="N40" s="15">
        <f t="shared" si="7"/>
        <v>38770.245185878011</v>
      </c>
      <c r="O40" s="15">
        <f t="shared" si="3"/>
        <v>40458.000000000007</v>
      </c>
      <c r="P40" s="19">
        <f t="shared" si="0"/>
        <v>24976.047093851746</v>
      </c>
      <c r="Q40" s="19">
        <f t="shared" si="1"/>
        <v>255.08097799019956</v>
      </c>
      <c r="R40" s="28">
        <f t="shared" si="4"/>
        <v>646170.75309796771</v>
      </c>
      <c r="S40" s="28">
        <f t="shared" si="5"/>
        <v>203699.96990569646</v>
      </c>
    </row>
    <row r="41" spans="1:19" x14ac:dyDescent="0.25">
      <c r="J41" s="19">
        <v>16</v>
      </c>
      <c r="K41" s="15">
        <f t="shared" si="6"/>
        <v>809.16000000000008</v>
      </c>
      <c r="L41" s="17">
        <f t="shared" si="2"/>
        <v>3.4259426433341331</v>
      </c>
      <c r="M41" s="19">
        <v>0</v>
      </c>
      <c r="N41" s="15">
        <f t="shared" si="7"/>
        <v>38770.245185878011</v>
      </c>
      <c r="O41" s="15">
        <f t="shared" si="3"/>
        <v>40458.000000000007</v>
      </c>
      <c r="P41" s="19">
        <f t="shared" si="0"/>
        <v>23125.96953134421</v>
      </c>
      <c r="Q41" s="19">
        <f t="shared" si="1"/>
        <v>236.18609073166624</v>
      </c>
      <c r="R41" s="28">
        <f t="shared" si="4"/>
        <v>603092.70289143664</v>
      </c>
      <c r="S41" s="28">
        <f t="shared" si="5"/>
        <v>176037.01102961425</v>
      </c>
    </row>
    <row r="42" spans="1:19" x14ac:dyDescent="0.25">
      <c r="J42" s="19">
        <v>17</v>
      </c>
      <c r="K42" s="15">
        <f t="shared" si="6"/>
        <v>809.16000000000008</v>
      </c>
      <c r="L42" s="17">
        <f t="shared" si="2"/>
        <v>3.7000180548008639</v>
      </c>
      <c r="M42" s="19">
        <v>0</v>
      </c>
      <c r="N42" s="15">
        <f t="shared" si="7"/>
        <v>38770.245185878011</v>
      </c>
      <c r="O42" s="15">
        <f t="shared" si="3"/>
        <v>40458.000000000007</v>
      </c>
      <c r="P42" s="19">
        <f t="shared" si="0"/>
        <v>21412.93475124464</v>
      </c>
      <c r="Q42" s="19">
        <f t="shared" si="1"/>
        <v>218.69082475154283</v>
      </c>
      <c r="R42" s="28">
        <f t="shared" si="4"/>
        <v>560014.65268490557</v>
      </c>
      <c r="S42" s="28">
        <f t="shared" si="5"/>
        <v>151354.57297519749</v>
      </c>
    </row>
    <row r="43" spans="1:19" x14ac:dyDescent="0.25">
      <c r="J43" s="19">
        <v>18</v>
      </c>
      <c r="K43" s="15">
        <f t="shared" si="6"/>
        <v>809.16000000000008</v>
      </c>
      <c r="L43" s="17">
        <f t="shared" si="2"/>
        <v>3.9960194991849334</v>
      </c>
      <c r="M43" s="19">
        <v>0</v>
      </c>
      <c r="N43" s="15">
        <f t="shared" si="7"/>
        <v>38770.245185878011</v>
      </c>
      <c r="O43" s="15">
        <f t="shared" si="3"/>
        <v>40458.000000000007</v>
      </c>
      <c r="P43" s="19">
        <f t="shared" si="0"/>
        <v>19826.791436337626</v>
      </c>
      <c r="Q43" s="19">
        <f t="shared" si="1"/>
        <v>202.49150439957666</v>
      </c>
      <c r="R43" s="28">
        <f t="shared" si="4"/>
        <v>516936.60247837444</v>
      </c>
      <c r="S43" s="28">
        <f t="shared" si="5"/>
        <v>129362.88288478417</v>
      </c>
    </row>
    <row r="44" spans="1:19" x14ac:dyDescent="0.25">
      <c r="J44" s="19">
        <v>19</v>
      </c>
      <c r="K44" s="15">
        <f t="shared" si="6"/>
        <v>809.16000000000008</v>
      </c>
      <c r="L44" s="17">
        <f t="shared" si="2"/>
        <v>4.3157010591197285</v>
      </c>
      <c r="M44" s="19">
        <v>0</v>
      </c>
      <c r="N44" s="15">
        <f t="shared" si="7"/>
        <v>38770.245185878011</v>
      </c>
      <c r="O44" s="15">
        <f t="shared" si="3"/>
        <v>40458.000000000007</v>
      </c>
      <c r="P44" s="19">
        <f t="shared" si="0"/>
        <v>18358.140218831133</v>
      </c>
      <c r="Q44" s="19">
        <f t="shared" si="1"/>
        <v>187.49213370331171</v>
      </c>
      <c r="R44" s="28">
        <f t="shared" si="4"/>
        <v>473858.55227184331</v>
      </c>
      <c r="S44" s="28">
        <f t="shared" si="5"/>
        <v>109798.74318924583</v>
      </c>
    </row>
    <row r="45" spans="1:19" x14ac:dyDescent="0.25">
      <c r="J45" s="19">
        <v>20</v>
      </c>
      <c r="K45" s="15">
        <f t="shared" si="6"/>
        <v>809.16000000000008</v>
      </c>
      <c r="L45" s="17">
        <f t="shared" si="2"/>
        <v>4.6609571438493065</v>
      </c>
      <c r="M45" s="19">
        <v>0</v>
      </c>
      <c r="N45" s="15">
        <f t="shared" si="7"/>
        <v>38770.245185878011</v>
      </c>
      <c r="O45" s="15">
        <f t="shared" si="3"/>
        <v>40458.000000000007</v>
      </c>
      <c r="P45" s="19">
        <f t="shared" si="0"/>
        <v>16998.277980399198</v>
      </c>
      <c r="Q45" s="19">
        <f t="shared" si="1"/>
        <v>173.60382750306641</v>
      </c>
      <c r="R45" s="28">
        <f t="shared" si="4"/>
        <v>430780.50206531218</v>
      </c>
      <c r="S45" s="28">
        <f t="shared" si="5"/>
        <v>92423.184502732198</v>
      </c>
    </row>
    <row r="46" spans="1:19" x14ac:dyDescent="0.25">
      <c r="J46" s="19">
        <v>21</v>
      </c>
      <c r="K46" s="15">
        <f t="shared" si="6"/>
        <v>809.16000000000008</v>
      </c>
      <c r="L46" s="17">
        <f t="shared" si="2"/>
        <v>5.0338337153572512</v>
      </c>
      <c r="M46" s="19">
        <v>0</v>
      </c>
      <c r="N46" s="15">
        <f t="shared" si="7"/>
        <v>38770.245185878011</v>
      </c>
      <c r="O46" s="15">
        <f t="shared" si="3"/>
        <v>40458.000000000007</v>
      </c>
      <c r="P46" s="19">
        <f t="shared" si="0"/>
        <v>15739.146278147406</v>
      </c>
      <c r="Q46" s="19">
        <f t="shared" si="1"/>
        <v>160.74428472506148</v>
      </c>
      <c r="R46" s="28">
        <f t="shared" si="4"/>
        <v>387702.45185878105</v>
      </c>
      <c r="S46" s="28">
        <f t="shared" si="5"/>
        <v>77019.32041894352</v>
      </c>
    </row>
    <row r="47" spans="1:19" x14ac:dyDescent="0.25">
      <c r="J47" s="19">
        <v>22</v>
      </c>
      <c r="K47" s="15">
        <f t="shared" si="6"/>
        <v>809.16000000000008</v>
      </c>
      <c r="L47" s="17">
        <f t="shared" si="2"/>
        <v>5.4365404125858321</v>
      </c>
      <c r="M47" s="19">
        <v>0</v>
      </c>
      <c r="N47" s="15">
        <f t="shared" si="7"/>
        <v>38770.245185878011</v>
      </c>
      <c r="O47" s="15">
        <f t="shared" si="3"/>
        <v>40458.000000000007</v>
      </c>
      <c r="P47" s="19">
        <f t="shared" si="0"/>
        <v>14573.283590877227</v>
      </c>
      <c r="Q47" s="19">
        <f t="shared" si="1"/>
        <v>148.8373006713532</v>
      </c>
      <c r="R47" s="28">
        <f t="shared" si="4"/>
        <v>344624.40165224992</v>
      </c>
      <c r="S47" s="28">
        <f t="shared" si="5"/>
        <v>63390.387176085205</v>
      </c>
    </row>
    <row r="48" spans="1:19" x14ac:dyDescent="0.25">
      <c r="J48" s="19">
        <v>23</v>
      </c>
      <c r="K48" s="15">
        <f t="shared" si="6"/>
        <v>809.16000000000008</v>
      </c>
      <c r="L48" s="17">
        <f t="shared" si="2"/>
        <v>5.8714636455926987</v>
      </c>
      <c r="M48" s="19">
        <v>0</v>
      </c>
      <c r="N48" s="15">
        <f t="shared" si="7"/>
        <v>38770.245185878011</v>
      </c>
      <c r="O48" s="15">
        <f t="shared" si="3"/>
        <v>40458.000000000007</v>
      </c>
      <c r="P48" s="19">
        <f t="shared" si="0"/>
        <v>13493.781102664097</v>
      </c>
      <c r="Q48" s="19">
        <f t="shared" si="1"/>
        <v>137.81231543643815</v>
      </c>
      <c r="R48" s="28">
        <f t="shared" si="4"/>
        <v>301546.35144571878</v>
      </c>
      <c r="S48" s="28">
        <f t="shared" si="5"/>
        <v>51357.952573217197</v>
      </c>
    </row>
    <row r="49" spans="10:19" x14ac:dyDescent="0.25">
      <c r="J49" s="19">
        <v>24</v>
      </c>
      <c r="K49" s="15">
        <f t="shared" si="6"/>
        <v>809.16000000000008</v>
      </c>
      <c r="L49" s="17">
        <f t="shared" si="2"/>
        <v>6.3411807372401148</v>
      </c>
      <c r="M49" s="19">
        <v>0</v>
      </c>
      <c r="N49" s="15">
        <f t="shared" si="7"/>
        <v>38770.245185878011</v>
      </c>
      <c r="O49" s="15">
        <f t="shared" si="3"/>
        <v>40458.000000000007</v>
      </c>
      <c r="P49" s="19">
        <f t="shared" si="0"/>
        <v>12494.241761726016</v>
      </c>
      <c r="Q49" s="19">
        <f t="shared" si="1"/>
        <v>127.60399577447977</v>
      </c>
      <c r="R49" s="28">
        <f t="shared" si="4"/>
        <v>258468.30123918765</v>
      </c>
      <c r="S49" s="28">
        <f t="shared" si="5"/>
        <v>40760.279820013668</v>
      </c>
    </row>
    <row r="50" spans="10:19" x14ac:dyDescent="0.25">
      <c r="J50" s="19">
        <v>25</v>
      </c>
      <c r="K50" s="15">
        <f t="shared" si="6"/>
        <v>809.16000000000008</v>
      </c>
      <c r="L50" s="17">
        <f t="shared" si="2"/>
        <v>6.8484751962193249</v>
      </c>
      <c r="M50" s="19">
        <v>0</v>
      </c>
      <c r="N50" s="15">
        <f t="shared" si="7"/>
        <v>38770.245185878011</v>
      </c>
      <c r="O50" s="15">
        <f t="shared" si="3"/>
        <v>40458.000000000007</v>
      </c>
      <c r="P50" s="19">
        <f t="shared" si="0"/>
        <v>11568.742371968532</v>
      </c>
      <c r="Q50" s="19">
        <f t="shared" si="1"/>
        <v>118.15184793933309</v>
      </c>
      <c r="R50" s="28">
        <f t="shared" si="4"/>
        <v>215390.25103265652</v>
      </c>
      <c r="S50" s="28">
        <f t="shared" si="5"/>
        <v>31450.833194455008</v>
      </c>
    </row>
    <row r="51" spans="10:19" x14ac:dyDescent="0.25">
      <c r="J51" s="19">
        <v>26</v>
      </c>
      <c r="K51" s="15">
        <f t="shared" si="6"/>
        <v>809.16000000000008</v>
      </c>
      <c r="L51" s="17">
        <f t="shared" si="2"/>
        <v>7.3963532119168702</v>
      </c>
      <c r="M51" s="19">
        <v>0</v>
      </c>
      <c r="N51" s="15">
        <f t="shared" si="7"/>
        <v>38770.245185878011</v>
      </c>
      <c r="O51" s="15">
        <f t="shared" si="3"/>
        <v>40458.000000000007</v>
      </c>
      <c r="P51" s="19">
        <f t="shared" si="0"/>
        <v>10711.798492563457</v>
      </c>
      <c r="Q51" s="19">
        <f t="shared" si="1"/>
        <v>109.39985920308621</v>
      </c>
      <c r="R51" s="28">
        <f t="shared" si="4"/>
        <v>172312.20082612539</v>
      </c>
      <c r="S51" s="28">
        <f t="shared" si="5"/>
        <v>23296.913477374106</v>
      </c>
    </row>
    <row r="52" spans="10:19" x14ac:dyDescent="0.25">
      <c r="J52" s="19">
        <v>27</v>
      </c>
      <c r="K52" s="15">
        <f t="shared" si="6"/>
        <v>809.16000000000008</v>
      </c>
      <c r="L52" s="17">
        <f t="shared" si="2"/>
        <v>7.9880614688702201</v>
      </c>
      <c r="M52" s="19">
        <v>0</v>
      </c>
      <c r="N52" s="15">
        <f t="shared" si="7"/>
        <v>38770.245185878011</v>
      </c>
      <c r="O52" s="15">
        <f t="shared" si="3"/>
        <v>40458.000000000007</v>
      </c>
      <c r="P52" s="19">
        <f t="shared" si="0"/>
        <v>9918.3319375587562</v>
      </c>
      <c r="Q52" s="19">
        <f t="shared" si="1"/>
        <v>101.29616592878352</v>
      </c>
      <c r="R52" s="28">
        <f t="shared" si="4"/>
        <v>129234.15061959426</v>
      </c>
      <c r="S52" s="28">
        <f t="shared" si="5"/>
        <v>16178.412137065379</v>
      </c>
    </row>
    <row r="53" spans="10:19" x14ac:dyDescent="0.25">
      <c r="J53" s="19">
        <v>28</v>
      </c>
      <c r="K53" s="15">
        <f t="shared" si="6"/>
        <v>809.16000000000008</v>
      </c>
      <c r="L53" s="17">
        <f t="shared" si="2"/>
        <v>8.6271063863798378</v>
      </c>
      <c r="M53" s="19">
        <v>0</v>
      </c>
      <c r="N53" s="15">
        <f t="shared" si="7"/>
        <v>38770.245185878011</v>
      </c>
      <c r="O53" s="15">
        <f t="shared" si="3"/>
        <v>40458.000000000007</v>
      </c>
      <c r="P53" s="19">
        <f t="shared" si="0"/>
        <v>9183.6406829247735</v>
      </c>
      <c r="Q53" s="19">
        <f t="shared" si="1"/>
        <v>93.792746230355121</v>
      </c>
      <c r="R53" s="28">
        <f t="shared" si="4"/>
        <v>86156.100413063134</v>
      </c>
      <c r="S53" s="28">
        <f t="shared" si="5"/>
        <v>9986.6741586823664</v>
      </c>
    </row>
    <row r="54" spans="10:19" x14ac:dyDescent="0.25">
      <c r="J54" s="19">
        <v>29</v>
      </c>
      <c r="K54" s="15">
        <f t="shared" si="6"/>
        <v>809.16000000000008</v>
      </c>
      <c r="L54" s="17">
        <f t="shared" si="2"/>
        <v>9.3172748972902255</v>
      </c>
      <c r="M54" s="19">
        <v>0</v>
      </c>
      <c r="N54" s="15">
        <f t="shared" si="7"/>
        <v>38770.245185878011</v>
      </c>
      <c r="O54" s="15">
        <f t="shared" si="3"/>
        <v>40458.000000000007</v>
      </c>
      <c r="P54" s="19">
        <f t="shared" si="0"/>
        <v>8503.3710027081233</v>
      </c>
      <c r="Q54" s="19">
        <f t="shared" si="1"/>
        <v>86.845135398476955</v>
      </c>
      <c r="R54" s="28">
        <f t="shared" si="4"/>
        <v>43078.050206532011</v>
      </c>
      <c r="S54" s="28">
        <f t="shared" si="5"/>
        <v>4623.4602586492911</v>
      </c>
    </row>
    <row r="55" spans="10:19" x14ac:dyDescent="0.25">
      <c r="J55" s="19">
        <v>30</v>
      </c>
      <c r="K55" s="15">
        <f t="shared" si="6"/>
        <v>809.16000000000008</v>
      </c>
      <c r="L55" s="17">
        <f t="shared" si="2"/>
        <v>10.062656889073445</v>
      </c>
      <c r="M55" s="19">
        <v>0</v>
      </c>
      <c r="N55" s="15">
        <f t="shared" si="7"/>
        <v>38770.245185878011</v>
      </c>
      <c r="O55" s="15">
        <f t="shared" si="3"/>
        <v>40458.000000000007</v>
      </c>
      <c r="P55" s="19">
        <f t="shared" si="0"/>
        <v>7873.4916691741873</v>
      </c>
      <c r="Q55" s="19">
        <f t="shared" si="1"/>
        <v>80.412162405997165</v>
      </c>
      <c r="R55" s="28">
        <f t="shared" si="4"/>
        <v>8.8766682893037796E-10</v>
      </c>
      <c r="S55" s="28">
        <f t="shared" si="5"/>
        <v>8.8213961652041691E-11</v>
      </c>
    </row>
  </sheetData>
  <mergeCells count="4">
    <mergeCell ref="G10:H10"/>
    <mergeCell ref="G11:H11"/>
    <mergeCell ref="A1:B1"/>
    <mergeCell ref="R23:S2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opLeftCell="A7" workbookViewId="0">
      <selection activeCell="I15" sqref="I15"/>
    </sheetView>
  </sheetViews>
  <sheetFormatPr defaultRowHeight="15" x14ac:dyDescent="0.25"/>
  <cols>
    <col min="1" max="1" width="31.85546875" bestFit="1" customWidth="1"/>
    <col min="2" max="2" width="9.140625" customWidth="1"/>
    <col min="3" max="3" width="5.85546875" customWidth="1"/>
    <col min="4" max="4" width="9.140625" style="34"/>
    <col min="5" max="5" width="24.85546875" style="24" bestFit="1" customWidth="1"/>
    <col min="6" max="6" width="12.85546875" style="34" bestFit="1" customWidth="1"/>
    <col min="7" max="7" width="11.85546875" style="34" customWidth="1"/>
    <col min="8" max="8" width="12.42578125" style="34" customWidth="1"/>
    <col min="9" max="9" width="10.28515625" style="34" customWidth="1"/>
    <col min="10" max="10" width="18" style="34" bestFit="1" customWidth="1"/>
    <col min="11" max="11" width="13.140625" style="34" customWidth="1"/>
    <col min="12" max="12" width="19.7109375" style="34" customWidth="1"/>
    <col min="13" max="13" width="23.7109375" style="34" bestFit="1" customWidth="1"/>
    <col min="14" max="14" width="12.5703125" style="34" bestFit="1" customWidth="1"/>
    <col min="15" max="15" width="10" style="34" customWidth="1"/>
    <col min="16" max="16" width="10.7109375" style="34" customWidth="1"/>
    <col min="17" max="17" width="14.140625" style="34" bestFit="1" customWidth="1"/>
    <col min="18" max="19" width="23.7109375" style="34" bestFit="1" customWidth="1"/>
  </cols>
  <sheetData>
    <row r="1" spans="1:10" x14ac:dyDescent="0.25">
      <c r="A1" s="69" t="s">
        <v>66</v>
      </c>
      <c r="B1" s="70"/>
    </row>
    <row r="2" spans="1:10" x14ac:dyDescent="0.25">
      <c r="A2" s="59" t="s">
        <v>67</v>
      </c>
      <c r="B2" s="35">
        <v>1000</v>
      </c>
      <c r="E2" s="25" t="s">
        <v>22</v>
      </c>
      <c r="F2" s="25"/>
      <c r="G2" s="25"/>
    </row>
    <row r="3" spans="1:10" x14ac:dyDescent="0.25">
      <c r="A3" s="3" t="s">
        <v>78</v>
      </c>
      <c r="B3" s="43">
        <v>0.5</v>
      </c>
      <c r="D3" s="34">
        <v>1</v>
      </c>
      <c r="E3" s="24" t="s">
        <v>17</v>
      </c>
      <c r="F3" s="27">
        <f>(A23/A17)*A20</f>
        <v>294240000</v>
      </c>
      <c r="G3" s="34" t="s">
        <v>20</v>
      </c>
    </row>
    <row r="4" spans="1:10" x14ac:dyDescent="0.25">
      <c r="A4" s="3" t="s">
        <v>3</v>
      </c>
      <c r="B4" s="37">
        <v>9000</v>
      </c>
      <c r="D4" s="34">
        <v>2</v>
      </c>
      <c r="E4" s="24" t="s">
        <v>18</v>
      </c>
      <c r="F4" s="27">
        <f>F3*(1+B7)/8760</f>
        <v>35268.493150684932</v>
      </c>
      <c r="G4" s="34" t="s">
        <v>21</v>
      </c>
    </row>
    <row r="5" spans="1:10" x14ac:dyDescent="0.25">
      <c r="A5" s="3" t="s">
        <v>4</v>
      </c>
      <c r="B5" s="36">
        <v>5000</v>
      </c>
      <c r="D5" s="34">
        <v>3</v>
      </c>
      <c r="E5" s="24" t="s">
        <v>19</v>
      </c>
      <c r="F5" s="27">
        <f>F4/B11</f>
        <v>35268.493150684932</v>
      </c>
      <c r="G5" s="34" t="s">
        <v>21</v>
      </c>
    </row>
    <row r="6" spans="1:10" x14ac:dyDescent="0.25">
      <c r="A6" s="3" t="s">
        <v>9</v>
      </c>
      <c r="B6" s="5">
        <v>0.03</v>
      </c>
      <c r="J6" s="18"/>
    </row>
    <row r="7" spans="1:10" x14ac:dyDescent="0.25">
      <c r="A7" s="3" t="s">
        <v>68</v>
      </c>
      <c r="B7" s="5">
        <v>0.05</v>
      </c>
      <c r="E7" s="25" t="s">
        <v>23</v>
      </c>
      <c r="F7" s="25"/>
      <c r="G7" s="25"/>
    </row>
    <row r="8" spans="1:10" x14ac:dyDescent="0.25">
      <c r="A8" s="3" t="s">
        <v>6</v>
      </c>
      <c r="B8" s="36">
        <v>100</v>
      </c>
      <c r="D8" s="34">
        <v>4</v>
      </c>
      <c r="E8" s="24" t="s">
        <v>71</v>
      </c>
      <c r="F8" s="41">
        <v>5</v>
      </c>
      <c r="G8" s="34" t="s">
        <v>36</v>
      </c>
    </row>
    <row r="9" spans="1:10" x14ac:dyDescent="0.25">
      <c r="A9" s="3" t="s">
        <v>69</v>
      </c>
      <c r="B9" s="36">
        <v>5000</v>
      </c>
      <c r="D9" s="34">
        <v>5</v>
      </c>
      <c r="E9" s="24" t="s">
        <v>72</v>
      </c>
      <c r="F9" s="41">
        <f>'GRID LCoE Calculation'!F16*0.75</f>
        <v>9.9975000000000023</v>
      </c>
      <c r="G9" s="34" t="s">
        <v>36</v>
      </c>
    </row>
    <row r="10" spans="1:10" x14ac:dyDescent="0.25">
      <c r="A10" s="3" t="s">
        <v>70</v>
      </c>
      <c r="B10" s="5">
        <v>0.02</v>
      </c>
      <c r="D10" s="34">
        <v>6</v>
      </c>
      <c r="E10" s="24" t="s">
        <v>73</v>
      </c>
      <c r="F10" s="41">
        <f>F8*B4</f>
        <v>45000</v>
      </c>
      <c r="G10" s="34" t="s">
        <v>77</v>
      </c>
      <c r="H10" s="23"/>
    </row>
    <row r="11" spans="1:10" x14ac:dyDescent="0.25">
      <c r="A11" s="3" t="s">
        <v>8</v>
      </c>
      <c r="B11" s="43">
        <v>1</v>
      </c>
      <c r="D11" s="34">
        <v>7</v>
      </c>
      <c r="E11" s="24" t="s">
        <v>74</v>
      </c>
      <c r="F11" s="41">
        <f>F9*B5</f>
        <v>49987.500000000015</v>
      </c>
      <c r="G11" s="34" t="s">
        <v>77</v>
      </c>
      <c r="H11" s="23"/>
    </row>
    <row r="12" spans="1:10" x14ac:dyDescent="0.25">
      <c r="A12" s="3" t="s">
        <v>11</v>
      </c>
      <c r="B12" s="36">
        <v>30</v>
      </c>
      <c r="D12" s="34">
        <v>8</v>
      </c>
      <c r="E12" s="24" t="s">
        <v>80</v>
      </c>
      <c r="F12" s="41">
        <f>F10+F11+(A23/A17)*B8</f>
        <v>8094987.5</v>
      </c>
      <c r="G12" s="34" t="s">
        <v>77</v>
      </c>
    </row>
    <row r="13" spans="1:10" ht="15.75" thickBot="1" x14ac:dyDescent="0.3">
      <c r="A13" s="6" t="s">
        <v>10</v>
      </c>
      <c r="B13" s="55">
        <v>0.08</v>
      </c>
      <c r="D13" s="34">
        <v>9</v>
      </c>
      <c r="E13" s="30" t="s">
        <v>75</v>
      </c>
      <c r="F13" s="42">
        <f>F12*B6</f>
        <v>242849.625</v>
      </c>
      <c r="G13" s="32" t="s">
        <v>77</v>
      </c>
    </row>
    <row r="14" spans="1:10" ht="15.75" thickTop="1" x14ac:dyDescent="0.25">
      <c r="A14" s="49"/>
      <c r="B14" s="49"/>
      <c r="D14" s="34">
        <v>10</v>
      </c>
      <c r="E14" s="24" t="s">
        <v>76</v>
      </c>
      <c r="F14" s="41">
        <f>F5/B3</f>
        <v>70536.986301369863</v>
      </c>
      <c r="G14" s="34" t="s">
        <v>21</v>
      </c>
    </row>
    <row r="15" spans="1:10" ht="15.75" thickBot="1" x14ac:dyDescent="0.3">
      <c r="A15" s="8" t="s">
        <v>12</v>
      </c>
      <c r="B15" s="50"/>
      <c r="D15" s="34">
        <v>11</v>
      </c>
      <c r="E15" s="30" t="s">
        <v>79</v>
      </c>
      <c r="F15" s="42">
        <f>F14*B9</f>
        <v>352684931.50684929</v>
      </c>
      <c r="G15" s="32" t="s">
        <v>77</v>
      </c>
    </row>
    <row r="16" spans="1:10" ht="15.75" thickTop="1" x14ac:dyDescent="0.25">
      <c r="A16" s="9" t="s">
        <v>13</v>
      </c>
      <c r="B16" s="51"/>
      <c r="D16" s="34">
        <v>13</v>
      </c>
      <c r="E16" s="44" t="s">
        <v>81</v>
      </c>
      <c r="F16" s="45">
        <f>F12+F15</f>
        <v>360779919.00684929</v>
      </c>
      <c r="G16" s="46" t="s">
        <v>77</v>
      </c>
      <c r="H16" s="46"/>
    </row>
    <row r="17" spans="1:19" ht="15.75" thickBot="1" x14ac:dyDescent="0.3">
      <c r="A17" s="40">
        <v>5</v>
      </c>
      <c r="B17" s="52"/>
      <c r="D17" s="34">
        <v>14</v>
      </c>
      <c r="E17" s="30" t="s">
        <v>82</v>
      </c>
      <c r="F17" s="42">
        <f>F4*8760/1000</f>
        <v>308952</v>
      </c>
      <c r="G17" s="32" t="s">
        <v>83</v>
      </c>
      <c r="H17" s="46"/>
    </row>
    <row r="18" spans="1:19" ht="15.75" thickTop="1" x14ac:dyDescent="0.25">
      <c r="D18" s="34">
        <v>15</v>
      </c>
      <c r="E18" s="56" t="s">
        <v>59</v>
      </c>
      <c r="F18" s="57">
        <f>(SUM(J23:J53)-M53)/SUM(K23:K53)/1000</f>
        <v>0.12734567984082767</v>
      </c>
      <c r="G18" s="58" t="s">
        <v>84</v>
      </c>
      <c r="H18" s="46"/>
      <c r="I18" s="18"/>
      <c r="J18" s="23"/>
    </row>
    <row r="19" spans="1:19" x14ac:dyDescent="0.25">
      <c r="A19" s="53" t="s">
        <v>14</v>
      </c>
      <c r="C19" s="34"/>
    </row>
    <row r="20" spans="1:19" x14ac:dyDescent="0.25">
      <c r="A20" s="40">
        <v>3678</v>
      </c>
      <c r="C20" s="34"/>
    </row>
    <row r="21" spans="1:19" x14ac:dyDescent="0.25">
      <c r="A21" s="38"/>
      <c r="C21" s="34"/>
      <c r="N21" s="41"/>
      <c r="O21" s="41"/>
      <c r="P21" s="41"/>
      <c r="Q21" s="41"/>
      <c r="R21" s="41"/>
    </row>
    <row r="22" spans="1:19" x14ac:dyDescent="0.25">
      <c r="A22" s="53" t="s">
        <v>15</v>
      </c>
      <c r="C22" s="34"/>
      <c r="D22" s="34" t="s">
        <v>53</v>
      </c>
      <c r="E22" s="34" t="s">
        <v>55</v>
      </c>
      <c r="F22" s="34" t="s">
        <v>54</v>
      </c>
      <c r="G22" s="34" t="s">
        <v>57</v>
      </c>
      <c r="H22" s="34" t="s">
        <v>56</v>
      </c>
      <c r="I22" s="34" t="s">
        <v>58</v>
      </c>
      <c r="J22" s="34" t="s">
        <v>60</v>
      </c>
      <c r="K22" s="34" t="s">
        <v>61</v>
      </c>
      <c r="L22" s="34" t="s">
        <v>62</v>
      </c>
      <c r="M22" s="34" t="s">
        <v>63</v>
      </c>
      <c r="N22" s="41"/>
      <c r="O22" s="41"/>
      <c r="P22" s="41"/>
      <c r="Q22" s="41"/>
      <c r="R22" s="41"/>
      <c r="S22" s="54"/>
    </row>
    <row r="23" spans="1:19" x14ac:dyDescent="0.25">
      <c r="A23" s="40">
        <v>400000</v>
      </c>
      <c r="C23" s="34"/>
      <c r="D23" s="34">
        <v>0</v>
      </c>
      <c r="E23" s="18">
        <v>0</v>
      </c>
      <c r="F23" s="34">
        <f>(1+$B$13)^D23</f>
        <v>1</v>
      </c>
      <c r="G23" s="28">
        <f>F16</f>
        <v>360779919.00684929</v>
      </c>
      <c r="H23" s="34">
        <v>0</v>
      </c>
      <c r="I23" s="34">
        <v>0</v>
      </c>
      <c r="J23" s="34">
        <f>(G23+H23+I23)/F23</f>
        <v>360779919.00684929</v>
      </c>
      <c r="K23" s="34">
        <f>E23/F23</f>
        <v>0</v>
      </c>
      <c r="L23" s="28">
        <f>G23</f>
        <v>360779919.00684929</v>
      </c>
      <c r="M23" s="28">
        <f>L23*F23</f>
        <v>360779919.00684929</v>
      </c>
      <c r="N23" s="41"/>
      <c r="O23" s="41"/>
      <c r="P23" s="41"/>
      <c r="Q23" s="41"/>
      <c r="R23" s="41"/>
    </row>
    <row r="24" spans="1:19" x14ac:dyDescent="0.25">
      <c r="C24" s="34"/>
      <c r="D24" s="34">
        <v>1</v>
      </c>
      <c r="E24" s="15">
        <f>F17</f>
        <v>308952</v>
      </c>
      <c r="F24" s="34">
        <f t="shared" ref="F24:F53" si="0">(1+$B$13)^D24</f>
        <v>1.08</v>
      </c>
      <c r="G24" s="34">
        <v>0</v>
      </c>
      <c r="H24" s="15">
        <f>F13+(B9*B10*F14)</f>
        <v>7296548.2551369863</v>
      </c>
      <c r="I24" s="22">
        <f>0</f>
        <v>0</v>
      </c>
      <c r="J24" s="34">
        <f t="shared" ref="J24:J53" si="1">(G24+H24+I24)/F24</f>
        <v>6756063.1992009124</v>
      </c>
      <c r="K24" s="34">
        <f t="shared" ref="K24:K53" si="2">E24/F24</f>
        <v>286066.66666666663</v>
      </c>
      <c r="L24" s="28">
        <f t="shared" ref="L24:L53" si="3">L23-($G$23/$B$12)</f>
        <v>348753921.70662099</v>
      </c>
      <c r="M24" s="28">
        <f>L24/F24</f>
        <v>322920297.8765009</v>
      </c>
      <c r="N24" s="41"/>
      <c r="O24" s="41"/>
      <c r="P24" s="41"/>
      <c r="Q24" s="41"/>
      <c r="R24" s="41"/>
    </row>
    <row r="25" spans="1:19" x14ac:dyDescent="0.25">
      <c r="A25" s="53" t="s">
        <v>16</v>
      </c>
      <c r="C25" s="34"/>
      <c r="D25" s="34">
        <v>2</v>
      </c>
      <c r="E25" s="15">
        <f>E24</f>
        <v>308952</v>
      </c>
      <c r="F25" s="34">
        <f t="shared" si="0"/>
        <v>1.1664000000000001</v>
      </c>
      <c r="G25" s="34">
        <v>0</v>
      </c>
      <c r="H25" s="15">
        <f>H24</f>
        <v>7296548.2551369863</v>
      </c>
      <c r="I25" s="22">
        <f>0</f>
        <v>0</v>
      </c>
      <c r="J25" s="34">
        <f t="shared" si="1"/>
        <v>6255614.073334178</v>
      </c>
      <c r="K25" s="34">
        <f t="shared" si="2"/>
        <v>264876.54320987652</v>
      </c>
      <c r="L25" s="28">
        <f t="shared" si="3"/>
        <v>336727924.40639269</v>
      </c>
      <c r="M25" s="28">
        <f t="shared" ref="M25:M40" si="4">L25/F25</f>
        <v>288689921.47324473</v>
      </c>
      <c r="N25" s="41"/>
      <c r="O25" s="41"/>
      <c r="P25" s="41"/>
      <c r="Q25" s="41"/>
      <c r="R25" s="41"/>
    </row>
    <row r="26" spans="1:19" x14ac:dyDescent="0.25">
      <c r="A26" s="40">
        <v>50</v>
      </c>
      <c r="C26" s="34"/>
      <c r="D26" s="34">
        <v>3</v>
      </c>
      <c r="E26" s="15">
        <f t="shared" ref="E26:E53" si="5">E25</f>
        <v>308952</v>
      </c>
      <c r="F26" s="34">
        <f t="shared" si="0"/>
        <v>1.2597120000000002</v>
      </c>
      <c r="G26" s="34">
        <v>0</v>
      </c>
      <c r="H26" s="15">
        <f t="shared" ref="H26:H53" si="6">H25</f>
        <v>7296548.2551369863</v>
      </c>
      <c r="I26" s="22">
        <f>0</f>
        <v>0</v>
      </c>
      <c r="J26" s="34">
        <f t="shared" si="1"/>
        <v>5792235.2530872021</v>
      </c>
      <c r="K26" s="34">
        <f t="shared" si="2"/>
        <v>245256.05852766344</v>
      </c>
      <c r="L26" s="28">
        <f t="shared" si="3"/>
        <v>324701927.1061644</v>
      </c>
      <c r="M26" s="28">
        <f t="shared" si="4"/>
        <v>257758858.45825422</v>
      </c>
      <c r="N26" s="41"/>
      <c r="O26" s="41"/>
      <c r="P26" s="41"/>
      <c r="Q26" s="41"/>
      <c r="R26" s="41"/>
    </row>
    <row r="27" spans="1:19" x14ac:dyDescent="0.25">
      <c r="C27" s="34"/>
      <c r="D27" s="34">
        <v>4</v>
      </c>
      <c r="E27" s="15">
        <f t="shared" si="5"/>
        <v>308952</v>
      </c>
      <c r="F27" s="34">
        <f t="shared" si="0"/>
        <v>1.3604889600000003</v>
      </c>
      <c r="G27" s="34">
        <v>0</v>
      </c>
      <c r="H27" s="15">
        <f t="shared" si="6"/>
        <v>7296548.2551369863</v>
      </c>
      <c r="I27" s="22">
        <f>0</f>
        <v>0</v>
      </c>
      <c r="J27" s="34">
        <f t="shared" si="1"/>
        <v>5363180.7898955569</v>
      </c>
      <c r="K27" s="34">
        <f t="shared" si="2"/>
        <v>227088.94308116983</v>
      </c>
      <c r="L27" s="28">
        <f t="shared" si="3"/>
        <v>312675929.8059361</v>
      </c>
      <c r="M27" s="28">
        <f t="shared" si="4"/>
        <v>229826142.65825137</v>
      </c>
      <c r="N27" s="41"/>
      <c r="O27" s="41"/>
      <c r="P27" s="41"/>
      <c r="Q27" s="41"/>
      <c r="R27" s="41"/>
    </row>
    <row r="28" spans="1:19" x14ac:dyDescent="0.25">
      <c r="A28" s="20" t="s">
        <v>24</v>
      </c>
      <c r="C28" s="34"/>
      <c r="D28" s="34">
        <v>5</v>
      </c>
      <c r="E28" s="15">
        <f t="shared" si="5"/>
        <v>308952</v>
      </c>
      <c r="F28" s="34">
        <f t="shared" si="0"/>
        <v>1.4693280768000003</v>
      </c>
      <c r="G28" s="34">
        <v>0</v>
      </c>
      <c r="H28" s="15">
        <f t="shared" si="6"/>
        <v>7296548.2551369863</v>
      </c>
      <c r="I28" s="22">
        <f>0</f>
        <v>0</v>
      </c>
      <c r="J28" s="34">
        <f t="shared" si="1"/>
        <v>4965908.1387921823</v>
      </c>
      <c r="K28" s="34">
        <f t="shared" si="2"/>
        <v>210267.53988997207</v>
      </c>
      <c r="L28" s="28">
        <f t="shared" si="3"/>
        <v>300649932.5057078</v>
      </c>
      <c r="M28" s="28">
        <f t="shared" si="4"/>
        <v>204617292.25271669</v>
      </c>
      <c r="N28" s="41"/>
      <c r="O28" s="41"/>
      <c r="P28" s="41"/>
      <c r="Q28" s="41"/>
      <c r="R28" s="41"/>
    </row>
    <row r="29" spans="1:19" x14ac:dyDescent="0.25">
      <c r="A29" s="39">
        <v>100</v>
      </c>
      <c r="C29" s="34"/>
      <c r="D29" s="34">
        <v>6</v>
      </c>
      <c r="E29" s="15">
        <f t="shared" si="5"/>
        <v>308952</v>
      </c>
      <c r="F29" s="34">
        <f t="shared" si="0"/>
        <v>1.5868743229440005</v>
      </c>
      <c r="G29" s="34">
        <v>0</v>
      </c>
      <c r="H29" s="15">
        <f t="shared" si="6"/>
        <v>7296548.2551369863</v>
      </c>
      <c r="I29" s="22">
        <f>0</f>
        <v>0</v>
      </c>
      <c r="J29" s="34">
        <f t="shared" si="1"/>
        <v>4598063.0914742425</v>
      </c>
      <c r="K29" s="34">
        <f t="shared" si="2"/>
        <v>194692.16656478893</v>
      </c>
      <c r="L29" s="28">
        <f t="shared" si="3"/>
        <v>288623935.2054795</v>
      </c>
      <c r="M29" s="28">
        <f t="shared" si="4"/>
        <v>181882037.55797037</v>
      </c>
      <c r="N29" s="41"/>
      <c r="O29" s="41"/>
      <c r="P29" s="41"/>
      <c r="Q29" s="41"/>
      <c r="R29" s="41"/>
    </row>
    <row r="30" spans="1:19" x14ac:dyDescent="0.25">
      <c r="C30" s="34"/>
      <c r="D30" s="34">
        <v>7</v>
      </c>
      <c r="E30" s="15">
        <f t="shared" si="5"/>
        <v>308952</v>
      </c>
      <c r="F30" s="34">
        <f t="shared" si="0"/>
        <v>1.7138242687795207</v>
      </c>
      <c r="G30" s="34">
        <v>0</v>
      </c>
      <c r="H30" s="15">
        <f t="shared" si="6"/>
        <v>7296548.2551369863</v>
      </c>
      <c r="I30" s="22">
        <f>0</f>
        <v>0</v>
      </c>
      <c r="J30" s="34">
        <f t="shared" si="1"/>
        <v>4257465.8254391132</v>
      </c>
      <c r="K30" s="34">
        <f t="shared" si="2"/>
        <v>180270.52459702679</v>
      </c>
      <c r="L30" s="28">
        <f t="shared" si="3"/>
        <v>276597937.9052512</v>
      </c>
      <c r="M30" s="28">
        <f t="shared" si="4"/>
        <v>161392240.11702618</v>
      </c>
      <c r="N30" s="41"/>
      <c r="O30" s="41"/>
      <c r="P30" s="41"/>
      <c r="Q30" s="41"/>
      <c r="R30" s="41"/>
    </row>
    <row r="31" spans="1:19" x14ac:dyDescent="0.25">
      <c r="C31" s="34"/>
      <c r="D31" s="34">
        <v>8</v>
      </c>
      <c r="E31" s="15">
        <f t="shared" si="5"/>
        <v>308952</v>
      </c>
      <c r="F31" s="34">
        <f t="shared" si="0"/>
        <v>1.8509302102818823</v>
      </c>
      <c r="G31" s="34">
        <v>0</v>
      </c>
      <c r="H31" s="15">
        <f t="shared" si="6"/>
        <v>7296548.2551369863</v>
      </c>
      <c r="I31" s="22">
        <f>0</f>
        <v>0</v>
      </c>
      <c r="J31" s="34">
        <f t="shared" si="1"/>
        <v>3942097.9865176971</v>
      </c>
      <c r="K31" s="34">
        <f t="shared" si="2"/>
        <v>166917.15240465442</v>
      </c>
      <c r="L31" s="28">
        <f t="shared" si="3"/>
        <v>264571940.60502291</v>
      </c>
      <c r="M31" s="28">
        <f t="shared" si="4"/>
        <v>142939987.22119871</v>
      </c>
      <c r="N31" s="41"/>
      <c r="O31" s="41"/>
      <c r="P31" s="41"/>
      <c r="Q31" s="41"/>
      <c r="R31" s="41"/>
    </row>
    <row r="32" spans="1:19" x14ac:dyDescent="0.25">
      <c r="C32" s="34"/>
      <c r="D32" s="34">
        <v>9</v>
      </c>
      <c r="E32" s="15">
        <f t="shared" si="5"/>
        <v>308952</v>
      </c>
      <c r="F32" s="34">
        <f t="shared" si="0"/>
        <v>1.9990046271044331</v>
      </c>
      <c r="G32" s="34">
        <v>0</v>
      </c>
      <c r="H32" s="15">
        <f t="shared" si="6"/>
        <v>7296548.2551369863</v>
      </c>
      <c r="I32" s="22">
        <f>0</f>
        <v>0</v>
      </c>
      <c r="J32" s="34">
        <f t="shared" si="1"/>
        <v>3650090.7282571266</v>
      </c>
      <c r="K32" s="34">
        <f t="shared" si="2"/>
        <v>154552.91889319851</v>
      </c>
      <c r="L32" s="28">
        <f t="shared" si="3"/>
        <v>252545943.30479461</v>
      </c>
      <c r="M32" s="28">
        <f t="shared" si="4"/>
        <v>126335847.29146351</v>
      </c>
      <c r="N32" s="41"/>
      <c r="O32" s="41"/>
      <c r="P32" s="41"/>
      <c r="Q32" s="41"/>
      <c r="R32" s="41"/>
    </row>
    <row r="33" spans="3:18" x14ac:dyDescent="0.25">
      <c r="C33" s="34"/>
      <c r="D33" s="34">
        <v>10</v>
      </c>
      <c r="E33" s="15">
        <f t="shared" si="5"/>
        <v>308952</v>
      </c>
      <c r="F33" s="34">
        <f t="shared" si="0"/>
        <v>2.1589249972727877</v>
      </c>
      <c r="G33" s="34">
        <v>0</v>
      </c>
      <c r="H33" s="15">
        <f t="shared" si="6"/>
        <v>7296548.2551369863</v>
      </c>
      <c r="I33" s="22">
        <f>0</f>
        <v>0</v>
      </c>
      <c r="J33" s="34">
        <f t="shared" si="1"/>
        <v>3379713.6372751174</v>
      </c>
      <c r="K33" s="34">
        <f t="shared" si="2"/>
        <v>143104.55453073938</v>
      </c>
      <c r="L33" s="28">
        <f t="shared" si="3"/>
        <v>240519946.00456631</v>
      </c>
      <c r="M33" s="28">
        <f t="shared" si="4"/>
        <v>111407272.74379499</v>
      </c>
      <c r="N33" s="41"/>
      <c r="O33" s="41"/>
      <c r="P33" s="41"/>
      <c r="Q33" s="41"/>
      <c r="R33" s="41"/>
    </row>
    <row r="34" spans="3:18" x14ac:dyDescent="0.25">
      <c r="C34" s="34"/>
      <c r="D34" s="34">
        <v>11</v>
      </c>
      <c r="E34" s="15">
        <f t="shared" si="5"/>
        <v>308952</v>
      </c>
      <c r="F34" s="34">
        <f t="shared" si="0"/>
        <v>2.3316389970546108</v>
      </c>
      <c r="G34" s="34">
        <v>0</v>
      </c>
      <c r="H34" s="15">
        <f t="shared" si="6"/>
        <v>7296548.2551369863</v>
      </c>
      <c r="I34" s="22">
        <f>0</f>
        <v>0</v>
      </c>
      <c r="J34" s="34">
        <f t="shared" si="1"/>
        <v>3129364.4789584419</v>
      </c>
      <c r="K34" s="34">
        <f t="shared" si="2"/>
        <v>132504.21715809201</v>
      </c>
      <c r="L34" s="28">
        <f t="shared" si="3"/>
        <v>228493948.70433801</v>
      </c>
      <c r="M34" s="28">
        <f t="shared" si="4"/>
        <v>97997138.061671525</v>
      </c>
      <c r="N34" s="41"/>
      <c r="O34" s="41"/>
      <c r="P34" s="41"/>
      <c r="Q34" s="41"/>
      <c r="R34" s="41"/>
    </row>
    <row r="35" spans="3:18" x14ac:dyDescent="0.25">
      <c r="C35" s="34"/>
      <c r="D35" s="34">
        <v>12</v>
      </c>
      <c r="E35" s="15">
        <f t="shared" si="5"/>
        <v>308952</v>
      </c>
      <c r="F35" s="34">
        <f t="shared" si="0"/>
        <v>2.5181701168189798</v>
      </c>
      <c r="G35" s="34">
        <v>0</v>
      </c>
      <c r="H35" s="15">
        <f t="shared" si="6"/>
        <v>7296548.2551369863</v>
      </c>
      <c r="I35" s="22">
        <f>0</f>
        <v>0</v>
      </c>
      <c r="J35" s="34">
        <f t="shared" si="1"/>
        <v>2897559.7027392979</v>
      </c>
      <c r="K35" s="34">
        <f t="shared" si="2"/>
        <v>122689.0899611963</v>
      </c>
      <c r="L35" s="28">
        <f t="shared" si="3"/>
        <v>216467951.40410972</v>
      </c>
      <c r="M35" s="28">
        <f t="shared" si="4"/>
        <v>85962401.808483794</v>
      </c>
      <c r="N35" s="41"/>
      <c r="O35" s="41"/>
      <c r="P35" s="41"/>
      <c r="Q35" s="41"/>
      <c r="R35" s="41"/>
    </row>
    <row r="36" spans="3:18" x14ac:dyDescent="0.25">
      <c r="C36" s="34"/>
      <c r="D36" s="34">
        <v>13</v>
      </c>
      <c r="E36" s="15">
        <f t="shared" si="5"/>
        <v>308952</v>
      </c>
      <c r="F36" s="34">
        <f t="shared" si="0"/>
        <v>2.7196237261644982</v>
      </c>
      <c r="G36" s="34">
        <v>0</v>
      </c>
      <c r="H36" s="15">
        <f t="shared" si="6"/>
        <v>7296548.2551369863</v>
      </c>
      <c r="I36" s="22">
        <f>0</f>
        <v>0</v>
      </c>
      <c r="J36" s="34">
        <f t="shared" si="1"/>
        <v>2682925.650684535</v>
      </c>
      <c r="K36" s="34">
        <f t="shared" si="2"/>
        <v>113601.00922332991</v>
      </c>
      <c r="L36" s="28">
        <f t="shared" si="3"/>
        <v>204441954.10388142</v>
      </c>
      <c r="M36" s="28">
        <f t="shared" si="4"/>
        <v>75172882.239929244</v>
      </c>
      <c r="N36" s="41"/>
      <c r="O36" s="41"/>
      <c r="P36" s="41"/>
      <c r="Q36" s="41"/>
      <c r="R36" s="41"/>
    </row>
    <row r="37" spans="3:18" x14ac:dyDescent="0.25">
      <c r="C37" s="34"/>
      <c r="D37" s="34">
        <v>14</v>
      </c>
      <c r="E37" s="15">
        <f t="shared" si="5"/>
        <v>308952</v>
      </c>
      <c r="F37" s="34">
        <f t="shared" si="0"/>
        <v>2.9371936242576586</v>
      </c>
      <c r="G37" s="34">
        <v>0</v>
      </c>
      <c r="H37" s="15">
        <f t="shared" si="6"/>
        <v>7296548.2551369863</v>
      </c>
      <c r="I37" s="22">
        <f>0</f>
        <v>0</v>
      </c>
      <c r="J37" s="34">
        <f t="shared" si="1"/>
        <v>2484190.4173004949</v>
      </c>
      <c r="K37" s="34">
        <f t="shared" si="2"/>
        <v>105186.11965123138</v>
      </c>
      <c r="L37" s="28">
        <f t="shared" si="3"/>
        <v>192415956.80365312</v>
      </c>
      <c r="M37" s="28">
        <f t="shared" si="4"/>
        <v>65510137.028260782</v>
      </c>
      <c r="N37" s="41"/>
      <c r="O37" s="41"/>
      <c r="P37" s="41"/>
      <c r="Q37" s="41"/>
      <c r="R37" s="41"/>
    </row>
    <row r="38" spans="3:18" x14ac:dyDescent="0.25">
      <c r="C38" s="34"/>
      <c r="D38" s="34">
        <v>15</v>
      </c>
      <c r="E38" s="15">
        <f t="shared" si="5"/>
        <v>308952</v>
      </c>
      <c r="F38" s="34">
        <f t="shared" si="0"/>
        <v>3.1721691141982715</v>
      </c>
      <c r="G38" s="34">
        <v>0</v>
      </c>
      <c r="H38" s="15">
        <f t="shared" si="6"/>
        <v>7296548.2551369863</v>
      </c>
      <c r="I38" s="22">
        <f>0</f>
        <v>0</v>
      </c>
      <c r="J38" s="34">
        <f t="shared" si="1"/>
        <v>2300176.3123152731</v>
      </c>
      <c r="K38" s="34">
        <f t="shared" si="2"/>
        <v>97394.555232621628</v>
      </c>
      <c r="L38" s="28">
        <f t="shared" si="3"/>
        <v>180389959.50342482</v>
      </c>
      <c r="M38" s="28">
        <f t="shared" si="4"/>
        <v>56866438.392587483</v>
      </c>
      <c r="N38" s="41"/>
      <c r="O38" s="41"/>
      <c r="P38" s="41"/>
      <c r="Q38" s="41"/>
      <c r="R38" s="41"/>
    </row>
    <row r="39" spans="3:18" x14ac:dyDescent="0.25">
      <c r="C39" s="34"/>
      <c r="D39" s="34">
        <v>16</v>
      </c>
      <c r="E39" s="15">
        <f t="shared" si="5"/>
        <v>308952</v>
      </c>
      <c r="F39" s="34">
        <f t="shared" si="0"/>
        <v>3.4259426433341331</v>
      </c>
      <c r="G39" s="34">
        <v>0</v>
      </c>
      <c r="H39" s="15">
        <f t="shared" si="6"/>
        <v>7296548.2551369863</v>
      </c>
      <c r="I39" s="22">
        <f>0</f>
        <v>0</v>
      </c>
      <c r="J39" s="34">
        <f t="shared" si="1"/>
        <v>2129792.8817734011</v>
      </c>
      <c r="K39" s="34">
        <f t="shared" si="2"/>
        <v>90180.143733908917</v>
      </c>
      <c r="L39" s="28">
        <f t="shared" si="3"/>
        <v>168363962.20319653</v>
      </c>
      <c r="M39" s="28">
        <f t="shared" si="4"/>
        <v>49143835.647915117</v>
      </c>
      <c r="N39" s="41"/>
      <c r="O39" s="41"/>
      <c r="P39" s="41"/>
      <c r="Q39" s="41"/>
      <c r="R39" s="41"/>
    </row>
    <row r="40" spans="3:18" x14ac:dyDescent="0.25">
      <c r="C40" s="34"/>
      <c r="D40" s="34">
        <v>17</v>
      </c>
      <c r="E40" s="15">
        <f t="shared" si="5"/>
        <v>308952</v>
      </c>
      <c r="F40" s="34">
        <f t="shared" si="0"/>
        <v>3.7000180548008639</v>
      </c>
      <c r="G40" s="34">
        <v>0</v>
      </c>
      <c r="H40" s="15">
        <f t="shared" si="6"/>
        <v>7296548.2551369863</v>
      </c>
      <c r="I40" s="22">
        <f>0</f>
        <v>0</v>
      </c>
      <c r="J40" s="34">
        <f t="shared" si="1"/>
        <v>1972030.4460864824</v>
      </c>
      <c r="K40" s="34">
        <f t="shared" si="2"/>
        <v>83500.133086952701</v>
      </c>
      <c r="L40" s="28">
        <f t="shared" si="3"/>
        <v>156337964.90296823</v>
      </c>
      <c r="M40" s="28">
        <f t="shared" si="4"/>
        <v>42253297.845429674</v>
      </c>
      <c r="N40" s="41"/>
      <c r="O40" s="41"/>
      <c r="P40" s="41"/>
      <c r="Q40" s="41"/>
      <c r="R40" s="41"/>
    </row>
    <row r="41" spans="3:18" x14ac:dyDescent="0.25">
      <c r="C41" s="34"/>
      <c r="D41" s="34">
        <v>18</v>
      </c>
      <c r="E41" s="15">
        <f t="shared" si="5"/>
        <v>308952</v>
      </c>
      <c r="F41" s="34">
        <f t="shared" si="0"/>
        <v>3.9960194991849334</v>
      </c>
      <c r="G41" s="34">
        <v>0</v>
      </c>
      <c r="H41" s="15">
        <f t="shared" si="6"/>
        <v>7296548.2551369863</v>
      </c>
      <c r="I41" s="22">
        <f>0</f>
        <v>0</v>
      </c>
      <c r="J41" s="34">
        <f t="shared" si="1"/>
        <v>1825954.1167467427</v>
      </c>
      <c r="K41" s="34">
        <f t="shared" si="2"/>
        <v>77314.938043474715</v>
      </c>
      <c r="L41" s="28">
        <f t="shared" si="3"/>
        <v>144311967.60273993</v>
      </c>
      <c r="M41" s="28">
        <f>L41/F41</f>
        <v>36113929.782418527</v>
      </c>
      <c r="N41" s="41"/>
      <c r="O41" s="41"/>
      <c r="P41" s="41"/>
      <c r="Q41" s="41"/>
      <c r="R41" s="41"/>
    </row>
    <row r="42" spans="3:18" x14ac:dyDescent="0.25">
      <c r="C42" s="34"/>
      <c r="D42" s="34">
        <v>19</v>
      </c>
      <c r="E42" s="15">
        <f t="shared" si="5"/>
        <v>308952</v>
      </c>
      <c r="F42" s="34">
        <f t="shared" si="0"/>
        <v>4.3157010591197285</v>
      </c>
      <c r="G42" s="34">
        <v>0</v>
      </c>
      <c r="H42" s="15">
        <f t="shared" si="6"/>
        <v>7296548.2551369863</v>
      </c>
      <c r="I42" s="22">
        <f>0</f>
        <v>0</v>
      </c>
      <c r="J42" s="34">
        <f t="shared" si="1"/>
        <v>1690698.2562469838</v>
      </c>
      <c r="K42" s="34">
        <f t="shared" si="2"/>
        <v>71587.90559580992</v>
      </c>
      <c r="L42" s="28">
        <f t="shared" si="3"/>
        <v>132285970.30251162</v>
      </c>
      <c r="M42" s="28">
        <f t="shared" ref="M42:M53" si="7">L42/F42</f>
        <v>30652255.216558933</v>
      </c>
      <c r="N42" s="41"/>
      <c r="O42" s="41"/>
      <c r="P42" s="41"/>
      <c r="Q42" s="41"/>
      <c r="R42" s="41"/>
    </row>
    <row r="43" spans="3:18" x14ac:dyDescent="0.25">
      <c r="C43" s="34"/>
      <c r="D43" s="34">
        <v>20</v>
      </c>
      <c r="E43" s="15">
        <f t="shared" si="5"/>
        <v>308952</v>
      </c>
      <c r="F43" s="34">
        <f t="shared" si="0"/>
        <v>4.6609571438493065</v>
      </c>
      <c r="G43" s="34">
        <v>0</v>
      </c>
      <c r="H43" s="15">
        <f t="shared" si="6"/>
        <v>7296548.2551369863</v>
      </c>
      <c r="I43" s="22">
        <f>0</f>
        <v>0</v>
      </c>
      <c r="J43" s="34">
        <f t="shared" si="1"/>
        <v>1565461.3483768371</v>
      </c>
      <c r="K43" s="34">
        <f t="shared" si="2"/>
        <v>66285.097773898073</v>
      </c>
      <c r="L43" s="28">
        <f t="shared" si="3"/>
        <v>120259973.0022833</v>
      </c>
      <c r="M43" s="28">
        <f t="shared" si="7"/>
        <v>25801561.63010012</v>
      </c>
      <c r="N43" s="41"/>
      <c r="O43" s="41"/>
      <c r="P43" s="41"/>
      <c r="Q43" s="41"/>
      <c r="R43" s="41"/>
    </row>
    <row r="44" spans="3:18" x14ac:dyDescent="0.25">
      <c r="C44" s="34"/>
      <c r="D44" s="34">
        <v>21</v>
      </c>
      <c r="E44" s="15">
        <f t="shared" si="5"/>
        <v>308952</v>
      </c>
      <c r="F44" s="34">
        <f t="shared" si="0"/>
        <v>5.0338337153572512</v>
      </c>
      <c r="G44" s="34">
        <v>0</v>
      </c>
      <c r="H44" s="15">
        <f t="shared" si="6"/>
        <v>7296548.2551369863</v>
      </c>
      <c r="I44" s="22">
        <f>0</f>
        <v>0</v>
      </c>
      <c r="J44" s="34">
        <f t="shared" si="1"/>
        <v>1449501.2484970712</v>
      </c>
      <c r="K44" s="34">
        <f t="shared" si="2"/>
        <v>61375.090531387104</v>
      </c>
      <c r="L44" s="28">
        <f t="shared" si="3"/>
        <v>108233975.70205499</v>
      </c>
      <c r="M44" s="28">
        <f t="shared" si="7"/>
        <v>21501301.35841677</v>
      </c>
      <c r="N44" s="41"/>
      <c r="O44" s="41"/>
      <c r="P44" s="41"/>
      <c r="Q44" s="41"/>
      <c r="R44" s="41"/>
    </row>
    <row r="45" spans="3:18" x14ac:dyDescent="0.25">
      <c r="C45" s="34"/>
      <c r="D45" s="34">
        <v>22</v>
      </c>
      <c r="E45" s="15">
        <f t="shared" si="5"/>
        <v>308952</v>
      </c>
      <c r="F45" s="34">
        <f t="shared" si="0"/>
        <v>5.4365404125858321</v>
      </c>
      <c r="G45" s="34">
        <v>0</v>
      </c>
      <c r="H45" s="15">
        <f t="shared" si="6"/>
        <v>7296548.2551369863</v>
      </c>
      <c r="I45" s="22">
        <f>0</f>
        <v>0</v>
      </c>
      <c r="J45" s="34">
        <f t="shared" si="1"/>
        <v>1342130.785645436</v>
      </c>
      <c r="K45" s="34">
        <f t="shared" si="2"/>
        <v>56828.787529062123</v>
      </c>
      <c r="L45" s="28">
        <f t="shared" si="3"/>
        <v>96207978.40182668</v>
      </c>
      <c r="M45" s="28">
        <f t="shared" si="7"/>
        <v>17696544.327915035</v>
      </c>
      <c r="N45" s="41"/>
      <c r="O45" s="41"/>
      <c r="P45" s="41"/>
      <c r="Q45" s="41"/>
      <c r="R45" s="41"/>
    </row>
    <row r="46" spans="3:18" x14ac:dyDescent="0.25">
      <c r="C46" s="34"/>
      <c r="D46" s="34">
        <v>23</v>
      </c>
      <c r="E46" s="15">
        <f t="shared" si="5"/>
        <v>308952</v>
      </c>
      <c r="F46" s="34">
        <f t="shared" si="0"/>
        <v>5.8714636455926987</v>
      </c>
      <c r="G46" s="34">
        <v>0</v>
      </c>
      <c r="H46" s="15">
        <f t="shared" si="6"/>
        <v>7296548.2551369863</v>
      </c>
      <c r="I46" s="22">
        <f>0</f>
        <v>0</v>
      </c>
      <c r="J46" s="34">
        <f t="shared" si="1"/>
        <v>1242713.6904124408</v>
      </c>
      <c r="K46" s="34">
        <f t="shared" si="2"/>
        <v>52619.247712094562</v>
      </c>
      <c r="L46" s="28">
        <f t="shared" si="3"/>
        <v>84181981.101598367</v>
      </c>
      <c r="M46" s="28">
        <f t="shared" si="7"/>
        <v>14337478.043449687</v>
      </c>
      <c r="N46" s="41"/>
      <c r="O46" s="41"/>
      <c r="P46" s="41"/>
      <c r="Q46" s="41"/>
      <c r="R46" s="41"/>
    </row>
    <row r="47" spans="3:18" x14ac:dyDescent="0.25">
      <c r="C47" s="34"/>
      <c r="D47" s="34">
        <v>24</v>
      </c>
      <c r="E47" s="15">
        <f t="shared" si="5"/>
        <v>308952</v>
      </c>
      <c r="F47" s="34">
        <f t="shared" si="0"/>
        <v>6.3411807372401148</v>
      </c>
      <c r="G47" s="34">
        <v>0</v>
      </c>
      <c r="H47" s="15">
        <f t="shared" si="6"/>
        <v>7296548.2551369863</v>
      </c>
      <c r="I47" s="22">
        <f>0</f>
        <v>0</v>
      </c>
      <c r="J47" s="34">
        <f t="shared" si="1"/>
        <v>1150660.8244559637</v>
      </c>
      <c r="K47" s="34">
        <f t="shared" si="2"/>
        <v>48721.525659346815</v>
      </c>
      <c r="L47" s="28">
        <f t="shared" si="3"/>
        <v>72155983.801370054</v>
      </c>
      <c r="M47" s="28">
        <f t="shared" si="7"/>
        <v>11378950.828134675</v>
      </c>
      <c r="N47" s="41"/>
      <c r="O47" s="41"/>
      <c r="P47" s="41"/>
      <c r="Q47" s="41"/>
      <c r="R47" s="41"/>
    </row>
    <row r="48" spans="3:18" x14ac:dyDescent="0.25">
      <c r="C48" s="34"/>
      <c r="D48" s="34">
        <v>25</v>
      </c>
      <c r="E48" s="15">
        <f t="shared" si="5"/>
        <v>308952</v>
      </c>
      <c r="F48" s="34">
        <f t="shared" si="0"/>
        <v>6.8484751962193249</v>
      </c>
      <c r="G48" s="34">
        <v>0</v>
      </c>
      <c r="H48" s="15">
        <f t="shared" si="6"/>
        <v>7296548.2551369863</v>
      </c>
      <c r="I48" s="22">
        <f>0</f>
        <v>0</v>
      </c>
      <c r="J48" s="34">
        <f t="shared" si="1"/>
        <v>1065426.6893110774</v>
      </c>
      <c r="K48" s="34">
        <f t="shared" si="2"/>
        <v>45112.523758654454</v>
      </c>
      <c r="L48" s="28">
        <f t="shared" si="3"/>
        <v>60129986.501141742</v>
      </c>
      <c r="M48" s="28">
        <f t="shared" si="7"/>
        <v>8780054.6513384879</v>
      </c>
      <c r="N48" s="41"/>
      <c r="O48" s="41"/>
      <c r="P48" s="41"/>
      <c r="Q48" s="41"/>
      <c r="R48" s="41"/>
    </row>
    <row r="49" spans="3:18" x14ac:dyDescent="0.25">
      <c r="C49" s="34"/>
      <c r="D49" s="34">
        <v>26</v>
      </c>
      <c r="E49" s="15">
        <f t="shared" si="5"/>
        <v>308952</v>
      </c>
      <c r="F49" s="34">
        <f t="shared" si="0"/>
        <v>7.3963532119168702</v>
      </c>
      <c r="G49" s="34">
        <v>0</v>
      </c>
      <c r="H49" s="15">
        <f t="shared" si="6"/>
        <v>7296548.2551369863</v>
      </c>
      <c r="I49" s="22">
        <f>0</f>
        <v>0</v>
      </c>
      <c r="J49" s="34">
        <f t="shared" si="1"/>
        <v>986506.19380655326</v>
      </c>
      <c r="K49" s="34">
        <f t="shared" si="2"/>
        <v>41770.855332087456</v>
      </c>
      <c r="L49" s="28">
        <f t="shared" si="3"/>
        <v>48103989.200913429</v>
      </c>
      <c r="M49" s="28">
        <f t="shared" si="7"/>
        <v>6503744.1861766623</v>
      </c>
      <c r="N49" s="41"/>
      <c r="O49" s="41"/>
      <c r="P49" s="41"/>
      <c r="Q49" s="41"/>
      <c r="R49" s="41"/>
    </row>
    <row r="50" spans="3:18" x14ac:dyDescent="0.25">
      <c r="C50" s="34"/>
      <c r="D50" s="34">
        <v>27</v>
      </c>
      <c r="E50" s="15">
        <f t="shared" si="5"/>
        <v>308952</v>
      </c>
      <c r="F50" s="34">
        <f t="shared" si="0"/>
        <v>7.9880614688702201</v>
      </c>
      <c r="G50" s="34">
        <v>0</v>
      </c>
      <c r="H50" s="15">
        <f t="shared" si="6"/>
        <v>7296548.2551369863</v>
      </c>
      <c r="I50" s="22">
        <f>0</f>
        <v>0</v>
      </c>
      <c r="J50" s="34">
        <f t="shared" si="1"/>
        <v>913431.66093199363</v>
      </c>
      <c r="K50" s="34">
        <f t="shared" si="2"/>
        <v>38676.717900080977</v>
      </c>
      <c r="L50" s="28">
        <f t="shared" si="3"/>
        <v>36077991.900685117</v>
      </c>
      <c r="M50" s="28">
        <f t="shared" si="7"/>
        <v>4516489.0181782432</v>
      </c>
      <c r="N50" s="41"/>
      <c r="O50" s="41"/>
      <c r="P50" s="41"/>
      <c r="Q50" s="41"/>
      <c r="R50" s="41"/>
    </row>
    <row r="51" spans="3:18" x14ac:dyDescent="0.25">
      <c r="D51" s="34">
        <v>28</v>
      </c>
      <c r="E51" s="15">
        <f t="shared" si="5"/>
        <v>308952</v>
      </c>
      <c r="F51" s="34">
        <f t="shared" si="0"/>
        <v>8.6271063863798378</v>
      </c>
      <c r="G51" s="34">
        <v>0</v>
      </c>
      <c r="H51" s="15">
        <f t="shared" si="6"/>
        <v>7296548.2551369863</v>
      </c>
      <c r="I51" s="22">
        <f>0</f>
        <v>0</v>
      </c>
      <c r="J51" s="34">
        <f t="shared" si="1"/>
        <v>845770.0564185126</v>
      </c>
      <c r="K51" s="34">
        <f t="shared" si="2"/>
        <v>35811.775833408312</v>
      </c>
      <c r="L51" s="28">
        <f t="shared" si="3"/>
        <v>24051994.600456808</v>
      </c>
      <c r="M51" s="28">
        <f t="shared" si="7"/>
        <v>2787956.1840606513</v>
      </c>
      <c r="N51" s="41"/>
      <c r="O51" s="41"/>
      <c r="P51" s="41"/>
      <c r="Q51" s="41"/>
      <c r="R51" s="41"/>
    </row>
    <row r="52" spans="3:18" x14ac:dyDescent="0.25">
      <c r="D52" s="34">
        <v>29</v>
      </c>
      <c r="E52" s="15">
        <f t="shared" si="5"/>
        <v>308952</v>
      </c>
      <c r="F52" s="34">
        <f t="shared" si="0"/>
        <v>9.3172748972902255</v>
      </c>
      <c r="G52" s="34">
        <v>0</v>
      </c>
      <c r="H52" s="15">
        <f t="shared" si="6"/>
        <v>7296548.2551369863</v>
      </c>
      <c r="I52" s="22">
        <f>0</f>
        <v>0</v>
      </c>
      <c r="J52" s="34">
        <f t="shared" si="1"/>
        <v>783120.42260973388</v>
      </c>
      <c r="K52" s="34">
        <f t="shared" si="2"/>
        <v>33159.051697600291</v>
      </c>
      <c r="L52" s="28">
        <f t="shared" si="3"/>
        <v>12025997.300228499</v>
      </c>
      <c r="M52" s="28">
        <f t="shared" si="7"/>
        <v>1290720.455583645</v>
      </c>
    </row>
    <row r="53" spans="3:18" x14ac:dyDescent="0.25">
      <c r="D53" s="34">
        <v>30</v>
      </c>
      <c r="E53" s="15">
        <f t="shared" si="5"/>
        <v>308952</v>
      </c>
      <c r="F53" s="34">
        <f t="shared" si="0"/>
        <v>10.062656889073445</v>
      </c>
      <c r="G53" s="34">
        <v>0</v>
      </c>
      <c r="H53" s="15">
        <f t="shared" si="6"/>
        <v>7296548.2551369863</v>
      </c>
      <c r="I53" s="22">
        <f>0</f>
        <v>0</v>
      </c>
      <c r="J53" s="34">
        <f t="shared" si="1"/>
        <v>725111.50241642015</v>
      </c>
      <c r="K53" s="34">
        <f t="shared" si="2"/>
        <v>30702.82564592619</v>
      </c>
      <c r="L53" s="28">
        <f t="shared" si="3"/>
        <v>1.8998980522155762E-7</v>
      </c>
      <c r="M53" s="28">
        <f t="shared" si="7"/>
        <v>1.8880680054574693E-8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workbookViewId="0">
      <selection activeCell="F9" sqref="F9"/>
    </sheetView>
  </sheetViews>
  <sheetFormatPr defaultRowHeight="15" x14ac:dyDescent="0.25"/>
  <cols>
    <col min="1" max="1" width="31.85546875" bestFit="1" customWidth="1"/>
    <col min="2" max="2" width="9.140625" customWidth="1"/>
    <col min="3" max="3" width="5.85546875" customWidth="1"/>
    <col min="4" max="4" width="9.140625" style="34"/>
    <col min="5" max="5" width="24.85546875" style="24" bestFit="1" customWidth="1"/>
    <col min="6" max="6" width="12.85546875" style="34" bestFit="1" customWidth="1"/>
    <col min="7" max="7" width="11.85546875" style="34" customWidth="1"/>
    <col min="8" max="8" width="12.42578125" style="34" customWidth="1"/>
    <col min="9" max="9" width="10.28515625" style="34" customWidth="1"/>
    <col min="10" max="10" width="18" style="34" bestFit="1" customWidth="1"/>
    <col min="11" max="11" width="13.140625" style="34" customWidth="1"/>
    <col min="12" max="12" width="19.7109375" style="34" customWidth="1"/>
    <col min="13" max="13" width="23.7109375" style="34" bestFit="1" customWidth="1"/>
    <col min="14" max="14" width="12.5703125" style="34" bestFit="1" customWidth="1"/>
    <col min="15" max="15" width="10" style="34" customWidth="1"/>
    <col min="16" max="16" width="10.7109375" style="34" customWidth="1"/>
    <col min="17" max="17" width="14.140625" style="34" bestFit="1" customWidth="1"/>
    <col min="18" max="19" width="23.7109375" style="34" bestFit="1" customWidth="1"/>
  </cols>
  <sheetData>
    <row r="1" spans="1:10" x14ac:dyDescent="0.25">
      <c r="A1" s="69" t="s">
        <v>85</v>
      </c>
      <c r="B1" s="70"/>
    </row>
    <row r="2" spans="1:10" x14ac:dyDescent="0.25">
      <c r="A2" s="59" t="s">
        <v>67</v>
      </c>
      <c r="B2" s="35">
        <v>100</v>
      </c>
      <c r="E2" s="25" t="s">
        <v>22</v>
      </c>
      <c r="F2" s="25"/>
      <c r="G2" s="25"/>
    </row>
    <row r="3" spans="1:10" x14ac:dyDescent="0.25">
      <c r="A3" s="3" t="s">
        <v>78</v>
      </c>
      <c r="B3" s="43">
        <v>0.2</v>
      </c>
      <c r="D3" s="34">
        <v>1</v>
      </c>
      <c r="E3" s="24" t="s">
        <v>17</v>
      </c>
      <c r="F3" s="27">
        <f>(A23/A17)*A20</f>
        <v>294240000</v>
      </c>
      <c r="G3" s="34" t="s">
        <v>20</v>
      </c>
    </row>
    <row r="4" spans="1:10" x14ac:dyDescent="0.25">
      <c r="A4" s="3" t="s">
        <v>3</v>
      </c>
      <c r="B4" s="37">
        <v>9000</v>
      </c>
      <c r="D4" s="34">
        <v>2</v>
      </c>
      <c r="E4" s="24" t="s">
        <v>18</v>
      </c>
      <c r="F4" s="27">
        <f>F3*(1+B7)/8760</f>
        <v>35268.493150684932</v>
      </c>
      <c r="G4" s="34" t="s">
        <v>21</v>
      </c>
    </row>
    <row r="5" spans="1:10" x14ac:dyDescent="0.25">
      <c r="A5" s="3" t="s">
        <v>4</v>
      </c>
      <c r="B5" s="36">
        <v>5000</v>
      </c>
      <c r="D5" s="34">
        <v>3</v>
      </c>
      <c r="E5" s="24" t="s">
        <v>19</v>
      </c>
      <c r="F5" s="27">
        <f>F4/B11</f>
        <v>47024.657534246573</v>
      </c>
      <c r="G5" s="34" t="s">
        <v>21</v>
      </c>
    </row>
    <row r="6" spans="1:10" x14ac:dyDescent="0.25">
      <c r="A6" s="3" t="s">
        <v>9</v>
      </c>
      <c r="B6" s="5">
        <v>0.03</v>
      </c>
      <c r="J6" s="18"/>
    </row>
    <row r="7" spans="1:10" x14ac:dyDescent="0.25">
      <c r="A7" s="3" t="s">
        <v>68</v>
      </c>
      <c r="B7" s="5">
        <v>0.05</v>
      </c>
      <c r="E7" s="25" t="s">
        <v>23</v>
      </c>
      <c r="F7" s="25"/>
      <c r="G7" s="25"/>
    </row>
    <row r="8" spans="1:10" x14ac:dyDescent="0.25">
      <c r="A8" s="3" t="s">
        <v>6</v>
      </c>
      <c r="B8" s="36">
        <v>100</v>
      </c>
      <c r="D8" s="34">
        <v>4</v>
      </c>
      <c r="E8" s="24" t="s">
        <v>71</v>
      </c>
      <c r="F8" s="41">
        <v>0</v>
      </c>
      <c r="G8" s="34" t="s">
        <v>36</v>
      </c>
    </row>
    <row r="9" spans="1:10" x14ac:dyDescent="0.25">
      <c r="A9" s="3" t="s">
        <v>69</v>
      </c>
      <c r="B9" s="36">
        <v>3000</v>
      </c>
      <c r="D9" s="34">
        <v>5</v>
      </c>
      <c r="E9" s="24" t="s">
        <v>72</v>
      </c>
      <c r="F9" s="41">
        <f>'GRID LCoE Calculation'!F16*0.75</f>
        <v>9.9975000000000023</v>
      </c>
      <c r="G9" s="34" t="s">
        <v>36</v>
      </c>
    </row>
    <row r="10" spans="1:10" x14ac:dyDescent="0.25">
      <c r="A10" s="3" t="s">
        <v>70</v>
      </c>
      <c r="B10" s="5">
        <v>0.02</v>
      </c>
      <c r="D10" s="34">
        <v>6</v>
      </c>
      <c r="E10" s="24" t="s">
        <v>73</v>
      </c>
      <c r="F10" s="41">
        <f>F8*B4</f>
        <v>0</v>
      </c>
      <c r="G10" s="34" t="s">
        <v>77</v>
      </c>
      <c r="H10" s="23"/>
    </row>
    <row r="11" spans="1:10" x14ac:dyDescent="0.25">
      <c r="A11" s="3" t="s">
        <v>8</v>
      </c>
      <c r="B11" s="60">
        <v>0.75</v>
      </c>
      <c r="D11" s="34">
        <v>7</v>
      </c>
      <c r="E11" s="24" t="s">
        <v>74</v>
      </c>
      <c r="F11" s="41">
        <f>F9*B5</f>
        <v>49987.500000000015</v>
      </c>
      <c r="G11" s="34" t="s">
        <v>77</v>
      </c>
      <c r="H11" s="23"/>
    </row>
    <row r="12" spans="1:10" x14ac:dyDescent="0.25">
      <c r="A12" s="3" t="s">
        <v>11</v>
      </c>
      <c r="B12" s="36">
        <v>20</v>
      </c>
      <c r="D12" s="34">
        <v>8</v>
      </c>
      <c r="E12" s="24" t="s">
        <v>80</v>
      </c>
      <c r="F12" s="41">
        <f>F10+F11+(A23/A17)*B8</f>
        <v>8049987.5</v>
      </c>
      <c r="G12" s="34" t="s">
        <v>77</v>
      </c>
    </row>
    <row r="13" spans="1:10" ht="15.75" thickBot="1" x14ac:dyDescent="0.3">
      <c r="A13" s="6" t="s">
        <v>10</v>
      </c>
      <c r="B13" s="55">
        <v>0.08</v>
      </c>
      <c r="D13" s="34">
        <v>9</v>
      </c>
      <c r="E13" s="30" t="s">
        <v>75</v>
      </c>
      <c r="F13" s="42">
        <f>F12*B6</f>
        <v>241499.625</v>
      </c>
      <c r="G13" s="32" t="s">
        <v>77</v>
      </c>
    </row>
    <row r="14" spans="1:10" ht="15.75" thickTop="1" x14ac:dyDescent="0.25">
      <c r="A14" s="49"/>
      <c r="B14" s="49"/>
      <c r="D14" s="34">
        <v>10</v>
      </c>
      <c r="E14" s="24" t="s">
        <v>76</v>
      </c>
      <c r="F14" s="41">
        <f>F5/B3</f>
        <v>235123.28767123286</v>
      </c>
      <c r="G14" s="34" t="s">
        <v>21</v>
      </c>
    </row>
    <row r="15" spans="1:10" ht="15.75" thickBot="1" x14ac:dyDescent="0.3">
      <c r="A15" s="8" t="s">
        <v>12</v>
      </c>
      <c r="B15" s="50"/>
      <c r="D15" s="34">
        <v>11</v>
      </c>
      <c r="E15" s="30" t="s">
        <v>79</v>
      </c>
      <c r="F15" s="42">
        <f>F14*B9</f>
        <v>705369863.01369858</v>
      </c>
      <c r="G15" s="32" t="s">
        <v>77</v>
      </c>
    </row>
    <row r="16" spans="1:10" ht="15.75" thickTop="1" x14ac:dyDescent="0.25">
      <c r="A16" s="9" t="s">
        <v>13</v>
      </c>
      <c r="B16" s="51"/>
      <c r="D16" s="34">
        <v>13</v>
      </c>
      <c r="E16" s="44" t="s">
        <v>81</v>
      </c>
      <c r="F16" s="45">
        <f>F12+F15</f>
        <v>713419850.51369858</v>
      </c>
      <c r="G16" s="46" t="s">
        <v>77</v>
      </c>
      <c r="H16" s="46"/>
    </row>
    <row r="17" spans="1:19" ht="15.75" thickBot="1" x14ac:dyDescent="0.3">
      <c r="A17" s="40">
        <v>5</v>
      </c>
      <c r="B17" s="52"/>
      <c r="D17" s="34">
        <v>14</v>
      </c>
      <c r="E17" s="30" t="s">
        <v>82</v>
      </c>
      <c r="F17" s="42">
        <f>F4*8760/1000</f>
        <v>308952</v>
      </c>
      <c r="G17" s="32" t="s">
        <v>83</v>
      </c>
      <c r="H17" s="46"/>
    </row>
    <row r="18" spans="1:19" ht="15.75" thickTop="1" x14ac:dyDescent="0.25">
      <c r="D18" s="34">
        <v>15</v>
      </c>
      <c r="E18" s="56" t="s">
        <v>59</v>
      </c>
      <c r="F18" s="57">
        <f>(SUM(J23:J43)-M43)/SUM(K23:K43)/1000</f>
        <v>0.28163690307353928</v>
      </c>
      <c r="G18" s="58" t="s">
        <v>84</v>
      </c>
      <c r="H18" s="46"/>
      <c r="I18" s="18"/>
      <c r="J18" s="23"/>
    </row>
    <row r="19" spans="1:19" x14ac:dyDescent="0.25">
      <c r="A19" s="53" t="s">
        <v>14</v>
      </c>
      <c r="C19" s="34"/>
    </row>
    <row r="20" spans="1:19" x14ac:dyDescent="0.25">
      <c r="A20" s="40">
        <v>3678</v>
      </c>
      <c r="C20" s="34"/>
    </row>
    <row r="21" spans="1:19" x14ac:dyDescent="0.25">
      <c r="A21" s="38"/>
      <c r="C21" s="34"/>
      <c r="N21" s="41"/>
      <c r="O21" s="41"/>
      <c r="P21" s="41"/>
      <c r="Q21" s="41"/>
      <c r="R21" s="41"/>
    </row>
    <row r="22" spans="1:19" x14ac:dyDescent="0.25">
      <c r="A22" s="53" t="s">
        <v>15</v>
      </c>
      <c r="C22" s="34"/>
      <c r="D22" s="34" t="s">
        <v>53</v>
      </c>
      <c r="E22" s="34" t="s">
        <v>55</v>
      </c>
      <c r="F22" s="34" t="s">
        <v>54</v>
      </c>
      <c r="G22" s="34" t="s">
        <v>57</v>
      </c>
      <c r="H22" s="34" t="s">
        <v>56</v>
      </c>
      <c r="I22" s="34" t="s">
        <v>58</v>
      </c>
      <c r="J22" s="34" t="s">
        <v>60</v>
      </c>
      <c r="K22" s="34" t="s">
        <v>61</v>
      </c>
      <c r="L22" s="34" t="s">
        <v>62</v>
      </c>
      <c r="M22" s="34" t="s">
        <v>63</v>
      </c>
      <c r="N22" s="41"/>
      <c r="O22" s="41"/>
      <c r="P22" s="41"/>
      <c r="Q22" s="41"/>
      <c r="R22" s="41"/>
      <c r="S22" s="54"/>
    </row>
    <row r="23" spans="1:19" x14ac:dyDescent="0.25">
      <c r="A23" s="40">
        <v>400000</v>
      </c>
      <c r="C23" s="34"/>
      <c r="D23" s="34">
        <v>0</v>
      </c>
      <c r="E23" s="18">
        <v>0</v>
      </c>
      <c r="F23" s="34">
        <f>(1+$B$13)^D23</f>
        <v>1</v>
      </c>
      <c r="G23" s="28">
        <f>F16</f>
        <v>713419850.51369858</v>
      </c>
      <c r="H23" s="34">
        <v>0</v>
      </c>
      <c r="I23" s="34">
        <v>0</v>
      </c>
      <c r="J23" s="34">
        <f>(G23+H23+I23)/F23</f>
        <v>713419850.51369858</v>
      </c>
      <c r="K23" s="34">
        <f>E23/F23</f>
        <v>0</v>
      </c>
      <c r="L23" s="28">
        <f>G23</f>
        <v>713419850.51369858</v>
      </c>
      <c r="M23" s="28">
        <f>L23*F23</f>
        <v>713419850.51369858</v>
      </c>
      <c r="N23" s="41"/>
      <c r="O23" s="41"/>
      <c r="P23" s="41"/>
      <c r="Q23" s="41"/>
      <c r="R23" s="41"/>
    </row>
    <row r="24" spans="1:19" x14ac:dyDescent="0.25">
      <c r="C24" s="34"/>
      <c r="D24" s="34">
        <v>1</v>
      </c>
      <c r="E24" s="15">
        <f>F17</f>
        <v>308952</v>
      </c>
      <c r="F24" s="34">
        <f t="shared" ref="F24:F53" si="0">(1+$B$13)^D24</f>
        <v>1.08</v>
      </c>
      <c r="G24" s="34">
        <v>0</v>
      </c>
      <c r="H24" s="15">
        <f>F13+(B9*B10*F14)</f>
        <v>14348896.885273971</v>
      </c>
      <c r="I24" s="22">
        <f>0</f>
        <v>0</v>
      </c>
      <c r="J24" s="34">
        <f t="shared" ref="J24:J53" si="1">(G24+H24+I24)/F24</f>
        <v>13286015.634512935</v>
      </c>
      <c r="K24" s="34">
        <f t="shared" ref="K24:K53" si="2">E24/F24</f>
        <v>286066.66666666663</v>
      </c>
      <c r="L24" s="28">
        <f t="shared" ref="L24:L53" si="3">L23-($G$23/$B$12)</f>
        <v>677748857.98801363</v>
      </c>
      <c r="M24" s="28">
        <f>L24/F24</f>
        <v>627545238.87779033</v>
      </c>
      <c r="N24" s="41"/>
      <c r="O24" s="41"/>
      <c r="P24" s="41"/>
      <c r="Q24" s="41"/>
      <c r="R24" s="41"/>
    </row>
    <row r="25" spans="1:19" x14ac:dyDescent="0.25">
      <c r="A25" s="53" t="s">
        <v>16</v>
      </c>
      <c r="C25" s="34"/>
      <c r="D25" s="34">
        <v>2</v>
      </c>
      <c r="E25" s="15">
        <f>E24</f>
        <v>308952</v>
      </c>
      <c r="F25" s="34">
        <f t="shared" si="0"/>
        <v>1.1664000000000001</v>
      </c>
      <c r="G25" s="34">
        <v>0</v>
      </c>
      <c r="H25" s="15">
        <f>H24</f>
        <v>14348896.885273971</v>
      </c>
      <c r="I25" s="22">
        <f>0</f>
        <v>0</v>
      </c>
      <c r="J25" s="34">
        <f t="shared" si="1"/>
        <v>12301866.328252718</v>
      </c>
      <c r="K25" s="34">
        <f t="shared" si="2"/>
        <v>264876.54320987652</v>
      </c>
      <c r="L25" s="28">
        <f t="shared" si="3"/>
        <v>642077865.46232867</v>
      </c>
      <c r="M25" s="28">
        <f t="shared" ref="M25:M40" si="4">L25/F25</f>
        <v>550478279.7173599</v>
      </c>
      <c r="N25" s="41"/>
      <c r="O25" s="41"/>
      <c r="P25" s="41"/>
      <c r="Q25" s="41"/>
      <c r="R25" s="41"/>
    </row>
    <row r="26" spans="1:19" x14ac:dyDescent="0.25">
      <c r="A26" s="40">
        <v>50</v>
      </c>
      <c r="C26" s="34"/>
      <c r="D26" s="34">
        <v>3</v>
      </c>
      <c r="E26" s="15">
        <f t="shared" ref="E26:E53" si="5">E25</f>
        <v>308952</v>
      </c>
      <c r="F26" s="34">
        <f t="shared" si="0"/>
        <v>1.2597120000000002</v>
      </c>
      <c r="G26" s="34">
        <v>0</v>
      </c>
      <c r="H26" s="15">
        <f t="shared" ref="H26:H53" si="6">H25</f>
        <v>14348896.885273971</v>
      </c>
      <c r="I26" s="22">
        <f>0</f>
        <v>0</v>
      </c>
      <c r="J26" s="34">
        <f t="shared" si="1"/>
        <v>11390616.970604368</v>
      </c>
      <c r="K26" s="34">
        <f t="shared" si="2"/>
        <v>245256.05852766344</v>
      </c>
      <c r="L26" s="28">
        <f t="shared" si="3"/>
        <v>606406872.93664372</v>
      </c>
      <c r="M26" s="28">
        <f t="shared" si="4"/>
        <v>481385326.91332912</v>
      </c>
      <c r="N26" s="41"/>
      <c r="O26" s="41"/>
      <c r="P26" s="41"/>
      <c r="Q26" s="41"/>
      <c r="R26" s="41"/>
    </row>
    <row r="27" spans="1:19" x14ac:dyDescent="0.25">
      <c r="C27" s="34"/>
      <c r="D27" s="34">
        <v>4</v>
      </c>
      <c r="E27" s="15">
        <f t="shared" si="5"/>
        <v>308952</v>
      </c>
      <c r="F27" s="34">
        <f t="shared" si="0"/>
        <v>1.3604889600000003</v>
      </c>
      <c r="G27" s="34">
        <v>0</v>
      </c>
      <c r="H27" s="15">
        <f t="shared" si="6"/>
        <v>14348896.885273971</v>
      </c>
      <c r="I27" s="22">
        <f>0</f>
        <v>0</v>
      </c>
      <c r="J27" s="34">
        <f t="shared" si="1"/>
        <v>10546867.565374414</v>
      </c>
      <c r="K27" s="34">
        <f t="shared" si="2"/>
        <v>227088.94308116983</v>
      </c>
      <c r="L27" s="28">
        <f t="shared" si="3"/>
        <v>570735880.41095877</v>
      </c>
      <c r="M27" s="28">
        <f t="shared" si="4"/>
        <v>419507910.16412115</v>
      </c>
      <c r="N27" s="41"/>
      <c r="O27" s="41"/>
      <c r="P27" s="41"/>
      <c r="Q27" s="41"/>
      <c r="R27" s="41"/>
    </row>
    <row r="28" spans="1:19" x14ac:dyDescent="0.25">
      <c r="A28" s="20" t="s">
        <v>24</v>
      </c>
      <c r="C28" s="34"/>
      <c r="D28" s="34">
        <v>5</v>
      </c>
      <c r="E28" s="15">
        <f t="shared" si="5"/>
        <v>308952</v>
      </c>
      <c r="F28" s="34">
        <f t="shared" si="0"/>
        <v>1.4693280768000003</v>
      </c>
      <c r="G28" s="34">
        <v>0</v>
      </c>
      <c r="H28" s="15">
        <f t="shared" si="6"/>
        <v>14348896.885273971</v>
      </c>
      <c r="I28" s="22">
        <f>0</f>
        <v>0</v>
      </c>
      <c r="J28" s="34">
        <f t="shared" si="1"/>
        <v>9765618.1160874199</v>
      </c>
      <c r="K28" s="34">
        <f t="shared" si="2"/>
        <v>210267.53988997207</v>
      </c>
      <c r="L28" s="28">
        <f t="shared" si="3"/>
        <v>535064887.88527381</v>
      </c>
      <c r="M28" s="28">
        <f t="shared" si="4"/>
        <v>364156172.01746625</v>
      </c>
      <c r="N28" s="41"/>
      <c r="O28" s="41"/>
      <c r="P28" s="41"/>
      <c r="Q28" s="41"/>
      <c r="R28" s="41"/>
    </row>
    <row r="29" spans="1:19" x14ac:dyDescent="0.25">
      <c r="A29" s="39">
        <v>100</v>
      </c>
      <c r="C29" s="34"/>
      <c r="D29" s="34">
        <v>6</v>
      </c>
      <c r="E29" s="15">
        <f t="shared" si="5"/>
        <v>308952</v>
      </c>
      <c r="F29" s="34">
        <f t="shared" si="0"/>
        <v>1.5868743229440005</v>
      </c>
      <c r="G29" s="34">
        <v>0</v>
      </c>
      <c r="H29" s="15">
        <f t="shared" si="6"/>
        <v>14348896.885273971</v>
      </c>
      <c r="I29" s="22">
        <f>0</f>
        <v>0</v>
      </c>
      <c r="J29" s="34">
        <f t="shared" si="1"/>
        <v>9042238.996377239</v>
      </c>
      <c r="K29" s="34">
        <f t="shared" si="2"/>
        <v>194692.16656478893</v>
      </c>
      <c r="L29" s="28">
        <f t="shared" si="3"/>
        <v>499393895.35958886</v>
      </c>
      <c r="M29" s="28">
        <f t="shared" si="4"/>
        <v>314702864.70645225</v>
      </c>
      <c r="N29" s="41"/>
      <c r="O29" s="41"/>
      <c r="P29" s="41"/>
      <c r="Q29" s="41"/>
      <c r="R29" s="41"/>
    </row>
    <row r="30" spans="1:19" x14ac:dyDescent="0.25">
      <c r="C30" s="34"/>
      <c r="D30" s="34">
        <v>7</v>
      </c>
      <c r="E30" s="15">
        <f t="shared" si="5"/>
        <v>308952</v>
      </c>
      <c r="F30" s="34">
        <f t="shared" si="0"/>
        <v>1.7138242687795207</v>
      </c>
      <c r="G30" s="34">
        <v>0</v>
      </c>
      <c r="H30" s="15">
        <f t="shared" si="6"/>
        <v>14348896.885273971</v>
      </c>
      <c r="I30" s="22">
        <f>0</f>
        <v>0</v>
      </c>
      <c r="J30" s="34">
        <f t="shared" si="1"/>
        <v>8372443.5151641099</v>
      </c>
      <c r="K30" s="34">
        <f t="shared" si="2"/>
        <v>180270.52459702679</v>
      </c>
      <c r="L30" s="28">
        <f t="shared" si="3"/>
        <v>463722902.83390391</v>
      </c>
      <c r="M30" s="28">
        <f t="shared" si="4"/>
        <v>270577859.86665869</v>
      </c>
      <c r="N30" s="41"/>
      <c r="O30" s="41"/>
      <c r="P30" s="41"/>
      <c r="Q30" s="41"/>
      <c r="R30" s="41"/>
    </row>
    <row r="31" spans="1:19" x14ac:dyDescent="0.25">
      <c r="C31" s="34"/>
      <c r="D31" s="34">
        <v>8</v>
      </c>
      <c r="E31" s="15">
        <f t="shared" si="5"/>
        <v>308952</v>
      </c>
      <c r="F31" s="34">
        <f t="shared" si="0"/>
        <v>1.8509302102818823</v>
      </c>
      <c r="G31" s="34">
        <v>0</v>
      </c>
      <c r="H31" s="15">
        <f t="shared" si="6"/>
        <v>14348896.885273971</v>
      </c>
      <c r="I31" s="22">
        <f>0</f>
        <v>0</v>
      </c>
      <c r="J31" s="34">
        <f t="shared" si="1"/>
        <v>7752262.5140408427</v>
      </c>
      <c r="K31" s="34">
        <f t="shared" si="2"/>
        <v>166917.15240465442</v>
      </c>
      <c r="L31" s="28">
        <f t="shared" si="3"/>
        <v>428051910.30821896</v>
      </c>
      <c r="M31" s="28">
        <f t="shared" si="4"/>
        <v>231263128.09116125</v>
      </c>
      <c r="N31" s="41"/>
      <c r="O31" s="41"/>
      <c r="P31" s="41"/>
      <c r="Q31" s="41"/>
      <c r="R31" s="41"/>
    </row>
    <row r="32" spans="1:19" x14ac:dyDescent="0.25">
      <c r="C32" s="34"/>
      <c r="D32" s="34">
        <v>9</v>
      </c>
      <c r="E32" s="15">
        <f t="shared" si="5"/>
        <v>308952</v>
      </c>
      <c r="F32" s="34">
        <f t="shared" si="0"/>
        <v>1.9990046271044331</v>
      </c>
      <c r="G32" s="34">
        <v>0</v>
      </c>
      <c r="H32" s="15">
        <f t="shared" si="6"/>
        <v>14348896.885273971</v>
      </c>
      <c r="I32" s="22">
        <f>0</f>
        <v>0</v>
      </c>
      <c r="J32" s="34">
        <f t="shared" si="1"/>
        <v>7178020.8463341128</v>
      </c>
      <c r="K32" s="34">
        <f t="shared" si="2"/>
        <v>154552.91889319851</v>
      </c>
      <c r="L32" s="28">
        <f t="shared" si="3"/>
        <v>392380917.782534</v>
      </c>
      <c r="M32" s="28">
        <f t="shared" si="4"/>
        <v>196288148.84280658</v>
      </c>
      <c r="N32" s="41"/>
      <c r="O32" s="41"/>
      <c r="P32" s="41"/>
      <c r="Q32" s="41"/>
      <c r="R32" s="41"/>
    </row>
    <row r="33" spans="3:18" x14ac:dyDescent="0.25">
      <c r="C33" s="34"/>
      <c r="D33" s="34">
        <v>10</v>
      </c>
      <c r="E33" s="15">
        <f t="shared" si="5"/>
        <v>308952</v>
      </c>
      <c r="F33" s="34">
        <f t="shared" si="0"/>
        <v>2.1589249972727877</v>
      </c>
      <c r="G33" s="34">
        <v>0</v>
      </c>
      <c r="H33" s="15">
        <f t="shared" si="6"/>
        <v>14348896.885273971</v>
      </c>
      <c r="I33" s="22">
        <f>0</f>
        <v>0</v>
      </c>
      <c r="J33" s="34">
        <f t="shared" si="1"/>
        <v>6646315.5984575115</v>
      </c>
      <c r="K33" s="34">
        <f t="shared" si="2"/>
        <v>143104.55453073938</v>
      </c>
      <c r="L33" s="28">
        <f t="shared" si="3"/>
        <v>356709925.25684905</v>
      </c>
      <c r="M33" s="28">
        <f t="shared" si="4"/>
        <v>165225714.51414692</v>
      </c>
      <c r="N33" s="41"/>
      <c r="O33" s="41"/>
      <c r="P33" s="41"/>
      <c r="Q33" s="41"/>
      <c r="R33" s="41"/>
    </row>
    <row r="34" spans="3:18" x14ac:dyDescent="0.25">
      <c r="C34" s="34"/>
      <c r="D34" s="34">
        <v>11</v>
      </c>
      <c r="E34" s="15">
        <f t="shared" si="5"/>
        <v>308952</v>
      </c>
      <c r="F34" s="34">
        <f t="shared" si="0"/>
        <v>2.3316389970546108</v>
      </c>
      <c r="G34" s="34">
        <v>0</v>
      </c>
      <c r="H34" s="15">
        <f t="shared" si="6"/>
        <v>14348896.885273971</v>
      </c>
      <c r="I34" s="22">
        <f>0</f>
        <v>0</v>
      </c>
      <c r="J34" s="34">
        <f t="shared" si="1"/>
        <v>6153995.9244976966</v>
      </c>
      <c r="K34" s="34">
        <f t="shared" si="2"/>
        <v>132504.21715809201</v>
      </c>
      <c r="L34" s="28">
        <f t="shared" si="3"/>
        <v>321038932.7311641</v>
      </c>
      <c r="M34" s="28">
        <f t="shared" si="4"/>
        <v>137688095.42845574</v>
      </c>
      <c r="N34" s="41"/>
      <c r="O34" s="41"/>
      <c r="P34" s="41"/>
      <c r="Q34" s="41"/>
      <c r="R34" s="41"/>
    </row>
    <row r="35" spans="3:18" x14ac:dyDescent="0.25">
      <c r="C35" s="34"/>
      <c r="D35" s="34">
        <v>12</v>
      </c>
      <c r="E35" s="15">
        <f t="shared" si="5"/>
        <v>308952</v>
      </c>
      <c r="F35" s="34">
        <f t="shared" si="0"/>
        <v>2.5181701168189798</v>
      </c>
      <c r="G35" s="34">
        <v>0</v>
      </c>
      <c r="H35" s="15">
        <f t="shared" si="6"/>
        <v>14348896.885273971</v>
      </c>
      <c r="I35" s="22">
        <f>0</f>
        <v>0</v>
      </c>
      <c r="J35" s="34">
        <f t="shared" si="1"/>
        <v>5698144.3745349031</v>
      </c>
      <c r="K35" s="34">
        <f t="shared" si="2"/>
        <v>122689.0899611963</v>
      </c>
      <c r="L35" s="28">
        <f t="shared" si="3"/>
        <v>285367940.20547915</v>
      </c>
      <c r="M35" s="28">
        <f t="shared" si="4"/>
        <v>113323535.33206232</v>
      </c>
      <c r="N35" s="41"/>
      <c r="O35" s="41"/>
      <c r="P35" s="41"/>
      <c r="Q35" s="41"/>
      <c r="R35" s="41"/>
    </row>
    <row r="36" spans="3:18" x14ac:dyDescent="0.25">
      <c r="C36" s="34"/>
      <c r="D36" s="34">
        <v>13</v>
      </c>
      <c r="E36" s="15">
        <f t="shared" si="5"/>
        <v>308952</v>
      </c>
      <c r="F36" s="34">
        <f t="shared" si="0"/>
        <v>2.7196237261644982</v>
      </c>
      <c r="G36" s="34">
        <v>0</v>
      </c>
      <c r="H36" s="15">
        <f t="shared" si="6"/>
        <v>14348896.885273971</v>
      </c>
      <c r="I36" s="22">
        <f>0</f>
        <v>0</v>
      </c>
      <c r="J36" s="34">
        <f t="shared" si="1"/>
        <v>5276059.6060508369</v>
      </c>
      <c r="K36" s="34">
        <f t="shared" si="2"/>
        <v>113601.00922332991</v>
      </c>
      <c r="L36" s="28">
        <f t="shared" si="3"/>
        <v>249696947.67979422</v>
      </c>
      <c r="M36" s="28">
        <f t="shared" si="4"/>
        <v>91813049.458846778</v>
      </c>
      <c r="N36" s="41"/>
      <c r="O36" s="41"/>
      <c r="P36" s="41"/>
      <c r="Q36" s="41"/>
      <c r="R36" s="41"/>
    </row>
    <row r="37" spans="3:18" x14ac:dyDescent="0.25">
      <c r="C37" s="34"/>
      <c r="D37" s="34">
        <v>14</v>
      </c>
      <c r="E37" s="15">
        <f t="shared" si="5"/>
        <v>308952</v>
      </c>
      <c r="F37" s="34">
        <f t="shared" si="0"/>
        <v>2.9371936242576586</v>
      </c>
      <c r="G37" s="34">
        <v>0</v>
      </c>
      <c r="H37" s="15">
        <f t="shared" si="6"/>
        <v>14348896.885273971</v>
      </c>
      <c r="I37" s="22">
        <f>0</f>
        <v>0</v>
      </c>
      <c r="J37" s="34">
        <f t="shared" si="1"/>
        <v>4885240.3759729955</v>
      </c>
      <c r="K37" s="34">
        <f t="shared" si="2"/>
        <v>105186.11965123138</v>
      </c>
      <c r="L37" s="28">
        <f t="shared" si="3"/>
        <v>214025955.1541093</v>
      </c>
      <c r="M37" s="28">
        <f t="shared" si="4"/>
        <v>72867499.570513278</v>
      </c>
      <c r="N37" s="41"/>
      <c r="O37" s="41"/>
      <c r="P37" s="41"/>
      <c r="Q37" s="41"/>
      <c r="R37" s="41"/>
    </row>
    <row r="38" spans="3:18" x14ac:dyDescent="0.25">
      <c r="C38" s="34"/>
      <c r="D38" s="34">
        <v>15</v>
      </c>
      <c r="E38" s="15">
        <f t="shared" si="5"/>
        <v>308952</v>
      </c>
      <c r="F38" s="34">
        <f t="shared" si="0"/>
        <v>3.1721691141982715</v>
      </c>
      <c r="G38" s="34">
        <v>0</v>
      </c>
      <c r="H38" s="15">
        <f t="shared" si="6"/>
        <v>14348896.885273971</v>
      </c>
      <c r="I38" s="22">
        <f>0</f>
        <v>0</v>
      </c>
      <c r="J38" s="34">
        <f t="shared" si="1"/>
        <v>4523370.7184935147</v>
      </c>
      <c r="K38" s="34">
        <f t="shared" si="2"/>
        <v>97394.555232621628</v>
      </c>
      <c r="L38" s="28">
        <f t="shared" si="3"/>
        <v>178354962.62842438</v>
      </c>
      <c r="M38" s="28">
        <f t="shared" si="4"/>
        <v>56224922.508112088</v>
      </c>
      <c r="N38" s="41"/>
      <c r="O38" s="41"/>
      <c r="P38" s="41"/>
      <c r="Q38" s="41"/>
      <c r="R38" s="41"/>
    </row>
    <row r="39" spans="3:18" x14ac:dyDescent="0.25">
      <c r="C39" s="34"/>
      <c r="D39" s="34">
        <v>16</v>
      </c>
      <c r="E39" s="15">
        <f t="shared" si="5"/>
        <v>308952</v>
      </c>
      <c r="F39" s="34">
        <f t="shared" si="0"/>
        <v>3.4259426433341331</v>
      </c>
      <c r="G39" s="34">
        <v>0</v>
      </c>
      <c r="H39" s="15">
        <f t="shared" si="6"/>
        <v>14348896.885273971</v>
      </c>
      <c r="I39" s="22">
        <f>0</f>
        <v>0</v>
      </c>
      <c r="J39" s="34">
        <f t="shared" si="1"/>
        <v>4188306.2208273285</v>
      </c>
      <c r="K39" s="34">
        <f t="shared" si="2"/>
        <v>90180.143733908917</v>
      </c>
      <c r="L39" s="28">
        <f t="shared" si="3"/>
        <v>142683970.10273945</v>
      </c>
      <c r="M39" s="28">
        <f t="shared" si="4"/>
        <v>41648090.746749684</v>
      </c>
      <c r="N39" s="41"/>
      <c r="O39" s="41"/>
      <c r="P39" s="41"/>
      <c r="Q39" s="41"/>
      <c r="R39" s="41"/>
    </row>
    <row r="40" spans="3:18" x14ac:dyDescent="0.25">
      <c r="C40" s="34"/>
      <c r="D40" s="34">
        <v>17</v>
      </c>
      <c r="E40" s="15">
        <f t="shared" si="5"/>
        <v>308952</v>
      </c>
      <c r="F40" s="34">
        <f t="shared" si="0"/>
        <v>3.7000180548008639</v>
      </c>
      <c r="G40" s="34">
        <v>0</v>
      </c>
      <c r="H40" s="15">
        <f t="shared" si="6"/>
        <v>14348896.885273971</v>
      </c>
      <c r="I40" s="22">
        <f>0</f>
        <v>0</v>
      </c>
      <c r="J40" s="34">
        <f t="shared" si="1"/>
        <v>3878061.3155808593</v>
      </c>
      <c r="K40" s="34">
        <f t="shared" si="2"/>
        <v>83500.133086952701</v>
      </c>
      <c r="L40" s="28">
        <f t="shared" si="3"/>
        <v>107012977.57705453</v>
      </c>
      <c r="M40" s="28">
        <f t="shared" si="4"/>
        <v>28922285.240798373</v>
      </c>
      <c r="N40" s="41"/>
      <c r="O40" s="41"/>
      <c r="P40" s="41"/>
      <c r="Q40" s="41"/>
      <c r="R40" s="41"/>
    </row>
    <row r="41" spans="3:18" x14ac:dyDescent="0.25">
      <c r="C41" s="34"/>
      <c r="D41" s="34">
        <v>18</v>
      </c>
      <c r="E41" s="15">
        <f t="shared" si="5"/>
        <v>308952</v>
      </c>
      <c r="F41" s="34">
        <f t="shared" si="0"/>
        <v>3.9960194991849334</v>
      </c>
      <c r="G41" s="34">
        <v>0</v>
      </c>
      <c r="H41" s="15">
        <f t="shared" si="6"/>
        <v>14348896.885273971</v>
      </c>
      <c r="I41" s="22">
        <f>0</f>
        <v>0</v>
      </c>
      <c r="J41" s="34">
        <f t="shared" si="1"/>
        <v>3590797.5144267213</v>
      </c>
      <c r="K41" s="34">
        <f t="shared" si="2"/>
        <v>77314.938043474715</v>
      </c>
      <c r="L41" s="28">
        <f t="shared" si="3"/>
        <v>71341985.051369607</v>
      </c>
      <c r="M41" s="28">
        <f>L41/F41</f>
        <v>17853262.49431996</v>
      </c>
      <c r="N41" s="41"/>
      <c r="O41" s="41"/>
      <c r="P41" s="41"/>
      <c r="Q41" s="41"/>
      <c r="R41" s="41"/>
    </row>
    <row r="42" spans="3:18" x14ac:dyDescent="0.25">
      <c r="C42" s="34"/>
      <c r="D42" s="34">
        <v>19</v>
      </c>
      <c r="E42" s="15">
        <f t="shared" si="5"/>
        <v>308952</v>
      </c>
      <c r="F42" s="34">
        <f t="shared" si="0"/>
        <v>4.3157010591197285</v>
      </c>
      <c r="G42" s="34">
        <v>0</v>
      </c>
      <c r="H42" s="15">
        <f t="shared" si="6"/>
        <v>14348896.885273971</v>
      </c>
      <c r="I42" s="22">
        <f>0</f>
        <v>0</v>
      </c>
      <c r="J42" s="34">
        <f t="shared" si="1"/>
        <v>3324812.5133580752</v>
      </c>
      <c r="K42" s="34">
        <f t="shared" si="2"/>
        <v>71587.90559580992</v>
      </c>
      <c r="L42" s="28">
        <f t="shared" si="3"/>
        <v>35670992.525684677</v>
      </c>
      <c r="M42" s="28">
        <f t="shared" ref="M42:M53" si="7">L42/F42</f>
        <v>8265399.3029258782</v>
      </c>
      <c r="N42" s="41"/>
      <c r="O42" s="41"/>
      <c r="P42" s="41"/>
      <c r="Q42" s="41"/>
      <c r="R42" s="41"/>
    </row>
    <row r="43" spans="3:18" x14ac:dyDescent="0.25">
      <c r="C43" s="34"/>
      <c r="D43" s="34">
        <v>20</v>
      </c>
      <c r="E43" s="15">
        <f t="shared" si="5"/>
        <v>308952</v>
      </c>
      <c r="F43" s="34">
        <f t="shared" si="0"/>
        <v>4.6609571438493065</v>
      </c>
      <c r="G43" s="34">
        <v>0</v>
      </c>
      <c r="H43" s="15">
        <f t="shared" si="6"/>
        <v>14348896.885273971</v>
      </c>
      <c r="I43" s="22">
        <f>0</f>
        <v>0</v>
      </c>
      <c r="J43" s="34">
        <f t="shared" si="1"/>
        <v>3078530.1049611806</v>
      </c>
      <c r="K43" s="34">
        <f t="shared" si="2"/>
        <v>66285.097773898073</v>
      </c>
      <c r="L43" s="28">
        <f t="shared" si="3"/>
        <v>-2.5331974029541016E-7</v>
      </c>
      <c r="M43" s="28">
        <f t="shared" si="7"/>
        <v>-5.4349296180441398E-8</v>
      </c>
      <c r="N43" s="41"/>
      <c r="O43" s="41"/>
      <c r="P43" s="41"/>
      <c r="Q43" s="41"/>
      <c r="R43" s="41"/>
    </row>
    <row r="44" spans="3:18" x14ac:dyDescent="0.25">
      <c r="C44" s="34"/>
      <c r="D44" s="34">
        <v>21</v>
      </c>
      <c r="E44" s="15">
        <f t="shared" si="5"/>
        <v>308952</v>
      </c>
      <c r="F44" s="34">
        <f t="shared" si="0"/>
        <v>5.0338337153572512</v>
      </c>
      <c r="G44" s="34">
        <v>0</v>
      </c>
      <c r="H44" s="15">
        <f t="shared" si="6"/>
        <v>14348896.885273971</v>
      </c>
      <c r="I44" s="22">
        <f>0</f>
        <v>0</v>
      </c>
      <c r="J44" s="34">
        <f t="shared" si="1"/>
        <v>2850490.8379270192</v>
      </c>
      <c r="K44" s="34">
        <f t="shared" si="2"/>
        <v>61375.090531387104</v>
      </c>
      <c r="L44" s="28">
        <f t="shared" si="3"/>
        <v>-35670992.525685184</v>
      </c>
      <c r="M44" s="28">
        <f t="shared" si="7"/>
        <v>-7086247.6876937551</v>
      </c>
      <c r="N44" s="41"/>
      <c r="O44" s="41"/>
      <c r="P44" s="41"/>
      <c r="Q44" s="41"/>
      <c r="R44" s="41"/>
    </row>
    <row r="45" spans="3:18" x14ac:dyDescent="0.25">
      <c r="C45" s="34"/>
      <c r="D45" s="34">
        <v>22</v>
      </c>
      <c r="E45" s="15">
        <f t="shared" si="5"/>
        <v>308952</v>
      </c>
      <c r="F45" s="34">
        <f t="shared" si="0"/>
        <v>5.4365404125858321</v>
      </c>
      <c r="G45" s="34">
        <v>0</v>
      </c>
      <c r="H45" s="15">
        <f t="shared" si="6"/>
        <v>14348896.885273971</v>
      </c>
      <c r="I45" s="22">
        <f>0</f>
        <v>0</v>
      </c>
      <c r="J45" s="34">
        <f t="shared" si="1"/>
        <v>2639343.3684509434</v>
      </c>
      <c r="K45" s="34">
        <f t="shared" si="2"/>
        <v>56828.787529062123</v>
      </c>
      <c r="L45" s="28">
        <f t="shared" si="3"/>
        <v>-71341985.051370114</v>
      </c>
      <c r="M45" s="28">
        <f t="shared" si="7"/>
        <v>-13122680.903136535</v>
      </c>
      <c r="N45" s="41"/>
      <c r="O45" s="41"/>
      <c r="P45" s="41"/>
      <c r="Q45" s="41"/>
      <c r="R45" s="41"/>
    </row>
    <row r="46" spans="3:18" x14ac:dyDescent="0.25">
      <c r="C46" s="34"/>
      <c r="D46" s="34">
        <v>23</v>
      </c>
      <c r="E46" s="15">
        <f t="shared" si="5"/>
        <v>308952</v>
      </c>
      <c r="F46" s="34">
        <f t="shared" si="0"/>
        <v>5.8714636455926987</v>
      </c>
      <c r="G46" s="34">
        <v>0</v>
      </c>
      <c r="H46" s="15">
        <f t="shared" si="6"/>
        <v>14348896.885273971</v>
      </c>
      <c r="I46" s="22">
        <f>0</f>
        <v>0</v>
      </c>
      <c r="J46" s="34">
        <f t="shared" si="1"/>
        <v>2443836.4522693916</v>
      </c>
      <c r="K46" s="34">
        <f t="shared" si="2"/>
        <v>52619.247712094562</v>
      </c>
      <c r="L46" s="28">
        <f t="shared" si="3"/>
        <v>-107012977.57705504</v>
      </c>
      <c r="M46" s="28">
        <f t="shared" si="7"/>
        <v>-18225945.69880072</v>
      </c>
      <c r="N46" s="41"/>
      <c r="O46" s="41"/>
      <c r="P46" s="41"/>
      <c r="Q46" s="41"/>
      <c r="R46" s="41"/>
    </row>
    <row r="47" spans="3:18" x14ac:dyDescent="0.25">
      <c r="C47" s="34"/>
      <c r="D47" s="34">
        <v>24</v>
      </c>
      <c r="E47" s="15">
        <f t="shared" si="5"/>
        <v>308952</v>
      </c>
      <c r="F47" s="34">
        <f t="shared" si="0"/>
        <v>6.3411807372401148</v>
      </c>
      <c r="G47" s="34">
        <v>0</v>
      </c>
      <c r="H47" s="15">
        <f t="shared" si="6"/>
        <v>14348896.885273971</v>
      </c>
      <c r="I47" s="22">
        <f>0</f>
        <v>0</v>
      </c>
      <c r="J47" s="34">
        <f t="shared" si="1"/>
        <v>2262811.5298790666</v>
      </c>
      <c r="K47" s="34">
        <f t="shared" si="2"/>
        <v>48721.525659346815</v>
      </c>
      <c r="L47" s="28">
        <f t="shared" si="3"/>
        <v>-142683970.10273996</v>
      </c>
      <c r="M47" s="28">
        <f t="shared" si="7"/>
        <v>-22501167.529383589</v>
      </c>
      <c r="N47" s="41"/>
      <c r="O47" s="41"/>
      <c r="P47" s="41"/>
      <c r="Q47" s="41"/>
      <c r="R47" s="41"/>
    </row>
    <row r="48" spans="3:18" x14ac:dyDescent="0.25">
      <c r="C48" s="34"/>
      <c r="D48" s="34">
        <v>25</v>
      </c>
      <c r="E48" s="15">
        <f t="shared" si="5"/>
        <v>308952</v>
      </c>
      <c r="F48" s="34">
        <f t="shared" si="0"/>
        <v>6.8484751962193249</v>
      </c>
      <c r="G48" s="34">
        <v>0</v>
      </c>
      <c r="H48" s="15">
        <f t="shared" si="6"/>
        <v>14348896.885273971</v>
      </c>
      <c r="I48" s="22">
        <f>0</f>
        <v>0</v>
      </c>
      <c r="J48" s="34">
        <f t="shared" si="1"/>
        <v>2095195.8609991353</v>
      </c>
      <c r="K48" s="34">
        <f t="shared" si="2"/>
        <v>45112.523758654454</v>
      </c>
      <c r="L48" s="28">
        <f t="shared" si="3"/>
        <v>-178354962.62842488</v>
      </c>
      <c r="M48" s="28">
        <f t="shared" si="7"/>
        <v>-26043017.973823585</v>
      </c>
      <c r="N48" s="41"/>
      <c r="O48" s="41"/>
      <c r="P48" s="41"/>
      <c r="Q48" s="41"/>
      <c r="R48" s="41"/>
    </row>
    <row r="49" spans="3:18" x14ac:dyDescent="0.25">
      <c r="C49" s="34"/>
      <c r="D49" s="34">
        <v>26</v>
      </c>
      <c r="E49" s="15">
        <f t="shared" si="5"/>
        <v>308952</v>
      </c>
      <c r="F49" s="34">
        <f t="shared" si="0"/>
        <v>7.3963532119168702</v>
      </c>
      <c r="G49" s="34">
        <v>0</v>
      </c>
      <c r="H49" s="15">
        <f t="shared" si="6"/>
        <v>14348896.885273971</v>
      </c>
      <c r="I49" s="22">
        <f>0</f>
        <v>0</v>
      </c>
      <c r="J49" s="34">
        <f t="shared" si="1"/>
        <v>1939996.1675917921</v>
      </c>
      <c r="K49" s="34">
        <f t="shared" si="2"/>
        <v>41770.855332087456</v>
      </c>
      <c r="L49" s="28">
        <f t="shared" si="3"/>
        <v>-214025955.15410981</v>
      </c>
      <c r="M49" s="28">
        <f t="shared" si="7"/>
        <v>-28936686.637581758</v>
      </c>
      <c r="N49" s="41"/>
      <c r="O49" s="41"/>
      <c r="P49" s="41"/>
      <c r="Q49" s="41"/>
      <c r="R49" s="41"/>
    </row>
    <row r="50" spans="3:18" x14ac:dyDescent="0.25">
      <c r="C50" s="34"/>
      <c r="D50" s="34">
        <v>27</v>
      </c>
      <c r="E50" s="15">
        <f t="shared" si="5"/>
        <v>308952</v>
      </c>
      <c r="F50" s="34">
        <f t="shared" si="0"/>
        <v>7.9880614688702201</v>
      </c>
      <c r="G50" s="34">
        <v>0</v>
      </c>
      <c r="H50" s="15">
        <f t="shared" si="6"/>
        <v>14348896.885273971</v>
      </c>
      <c r="I50" s="22">
        <f>0</f>
        <v>0</v>
      </c>
      <c r="J50" s="34">
        <f t="shared" si="1"/>
        <v>1796292.7477701779</v>
      </c>
      <c r="K50" s="34">
        <f t="shared" si="2"/>
        <v>38676.717900080977</v>
      </c>
      <c r="L50" s="28">
        <f t="shared" si="3"/>
        <v>-249696947.67979473</v>
      </c>
      <c r="M50" s="28">
        <f t="shared" si="7"/>
        <v>-31258766.429486457</v>
      </c>
      <c r="N50" s="41"/>
      <c r="O50" s="41"/>
      <c r="P50" s="41"/>
      <c r="Q50" s="41"/>
      <c r="R50" s="41"/>
    </row>
    <row r="51" spans="3:18" x14ac:dyDescent="0.25">
      <c r="D51" s="34">
        <v>28</v>
      </c>
      <c r="E51" s="15">
        <f t="shared" si="5"/>
        <v>308952</v>
      </c>
      <c r="F51" s="34">
        <f t="shared" si="0"/>
        <v>8.6271063863798378</v>
      </c>
      <c r="G51" s="34">
        <v>0</v>
      </c>
      <c r="H51" s="15">
        <f t="shared" si="6"/>
        <v>14348896.885273971</v>
      </c>
      <c r="I51" s="22">
        <f>0</f>
        <v>0</v>
      </c>
      <c r="J51" s="34">
        <f t="shared" si="1"/>
        <v>1663234.0257131276</v>
      </c>
      <c r="K51" s="34">
        <f t="shared" si="2"/>
        <v>35811.775833408312</v>
      </c>
      <c r="L51" s="28">
        <f t="shared" si="3"/>
        <v>-285367940.20547968</v>
      </c>
      <c r="M51" s="28">
        <f t="shared" si="7"/>
        <v>-33078059.713742282</v>
      </c>
      <c r="N51" s="41"/>
      <c r="O51" s="41"/>
      <c r="P51" s="41"/>
      <c r="Q51" s="41"/>
      <c r="R51" s="41"/>
    </row>
    <row r="52" spans="3:18" x14ac:dyDescent="0.25">
      <c r="D52" s="34">
        <v>29</v>
      </c>
      <c r="E52" s="15">
        <f t="shared" si="5"/>
        <v>308952</v>
      </c>
      <c r="F52" s="34">
        <f t="shared" si="0"/>
        <v>9.3172748972902255</v>
      </c>
      <c r="G52" s="34">
        <v>0</v>
      </c>
      <c r="H52" s="15">
        <f t="shared" si="6"/>
        <v>14348896.885273971</v>
      </c>
      <c r="I52" s="22">
        <f>0</f>
        <v>0</v>
      </c>
      <c r="J52" s="34">
        <f t="shared" si="1"/>
        <v>1540031.5052899329</v>
      </c>
      <c r="K52" s="34">
        <f t="shared" si="2"/>
        <v>33159.051697600291</v>
      </c>
      <c r="L52" s="28">
        <f t="shared" si="3"/>
        <v>-321038932.73116463</v>
      </c>
      <c r="M52" s="28">
        <f t="shared" si="7"/>
        <v>-34456312.201814875</v>
      </c>
    </row>
    <row r="53" spans="3:18" x14ac:dyDescent="0.25">
      <c r="D53" s="34">
        <v>30</v>
      </c>
      <c r="E53" s="15">
        <f t="shared" si="5"/>
        <v>308952</v>
      </c>
      <c r="F53" s="34">
        <f t="shared" si="0"/>
        <v>10.062656889073445</v>
      </c>
      <c r="G53" s="34">
        <v>0</v>
      </c>
      <c r="H53" s="15">
        <f t="shared" si="6"/>
        <v>14348896.885273971</v>
      </c>
      <c r="I53" s="22">
        <f>0</f>
        <v>0</v>
      </c>
      <c r="J53" s="34">
        <f t="shared" si="1"/>
        <v>1425955.0974906783</v>
      </c>
      <c r="K53" s="34">
        <f t="shared" si="2"/>
        <v>30702.82564592619</v>
      </c>
      <c r="L53" s="28">
        <f t="shared" si="3"/>
        <v>-356709925.25684959</v>
      </c>
      <c r="M53" s="28">
        <f t="shared" si="7"/>
        <v>-35448880.866064683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topLeftCell="A18" workbookViewId="0">
      <selection activeCell="F18" sqref="F18"/>
    </sheetView>
  </sheetViews>
  <sheetFormatPr defaultRowHeight="15" x14ac:dyDescent="0.25"/>
  <cols>
    <col min="1" max="1" width="31.85546875" bestFit="1" customWidth="1"/>
    <col min="2" max="2" width="13" customWidth="1"/>
    <col min="3" max="3" width="5.85546875" customWidth="1"/>
    <col min="4" max="4" width="9.140625" style="34"/>
    <col min="5" max="5" width="24.85546875" style="24" bestFit="1" customWidth="1"/>
    <col min="6" max="6" width="12.85546875" style="34" bestFit="1" customWidth="1"/>
    <col min="7" max="7" width="11.85546875" style="34" customWidth="1"/>
    <col min="8" max="8" width="12.42578125" style="34" customWidth="1"/>
    <col min="9" max="9" width="10.28515625" style="34" customWidth="1"/>
    <col min="10" max="10" width="18" style="34" bestFit="1" customWidth="1"/>
    <col min="11" max="11" width="13.140625" style="34" customWidth="1"/>
    <col min="12" max="12" width="19.7109375" style="34" customWidth="1"/>
    <col min="13" max="13" width="23.7109375" style="34" bestFit="1" customWidth="1"/>
    <col min="14" max="14" width="12.5703125" style="34" bestFit="1" customWidth="1"/>
    <col min="15" max="15" width="10" style="34" customWidth="1"/>
    <col min="16" max="16" width="10.7109375" style="34" customWidth="1"/>
    <col min="17" max="17" width="14.140625" style="34" bestFit="1" customWidth="1"/>
    <col min="18" max="19" width="23.7109375" style="34" bestFit="1" customWidth="1"/>
  </cols>
  <sheetData>
    <row r="1" spans="1:10" x14ac:dyDescent="0.25">
      <c r="A1" s="69" t="s">
        <v>86</v>
      </c>
      <c r="B1" s="70"/>
    </row>
    <row r="2" spans="1:10" x14ac:dyDescent="0.25">
      <c r="A2" s="59" t="s">
        <v>67</v>
      </c>
      <c r="B2" s="61">
        <v>100</v>
      </c>
      <c r="E2" s="25" t="s">
        <v>22</v>
      </c>
      <c r="F2" s="25"/>
      <c r="G2" s="25"/>
    </row>
    <row r="3" spans="1:10" x14ac:dyDescent="0.25">
      <c r="A3" s="47" t="s">
        <v>78</v>
      </c>
      <c r="B3" s="62">
        <f>B4/8760</f>
        <v>0.1997716894977169</v>
      </c>
      <c r="D3" s="34">
        <v>1</v>
      </c>
      <c r="E3" s="24" t="s">
        <v>17</v>
      </c>
      <c r="F3" s="27">
        <f>(A25/A19)*A22</f>
        <v>294240000</v>
      </c>
      <c r="G3" s="34" t="s">
        <v>20</v>
      </c>
    </row>
    <row r="4" spans="1:10" x14ac:dyDescent="0.25">
      <c r="A4" s="3" t="s">
        <v>88</v>
      </c>
      <c r="B4" s="63">
        <v>1750</v>
      </c>
      <c r="D4" s="34">
        <v>2</v>
      </c>
      <c r="E4" s="24" t="s">
        <v>18</v>
      </c>
      <c r="F4" s="27">
        <f>F3*(1+B9)/8760</f>
        <v>35268.493150684932</v>
      </c>
      <c r="G4" s="34" t="s">
        <v>21</v>
      </c>
    </row>
    <row r="5" spans="1:10" x14ac:dyDescent="0.25">
      <c r="A5" s="3" t="s">
        <v>87</v>
      </c>
      <c r="B5" s="63">
        <v>2250</v>
      </c>
      <c r="D5" s="34">
        <v>3</v>
      </c>
      <c r="E5" s="24" t="s">
        <v>19</v>
      </c>
      <c r="F5" s="27">
        <f>F4/B13</f>
        <v>39187.214611872143</v>
      </c>
      <c r="G5" s="34" t="s">
        <v>21</v>
      </c>
    </row>
    <row r="6" spans="1:10" x14ac:dyDescent="0.25">
      <c r="A6" s="3" t="s">
        <v>3</v>
      </c>
      <c r="B6" s="64">
        <v>9000</v>
      </c>
      <c r="F6" s="27"/>
    </row>
    <row r="7" spans="1:10" x14ac:dyDescent="0.25">
      <c r="A7" s="3" t="s">
        <v>4</v>
      </c>
      <c r="B7" s="63">
        <v>5000</v>
      </c>
      <c r="E7" s="25" t="s">
        <v>23</v>
      </c>
      <c r="F7" s="25"/>
      <c r="G7" s="25"/>
    </row>
    <row r="8" spans="1:10" x14ac:dyDescent="0.25">
      <c r="A8" s="3" t="s">
        <v>9</v>
      </c>
      <c r="B8" s="48">
        <v>0.03</v>
      </c>
      <c r="D8" s="34">
        <v>4</v>
      </c>
      <c r="E8" s="24" t="s">
        <v>71</v>
      </c>
      <c r="F8" s="41">
        <v>0</v>
      </c>
      <c r="G8" s="34" t="s">
        <v>36</v>
      </c>
      <c r="J8" s="18"/>
    </row>
    <row r="9" spans="1:10" x14ac:dyDescent="0.25">
      <c r="A9" s="3" t="s">
        <v>68</v>
      </c>
      <c r="B9" s="48">
        <v>0.05</v>
      </c>
      <c r="D9" s="34">
        <v>5</v>
      </c>
      <c r="E9" s="24" t="s">
        <v>72</v>
      </c>
      <c r="F9" s="41">
        <f>'GRID LCoE Calculation'!F16*0.75</f>
        <v>9.9975000000000023</v>
      </c>
      <c r="G9" s="34" t="s">
        <v>36</v>
      </c>
    </row>
    <row r="10" spans="1:10" x14ac:dyDescent="0.25">
      <c r="A10" s="3" t="s">
        <v>6</v>
      </c>
      <c r="B10" s="63">
        <v>100</v>
      </c>
      <c r="D10" s="34">
        <v>6</v>
      </c>
      <c r="E10" s="24" t="s">
        <v>73</v>
      </c>
      <c r="F10" s="41">
        <f>F8*B6</f>
        <v>0</v>
      </c>
      <c r="G10" s="34" t="s">
        <v>77</v>
      </c>
    </row>
    <row r="11" spans="1:10" x14ac:dyDescent="0.25">
      <c r="A11" s="3" t="s">
        <v>69</v>
      </c>
      <c r="B11" s="63">
        <v>4300</v>
      </c>
      <c r="D11" s="34">
        <v>7</v>
      </c>
      <c r="E11" s="24" t="s">
        <v>74</v>
      </c>
      <c r="F11" s="41">
        <f>F9*B7</f>
        <v>49987.500000000015</v>
      </c>
      <c r="G11" s="34" t="s">
        <v>77</v>
      </c>
    </row>
    <row r="12" spans="1:10" x14ac:dyDescent="0.25">
      <c r="A12" s="3" t="s">
        <v>70</v>
      </c>
      <c r="B12" s="48">
        <v>0.02</v>
      </c>
      <c r="D12" s="34">
        <v>8</v>
      </c>
      <c r="E12" s="24" t="s">
        <v>80</v>
      </c>
      <c r="F12" s="41">
        <f>F10+F11+(A25/A19)*B10</f>
        <v>8049987.5</v>
      </c>
      <c r="G12" s="34" t="s">
        <v>77</v>
      </c>
      <c r="H12" s="23"/>
    </row>
    <row r="13" spans="1:10" ht="15.75" thickBot="1" x14ac:dyDescent="0.3">
      <c r="A13" s="3" t="s">
        <v>8</v>
      </c>
      <c r="B13" s="66">
        <v>0.9</v>
      </c>
      <c r="D13" s="34">
        <v>9</v>
      </c>
      <c r="E13" s="30" t="s">
        <v>75</v>
      </c>
      <c r="F13" s="42">
        <f>F12*B8</f>
        <v>241499.625</v>
      </c>
      <c r="G13" s="32" t="s">
        <v>77</v>
      </c>
      <c r="H13" s="23"/>
    </row>
    <row r="14" spans="1:10" ht="15.75" thickTop="1" x14ac:dyDescent="0.25">
      <c r="A14" s="3" t="s">
        <v>11</v>
      </c>
      <c r="B14" s="63">
        <v>20</v>
      </c>
      <c r="D14" s="34">
        <v>10</v>
      </c>
      <c r="E14" s="24" t="s">
        <v>76</v>
      </c>
      <c r="F14" s="41">
        <f>F5/B3</f>
        <v>196159.99999999997</v>
      </c>
      <c r="G14" s="34" t="s">
        <v>21</v>
      </c>
    </row>
    <row r="15" spans="1:10" ht="15.75" thickBot="1" x14ac:dyDescent="0.3">
      <c r="A15" s="6" t="s">
        <v>10</v>
      </c>
      <c r="B15" s="65">
        <v>0.08</v>
      </c>
      <c r="D15" s="34">
        <v>11</v>
      </c>
      <c r="E15" s="30" t="s">
        <v>79</v>
      </c>
      <c r="F15" s="42">
        <f>F14*B11</f>
        <v>843487999.99999988</v>
      </c>
      <c r="G15" s="32" t="s">
        <v>77</v>
      </c>
    </row>
    <row r="16" spans="1:10" ht="15.75" thickTop="1" x14ac:dyDescent="0.25">
      <c r="A16" s="49"/>
      <c r="B16" s="49"/>
      <c r="D16" s="34">
        <v>13</v>
      </c>
      <c r="E16" s="44" t="s">
        <v>81</v>
      </c>
      <c r="F16" s="45">
        <f>F12+F15</f>
        <v>851537987.49999988</v>
      </c>
      <c r="G16" s="46" t="s">
        <v>77</v>
      </c>
    </row>
    <row r="17" spans="1:19" ht="15.75" thickBot="1" x14ac:dyDescent="0.3">
      <c r="A17" s="8" t="s">
        <v>12</v>
      </c>
      <c r="B17" s="50"/>
      <c r="D17" s="34">
        <v>14</v>
      </c>
      <c r="E17" s="30" t="s">
        <v>82</v>
      </c>
      <c r="F17" s="42">
        <f>F4*8760/1000</f>
        <v>308952</v>
      </c>
      <c r="G17" s="32" t="s">
        <v>83</v>
      </c>
    </row>
    <row r="18" spans="1:19" ht="15.75" thickTop="1" x14ac:dyDescent="0.25">
      <c r="A18" s="9" t="s">
        <v>13</v>
      </c>
      <c r="B18" s="51"/>
      <c r="D18" s="34">
        <v>15</v>
      </c>
      <c r="E18" s="56" t="s">
        <v>59</v>
      </c>
      <c r="F18" s="57">
        <f>(SUM(J25:J45)-M45)/SUM(K25:K45)/1000</f>
        <v>0.33611138477399538</v>
      </c>
      <c r="G18" s="58" t="s">
        <v>84</v>
      </c>
      <c r="H18" s="46"/>
    </row>
    <row r="19" spans="1:19" x14ac:dyDescent="0.25">
      <c r="A19" s="40">
        <v>5</v>
      </c>
      <c r="B19" s="52"/>
      <c r="H19" s="46"/>
    </row>
    <row r="20" spans="1:19" x14ac:dyDescent="0.25">
      <c r="H20" s="46"/>
      <c r="I20" s="18"/>
      <c r="J20" s="23"/>
    </row>
    <row r="21" spans="1:19" x14ac:dyDescent="0.25">
      <c r="A21" s="53" t="s">
        <v>14</v>
      </c>
      <c r="C21" s="34"/>
    </row>
    <row r="22" spans="1:19" x14ac:dyDescent="0.25">
      <c r="A22" s="40">
        <v>3678</v>
      </c>
      <c r="C22" s="34"/>
    </row>
    <row r="23" spans="1:19" x14ac:dyDescent="0.25">
      <c r="A23" s="38"/>
      <c r="C23" s="34"/>
      <c r="N23" s="41"/>
      <c r="O23" s="41"/>
      <c r="P23" s="41"/>
      <c r="Q23" s="41"/>
      <c r="R23" s="41"/>
    </row>
    <row r="24" spans="1:19" x14ac:dyDescent="0.25">
      <c r="A24" s="53" t="s">
        <v>15</v>
      </c>
      <c r="C24" s="34"/>
      <c r="D24" s="34" t="s">
        <v>53</v>
      </c>
      <c r="E24" s="34" t="s">
        <v>55</v>
      </c>
      <c r="F24" s="34" t="s">
        <v>54</v>
      </c>
      <c r="G24" s="34" t="s">
        <v>57</v>
      </c>
      <c r="H24" s="34" t="s">
        <v>56</v>
      </c>
      <c r="I24" s="34" t="s">
        <v>58</v>
      </c>
      <c r="J24" s="34" t="s">
        <v>60</v>
      </c>
      <c r="K24" s="34" t="s">
        <v>61</v>
      </c>
      <c r="L24" s="34" t="s">
        <v>62</v>
      </c>
      <c r="M24" s="34" t="s">
        <v>63</v>
      </c>
      <c r="N24" s="41"/>
      <c r="O24" s="41"/>
      <c r="P24" s="41"/>
      <c r="Q24" s="41"/>
      <c r="R24" s="41"/>
      <c r="S24" s="54"/>
    </row>
    <row r="25" spans="1:19" x14ac:dyDescent="0.25">
      <c r="A25" s="40">
        <v>400000</v>
      </c>
      <c r="C25" s="34"/>
      <c r="D25" s="34">
        <v>0</v>
      </c>
      <c r="E25" s="18">
        <v>0</v>
      </c>
      <c r="F25" s="34">
        <f>(1+$B$15)^D25</f>
        <v>1</v>
      </c>
      <c r="G25" s="28">
        <f>F16</f>
        <v>851537987.49999988</v>
      </c>
      <c r="H25" s="34">
        <v>0</v>
      </c>
      <c r="I25" s="34">
        <v>0</v>
      </c>
      <c r="J25" s="34">
        <f>(G25+H25+I25)/F25</f>
        <v>851537987.49999988</v>
      </c>
      <c r="K25" s="34">
        <f>E25/F25</f>
        <v>0</v>
      </c>
      <c r="L25" s="28">
        <f>G25</f>
        <v>851537987.49999988</v>
      </c>
      <c r="M25" s="28">
        <f>L25*F25</f>
        <v>851537987.49999988</v>
      </c>
      <c r="N25" s="41"/>
      <c r="O25" s="41"/>
      <c r="P25" s="41"/>
      <c r="Q25" s="41"/>
      <c r="R25" s="41"/>
    </row>
    <row r="26" spans="1:19" x14ac:dyDescent="0.25">
      <c r="C26" s="34"/>
      <c r="D26" s="34">
        <v>1</v>
      </c>
      <c r="E26" s="15">
        <f>F17</f>
        <v>308952</v>
      </c>
      <c r="F26" s="34">
        <f t="shared" ref="F26:F55" si="0">(1+$B$15)^D26</f>
        <v>1.08</v>
      </c>
      <c r="G26" s="34">
        <v>0</v>
      </c>
      <c r="H26" s="15">
        <f>F13+(B11*B12*F14)</f>
        <v>17111259.624999996</v>
      </c>
      <c r="I26" s="22">
        <f>0</f>
        <v>0</v>
      </c>
      <c r="J26" s="34">
        <f t="shared" ref="J26:J55" si="1">(G26+H26+I26)/F26</f>
        <v>15843758.912037032</v>
      </c>
      <c r="K26" s="34">
        <f t="shared" ref="K26:K55" si="2">E26/F26</f>
        <v>286066.66666666663</v>
      </c>
      <c r="L26" s="28">
        <f t="shared" ref="L26:L55" si="3">L25-($G$25/$B$14)</f>
        <v>808961088.12499988</v>
      </c>
      <c r="M26" s="28">
        <f>L26/F26</f>
        <v>749038044.56018507</v>
      </c>
      <c r="N26" s="41"/>
      <c r="O26" s="41"/>
      <c r="P26" s="41"/>
      <c r="Q26" s="41"/>
      <c r="R26" s="41"/>
    </row>
    <row r="27" spans="1:19" x14ac:dyDescent="0.25">
      <c r="A27" s="53" t="s">
        <v>16</v>
      </c>
      <c r="C27" s="34"/>
      <c r="D27" s="34">
        <v>2</v>
      </c>
      <c r="E27" s="15">
        <f>E26</f>
        <v>308952</v>
      </c>
      <c r="F27" s="34">
        <f t="shared" si="0"/>
        <v>1.1664000000000001</v>
      </c>
      <c r="G27" s="34">
        <v>0</v>
      </c>
      <c r="H27" s="15">
        <f>H26</f>
        <v>17111259.624999996</v>
      </c>
      <c r="I27" s="22">
        <f>0</f>
        <v>0</v>
      </c>
      <c r="J27" s="34">
        <f t="shared" si="1"/>
        <v>14670147.14077503</v>
      </c>
      <c r="K27" s="34">
        <f t="shared" si="2"/>
        <v>264876.54320987652</v>
      </c>
      <c r="L27" s="28">
        <f t="shared" si="3"/>
        <v>766384188.74999988</v>
      </c>
      <c r="M27" s="28">
        <f t="shared" ref="M27:M42" si="4">L27/F27</f>
        <v>657050916.280864</v>
      </c>
      <c r="N27" s="41"/>
      <c r="O27" s="41"/>
      <c r="P27" s="41"/>
      <c r="Q27" s="41"/>
      <c r="R27" s="41"/>
    </row>
    <row r="28" spans="1:19" x14ac:dyDescent="0.25">
      <c r="A28" s="40">
        <v>50</v>
      </c>
      <c r="C28" s="34"/>
      <c r="D28" s="34">
        <v>3</v>
      </c>
      <c r="E28" s="15">
        <f t="shared" ref="E28:E55" si="5">E27</f>
        <v>308952</v>
      </c>
      <c r="F28" s="34">
        <f t="shared" si="0"/>
        <v>1.2597120000000002</v>
      </c>
      <c r="G28" s="34">
        <v>0</v>
      </c>
      <c r="H28" s="15">
        <f t="shared" ref="H28:H55" si="6">H27</f>
        <v>17111259.624999996</v>
      </c>
      <c r="I28" s="22">
        <f>0</f>
        <v>0</v>
      </c>
      <c r="J28" s="34">
        <f t="shared" si="1"/>
        <v>13583469.574791694</v>
      </c>
      <c r="K28" s="34">
        <f t="shared" si="2"/>
        <v>245256.05852766344</v>
      </c>
      <c r="L28" s="28">
        <f t="shared" si="3"/>
        <v>723807289.37499988</v>
      </c>
      <c r="M28" s="28">
        <f t="shared" si="4"/>
        <v>574581562.59129059</v>
      </c>
      <c r="N28" s="41"/>
      <c r="O28" s="41"/>
      <c r="P28" s="41"/>
      <c r="Q28" s="41"/>
      <c r="R28" s="41"/>
    </row>
    <row r="29" spans="1:19" x14ac:dyDescent="0.25">
      <c r="C29" s="34"/>
      <c r="D29" s="34">
        <v>4</v>
      </c>
      <c r="E29" s="15">
        <f t="shared" si="5"/>
        <v>308952</v>
      </c>
      <c r="F29" s="34">
        <f t="shared" si="0"/>
        <v>1.3604889600000003</v>
      </c>
      <c r="G29" s="34">
        <v>0</v>
      </c>
      <c r="H29" s="15">
        <f t="shared" si="6"/>
        <v>17111259.624999996</v>
      </c>
      <c r="I29" s="22">
        <f>0</f>
        <v>0</v>
      </c>
      <c r="J29" s="34">
        <f t="shared" si="1"/>
        <v>12577286.643325642</v>
      </c>
      <c r="K29" s="34">
        <f t="shared" si="2"/>
        <v>227088.94308116983</v>
      </c>
      <c r="L29" s="28">
        <f t="shared" si="3"/>
        <v>681230389.99999988</v>
      </c>
      <c r="M29" s="28">
        <f t="shared" si="4"/>
        <v>500724673.28217036</v>
      </c>
      <c r="N29" s="41"/>
      <c r="O29" s="41"/>
      <c r="P29" s="41"/>
      <c r="Q29" s="41"/>
      <c r="R29" s="41"/>
    </row>
    <row r="30" spans="1:19" x14ac:dyDescent="0.25">
      <c r="A30" s="20" t="s">
        <v>24</v>
      </c>
      <c r="C30" s="34"/>
      <c r="D30" s="34">
        <v>5</v>
      </c>
      <c r="E30" s="15">
        <f t="shared" si="5"/>
        <v>308952</v>
      </c>
      <c r="F30" s="34">
        <f t="shared" si="0"/>
        <v>1.4693280768000003</v>
      </c>
      <c r="G30" s="34">
        <v>0</v>
      </c>
      <c r="H30" s="15">
        <f t="shared" si="6"/>
        <v>17111259.624999996</v>
      </c>
      <c r="I30" s="22">
        <f>0</f>
        <v>0</v>
      </c>
      <c r="J30" s="34">
        <f t="shared" si="1"/>
        <v>11645635.780857075</v>
      </c>
      <c r="K30" s="34">
        <f t="shared" si="2"/>
        <v>210267.53988997207</v>
      </c>
      <c r="L30" s="28">
        <f t="shared" si="3"/>
        <v>638653490.62499988</v>
      </c>
      <c r="M30" s="28">
        <f t="shared" si="4"/>
        <v>434656834.4463284</v>
      </c>
      <c r="N30" s="41"/>
      <c r="O30" s="41"/>
      <c r="P30" s="41"/>
      <c r="Q30" s="41"/>
      <c r="R30" s="41"/>
    </row>
    <row r="31" spans="1:19" x14ac:dyDescent="0.25">
      <c r="A31" s="39">
        <v>100</v>
      </c>
      <c r="C31" s="34"/>
      <c r="D31" s="34">
        <v>6</v>
      </c>
      <c r="E31" s="15">
        <f t="shared" si="5"/>
        <v>308952</v>
      </c>
      <c r="F31" s="34">
        <f t="shared" si="0"/>
        <v>1.5868743229440005</v>
      </c>
      <c r="G31" s="34">
        <v>0</v>
      </c>
      <c r="H31" s="15">
        <f t="shared" si="6"/>
        <v>17111259.624999996</v>
      </c>
      <c r="I31" s="22">
        <f>0</f>
        <v>0</v>
      </c>
      <c r="J31" s="34">
        <f t="shared" si="1"/>
        <v>10782996.093386179</v>
      </c>
      <c r="K31" s="34">
        <f t="shared" si="2"/>
        <v>194692.16656478893</v>
      </c>
      <c r="L31" s="28">
        <f t="shared" si="3"/>
        <v>596076591.24999988</v>
      </c>
      <c r="M31" s="28">
        <f t="shared" si="4"/>
        <v>375629363.10176528</v>
      </c>
      <c r="N31" s="41"/>
      <c r="O31" s="41"/>
      <c r="P31" s="41"/>
      <c r="Q31" s="41"/>
      <c r="R31" s="41"/>
    </row>
    <row r="32" spans="1:19" x14ac:dyDescent="0.25">
      <c r="C32" s="34"/>
      <c r="D32" s="34">
        <v>7</v>
      </c>
      <c r="E32" s="15">
        <f t="shared" si="5"/>
        <v>308952</v>
      </c>
      <c r="F32" s="34">
        <f t="shared" si="0"/>
        <v>1.7138242687795207</v>
      </c>
      <c r="G32" s="34">
        <v>0</v>
      </c>
      <c r="H32" s="15">
        <f t="shared" si="6"/>
        <v>17111259.624999996</v>
      </c>
      <c r="I32" s="22">
        <f>0</f>
        <v>0</v>
      </c>
      <c r="J32" s="34">
        <f t="shared" si="1"/>
        <v>9984255.6420242395</v>
      </c>
      <c r="K32" s="34">
        <f t="shared" si="2"/>
        <v>180270.52459702679</v>
      </c>
      <c r="L32" s="28">
        <f t="shared" si="3"/>
        <v>553499691.87499988</v>
      </c>
      <c r="M32" s="28">
        <f t="shared" si="4"/>
        <v>322961753.989613</v>
      </c>
      <c r="N32" s="41"/>
      <c r="O32" s="41"/>
      <c r="P32" s="41"/>
      <c r="Q32" s="41"/>
      <c r="R32" s="41"/>
    </row>
    <row r="33" spans="3:18" x14ac:dyDescent="0.25">
      <c r="C33" s="34"/>
      <c r="D33" s="34">
        <v>8</v>
      </c>
      <c r="E33" s="15">
        <f t="shared" si="5"/>
        <v>308952</v>
      </c>
      <c r="F33" s="34">
        <f t="shared" si="0"/>
        <v>1.8509302102818823</v>
      </c>
      <c r="G33" s="34">
        <v>0</v>
      </c>
      <c r="H33" s="15">
        <f t="shared" si="6"/>
        <v>17111259.624999996</v>
      </c>
      <c r="I33" s="22">
        <f>0</f>
        <v>0</v>
      </c>
      <c r="J33" s="34">
        <f t="shared" si="1"/>
        <v>9244681.1500224434</v>
      </c>
      <c r="K33" s="34">
        <f t="shared" si="2"/>
        <v>166917.15240465442</v>
      </c>
      <c r="L33" s="28">
        <f t="shared" si="3"/>
        <v>510922792.49999988</v>
      </c>
      <c r="M33" s="28">
        <f t="shared" si="4"/>
        <v>276035687.17060935</v>
      </c>
      <c r="N33" s="41"/>
      <c r="O33" s="41"/>
      <c r="P33" s="41"/>
      <c r="Q33" s="41"/>
      <c r="R33" s="41"/>
    </row>
    <row r="34" spans="3:18" x14ac:dyDescent="0.25">
      <c r="C34" s="34"/>
      <c r="D34" s="34">
        <v>9</v>
      </c>
      <c r="E34" s="15">
        <f t="shared" si="5"/>
        <v>308952</v>
      </c>
      <c r="F34" s="34">
        <f t="shared" si="0"/>
        <v>1.9990046271044331</v>
      </c>
      <c r="G34" s="34">
        <v>0</v>
      </c>
      <c r="H34" s="15">
        <f t="shared" si="6"/>
        <v>17111259.624999996</v>
      </c>
      <c r="I34" s="22">
        <f>0</f>
        <v>0</v>
      </c>
      <c r="J34" s="34">
        <f t="shared" si="1"/>
        <v>8559889.9537244849</v>
      </c>
      <c r="K34" s="34">
        <f t="shared" si="2"/>
        <v>154552.91889319851</v>
      </c>
      <c r="L34" s="28">
        <f t="shared" si="3"/>
        <v>468345893.12499988</v>
      </c>
      <c r="M34" s="28">
        <f t="shared" si="4"/>
        <v>234289549.29604188</v>
      </c>
      <c r="N34" s="41"/>
      <c r="O34" s="41"/>
      <c r="P34" s="41"/>
      <c r="Q34" s="41"/>
      <c r="R34" s="41"/>
    </row>
    <row r="35" spans="3:18" x14ac:dyDescent="0.25">
      <c r="C35" s="34"/>
      <c r="D35" s="34">
        <v>10</v>
      </c>
      <c r="E35" s="15">
        <f t="shared" si="5"/>
        <v>308952</v>
      </c>
      <c r="F35" s="34">
        <f t="shared" si="0"/>
        <v>2.1589249972727877</v>
      </c>
      <c r="G35" s="34">
        <v>0</v>
      </c>
      <c r="H35" s="15">
        <f t="shared" si="6"/>
        <v>17111259.624999996</v>
      </c>
      <c r="I35" s="22">
        <f>0</f>
        <v>0</v>
      </c>
      <c r="J35" s="34">
        <f t="shared" si="1"/>
        <v>7925824.0312263742</v>
      </c>
      <c r="K35" s="34">
        <f t="shared" si="2"/>
        <v>143104.55453073938</v>
      </c>
      <c r="L35" s="28">
        <f t="shared" si="3"/>
        <v>425768993.74999988</v>
      </c>
      <c r="M35" s="28">
        <f t="shared" si="4"/>
        <v>197213425.33336857</v>
      </c>
      <c r="N35" s="41"/>
      <c r="O35" s="41"/>
      <c r="P35" s="41"/>
      <c r="Q35" s="41"/>
      <c r="R35" s="41"/>
    </row>
    <row r="36" spans="3:18" x14ac:dyDescent="0.25">
      <c r="C36" s="34"/>
      <c r="D36" s="34">
        <v>11</v>
      </c>
      <c r="E36" s="15">
        <f t="shared" si="5"/>
        <v>308952</v>
      </c>
      <c r="F36" s="34">
        <f t="shared" si="0"/>
        <v>2.3316389970546108</v>
      </c>
      <c r="G36" s="34">
        <v>0</v>
      </c>
      <c r="H36" s="15">
        <f t="shared" si="6"/>
        <v>17111259.624999996</v>
      </c>
      <c r="I36" s="22">
        <f>0</f>
        <v>0</v>
      </c>
      <c r="J36" s="34">
        <f t="shared" si="1"/>
        <v>7338725.9548392361</v>
      </c>
      <c r="K36" s="34">
        <f t="shared" si="2"/>
        <v>132504.21715809201</v>
      </c>
      <c r="L36" s="28">
        <f t="shared" si="3"/>
        <v>383192094.37499988</v>
      </c>
      <c r="M36" s="28">
        <f t="shared" si="4"/>
        <v>164344521.11114049</v>
      </c>
      <c r="N36" s="41"/>
      <c r="O36" s="41"/>
      <c r="P36" s="41"/>
      <c r="Q36" s="41"/>
      <c r="R36" s="41"/>
    </row>
    <row r="37" spans="3:18" x14ac:dyDescent="0.25">
      <c r="C37" s="34"/>
      <c r="D37" s="34">
        <v>12</v>
      </c>
      <c r="E37" s="15">
        <f t="shared" si="5"/>
        <v>308952</v>
      </c>
      <c r="F37" s="34">
        <f t="shared" si="0"/>
        <v>2.5181701168189798</v>
      </c>
      <c r="G37" s="34">
        <v>0</v>
      </c>
      <c r="H37" s="15">
        <f t="shared" si="6"/>
        <v>17111259.624999996</v>
      </c>
      <c r="I37" s="22">
        <f>0</f>
        <v>0</v>
      </c>
      <c r="J37" s="34">
        <f t="shared" si="1"/>
        <v>6795116.6248511439</v>
      </c>
      <c r="K37" s="34">
        <f t="shared" si="2"/>
        <v>122689.0899611963</v>
      </c>
      <c r="L37" s="28">
        <f t="shared" si="3"/>
        <v>340615194.99999988</v>
      </c>
      <c r="M37" s="28">
        <f t="shared" si="4"/>
        <v>135262980.33838719</v>
      </c>
      <c r="N37" s="41"/>
      <c r="O37" s="41"/>
      <c r="P37" s="41"/>
      <c r="Q37" s="41"/>
      <c r="R37" s="41"/>
    </row>
    <row r="38" spans="3:18" x14ac:dyDescent="0.25">
      <c r="C38" s="34"/>
      <c r="D38" s="34">
        <v>13</v>
      </c>
      <c r="E38" s="15">
        <f t="shared" si="5"/>
        <v>308952</v>
      </c>
      <c r="F38" s="34">
        <f t="shared" si="0"/>
        <v>2.7196237261644982</v>
      </c>
      <c r="G38" s="34">
        <v>0</v>
      </c>
      <c r="H38" s="15">
        <f t="shared" si="6"/>
        <v>17111259.624999996</v>
      </c>
      <c r="I38" s="22">
        <f>0</f>
        <v>0</v>
      </c>
      <c r="J38" s="34">
        <f t="shared" si="1"/>
        <v>6291774.6526399478</v>
      </c>
      <c r="K38" s="34">
        <f t="shared" si="2"/>
        <v>113601.00922332991</v>
      </c>
      <c r="L38" s="28">
        <f t="shared" si="3"/>
        <v>298038295.62499988</v>
      </c>
      <c r="M38" s="28">
        <f t="shared" si="4"/>
        <v>109588062.7741563</v>
      </c>
      <c r="N38" s="41"/>
      <c r="O38" s="41"/>
      <c r="P38" s="41"/>
      <c r="Q38" s="41"/>
      <c r="R38" s="41"/>
    </row>
    <row r="39" spans="3:18" x14ac:dyDescent="0.25">
      <c r="C39" s="34"/>
      <c r="D39" s="34">
        <v>14</v>
      </c>
      <c r="E39" s="15">
        <f t="shared" si="5"/>
        <v>308952</v>
      </c>
      <c r="F39" s="34">
        <f t="shared" si="0"/>
        <v>2.9371936242576586</v>
      </c>
      <c r="G39" s="34">
        <v>0</v>
      </c>
      <c r="H39" s="15">
        <f t="shared" si="6"/>
        <v>17111259.624999996</v>
      </c>
      <c r="I39" s="22">
        <f>0</f>
        <v>0</v>
      </c>
      <c r="J39" s="34">
        <f t="shared" si="1"/>
        <v>5825717.2709629135</v>
      </c>
      <c r="K39" s="34">
        <f t="shared" si="2"/>
        <v>105186.11965123138</v>
      </c>
      <c r="L39" s="28">
        <f t="shared" si="3"/>
        <v>255461396.24999988</v>
      </c>
      <c r="M39" s="28">
        <f t="shared" si="4"/>
        <v>86974652.995362118</v>
      </c>
      <c r="N39" s="41"/>
      <c r="O39" s="41"/>
      <c r="P39" s="41"/>
      <c r="Q39" s="41"/>
      <c r="R39" s="41"/>
    </row>
    <row r="40" spans="3:18" x14ac:dyDescent="0.25">
      <c r="C40" s="34"/>
      <c r="D40" s="34">
        <v>15</v>
      </c>
      <c r="E40" s="15">
        <f t="shared" si="5"/>
        <v>308952</v>
      </c>
      <c r="F40" s="34">
        <f t="shared" si="0"/>
        <v>3.1721691141982715</v>
      </c>
      <c r="G40" s="34">
        <v>0</v>
      </c>
      <c r="H40" s="15">
        <f t="shared" si="6"/>
        <v>17111259.624999996</v>
      </c>
      <c r="I40" s="22">
        <f>0</f>
        <v>0</v>
      </c>
      <c r="J40" s="34">
        <f t="shared" si="1"/>
        <v>5394182.6582989935</v>
      </c>
      <c r="K40" s="34">
        <f t="shared" si="2"/>
        <v>97394.555232621628</v>
      </c>
      <c r="L40" s="28">
        <f t="shared" si="3"/>
        <v>212884496.87499988</v>
      </c>
      <c r="M40" s="28">
        <f t="shared" si="4"/>
        <v>67110071.755680636</v>
      </c>
      <c r="N40" s="41"/>
      <c r="O40" s="41"/>
      <c r="P40" s="41"/>
      <c r="Q40" s="41"/>
      <c r="R40" s="41"/>
    </row>
    <row r="41" spans="3:18" x14ac:dyDescent="0.25">
      <c r="C41" s="34"/>
      <c r="D41" s="34">
        <v>16</v>
      </c>
      <c r="E41" s="15">
        <f t="shared" si="5"/>
        <v>308952</v>
      </c>
      <c r="F41" s="34">
        <f t="shared" si="0"/>
        <v>3.4259426433341331</v>
      </c>
      <c r="G41" s="34">
        <v>0</v>
      </c>
      <c r="H41" s="15">
        <f t="shared" si="6"/>
        <v>17111259.624999996</v>
      </c>
      <c r="I41" s="22">
        <f>0</f>
        <v>0</v>
      </c>
      <c r="J41" s="34">
        <f t="shared" si="1"/>
        <v>4994613.5724990685</v>
      </c>
      <c r="K41" s="34">
        <f t="shared" si="2"/>
        <v>90180.143733908917</v>
      </c>
      <c r="L41" s="28">
        <f t="shared" si="3"/>
        <v>170307597.49999988</v>
      </c>
      <c r="M41" s="28">
        <f t="shared" si="4"/>
        <v>49711164.263467133</v>
      </c>
      <c r="N41" s="41"/>
      <c r="O41" s="41"/>
      <c r="P41" s="41"/>
      <c r="Q41" s="41"/>
      <c r="R41" s="41"/>
    </row>
    <row r="42" spans="3:18" x14ac:dyDescent="0.25">
      <c r="C42" s="34"/>
      <c r="D42" s="34">
        <v>17</v>
      </c>
      <c r="E42" s="15">
        <f t="shared" si="5"/>
        <v>308952</v>
      </c>
      <c r="F42" s="34">
        <f t="shared" si="0"/>
        <v>3.7000180548008639</v>
      </c>
      <c r="G42" s="34">
        <v>0</v>
      </c>
      <c r="H42" s="15">
        <f t="shared" si="6"/>
        <v>17111259.624999996</v>
      </c>
      <c r="I42" s="22">
        <f>0</f>
        <v>0</v>
      </c>
      <c r="J42" s="34">
        <f t="shared" si="1"/>
        <v>4624642.1967583969</v>
      </c>
      <c r="K42" s="34">
        <f t="shared" si="2"/>
        <v>83500.133086952701</v>
      </c>
      <c r="L42" s="28">
        <f t="shared" si="3"/>
        <v>127730698.12499988</v>
      </c>
      <c r="M42" s="28">
        <f t="shared" si="4"/>
        <v>34521641.849629946</v>
      </c>
      <c r="N42" s="41"/>
      <c r="O42" s="41"/>
      <c r="P42" s="41"/>
      <c r="Q42" s="41"/>
      <c r="R42" s="41"/>
    </row>
    <row r="43" spans="3:18" x14ac:dyDescent="0.25">
      <c r="C43" s="34"/>
      <c r="D43" s="34">
        <v>18</v>
      </c>
      <c r="E43" s="15">
        <f t="shared" si="5"/>
        <v>308952</v>
      </c>
      <c r="F43" s="34">
        <f t="shared" si="0"/>
        <v>3.9960194991849334</v>
      </c>
      <c r="G43" s="34">
        <v>0</v>
      </c>
      <c r="H43" s="15">
        <f t="shared" si="6"/>
        <v>17111259.624999996</v>
      </c>
      <c r="I43" s="22">
        <f>0</f>
        <v>0</v>
      </c>
      <c r="J43" s="34">
        <f t="shared" si="1"/>
        <v>4282076.108109626</v>
      </c>
      <c r="K43" s="34">
        <f t="shared" si="2"/>
        <v>77314.938043474715</v>
      </c>
      <c r="L43" s="28">
        <f t="shared" si="3"/>
        <v>85153798.749999881</v>
      </c>
      <c r="M43" s="28">
        <f>L43/F43</f>
        <v>21309655.46273452</v>
      </c>
      <c r="N43" s="41"/>
      <c r="O43" s="41"/>
      <c r="P43" s="41"/>
      <c r="Q43" s="41"/>
      <c r="R43" s="41"/>
    </row>
    <row r="44" spans="3:18" x14ac:dyDescent="0.25">
      <c r="C44" s="34"/>
      <c r="D44" s="34">
        <v>19</v>
      </c>
      <c r="E44" s="15">
        <f t="shared" si="5"/>
        <v>308952</v>
      </c>
      <c r="F44" s="34">
        <f t="shared" si="0"/>
        <v>4.3157010591197285</v>
      </c>
      <c r="G44" s="34">
        <v>0</v>
      </c>
      <c r="H44" s="15">
        <f t="shared" si="6"/>
        <v>17111259.624999996</v>
      </c>
      <c r="I44" s="22">
        <f>0</f>
        <v>0</v>
      </c>
      <c r="J44" s="34">
        <f t="shared" si="1"/>
        <v>3964885.2852866906</v>
      </c>
      <c r="K44" s="34">
        <f t="shared" si="2"/>
        <v>71587.90559580992</v>
      </c>
      <c r="L44" s="28">
        <f t="shared" si="3"/>
        <v>42576899.374999888</v>
      </c>
      <c r="M44" s="28">
        <f t="shared" ref="M44:M55" si="7">L44/F44</f>
        <v>9865581.2327474505</v>
      </c>
      <c r="N44" s="41"/>
      <c r="O44" s="41"/>
      <c r="P44" s="41"/>
      <c r="Q44" s="41"/>
      <c r="R44" s="41"/>
    </row>
    <row r="45" spans="3:18" x14ac:dyDescent="0.25">
      <c r="C45" s="34"/>
      <c r="D45" s="34">
        <v>20</v>
      </c>
      <c r="E45" s="15">
        <f t="shared" si="5"/>
        <v>308952</v>
      </c>
      <c r="F45" s="34">
        <f t="shared" si="0"/>
        <v>4.6609571438493065</v>
      </c>
      <c r="G45" s="34">
        <v>0</v>
      </c>
      <c r="H45" s="15">
        <f t="shared" si="6"/>
        <v>17111259.624999996</v>
      </c>
      <c r="I45" s="22">
        <f>0</f>
        <v>0</v>
      </c>
      <c r="J45" s="34">
        <f t="shared" si="1"/>
        <v>3671190.0789691578</v>
      </c>
      <c r="K45" s="34">
        <f t="shared" si="2"/>
        <v>66285.097773898073</v>
      </c>
      <c r="L45" s="28">
        <f t="shared" si="3"/>
        <v>-1.0430812835693359E-7</v>
      </c>
      <c r="M45" s="28">
        <f t="shared" si="7"/>
        <v>-2.2379121956652338E-8</v>
      </c>
      <c r="N45" s="41"/>
      <c r="O45" s="41"/>
      <c r="P45" s="41"/>
      <c r="Q45" s="41"/>
      <c r="R45" s="41"/>
    </row>
    <row r="46" spans="3:18" x14ac:dyDescent="0.25">
      <c r="C46" s="34"/>
      <c r="D46" s="34">
        <v>21</v>
      </c>
      <c r="E46" s="15">
        <f t="shared" si="5"/>
        <v>308952</v>
      </c>
      <c r="F46" s="34">
        <f t="shared" si="0"/>
        <v>5.0338337153572512</v>
      </c>
      <c r="G46" s="34">
        <v>0</v>
      </c>
      <c r="H46" s="15">
        <f t="shared" si="6"/>
        <v>17111259.624999996</v>
      </c>
      <c r="I46" s="22">
        <f>0</f>
        <v>0</v>
      </c>
      <c r="J46" s="34">
        <f t="shared" si="1"/>
        <v>3399250.0731195905</v>
      </c>
      <c r="K46" s="34">
        <f t="shared" si="2"/>
        <v>61375.090531387104</v>
      </c>
      <c r="L46" s="28">
        <f t="shared" si="3"/>
        <v>-42576899.375000097</v>
      </c>
      <c r="M46" s="28">
        <f t="shared" si="7"/>
        <v>-8458145.7756751534</v>
      </c>
      <c r="N46" s="41"/>
      <c r="O46" s="41"/>
      <c r="P46" s="41"/>
      <c r="Q46" s="41"/>
      <c r="R46" s="41"/>
    </row>
    <row r="47" spans="3:18" x14ac:dyDescent="0.25">
      <c r="C47" s="34"/>
      <c r="D47" s="34">
        <v>22</v>
      </c>
      <c r="E47" s="15">
        <f t="shared" si="5"/>
        <v>308952</v>
      </c>
      <c r="F47" s="34">
        <f t="shared" si="0"/>
        <v>5.4365404125858321</v>
      </c>
      <c r="G47" s="34">
        <v>0</v>
      </c>
      <c r="H47" s="15">
        <f t="shared" si="6"/>
        <v>17111259.624999996</v>
      </c>
      <c r="I47" s="22">
        <f>0</f>
        <v>0</v>
      </c>
      <c r="J47" s="34">
        <f t="shared" si="1"/>
        <v>3147453.7714070277</v>
      </c>
      <c r="K47" s="34">
        <f t="shared" si="2"/>
        <v>56828.787529062123</v>
      </c>
      <c r="L47" s="28">
        <f t="shared" si="3"/>
        <v>-85153798.750000089</v>
      </c>
      <c r="M47" s="28">
        <f t="shared" si="7"/>
        <v>-15663232.917916929</v>
      </c>
      <c r="N47" s="41"/>
      <c r="O47" s="41"/>
      <c r="P47" s="41"/>
      <c r="Q47" s="41"/>
      <c r="R47" s="41"/>
    </row>
    <row r="48" spans="3:18" x14ac:dyDescent="0.25">
      <c r="C48" s="34"/>
      <c r="D48" s="34">
        <v>23</v>
      </c>
      <c r="E48" s="15">
        <f t="shared" si="5"/>
        <v>308952</v>
      </c>
      <c r="F48" s="34">
        <f t="shared" si="0"/>
        <v>5.8714636455926987</v>
      </c>
      <c r="G48" s="34">
        <v>0</v>
      </c>
      <c r="H48" s="15">
        <f t="shared" si="6"/>
        <v>17111259.624999996</v>
      </c>
      <c r="I48" s="22">
        <f>0</f>
        <v>0</v>
      </c>
      <c r="J48" s="34">
        <f t="shared" si="1"/>
        <v>2914309.0475990996</v>
      </c>
      <c r="K48" s="34">
        <f t="shared" si="2"/>
        <v>52619.247712094562</v>
      </c>
      <c r="L48" s="28">
        <f t="shared" si="3"/>
        <v>-127730698.12500009</v>
      </c>
      <c r="M48" s="28">
        <f t="shared" si="7"/>
        <v>-21754490.163773503</v>
      </c>
      <c r="N48" s="41"/>
      <c r="O48" s="41"/>
      <c r="P48" s="41"/>
      <c r="Q48" s="41"/>
      <c r="R48" s="41"/>
    </row>
    <row r="49" spans="3:18" x14ac:dyDescent="0.25">
      <c r="C49" s="34"/>
      <c r="D49" s="34">
        <v>24</v>
      </c>
      <c r="E49" s="15">
        <f t="shared" si="5"/>
        <v>308952</v>
      </c>
      <c r="F49" s="34">
        <f t="shared" si="0"/>
        <v>6.3411807372401148</v>
      </c>
      <c r="G49" s="34">
        <v>0</v>
      </c>
      <c r="H49" s="15">
        <f t="shared" si="6"/>
        <v>17111259.624999996</v>
      </c>
      <c r="I49" s="22">
        <f>0</f>
        <v>0</v>
      </c>
      <c r="J49" s="34">
        <f t="shared" si="1"/>
        <v>2698434.3033324997</v>
      </c>
      <c r="K49" s="34">
        <f t="shared" si="2"/>
        <v>48721.525659346815</v>
      </c>
      <c r="L49" s="28">
        <f t="shared" si="3"/>
        <v>-170307597.50000009</v>
      </c>
      <c r="M49" s="28">
        <f t="shared" si="7"/>
        <v>-26857395.263917901</v>
      </c>
      <c r="N49" s="41"/>
      <c r="O49" s="41"/>
      <c r="P49" s="41"/>
      <c r="Q49" s="41"/>
      <c r="R49" s="41"/>
    </row>
    <row r="50" spans="3:18" x14ac:dyDescent="0.25">
      <c r="C50" s="34"/>
      <c r="D50" s="34">
        <v>25</v>
      </c>
      <c r="E50" s="15">
        <f t="shared" si="5"/>
        <v>308952</v>
      </c>
      <c r="F50" s="34">
        <f t="shared" si="0"/>
        <v>6.8484751962193249</v>
      </c>
      <c r="G50" s="34">
        <v>0</v>
      </c>
      <c r="H50" s="15">
        <f t="shared" si="6"/>
        <v>17111259.624999996</v>
      </c>
      <c r="I50" s="22">
        <f>0</f>
        <v>0</v>
      </c>
      <c r="J50" s="34">
        <f t="shared" si="1"/>
        <v>2498550.2808634252</v>
      </c>
      <c r="K50" s="34">
        <f t="shared" si="2"/>
        <v>45112.523758654454</v>
      </c>
      <c r="L50" s="28">
        <f t="shared" si="3"/>
        <v>-212884496.87500009</v>
      </c>
      <c r="M50" s="28">
        <f t="shared" si="7"/>
        <v>-31084948.222127195</v>
      </c>
      <c r="N50" s="41"/>
      <c r="O50" s="41"/>
      <c r="P50" s="41"/>
      <c r="Q50" s="41"/>
      <c r="R50" s="41"/>
    </row>
    <row r="51" spans="3:18" x14ac:dyDescent="0.25">
      <c r="C51" s="34"/>
      <c r="D51" s="34">
        <v>26</v>
      </c>
      <c r="E51" s="15">
        <f t="shared" si="5"/>
        <v>308952</v>
      </c>
      <c r="F51" s="34">
        <f t="shared" si="0"/>
        <v>7.3963532119168702</v>
      </c>
      <c r="G51" s="34">
        <v>0</v>
      </c>
      <c r="H51" s="15">
        <f t="shared" si="6"/>
        <v>17111259.624999996</v>
      </c>
      <c r="I51" s="22">
        <f>0</f>
        <v>0</v>
      </c>
      <c r="J51" s="34">
        <f t="shared" si="1"/>
        <v>2313472.4822809496</v>
      </c>
      <c r="K51" s="34">
        <f t="shared" si="2"/>
        <v>41770.855332087456</v>
      </c>
      <c r="L51" s="28">
        <f t="shared" si="3"/>
        <v>-255461396.25000009</v>
      </c>
      <c r="M51" s="28">
        <f t="shared" si="7"/>
        <v>-34538831.357919104</v>
      </c>
      <c r="N51" s="41"/>
      <c r="O51" s="41"/>
      <c r="P51" s="41"/>
      <c r="Q51" s="41"/>
      <c r="R51" s="41"/>
    </row>
    <row r="52" spans="3:18" x14ac:dyDescent="0.25">
      <c r="C52" s="34"/>
      <c r="D52" s="34">
        <v>27</v>
      </c>
      <c r="E52" s="15">
        <f t="shared" si="5"/>
        <v>308952</v>
      </c>
      <c r="F52" s="34">
        <f t="shared" si="0"/>
        <v>7.9880614688702201</v>
      </c>
      <c r="G52" s="34">
        <v>0</v>
      </c>
      <c r="H52" s="15">
        <f t="shared" si="6"/>
        <v>17111259.624999996</v>
      </c>
      <c r="I52" s="22">
        <f>0</f>
        <v>0</v>
      </c>
      <c r="J52" s="34">
        <f t="shared" si="1"/>
        <v>2142104.1502601383</v>
      </c>
      <c r="K52" s="34">
        <f t="shared" si="2"/>
        <v>38676.717900080977</v>
      </c>
      <c r="L52" s="28">
        <f t="shared" si="3"/>
        <v>-298038295.62500006</v>
      </c>
      <c r="M52" s="28">
        <f t="shared" si="7"/>
        <v>-37310465.973060757</v>
      </c>
      <c r="N52" s="41"/>
      <c r="O52" s="41"/>
      <c r="P52" s="41"/>
      <c r="Q52" s="41"/>
      <c r="R52" s="41"/>
    </row>
    <row r="53" spans="3:18" x14ac:dyDescent="0.25">
      <c r="D53" s="34">
        <v>28</v>
      </c>
      <c r="E53" s="15">
        <f t="shared" si="5"/>
        <v>308952</v>
      </c>
      <c r="F53" s="34">
        <f t="shared" si="0"/>
        <v>8.6271063863798378</v>
      </c>
      <c r="G53" s="34">
        <v>0</v>
      </c>
      <c r="H53" s="15">
        <f t="shared" si="6"/>
        <v>17111259.624999996</v>
      </c>
      <c r="I53" s="22">
        <f>0</f>
        <v>0</v>
      </c>
      <c r="J53" s="34">
        <f t="shared" si="1"/>
        <v>1983429.7687593875</v>
      </c>
      <c r="K53" s="34">
        <f t="shared" si="2"/>
        <v>35811.775833408312</v>
      </c>
      <c r="L53" s="28">
        <f t="shared" si="3"/>
        <v>-340615195.00000006</v>
      </c>
      <c r="M53" s="28">
        <f t="shared" si="7"/>
        <v>-39481974.574667461</v>
      </c>
      <c r="N53" s="41"/>
      <c r="O53" s="41"/>
      <c r="P53" s="41"/>
      <c r="Q53" s="41"/>
      <c r="R53" s="41"/>
    </row>
    <row r="54" spans="3:18" x14ac:dyDescent="0.25">
      <c r="D54" s="34">
        <v>29</v>
      </c>
      <c r="E54" s="15">
        <f t="shared" si="5"/>
        <v>308952</v>
      </c>
      <c r="F54" s="34">
        <f t="shared" si="0"/>
        <v>9.3172748972902255</v>
      </c>
      <c r="G54" s="34">
        <v>0</v>
      </c>
      <c r="H54" s="15">
        <f t="shared" si="6"/>
        <v>17111259.624999996</v>
      </c>
      <c r="I54" s="22">
        <f>0</f>
        <v>0</v>
      </c>
      <c r="J54" s="34">
        <f t="shared" si="1"/>
        <v>1836509.0451475808</v>
      </c>
      <c r="K54" s="34">
        <f t="shared" si="2"/>
        <v>33159.051697600291</v>
      </c>
      <c r="L54" s="28">
        <f t="shared" si="3"/>
        <v>-383192094.37500006</v>
      </c>
      <c r="M54" s="28">
        <f t="shared" si="7"/>
        <v>-41127056.848611936</v>
      </c>
    </row>
    <row r="55" spans="3:18" x14ac:dyDescent="0.25">
      <c r="D55" s="34">
        <v>30</v>
      </c>
      <c r="E55" s="15">
        <f t="shared" si="5"/>
        <v>308952</v>
      </c>
      <c r="F55" s="34">
        <f t="shared" si="0"/>
        <v>10.062656889073445</v>
      </c>
      <c r="G55" s="34">
        <v>0</v>
      </c>
      <c r="H55" s="15">
        <f t="shared" si="6"/>
        <v>17111259.624999996</v>
      </c>
      <c r="I55" s="22">
        <f>0</f>
        <v>0</v>
      </c>
      <c r="J55" s="34">
        <f t="shared" si="1"/>
        <v>1700471.3380996117</v>
      </c>
      <c r="K55" s="34">
        <f t="shared" si="2"/>
        <v>30702.82564592619</v>
      </c>
      <c r="L55" s="28">
        <f t="shared" si="3"/>
        <v>-425768993.75000006</v>
      </c>
      <c r="M55" s="28">
        <f t="shared" si="7"/>
        <v>-42311786.881287999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4"/>
  <sheetViews>
    <sheetView workbookViewId="0">
      <selection activeCell="B7" sqref="B7"/>
    </sheetView>
  </sheetViews>
  <sheetFormatPr defaultRowHeight="15" x14ac:dyDescent="0.25"/>
  <cols>
    <col min="1" max="1" width="31.85546875" bestFit="1" customWidth="1"/>
    <col min="2" max="2" width="13" customWidth="1"/>
    <col min="3" max="3" width="5.85546875" customWidth="1"/>
    <col min="4" max="4" width="9.140625" style="34"/>
    <col min="5" max="5" width="24.85546875" style="24" bestFit="1" customWidth="1"/>
    <col min="6" max="6" width="12.85546875" style="34" bestFit="1" customWidth="1"/>
    <col min="7" max="7" width="11.85546875" style="34" customWidth="1"/>
    <col min="8" max="8" width="12.42578125" style="34" customWidth="1"/>
    <col min="9" max="9" width="10.28515625" style="34" customWidth="1"/>
    <col min="10" max="10" width="18" style="34" bestFit="1" customWidth="1"/>
    <col min="11" max="11" width="13.140625" style="34" customWidth="1"/>
    <col min="12" max="12" width="19.7109375" style="34" customWidth="1"/>
    <col min="13" max="13" width="23.7109375" style="34" bestFit="1" customWidth="1"/>
    <col min="14" max="14" width="12.5703125" style="34" bestFit="1" customWidth="1"/>
    <col min="15" max="15" width="10" style="34" customWidth="1"/>
    <col min="16" max="16" width="10.7109375" style="34" customWidth="1"/>
    <col min="17" max="17" width="14.140625" style="34" bestFit="1" customWidth="1"/>
    <col min="18" max="19" width="23.7109375" style="34" bestFit="1" customWidth="1"/>
  </cols>
  <sheetData>
    <row r="1" spans="1:10" x14ac:dyDescent="0.25">
      <c r="A1" s="69" t="s">
        <v>89</v>
      </c>
      <c r="B1" s="70"/>
    </row>
    <row r="2" spans="1:10" x14ac:dyDescent="0.25">
      <c r="A2" s="59" t="s">
        <v>67</v>
      </c>
      <c r="B2" s="61">
        <v>100</v>
      </c>
      <c r="E2" s="25" t="s">
        <v>22</v>
      </c>
      <c r="F2" s="25"/>
      <c r="G2" s="25"/>
    </row>
    <row r="3" spans="1:10" x14ac:dyDescent="0.25">
      <c r="A3" s="3" t="s">
        <v>78</v>
      </c>
      <c r="B3" s="62">
        <v>0.7</v>
      </c>
      <c r="D3" s="34">
        <v>1</v>
      </c>
      <c r="E3" s="24" t="s">
        <v>17</v>
      </c>
      <c r="F3" s="27">
        <f>(A25/A19)*A22</f>
        <v>294240000</v>
      </c>
      <c r="G3" s="34" t="s">
        <v>20</v>
      </c>
    </row>
    <row r="4" spans="1:10" x14ac:dyDescent="0.25">
      <c r="A4" s="3" t="s">
        <v>90</v>
      </c>
      <c r="B4" s="48">
        <v>0.33</v>
      </c>
      <c r="D4" s="34">
        <v>2</v>
      </c>
      <c r="E4" s="24" t="s">
        <v>18</v>
      </c>
      <c r="F4" s="27">
        <f>F3*(1+B9)/8760</f>
        <v>35268.493150684932</v>
      </c>
      <c r="G4" s="34" t="s">
        <v>21</v>
      </c>
    </row>
    <row r="5" spans="1:10" x14ac:dyDescent="0.25">
      <c r="A5" s="3" t="s">
        <v>91</v>
      </c>
      <c r="B5" s="63">
        <v>35</v>
      </c>
      <c r="D5" s="34">
        <v>3</v>
      </c>
      <c r="E5" s="24" t="s">
        <v>19</v>
      </c>
      <c r="F5" s="27">
        <f>F4/B13</f>
        <v>70536.986301369863</v>
      </c>
      <c r="G5" s="34" t="s">
        <v>21</v>
      </c>
    </row>
    <row r="6" spans="1:10" x14ac:dyDescent="0.25">
      <c r="A6" s="3" t="s">
        <v>3</v>
      </c>
      <c r="B6" s="64">
        <v>9000</v>
      </c>
      <c r="F6" s="27"/>
    </row>
    <row r="7" spans="1:10" x14ac:dyDescent="0.25">
      <c r="A7" s="3" t="s">
        <v>4</v>
      </c>
      <c r="B7" s="63">
        <v>5000</v>
      </c>
      <c r="E7" s="25" t="s">
        <v>23</v>
      </c>
      <c r="F7" s="25"/>
      <c r="G7" s="25"/>
    </row>
    <row r="8" spans="1:10" x14ac:dyDescent="0.25">
      <c r="A8" s="3" t="s">
        <v>9</v>
      </c>
      <c r="B8" s="48">
        <v>0.03</v>
      </c>
      <c r="D8" s="34">
        <v>4</v>
      </c>
      <c r="E8" s="24" t="s">
        <v>71</v>
      </c>
      <c r="F8" s="41">
        <v>0</v>
      </c>
      <c r="G8" s="34" t="s">
        <v>36</v>
      </c>
      <c r="J8" s="18"/>
    </row>
    <row r="9" spans="1:10" x14ac:dyDescent="0.25">
      <c r="A9" s="3" t="s">
        <v>68</v>
      </c>
      <c r="B9" s="48">
        <v>0.05</v>
      </c>
      <c r="D9" s="34">
        <v>5</v>
      </c>
      <c r="E9" s="24" t="s">
        <v>72</v>
      </c>
      <c r="F9" s="41">
        <f>'GRID LCoE Calculation'!F16*0.75</f>
        <v>9.9975000000000023</v>
      </c>
      <c r="G9" s="34" t="s">
        <v>36</v>
      </c>
    </row>
    <row r="10" spans="1:10" x14ac:dyDescent="0.25">
      <c r="A10" s="3" t="s">
        <v>6</v>
      </c>
      <c r="B10" s="63">
        <v>100</v>
      </c>
      <c r="D10" s="34">
        <v>6</v>
      </c>
      <c r="E10" s="24" t="s">
        <v>73</v>
      </c>
      <c r="F10" s="41">
        <f>F8*B6</f>
        <v>0</v>
      </c>
      <c r="G10" s="34" t="s">
        <v>77</v>
      </c>
    </row>
    <row r="11" spans="1:10" x14ac:dyDescent="0.25">
      <c r="A11" s="3" t="s">
        <v>69</v>
      </c>
      <c r="B11" s="63">
        <v>721</v>
      </c>
      <c r="D11" s="34">
        <v>7</v>
      </c>
      <c r="E11" s="24" t="s">
        <v>74</v>
      </c>
      <c r="F11" s="41">
        <f>F9*B7</f>
        <v>49987.500000000015</v>
      </c>
      <c r="G11" s="34" t="s">
        <v>77</v>
      </c>
    </row>
    <row r="12" spans="1:10" x14ac:dyDescent="0.25">
      <c r="A12" s="3" t="s">
        <v>70</v>
      </c>
      <c r="B12" s="48">
        <v>0.1</v>
      </c>
      <c r="D12" s="34">
        <v>8</v>
      </c>
      <c r="E12" s="24" t="s">
        <v>80</v>
      </c>
      <c r="F12" s="41">
        <f>F10+F11+(A25/A19)*B10</f>
        <v>8049987.5</v>
      </c>
      <c r="G12" s="34" t="s">
        <v>77</v>
      </c>
      <c r="H12" s="23"/>
    </row>
    <row r="13" spans="1:10" ht="15.75" thickBot="1" x14ac:dyDescent="0.3">
      <c r="A13" s="3" t="s">
        <v>8</v>
      </c>
      <c r="B13" s="66">
        <v>0.5</v>
      </c>
      <c r="D13" s="34">
        <v>9</v>
      </c>
      <c r="E13" s="30" t="s">
        <v>75</v>
      </c>
      <c r="F13" s="42">
        <f>F12*B8</f>
        <v>241499.625</v>
      </c>
      <c r="G13" s="32" t="s">
        <v>77</v>
      </c>
      <c r="H13" s="23"/>
    </row>
    <row r="14" spans="1:10" ht="15.75" thickTop="1" x14ac:dyDescent="0.25">
      <c r="A14" s="3" t="s">
        <v>11</v>
      </c>
      <c r="B14" s="63">
        <v>15</v>
      </c>
      <c r="D14" s="34">
        <v>10</v>
      </c>
      <c r="E14" s="24" t="s">
        <v>76</v>
      </c>
      <c r="F14" s="41">
        <f>F5/B3</f>
        <v>100767.12328767125</v>
      </c>
      <c r="G14" s="34" t="s">
        <v>21</v>
      </c>
    </row>
    <row r="15" spans="1:10" ht="15.75" thickBot="1" x14ac:dyDescent="0.3">
      <c r="A15" s="6" t="s">
        <v>10</v>
      </c>
      <c r="B15" s="65">
        <v>0.08</v>
      </c>
      <c r="D15" s="34">
        <v>11</v>
      </c>
      <c r="E15" s="30" t="s">
        <v>79</v>
      </c>
      <c r="F15" s="42">
        <f>F14*B11</f>
        <v>72653095.890410975</v>
      </c>
      <c r="G15" s="32" t="s">
        <v>77</v>
      </c>
    </row>
    <row r="16" spans="1:10" ht="15.75" thickTop="1" x14ac:dyDescent="0.25">
      <c r="A16" s="49"/>
      <c r="B16" s="49"/>
      <c r="D16" s="34">
        <v>13</v>
      </c>
      <c r="E16" s="44" t="s">
        <v>81</v>
      </c>
      <c r="F16" s="45">
        <f>F12+F15</f>
        <v>80703083.390410975</v>
      </c>
      <c r="G16" s="46" t="s">
        <v>77</v>
      </c>
    </row>
    <row r="17" spans="1:19" ht="15.75" thickBot="1" x14ac:dyDescent="0.3">
      <c r="A17" s="8" t="s">
        <v>12</v>
      </c>
      <c r="B17" s="50"/>
      <c r="D17" s="34">
        <v>14</v>
      </c>
      <c r="E17" s="30" t="s">
        <v>82</v>
      </c>
      <c r="F17" s="42">
        <f>F4*8760/1000</f>
        <v>308952</v>
      </c>
      <c r="G17" s="32" t="s">
        <v>83</v>
      </c>
    </row>
    <row r="18" spans="1:19" ht="15.75" thickTop="1" x14ac:dyDescent="0.25">
      <c r="A18" s="9" t="s">
        <v>13</v>
      </c>
      <c r="B18" s="51"/>
      <c r="D18" s="34">
        <v>15</v>
      </c>
      <c r="E18" s="56" t="s">
        <v>59</v>
      </c>
      <c r="F18" s="57">
        <f>(SUM(J22:J37)-M37)/SUM(K22:K37)/1000</f>
        <v>0.16087596158986786</v>
      </c>
      <c r="G18" s="58" t="s">
        <v>84</v>
      </c>
      <c r="H18" s="46"/>
    </row>
    <row r="19" spans="1:19" x14ac:dyDescent="0.25">
      <c r="A19" s="40">
        <v>5</v>
      </c>
      <c r="B19" s="52"/>
      <c r="H19" s="46"/>
    </row>
    <row r="20" spans="1:19" x14ac:dyDescent="0.25">
      <c r="H20" s="46"/>
      <c r="I20" s="18"/>
      <c r="J20" s="23"/>
    </row>
    <row r="21" spans="1:19" x14ac:dyDescent="0.25">
      <c r="A21" s="53" t="s">
        <v>14</v>
      </c>
      <c r="C21" s="34"/>
      <c r="D21" s="41" t="s">
        <v>53</v>
      </c>
      <c r="E21" s="41" t="s">
        <v>55</v>
      </c>
      <c r="F21" s="41" t="s">
        <v>54</v>
      </c>
      <c r="G21" s="41" t="s">
        <v>57</v>
      </c>
      <c r="H21" s="41" t="s">
        <v>56</v>
      </c>
      <c r="I21" s="41" t="s">
        <v>58</v>
      </c>
      <c r="J21" s="41" t="s">
        <v>60</v>
      </c>
      <c r="K21" s="41" t="s">
        <v>61</v>
      </c>
      <c r="L21" s="41" t="s">
        <v>62</v>
      </c>
      <c r="M21" s="41" t="s">
        <v>63</v>
      </c>
      <c r="N21" s="41"/>
    </row>
    <row r="22" spans="1:19" x14ac:dyDescent="0.25">
      <c r="A22" s="40">
        <v>3678</v>
      </c>
      <c r="C22" s="34"/>
      <c r="D22" s="41">
        <v>0</v>
      </c>
      <c r="E22" s="41">
        <v>0</v>
      </c>
      <c r="F22" s="67">
        <f t="shared" ref="F22:F52" si="0">(1+$B$15)^D22</f>
        <v>1</v>
      </c>
      <c r="G22" s="41">
        <f>F16</f>
        <v>80703083.390410975</v>
      </c>
      <c r="H22" s="41">
        <v>0</v>
      </c>
      <c r="I22" s="41">
        <f>(E22*$B$5)/$B$4</f>
        <v>0</v>
      </c>
      <c r="J22" s="41">
        <f>(G22+H22+I22)/F22</f>
        <v>80703083.390410975</v>
      </c>
      <c r="K22" s="41">
        <f>E22/F22</f>
        <v>0</v>
      </c>
      <c r="L22" s="41">
        <f>G22</f>
        <v>80703083.390410975</v>
      </c>
      <c r="M22" s="41">
        <f>L22*F22</f>
        <v>80703083.390410975</v>
      </c>
      <c r="N22" s="41"/>
    </row>
    <row r="23" spans="1:19" x14ac:dyDescent="0.25">
      <c r="A23" s="38"/>
      <c r="C23" s="34"/>
      <c r="D23" s="41">
        <v>1</v>
      </c>
      <c r="E23" s="41">
        <f>F17</f>
        <v>308952</v>
      </c>
      <c r="F23" s="67">
        <f t="shared" si="0"/>
        <v>1.08</v>
      </c>
      <c r="G23" s="41">
        <v>0</v>
      </c>
      <c r="H23" s="41">
        <f>F13+(B11*B12*F14)</f>
        <v>7506809.214041098</v>
      </c>
      <c r="I23" s="41">
        <f t="shared" ref="I23:I52" si="1">(E23*$B$5)/$B$4</f>
        <v>32767636.363636363</v>
      </c>
      <c r="J23" s="41">
        <f t="shared" ref="J23:J52" si="2">(G23+H23+I23)/F23</f>
        <v>37291153.312664308</v>
      </c>
      <c r="K23" s="41">
        <f t="shared" ref="K23:K52" si="3">E23/F23</f>
        <v>286066.66666666663</v>
      </c>
      <c r="L23" s="41">
        <f t="shared" ref="L23:L52" si="4">L22-($G$22/$B$14)</f>
        <v>75322877.831050247</v>
      </c>
      <c r="M23" s="41">
        <f>L23/F23</f>
        <v>69743405.399120599</v>
      </c>
      <c r="N23" s="41"/>
      <c r="O23" s="41"/>
      <c r="P23" s="41"/>
      <c r="Q23" s="41"/>
      <c r="R23" s="41"/>
    </row>
    <row r="24" spans="1:19" x14ac:dyDescent="0.25">
      <c r="A24" s="53" t="s">
        <v>15</v>
      </c>
      <c r="C24" s="34"/>
      <c r="D24" s="41">
        <v>2</v>
      </c>
      <c r="E24" s="41">
        <f>E23</f>
        <v>308952</v>
      </c>
      <c r="F24" s="67">
        <f t="shared" si="0"/>
        <v>1.1664000000000001</v>
      </c>
      <c r="G24" s="41">
        <v>0</v>
      </c>
      <c r="H24" s="41">
        <f>H23</f>
        <v>7506809.214041098</v>
      </c>
      <c r="I24" s="41">
        <f t="shared" si="1"/>
        <v>32767636.363636363</v>
      </c>
      <c r="J24" s="41">
        <f t="shared" si="2"/>
        <v>34528845.659874365</v>
      </c>
      <c r="K24" s="41">
        <f t="shared" si="3"/>
        <v>264876.54320987652</v>
      </c>
      <c r="L24" s="41">
        <f t="shared" si="4"/>
        <v>69942672.271689519</v>
      </c>
      <c r="M24" s="41">
        <f t="shared" ref="M24:M39" si="5">L24/F24</f>
        <v>59964568.134164535</v>
      </c>
      <c r="N24" s="41"/>
      <c r="O24" s="41"/>
      <c r="P24" s="41"/>
      <c r="Q24" s="41"/>
      <c r="R24" s="41"/>
      <c r="S24" s="54"/>
    </row>
    <row r="25" spans="1:19" x14ac:dyDescent="0.25">
      <c r="A25" s="40">
        <v>400000</v>
      </c>
      <c r="C25" s="34"/>
      <c r="D25" s="41">
        <v>3</v>
      </c>
      <c r="E25" s="41">
        <f t="shared" ref="E25:E52" si="6">E24</f>
        <v>308952</v>
      </c>
      <c r="F25" s="67">
        <f t="shared" si="0"/>
        <v>1.2597120000000002</v>
      </c>
      <c r="G25" s="41">
        <v>0</v>
      </c>
      <c r="H25" s="41">
        <f t="shared" ref="H25:H52" si="7">H24</f>
        <v>7506809.214041098</v>
      </c>
      <c r="I25" s="41">
        <f t="shared" si="1"/>
        <v>32767636.363636363</v>
      </c>
      <c r="J25" s="41">
        <f t="shared" si="2"/>
        <v>31971153.388772555</v>
      </c>
      <c r="K25" s="41">
        <f t="shared" si="3"/>
        <v>245256.05852766344</v>
      </c>
      <c r="L25" s="41">
        <f t="shared" si="4"/>
        <v>64562466.712328792</v>
      </c>
      <c r="M25" s="41">
        <f t="shared" si="5"/>
        <v>51251767.636038065</v>
      </c>
      <c r="N25" s="41"/>
      <c r="O25" s="41"/>
      <c r="P25" s="41"/>
      <c r="Q25" s="41"/>
      <c r="R25" s="41"/>
    </row>
    <row r="26" spans="1:19" x14ac:dyDescent="0.25">
      <c r="C26" s="34"/>
      <c r="D26" s="41">
        <v>4</v>
      </c>
      <c r="E26" s="41">
        <f t="shared" si="6"/>
        <v>308952</v>
      </c>
      <c r="F26" s="67">
        <f t="shared" si="0"/>
        <v>1.3604889600000003</v>
      </c>
      <c r="G26" s="41">
        <v>0</v>
      </c>
      <c r="H26" s="41">
        <f t="shared" si="7"/>
        <v>7506809.214041098</v>
      </c>
      <c r="I26" s="41">
        <f t="shared" si="1"/>
        <v>32767636.363636363</v>
      </c>
      <c r="J26" s="41">
        <f t="shared" si="2"/>
        <v>29602919.80441903</v>
      </c>
      <c r="K26" s="41">
        <f t="shared" si="3"/>
        <v>227088.94308116983</v>
      </c>
      <c r="L26" s="41">
        <f t="shared" si="4"/>
        <v>59182261.152968064</v>
      </c>
      <c r="M26" s="41">
        <f t="shared" si="5"/>
        <v>43500728.703427367</v>
      </c>
      <c r="N26" s="41"/>
      <c r="O26" s="41"/>
      <c r="P26" s="41"/>
      <c r="Q26" s="41"/>
      <c r="R26" s="41"/>
    </row>
    <row r="27" spans="1:19" x14ac:dyDescent="0.25">
      <c r="A27" s="53" t="s">
        <v>16</v>
      </c>
      <c r="C27" s="34"/>
      <c r="D27" s="41">
        <v>5</v>
      </c>
      <c r="E27" s="41">
        <f t="shared" si="6"/>
        <v>308952</v>
      </c>
      <c r="F27" s="67">
        <f t="shared" si="0"/>
        <v>1.4693280768000003</v>
      </c>
      <c r="G27" s="41">
        <v>0</v>
      </c>
      <c r="H27" s="41">
        <f t="shared" si="7"/>
        <v>7506809.214041098</v>
      </c>
      <c r="I27" s="41">
        <f t="shared" si="1"/>
        <v>32767636.363636363</v>
      </c>
      <c r="J27" s="41">
        <f t="shared" si="2"/>
        <v>27410110.93001762</v>
      </c>
      <c r="K27" s="41">
        <f t="shared" si="3"/>
        <v>210267.53988997207</v>
      </c>
      <c r="L27" s="41">
        <f t="shared" si="4"/>
        <v>53802055.593607336</v>
      </c>
      <c r="M27" s="41">
        <f t="shared" si="5"/>
        <v>36616775.002884991</v>
      </c>
      <c r="N27" s="41"/>
      <c r="O27" s="41"/>
      <c r="P27" s="41"/>
      <c r="Q27" s="41"/>
      <c r="R27" s="41"/>
    </row>
    <row r="28" spans="1:19" x14ac:dyDescent="0.25">
      <c r="A28" s="40">
        <v>50</v>
      </c>
      <c r="C28" s="34"/>
      <c r="D28" s="41">
        <v>6</v>
      </c>
      <c r="E28" s="41">
        <f t="shared" si="6"/>
        <v>308952</v>
      </c>
      <c r="F28" s="67">
        <f t="shared" si="0"/>
        <v>1.5868743229440005</v>
      </c>
      <c r="G28" s="41">
        <v>0</v>
      </c>
      <c r="H28" s="41">
        <f t="shared" si="7"/>
        <v>7506809.214041098</v>
      </c>
      <c r="I28" s="41">
        <f t="shared" si="1"/>
        <v>32767636.363636363</v>
      </c>
      <c r="J28" s="41">
        <f t="shared" si="2"/>
        <v>25379732.342608906</v>
      </c>
      <c r="K28" s="41">
        <f t="shared" si="3"/>
        <v>194692.16656478893</v>
      </c>
      <c r="L28" s="41">
        <f t="shared" si="4"/>
        <v>48421850.034246609</v>
      </c>
      <c r="M28" s="41">
        <f t="shared" si="5"/>
        <v>30513979.169070829</v>
      </c>
      <c r="N28" s="41"/>
      <c r="O28" s="41"/>
      <c r="P28" s="41"/>
      <c r="Q28" s="41"/>
      <c r="R28" s="41"/>
    </row>
    <row r="29" spans="1:19" x14ac:dyDescent="0.25">
      <c r="C29" s="34"/>
      <c r="D29" s="41">
        <v>7</v>
      </c>
      <c r="E29" s="41">
        <f t="shared" si="6"/>
        <v>308952</v>
      </c>
      <c r="F29" s="67">
        <f t="shared" si="0"/>
        <v>1.7138242687795207</v>
      </c>
      <c r="G29" s="41">
        <v>0</v>
      </c>
      <c r="H29" s="41">
        <f t="shared" si="7"/>
        <v>7506809.214041098</v>
      </c>
      <c r="I29" s="41">
        <f t="shared" si="1"/>
        <v>32767636.363636363</v>
      </c>
      <c r="J29" s="41">
        <f t="shared" si="2"/>
        <v>23499752.169082318</v>
      </c>
      <c r="K29" s="41">
        <f t="shared" si="3"/>
        <v>180270.52459702679</v>
      </c>
      <c r="L29" s="41">
        <f t="shared" si="4"/>
        <v>43041644.474885881</v>
      </c>
      <c r="M29" s="41">
        <f t="shared" si="5"/>
        <v>25114386.147383403</v>
      </c>
      <c r="N29" s="41"/>
      <c r="O29" s="41"/>
      <c r="P29" s="41"/>
      <c r="Q29" s="41"/>
      <c r="R29" s="41"/>
    </row>
    <row r="30" spans="1:19" x14ac:dyDescent="0.25">
      <c r="A30" s="20" t="s">
        <v>24</v>
      </c>
      <c r="C30" s="34"/>
      <c r="D30" s="41">
        <v>8</v>
      </c>
      <c r="E30" s="41">
        <f t="shared" si="6"/>
        <v>308952</v>
      </c>
      <c r="F30" s="67">
        <f t="shared" si="0"/>
        <v>1.8509302102818823</v>
      </c>
      <c r="G30" s="41">
        <v>0</v>
      </c>
      <c r="H30" s="41">
        <f t="shared" si="7"/>
        <v>7506809.214041098</v>
      </c>
      <c r="I30" s="41">
        <f t="shared" si="1"/>
        <v>32767636.363636363</v>
      </c>
      <c r="J30" s="41">
        <f t="shared" si="2"/>
        <v>21759029.786187332</v>
      </c>
      <c r="K30" s="41">
        <f t="shared" si="3"/>
        <v>166917.15240465442</v>
      </c>
      <c r="L30" s="41">
        <f t="shared" si="4"/>
        <v>37661438.915525153</v>
      </c>
      <c r="M30" s="41">
        <f t="shared" si="5"/>
        <v>20347303.591630075</v>
      </c>
      <c r="N30" s="41"/>
      <c r="O30" s="41"/>
      <c r="P30" s="41"/>
      <c r="Q30" s="41"/>
      <c r="R30" s="41"/>
    </row>
    <row r="31" spans="1:19" x14ac:dyDescent="0.25">
      <c r="A31" s="39">
        <v>1</v>
      </c>
      <c r="C31" s="34"/>
      <c r="D31" s="41">
        <v>9</v>
      </c>
      <c r="E31" s="41">
        <f t="shared" si="6"/>
        <v>308952</v>
      </c>
      <c r="F31" s="67">
        <f t="shared" si="0"/>
        <v>1.9990046271044331</v>
      </c>
      <c r="G31" s="41">
        <v>0</v>
      </c>
      <c r="H31" s="41">
        <f t="shared" si="7"/>
        <v>7506809.214041098</v>
      </c>
      <c r="I31" s="41">
        <f t="shared" si="1"/>
        <v>32767636.363636363</v>
      </c>
      <c r="J31" s="41">
        <f t="shared" si="2"/>
        <v>20147249.802025307</v>
      </c>
      <c r="K31" s="41">
        <f t="shared" si="3"/>
        <v>154552.91889319851</v>
      </c>
      <c r="L31" s="41">
        <f t="shared" si="4"/>
        <v>32281233.356164422</v>
      </c>
      <c r="M31" s="41">
        <f t="shared" si="5"/>
        <v>16148653.644150853</v>
      </c>
      <c r="N31" s="41"/>
      <c r="O31" s="41"/>
      <c r="P31" s="41"/>
      <c r="Q31" s="41"/>
      <c r="R31" s="41"/>
    </row>
    <row r="32" spans="1:19" x14ac:dyDescent="0.25">
      <c r="C32" s="34"/>
      <c r="D32" s="41">
        <v>10</v>
      </c>
      <c r="E32" s="41">
        <f t="shared" si="6"/>
        <v>308952</v>
      </c>
      <c r="F32" s="67">
        <f t="shared" si="0"/>
        <v>2.1589249972727877</v>
      </c>
      <c r="G32" s="41">
        <v>0</v>
      </c>
      <c r="H32" s="41">
        <f t="shared" si="7"/>
        <v>7506809.214041098</v>
      </c>
      <c r="I32" s="41">
        <f t="shared" si="1"/>
        <v>32767636.363636363</v>
      </c>
      <c r="J32" s="41">
        <f t="shared" si="2"/>
        <v>18654860.927801207</v>
      </c>
      <c r="K32" s="41">
        <f t="shared" si="3"/>
        <v>143104.55453073938</v>
      </c>
      <c r="L32" s="41">
        <f t="shared" si="4"/>
        <v>26901027.79680369</v>
      </c>
      <c r="M32" s="41">
        <f t="shared" si="5"/>
        <v>12460380.89826455</v>
      </c>
      <c r="N32" s="41"/>
      <c r="O32" s="41"/>
      <c r="P32" s="41"/>
      <c r="Q32" s="41"/>
      <c r="R32" s="41"/>
    </row>
    <row r="33" spans="3:18" x14ac:dyDescent="0.25">
      <c r="C33" s="34"/>
      <c r="D33" s="41">
        <v>11</v>
      </c>
      <c r="E33" s="41">
        <f t="shared" si="6"/>
        <v>308952</v>
      </c>
      <c r="F33" s="67">
        <f t="shared" si="0"/>
        <v>2.3316389970546108</v>
      </c>
      <c r="G33" s="41">
        <v>0</v>
      </c>
      <c r="H33" s="41">
        <f t="shared" si="7"/>
        <v>7506809.214041098</v>
      </c>
      <c r="I33" s="41">
        <f t="shared" si="1"/>
        <v>32767636.363636363</v>
      </c>
      <c r="J33" s="41">
        <f t="shared" si="2"/>
        <v>17273019.377593711</v>
      </c>
      <c r="K33" s="41">
        <f t="shared" si="3"/>
        <v>132504.21715809201</v>
      </c>
      <c r="L33" s="41">
        <f t="shared" si="4"/>
        <v>21520822.237442959</v>
      </c>
      <c r="M33" s="41">
        <f t="shared" si="5"/>
        <v>9229911.7764922623</v>
      </c>
      <c r="N33" s="41"/>
      <c r="O33" s="41"/>
      <c r="P33" s="41"/>
      <c r="Q33" s="41"/>
      <c r="R33" s="41"/>
    </row>
    <row r="34" spans="3:18" x14ac:dyDescent="0.25">
      <c r="C34" s="34"/>
      <c r="D34" s="41">
        <v>12</v>
      </c>
      <c r="E34" s="41">
        <f t="shared" si="6"/>
        <v>308952</v>
      </c>
      <c r="F34" s="67">
        <f t="shared" si="0"/>
        <v>2.5181701168189798</v>
      </c>
      <c r="G34" s="41">
        <v>0</v>
      </c>
      <c r="H34" s="41">
        <f t="shared" si="7"/>
        <v>7506809.214041098</v>
      </c>
      <c r="I34" s="41">
        <f t="shared" si="1"/>
        <v>32767636.363636363</v>
      </c>
      <c r="J34" s="41">
        <f t="shared" si="2"/>
        <v>15993536.460734917</v>
      </c>
      <c r="K34" s="41">
        <f t="shared" si="3"/>
        <v>122689.0899611963</v>
      </c>
      <c r="L34" s="41">
        <f t="shared" si="4"/>
        <v>16140616.678082228</v>
      </c>
      <c r="M34" s="41">
        <f t="shared" si="5"/>
        <v>6409660.9558974067</v>
      </c>
      <c r="N34" s="41"/>
      <c r="O34" s="41"/>
      <c r="P34" s="41"/>
      <c r="Q34" s="41"/>
      <c r="R34" s="41"/>
    </row>
    <row r="35" spans="3:18" x14ac:dyDescent="0.25">
      <c r="C35" s="34"/>
      <c r="D35" s="41">
        <v>13</v>
      </c>
      <c r="E35" s="41">
        <f t="shared" si="6"/>
        <v>308952</v>
      </c>
      <c r="F35" s="67">
        <f t="shared" si="0"/>
        <v>2.7196237261644982</v>
      </c>
      <c r="G35" s="41">
        <v>0</v>
      </c>
      <c r="H35" s="41">
        <f t="shared" si="7"/>
        <v>7506809.214041098</v>
      </c>
      <c r="I35" s="41">
        <f t="shared" si="1"/>
        <v>32767636.363636363</v>
      </c>
      <c r="J35" s="41">
        <f t="shared" si="2"/>
        <v>14808830.056236034</v>
      </c>
      <c r="K35" s="41">
        <f t="shared" si="3"/>
        <v>113601.00922332991</v>
      </c>
      <c r="L35" s="41">
        <f t="shared" si="4"/>
        <v>10760411.118721496</v>
      </c>
      <c r="M35" s="41">
        <f t="shared" si="5"/>
        <v>3956580.8369737123</v>
      </c>
      <c r="N35" s="41"/>
      <c r="O35" s="41"/>
      <c r="P35" s="41"/>
      <c r="Q35" s="41"/>
      <c r="R35" s="41"/>
    </row>
    <row r="36" spans="3:18" x14ac:dyDescent="0.25">
      <c r="C36" s="34"/>
      <c r="D36" s="41">
        <v>14</v>
      </c>
      <c r="E36" s="41">
        <f t="shared" si="6"/>
        <v>308952</v>
      </c>
      <c r="F36" s="67">
        <f t="shared" si="0"/>
        <v>2.9371936242576586</v>
      </c>
      <c r="G36" s="41">
        <v>0</v>
      </c>
      <c r="H36" s="41">
        <f t="shared" si="7"/>
        <v>7506809.214041098</v>
      </c>
      <c r="I36" s="41">
        <f t="shared" si="1"/>
        <v>32767636.363636363</v>
      </c>
      <c r="J36" s="41">
        <f t="shared" si="2"/>
        <v>13711879.681700028</v>
      </c>
      <c r="K36" s="41">
        <f t="shared" si="3"/>
        <v>105186.11965123138</v>
      </c>
      <c r="L36" s="41">
        <f t="shared" si="4"/>
        <v>5380205.5593607649</v>
      </c>
      <c r="M36" s="41">
        <f t="shared" si="5"/>
        <v>1831750.387487835</v>
      </c>
      <c r="N36" s="41"/>
      <c r="O36" s="41"/>
      <c r="P36" s="41"/>
      <c r="Q36" s="41"/>
      <c r="R36" s="41"/>
    </row>
    <row r="37" spans="3:18" x14ac:dyDescent="0.25">
      <c r="C37" s="34"/>
      <c r="D37" s="41">
        <v>15</v>
      </c>
      <c r="E37" s="41">
        <f t="shared" si="6"/>
        <v>308952</v>
      </c>
      <c r="F37" s="67">
        <f t="shared" si="0"/>
        <v>3.1721691141982715</v>
      </c>
      <c r="G37" s="41">
        <v>0</v>
      </c>
      <c r="H37" s="41">
        <f t="shared" si="7"/>
        <v>7506809.214041098</v>
      </c>
      <c r="I37" s="41">
        <f t="shared" si="1"/>
        <v>32767636.363636363</v>
      </c>
      <c r="J37" s="41">
        <f t="shared" si="2"/>
        <v>12696184.890462989</v>
      </c>
      <c r="K37" s="41">
        <f t="shared" si="3"/>
        <v>97394.555232621628</v>
      </c>
      <c r="L37" s="41">
        <f t="shared" si="4"/>
        <v>3.3527612686157227E-8</v>
      </c>
      <c r="M37" s="41">
        <f t="shared" si="5"/>
        <v>1.0569301786620205E-8</v>
      </c>
      <c r="N37" s="41"/>
      <c r="O37" s="41"/>
      <c r="P37" s="41"/>
      <c r="Q37" s="41"/>
      <c r="R37" s="41"/>
    </row>
    <row r="38" spans="3:18" x14ac:dyDescent="0.25">
      <c r="C38" s="34"/>
      <c r="D38" s="41">
        <v>16</v>
      </c>
      <c r="E38" s="41">
        <f t="shared" si="6"/>
        <v>308952</v>
      </c>
      <c r="F38" s="67">
        <f t="shared" si="0"/>
        <v>3.4259426433341331</v>
      </c>
      <c r="G38" s="41">
        <v>0</v>
      </c>
      <c r="H38" s="41">
        <f t="shared" si="7"/>
        <v>7506809.214041098</v>
      </c>
      <c r="I38" s="41">
        <f t="shared" si="1"/>
        <v>32767636.363636363</v>
      </c>
      <c r="J38" s="41">
        <f t="shared" si="2"/>
        <v>11755726.750428693</v>
      </c>
      <c r="K38" s="41">
        <f t="shared" si="3"/>
        <v>90180.143733908917</v>
      </c>
      <c r="L38" s="41">
        <f t="shared" si="4"/>
        <v>-5380205.5593606979</v>
      </c>
      <c r="M38" s="41">
        <f t="shared" si="5"/>
        <v>-1570430.7162961352</v>
      </c>
      <c r="N38" s="41"/>
      <c r="O38" s="41"/>
      <c r="P38" s="41"/>
      <c r="Q38" s="41"/>
      <c r="R38" s="41"/>
    </row>
    <row r="39" spans="3:18" x14ac:dyDescent="0.25">
      <c r="C39" s="34"/>
      <c r="D39" s="41">
        <v>17</v>
      </c>
      <c r="E39" s="41">
        <f t="shared" si="6"/>
        <v>308952</v>
      </c>
      <c r="F39" s="67">
        <f t="shared" si="0"/>
        <v>3.7000180548008639</v>
      </c>
      <c r="G39" s="41">
        <v>0</v>
      </c>
      <c r="H39" s="41">
        <f t="shared" si="7"/>
        <v>7506809.214041098</v>
      </c>
      <c r="I39" s="41">
        <f t="shared" si="1"/>
        <v>32767636.363636363</v>
      </c>
      <c r="J39" s="41">
        <f t="shared" si="2"/>
        <v>10884932.176322864</v>
      </c>
      <c r="K39" s="41">
        <f t="shared" si="3"/>
        <v>83500.133086952701</v>
      </c>
      <c r="L39" s="41">
        <f t="shared" si="4"/>
        <v>-10760411.118721429</v>
      </c>
      <c r="M39" s="41">
        <f t="shared" si="5"/>
        <v>-2908205.0301780375</v>
      </c>
      <c r="N39" s="41"/>
      <c r="O39" s="41"/>
      <c r="P39" s="41"/>
      <c r="Q39" s="41"/>
      <c r="R39" s="41"/>
    </row>
    <row r="40" spans="3:18" x14ac:dyDescent="0.25">
      <c r="C40" s="34"/>
      <c r="D40" s="41">
        <v>18</v>
      </c>
      <c r="E40" s="41">
        <f t="shared" si="6"/>
        <v>308952</v>
      </c>
      <c r="F40" s="67">
        <f t="shared" si="0"/>
        <v>3.9960194991849334</v>
      </c>
      <c r="G40" s="41">
        <v>0</v>
      </c>
      <c r="H40" s="41">
        <f t="shared" si="7"/>
        <v>7506809.214041098</v>
      </c>
      <c r="I40" s="41">
        <f t="shared" si="1"/>
        <v>32767636.363636363</v>
      </c>
      <c r="J40" s="41">
        <f t="shared" si="2"/>
        <v>10078640.904002652</v>
      </c>
      <c r="K40" s="41">
        <f t="shared" si="3"/>
        <v>77314.938043474715</v>
      </c>
      <c r="L40" s="41">
        <f t="shared" si="4"/>
        <v>-16140616.678082161</v>
      </c>
      <c r="M40" s="41">
        <f>L40/F40</f>
        <v>-4039173.6530250558</v>
      </c>
      <c r="N40" s="41"/>
      <c r="O40" s="41"/>
      <c r="P40" s="41"/>
      <c r="Q40" s="41"/>
      <c r="R40" s="41"/>
    </row>
    <row r="41" spans="3:18" x14ac:dyDescent="0.25">
      <c r="C41" s="34"/>
      <c r="D41" s="41">
        <v>19</v>
      </c>
      <c r="E41" s="41">
        <f t="shared" si="6"/>
        <v>308952</v>
      </c>
      <c r="F41" s="67">
        <f t="shared" si="0"/>
        <v>4.3157010591197285</v>
      </c>
      <c r="G41" s="41">
        <v>0</v>
      </c>
      <c r="H41" s="41">
        <f t="shared" si="7"/>
        <v>7506809.214041098</v>
      </c>
      <c r="I41" s="41">
        <f t="shared" si="1"/>
        <v>32767636.363636363</v>
      </c>
      <c r="J41" s="41">
        <f t="shared" si="2"/>
        <v>9332074.9111135658</v>
      </c>
      <c r="K41" s="41">
        <f t="shared" si="3"/>
        <v>71587.90559580992</v>
      </c>
      <c r="L41" s="41">
        <f t="shared" si="4"/>
        <v>-21520822.237442892</v>
      </c>
      <c r="M41" s="41">
        <f t="shared" ref="M41:M52" si="8">L41/F41</f>
        <v>-4986634.1395371081</v>
      </c>
      <c r="N41" s="41"/>
      <c r="O41" s="41"/>
      <c r="P41" s="41"/>
      <c r="Q41" s="41"/>
      <c r="R41" s="41"/>
    </row>
    <row r="42" spans="3:18" x14ac:dyDescent="0.25">
      <c r="C42" s="34"/>
      <c r="D42" s="41">
        <v>20</v>
      </c>
      <c r="E42" s="41">
        <f t="shared" si="6"/>
        <v>308952</v>
      </c>
      <c r="F42" s="67">
        <f t="shared" si="0"/>
        <v>4.6609571438493065</v>
      </c>
      <c r="G42" s="41">
        <v>0</v>
      </c>
      <c r="H42" s="41">
        <f t="shared" si="7"/>
        <v>7506809.214041098</v>
      </c>
      <c r="I42" s="41">
        <f t="shared" si="1"/>
        <v>32767636.363636363</v>
      </c>
      <c r="J42" s="41">
        <f t="shared" si="2"/>
        <v>8640810.102882931</v>
      </c>
      <c r="K42" s="41">
        <f t="shared" si="3"/>
        <v>66285.097773898073</v>
      </c>
      <c r="L42" s="41">
        <f t="shared" si="4"/>
        <v>-26901027.796803623</v>
      </c>
      <c r="M42" s="41">
        <f t="shared" si="8"/>
        <v>-5771567.2911309144</v>
      </c>
      <c r="N42" s="41"/>
      <c r="O42" s="41"/>
      <c r="P42" s="41"/>
      <c r="Q42" s="41"/>
      <c r="R42" s="41"/>
    </row>
    <row r="43" spans="3:18" x14ac:dyDescent="0.25">
      <c r="C43" s="34"/>
      <c r="D43" s="41">
        <v>21</v>
      </c>
      <c r="E43" s="41">
        <f t="shared" si="6"/>
        <v>308952</v>
      </c>
      <c r="F43" s="67">
        <f t="shared" si="0"/>
        <v>5.0338337153572512</v>
      </c>
      <c r="G43" s="41">
        <v>0</v>
      </c>
      <c r="H43" s="41">
        <f t="shared" si="7"/>
        <v>7506809.214041098</v>
      </c>
      <c r="I43" s="41">
        <f t="shared" si="1"/>
        <v>32767636.363636363</v>
      </c>
      <c r="J43" s="41">
        <f t="shared" si="2"/>
        <v>8000750.0952619733</v>
      </c>
      <c r="K43" s="41">
        <f t="shared" si="3"/>
        <v>61375.090531387104</v>
      </c>
      <c r="L43" s="41">
        <f t="shared" si="4"/>
        <v>-32281233.356164355</v>
      </c>
      <c r="M43" s="41">
        <f t="shared" si="8"/>
        <v>-6412852.5457010167</v>
      </c>
      <c r="N43" s="41"/>
      <c r="O43" s="41"/>
      <c r="P43" s="41"/>
      <c r="Q43" s="41"/>
      <c r="R43" s="41"/>
    </row>
    <row r="44" spans="3:18" x14ac:dyDescent="0.25">
      <c r="C44" s="34"/>
      <c r="D44" s="41">
        <v>22</v>
      </c>
      <c r="E44" s="41">
        <f t="shared" si="6"/>
        <v>308952</v>
      </c>
      <c r="F44" s="67">
        <f t="shared" si="0"/>
        <v>5.4365404125858321</v>
      </c>
      <c r="G44" s="41">
        <v>0</v>
      </c>
      <c r="H44" s="41">
        <f t="shared" si="7"/>
        <v>7506809.214041098</v>
      </c>
      <c r="I44" s="41">
        <f t="shared" si="1"/>
        <v>32767636.363636363</v>
      </c>
      <c r="J44" s="41">
        <f t="shared" si="2"/>
        <v>7408101.9400573811</v>
      </c>
      <c r="K44" s="41">
        <f t="shared" si="3"/>
        <v>56828.787529062123</v>
      </c>
      <c r="L44" s="41">
        <f t="shared" si="4"/>
        <v>-37661438.915525086</v>
      </c>
      <c r="M44" s="41">
        <f t="shared" si="8"/>
        <v>-6927464.1697387528</v>
      </c>
      <c r="N44" s="41"/>
      <c r="O44" s="41"/>
      <c r="P44" s="41"/>
      <c r="Q44" s="41"/>
      <c r="R44" s="41"/>
    </row>
    <row r="45" spans="3:18" x14ac:dyDescent="0.25">
      <c r="C45" s="34"/>
      <c r="D45" s="41">
        <v>23</v>
      </c>
      <c r="E45" s="41">
        <f t="shared" si="6"/>
        <v>308952</v>
      </c>
      <c r="F45" s="67">
        <f t="shared" si="0"/>
        <v>5.8714636455926987</v>
      </c>
      <c r="G45" s="41">
        <v>0</v>
      </c>
      <c r="H45" s="41">
        <f t="shared" si="7"/>
        <v>7506809.214041098</v>
      </c>
      <c r="I45" s="41">
        <f t="shared" si="1"/>
        <v>32767636.363636363</v>
      </c>
      <c r="J45" s="41">
        <f t="shared" si="2"/>
        <v>6859353.6482012784</v>
      </c>
      <c r="K45" s="41">
        <f t="shared" si="3"/>
        <v>52619.247712094562</v>
      </c>
      <c r="L45" s="41">
        <f t="shared" si="4"/>
        <v>-43041644.474885821</v>
      </c>
      <c r="M45" s="41">
        <f t="shared" si="8"/>
        <v>-7330649.9150674641</v>
      </c>
      <c r="N45" s="41"/>
      <c r="O45" s="41"/>
      <c r="P45" s="41"/>
      <c r="Q45" s="41"/>
      <c r="R45" s="41"/>
    </row>
    <row r="46" spans="3:18" x14ac:dyDescent="0.25">
      <c r="C46" s="34"/>
      <c r="D46" s="41">
        <v>24</v>
      </c>
      <c r="E46" s="41">
        <f t="shared" si="6"/>
        <v>308952</v>
      </c>
      <c r="F46" s="67">
        <f t="shared" si="0"/>
        <v>6.3411807372401148</v>
      </c>
      <c r="G46" s="41">
        <v>0</v>
      </c>
      <c r="H46" s="41">
        <f t="shared" si="7"/>
        <v>7506809.214041098</v>
      </c>
      <c r="I46" s="41">
        <f t="shared" si="1"/>
        <v>32767636.363636363</v>
      </c>
      <c r="J46" s="41">
        <f t="shared" si="2"/>
        <v>6351253.3779641474</v>
      </c>
      <c r="K46" s="41">
        <f t="shared" si="3"/>
        <v>48721.525659346815</v>
      </c>
      <c r="L46" s="41">
        <f t="shared" si="4"/>
        <v>-48421850.034246549</v>
      </c>
      <c r="M46" s="41">
        <f t="shared" si="8"/>
        <v>-7636093.6615286088</v>
      </c>
      <c r="N46" s="41"/>
      <c r="O46" s="41"/>
      <c r="P46" s="41"/>
      <c r="Q46" s="41"/>
      <c r="R46" s="41"/>
    </row>
    <row r="47" spans="3:18" x14ac:dyDescent="0.25">
      <c r="C47" s="34"/>
      <c r="D47" s="41">
        <v>25</v>
      </c>
      <c r="E47" s="41">
        <f t="shared" si="6"/>
        <v>308952</v>
      </c>
      <c r="F47" s="67">
        <f t="shared" si="0"/>
        <v>6.8484751962193249</v>
      </c>
      <c r="G47" s="41">
        <v>0</v>
      </c>
      <c r="H47" s="41">
        <f t="shared" si="7"/>
        <v>7506809.214041098</v>
      </c>
      <c r="I47" s="41">
        <f t="shared" si="1"/>
        <v>32767636.363636363</v>
      </c>
      <c r="J47" s="41">
        <f t="shared" si="2"/>
        <v>5880790.164781617</v>
      </c>
      <c r="K47" s="41">
        <f t="shared" si="3"/>
        <v>45112.523758654454</v>
      </c>
      <c r="L47" s="41">
        <f t="shared" si="4"/>
        <v>-53802055.593607277</v>
      </c>
      <c r="M47" s="41">
        <f t="shared" si="8"/>
        <v>-7856063.4377866331</v>
      </c>
      <c r="N47" s="41"/>
      <c r="O47" s="41"/>
      <c r="P47" s="41"/>
      <c r="Q47" s="41"/>
      <c r="R47" s="41"/>
    </row>
    <row r="48" spans="3:18" x14ac:dyDescent="0.25">
      <c r="C48" s="34"/>
      <c r="D48" s="41">
        <v>26</v>
      </c>
      <c r="E48" s="41">
        <f t="shared" si="6"/>
        <v>308952</v>
      </c>
      <c r="F48" s="67">
        <f t="shared" si="0"/>
        <v>7.3963532119168702</v>
      </c>
      <c r="G48" s="41">
        <v>0</v>
      </c>
      <c r="H48" s="41">
        <f t="shared" si="7"/>
        <v>7506809.214041098</v>
      </c>
      <c r="I48" s="41">
        <f t="shared" si="1"/>
        <v>32767636.363636363</v>
      </c>
      <c r="J48" s="41">
        <f t="shared" si="2"/>
        <v>5445176.0785014974</v>
      </c>
      <c r="K48" s="41">
        <f t="shared" si="3"/>
        <v>41770.855332087456</v>
      </c>
      <c r="L48" s="41">
        <f t="shared" si="4"/>
        <v>-59182261.152968004</v>
      </c>
      <c r="M48" s="41">
        <f t="shared" si="8"/>
        <v>-8001546.0940419417</v>
      </c>
      <c r="N48" s="41"/>
      <c r="O48" s="41"/>
      <c r="P48" s="41"/>
      <c r="Q48" s="41"/>
      <c r="R48" s="41"/>
    </row>
    <row r="49" spans="3:18" x14ac:dyDescent="0.25">
      <c r="C49" s="34"/>
      <c r="D49" s="41">
        <v>27</v>
      </c>
      <c r="E49" s="41">
        <f t="shared" si="6"/>
        <v>308952</v>
      </c>
      <c r="F49" s="67">
        <f t="shared" si="0"/>
        <v>7.9880614688702201</v>
      </c>
      <c r="G49" s="41">
        <v>0</v>
      </c>
      <c r="H49" s="41">
        <f t="shared" si="7"/>
        <v>7506809.214041098</v>
      </c>
      <c r="I49" s="41">
        <f t="shared" si="1"/>
        <v>32767636.363636363</v>
      </c>
      <c r="J49" s="41">
        <f t="shared" si="2"/>
        <v>5041829.7023162013</v>
      </c>
      <c r="K49" s="41">
        <f t="shared" si="3"/>
        <v>38676.717900080977</v>
      </c>
      <c r="L49" s="41">
        <f t="shared" si="4"/>
        <v>-64562466.712328732</v>
      </c>
      <c r="M49" s="41">
        <f t="shared" si="8"/>
        <v>-8082369.7919615572</v>
      </c>
      <c r="N49" s="41"/>
      <c r="O49" s="41"/>
      <c r="P49" s="41"/>
      <c r="Q49" s="41"/>
      <c r="R49" s="41"/>
    </row>
    <row r="50" spans="3:18" x14ac:dyDescent="0.25">
      <c r="C50" s="34"/>
      <c r="D50" s="41">
        <v>28</v>
      </c>
      <c r="E50" s="41">
        <f t="shared" si="6"/>
        <v>308952</v>
      </c>
      <c r="F50" s="67">
        <f t="shared" si="0"/>
        <v>8.6271063863798378</v>
      </c>
      <c r="G50" s="41">
        <v>0</v>
      </c>
      <c r="H50" s="41">
        <f t="shared" si="7"/>
        <v>7506809.214041098</v>
      </c>
      <c r="I50" s="41">
        <f t="shared" si="1"/>
        <v>32767636.363636363</v>
      </c>
      <c r="J50" s="41">
        <f t="shared" si="2"/>
        <v>4668360.835477964</v>
      </c>
      <c r="K50" s="41">
        <f t="shared" si="3"/>
        <v>35811.775833408312</v>
      </c>
      <c r="L50" s="41">
        <f t="shared" si="4"/>
        <v>-69942672.27168946</v>
      </c>
      <c r="M50" s="41">
        <f t="shared" si="8"/>
        <v>-8107315.3777392162</v>
      </c>
      <c r="N50" s="41"/>
      <c r="O50" s="41"/>
      <c r="P50" s="41"/>
      <c r="Q50" s="41"/>
      <c r="R50" s="41"/>
    </row>
    <row r="51" spans="3:18" x14ac:dyDescent="0.25">
      <c r="C51" s="34"/>
      <c r="D51" s="41">
        <v>29</v>
      </c>
      <c r="E51" s="41">
        <f t="shared" si="6"/>
        <v>308952</v>
      </c>
      <c r="F51" s="67">
        <f t="shared" si="0"/>
        <v>9.3172748972902255</v>
      </c>
      <c r="G51" s="41">
        <v>0</v>
      </c>
      <c r="H51" s="41">
        <f t="shared" si="7"/>
        <v>7506809.214041098</v>
      </c>
      <c r="I51" s="41">
        <f t="shared" si="1"/>
        <v>32767636.363636363</v>
      </c>
      <c r="J51" s="41">
        <f t="shared" si="2"/>
        <v>4322556.3291462623</v>
      </c>
      <c r="K51" s="41">
        <f t="shared" si="3"/>
        <v>33159.051697600291</v>
      </c>
      <c r="L51" s="41">
        <f t="shared" si="4"/>
        <v>-75322877.831050187</v>
      </c>
      <c r="M51" s="41">
        <f t="shared" si="8"/>
        <v>-8084217.6131302724</v>
      </c>
      <c r="N51" s="41"/>
      <c r="O51" s="41"/>
      <c r="P51" s="41"/>
      <c r="Q51" s="41"/>
      <c r="R51" s="41"/>
    </row>
    <row r="52" spans="3:18" x14ac:dyDescent="0.25">
      <c r="C52" s="34"/>
      <c r="D52" s="41">
        <v>30</v>
      </c>
      <c r="E52" s="41">
        <f t="shared" si="6"/>
        <v>308952</v>
      </c>
      <c r="F52" s="67">
        <f t="shared" si="0"/>
        <v>10.062656889073445</v>
      </c>
      <c r="G52" s="41">
        <v>0</v>
      </c>
      <c r="H52" s="41">
        <f t="shared" si="7"/>
        <v>7506809.214041098</v>
      </c>
      <c r="I52" s="41">
        <f t="shared" si="1"/>
        <v>32767636.363636363</v>
      </c>
      <c r="J52" s="41">
        <f t="shared" si="2"/>
        <v>4002366.9714317243</v>
      </c>
      <c r="K52" s="41">
        <f t="shared" si="3"/>
        <v>30702.82564592619</v>
      </c>
      <c r="L52" s="41">
        <f t="shared" si="4"/>
        <v>-80703083.390410915</v>
      </c>
      <c r="M52" s="41">
        <f t="shared" si="8"/>
        <v>-8020057.1558832051</v>
      </c>
      <c r="N52" s="41"/>
      <c r="O52" s="41"/>
      <c r="P52" s="41"/>
      <c r="Q52" s="41"/>
      <c r="R52" s="41"/>
    </row>
    <row r="53" spans="3:18" x14ac:dyDescent="0.25">
      <c r="F53" s="67"/>
      <c r="N53" s="41"/>
      <c r="O53" s="41"/>
      <c r="P53" s="41"/>
      <c r="Q53" s="41"/>
      <c r="R53" s="41"/>
    </row>
    <row r="54" spans="3:18" x14ac:dyDescent="0.25">
      <c r="F54" s="67"/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 LCoE Calculation</vt:lpstr>
      <vt:lpstr>MG Hydro</vt:lpstr>
      <vt:lpstr>MG Wind</vt:lpstr>
      <vt:lpstr>MG PV</vt:lpstr>
      <vt:lpstr>MG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2016-12-23T14:41:49Z</dcterms:modified>
</cp:coreProperties>
</file>